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drawings/drawing2.xml" ContentType="application/vnd.openxmlformats-officedocument.drawing+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charts/chart1.xml" ContentType="application/vnd.openxmlformats-officedocument.drawingml.char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workbookPassword="AA0A" lockStructure="1"/>
  <bookViews>
    <workbookView visibility="visible" minimized="0" showHorizontalScroll="1" showVerticalScroll="1" showSheetTabs="1" tabRatio="600" firstSheet="0" activeTab="1" autoFilterDateGrouping="1"/>
  </bookViews>
  <sheets>
    <sheet xmlns:r="http://schemas.openxmlformats.org/officeDocument/2006/relationships" name="About" sheetId="1" state="visible" r:id="rId1"/>
    <sheet xmlns:r="http://schemas.openxmlformats.org/officeDocument/2006/relationships" name="Calculation" sheetId="2" state="visible" r:id="rId2"/>
    <sheet xmlns:r="http://schemas.openxmlformats.org/officeDocument/2006/relationships" name="Geometry" sheetId="3" state="hidden" r:id="rId3"/>
    <sheet xmlns:r="http://schemas.openxmlformats.org/officeDocument/2006/relationships" name="Solver" sheetId="4" state="hidden" r:id="rId4"/>
    <sheet xmlns:r="http://schemas.openxmlformats.org/officeDocument/2006/relationships" name="NDP" sheetId="5" state="visible" r:id="rId5"/>
  </sheets>
  <definedNames>
    <definedName name="NA_sel">'Calculation'!$E$11</definedName>
    <definedName name="conc_class">'Calculation'!$E$12</definedName>
    <definedName name="fyk_sl">'Calculation'!$E$13</definedName>
    <definedName name="shape_sl">'Calculation'!$E$14</definedName>
    <definedName name="bw_sl">'Calculation'!$E$15</definedName>
    <definedName name="h_sl">'Calculation'!$E$16</definedName>
    <definedName name="bf_sl">'Calculation'!$E$17</definedName>
    <definedName name="hf_sl">'Calculation'!$E$18</definedName>
    <definedName name="c_sl">'Calculation'!$E$19</definedName>
    <definedName name="phiw_sl">'Calculation'!$E$20</definedName>
    <definedName name="nt_sl">'Calculation'!$E$21</definedName>
    <definedName name="pt_sl">'Calculation'!$E$22</definedName>
    <definedName name="nb_sl">'Calculation'!$E$23</definedName>
    <definedName name="pb_sl">'Calculation'!$E$24</definedName>
    <definedName name="sense_sl">'Calculation'!$E$27</definedName>
    <definedName name="Mk_sl">'Calculation'!$E$28</definedName>
    <definedName name="Nk_sl">'Calculation'!$E$29</definedName>
    <definedName name="Mqp_sl">'Calculation'!$E$30</definedName>
    <definedName name="Nqp_sl">'Calculation'!$E$31</definedName>
    <definedName name="phi_sl">'Calculation'!$E$32</definedName>
    <definedName name="agg_sl">'Calculation'!$E$33</definedName>
    <definedName name="exp_sl">'Calculation'!$E$34</definedName>
    <definedName name="src_sl">'Calculation'!$E$35</definedName>
    <definedName name="fct_sl">'Calculation'!$E$36</definedName>
    <definedName name="crk_sl">'Calculation'!$E$37</definedName>
    <definedName name="dia_sl">'Calculation'!$E$38</definedName>
    <definedName name="fl_sl">shape_sl="Flanged  (flange at the top)"</definedName>
    <definedName name="sag_sl">sense_sl="Sagging  (top face compressed)"</definedName>
    <definedName name="inputs_ok">IFERROR(AND(OR(NA_sel="UK NA (BS EN)",NA_sel="PL NA (PN-EN)"),OR(conc_class="C20/25",conc_class="C25/30",conc_class="C28/35",conc_class="C30/37",conc_class="C32/40",conc_class="C35/45",conc_class="C40/50",conc_class="C45/55",conc_class="C50/60"),ISNUMBER(fyk_sl),fyk_sl&gt;0,OR(shape_sl="Rectangular",shape_sl="Flanged  (flange at the top)"),ISNUMBER(bw_sl),bw_sl&gt;0,ISNUMBER(h_sl),h_sl&gt;0,IF(fl_sl,IF(ISNUMBER(bf_sl),bf_sl&gt;0,FALSE),TRUE),IF(fl_sl,IF(ISNUMBER(hf_sl),hf_sl&gt;0,FALSE),TRUE),ISNUMBER(c_sl),c_sl&gt;0,OR(AND(ISNUMBER(phiw_sl),phiw_sl=0),AND(ISNUMBER(phiw_sl),phiw_sl=6),AND(ISNUMBER(phiw_sl),phiw_sl=8),AND(ISNUMBER(phiw_sl),phiw_sl=10),AND(ISNUMBER(phiw_sl),phiw_sl=12)),OR(AND(ISNUMBER(nt_sl),nt_sl=0),AND(ISNUMBER(nt_sl),nt_sl=1),AND(ISNUMBER(nt_sl),nt_sl=2),AND(ISNUMBER(nt_sl),nt_sl=3),AND(ISNUMBER(nt_sl),nt_sl=4),AND(ISNUMBER(nt_sl),nt_sl=5),AND(ISNUMBER(nt_sl),nt_sl=6),AND(ISNUMBER(nt_sl),nt_sl=7),AND(ISNUMBER(nt_sl),nt_sl=8),AND(ISNUMBER(nt_sl),nt_sl=9),AND(ISNUMBER(nt_sl),nt_sl=10),AND(ISNUMBER(nt_sl),nt_sl=11),AND(ISNUMBER(nt_sl),nt_sl=12)),OR(AND(ISNUMBER(pt_sl),pt_sl=8),AND(ISNUMBER(pt_sl),pt_sl=10),AND(ISNUMBER(pt_sl),pt_sl=12),AND(ISNUMBER(pt_sl),pt_sl=16),AND(ISNUMBER(pt_sl),pt_sl=20),AND(ISNUMBER(pt_sl),pt_sl=25),AND(ISNUMBER(pt_sl),pt_sl=32),AND(ISNUMBER(pt_sl),pt_sl=40)),OR(AND(ISNUMBER(nb_sl),nb_sl=0),AND(ISNUMBER(nb_sl),nb_sl=1),AND(ISNUMBER(nb_sl),nb_sl=2),AND(ISNUMBER(nb_sl),nb_sl=3),AND(ISNUMBER(nb_sl),nb_sl=4),AND(ISNUMBER(nb_sl),nb_sl=5),AND(ISNUMBER(nb_sl),nb_sl=6),AND(ISNUMBER(nb_sl),nb_sl=7),AND(ISNUMBER(nb_sl),nb_sl=8),AND(ISNUMBER(nb_sl),nb_sl=9),AND(ISNUMBER(nb_sl),nb_sl=10),AND(ISNUMBER(nb_sl),nb_sl=11),AND(ISNUMBER(nb_sl),nb_sl=12)),OR(AND(ISNUMBER(pb_sl),pb_sl=8),AND(ISNUMBER(pb_sl),pb_sl=10),AND(ISNUMBER(pb_sl),pb_sl=12),AND(ISNUMBER(pb_sl),pb_sl=16),AND(ISNUMBER(pb_sl),pb_sl=20),AND(ISNUMBER(pb_sl),pb_sl=25),AND(ISNUMBER(pb_sl),pb_sl=32),AND(ISNUMBER(pb_sl),pb_sl=40)),OR(sense_sl="Sagging  (top face compressed)",sense_sl="Hogging  (bottom face compressed)"),ISNUMBER(Mk_sl),Mk_sl&gt;=0,ISNUMBER(Nk_sl),Nk_sl&gt;=0,ISNUMBER(Mqp_sl),Mqp_sl&gt;=0,ISNUMBER(Nqp_sl),Nqp_sl&gt;=0,ISNUMBER(phi_sl),phi_sl&gt;=0,OR(agg_sl="Quartzite  (1.0)",agg_sl="Limestone  (0.9)",agg_sl="Sandstone  (0.7)",agg_sl="Basalt  (1.2)"),OR(exp_sl="X0",exp_sl="XC1",exp_sl="XC2",exp_sl="XC3",exp_sl="XC4",exp_sl="XD1",exp_sl="XD2",exp_sl="XD3",exp_sl="XS1",exp_sl="XS2",exp_sl="XS3",exp_sl="XF1",exp_sl="XF2",exp_sl="XF3",exp_sl="XF4"),OR(src_sl="Loads  (k3 fyk)",src_sl="Imposed deformation  (k4 fyk)"),OR(fct_sl="fctm",fct_sl="fctm.fl  (3.23)"),OR(crk_sl="From the stresses  (7.1(2))",crk_sl="Assume cracked"),OR(dia_sl="Characteristic  short term",dia_sl="Characteristic  long term",dia_sl="Quasi-permanent  short term",dia_sl="Quasi-permanent  long term"),AND(fyk_sl&gt;=400,fyk_sl&lt;=600,phi_sl&lt;=6,IF(sag_sl,nb_sl&gt;=1,nt_sl&gt;=1),Mk_sl&gt;=Mqp_sl,Nk_sl&gt;=Nqp_sl,bw_sl&gt;=2*(c_sl+phiw_sl)+nt_sl*pt_sl,bw_sl&gt;=2*(c_sl+phiw_sl)+nb_sl*pb_sl,h_sl&gt;2*(c_sl+phiw_sl)+(nt_sl&gt;0)*pt_sl+(nb_sl&gt;0)*pb_sl,IF(fl_sl,AND(bf_sl&gt;=bw_sl,hf_sl&lt;h_sl),TRUE))),FALSE)</definedName>
    <definedName name="input_status">'Calculation'!$G$39</definedName>
    <definedName name="bfe_sl">IF(fl_sl,bf_sl,bw_sl)</definedName>
    <definedName name="hfe_sl">IF(fl_sl,hf_sl,0)</definedName>
    <definedName name="ov_sl">bfe_sl-bw_sl</definedName>
    <definedName name="af_sl">IF(sag_sl,0,h_sl-hfe_sl)</definedName>
    <definedName name="dt_sl">c_sl+phiw_sl+pt_sl/2</definedName>
    <definedName name="db_sl">c_sl+phiw_sl+pb_sl/2</definedName>
    <definedName name="k1ap_sl">OR(LEFT(exp_sl,2)="XD",LEFT(exp_sl,2)="XF",LEFT(exp_sl,2)="XS")</definedName>
    <definedName name="cracked_sl">OR(crk_sl="Assume cracked",sct_sl&gt;fcte_sl)</definedName>
    <definedName name="scope_sl">MIN(uT_kS_sl,uT_kL_sl,uT_qS_sl,uT_qL_sl,uT_qL_sl+uT_dS_sl,uT_mx_sl)&gt;=IF(cracked_sl,0,-fcte_sl)</definedName>
    <definedName name="draw_sl">IF(inputs_ok,scope_sl,FALSE)</definedName>
    <definedName name="dN_sl">Nk_sl-Nqp_sl</definedName>
    <definedName name="dM_sl">Mk_sl-Mqp_sl</definedName>
    <definedName name="MI_kS_sl">Mk_sl*1E6+Nk_sl*1000*(yIS_sl-yc_sl)</definedName>
    <definedName name="u1_kS_sl">aeS_sl*(Nk_sl*1000/AIS_sl+MI_kS_sl*(yIS_sl-y1_sl)/IIS_sl)</definedName>
    <definedName name="u2_kS_sl">aeS_sl*(Nk_sl*1000/AIS_sl+MI_kS_sl*(yIS_sl-y2_sl)/IIS_sl)</definedName>
    <definedName name="full_kS_sl">AND(Nk_sl&gt;0,Fh_kS_sl&gt;=0)</definedName>
    <definedName name="unc_kS_sl">OR(NOT(cracked_sl),full_kS_sl)</definedName>
    <definedName name="kc_kS_sl">(Nk_sl*1000*Qb_kS_sl+Mk_sl*1E6*Jb_kS_sl)/(Qb_kS_sl^2+Jb_kS_sl^2)</definedName>
    <definedName name="cr1_kS_sl">IF(full_kS_sl,u1_kS_sl,aeS_sl*kc_kS_sl*(xb_kS_sl-y1_sl))</definedName>
    <definedName name="cr2_kS_sl">IF(full_kS_sl,u2_kS_sl,aeS_sl*kc_kS_sl*(xb_kS_sl-y2_sl))</definedName>
    <definedName name="stcr_kS_sl">MAX(0,IF(A1_sl&gt;0,-cr1_kS_sl,0),-cr2_kS_sl)</definedName>
    <definedName name="st_kS_sl">MAX(0,IF(A1_sl&gt;0,-s1_kS_sl,0),-s2_kS_sl)</definedName>
    <definedName name="cT_kS_sl">IF(unc_kS_sl,uT_kS_sl,kc_kS_sl*xb_kS_sl)</definedName>
    <definedName name="cB_kS_sl">IF(unc_kS_sl,uB_kS_sl,0)</definedName>
    <definedName name="MI_kL_sl">Mk_sl*1E6+Nk_sl*1000*(yIL_sl-yc_sl)</definedName>
    <definedName name="u1_kL_sl">aeL_sl*(Nk_sl*1000/AIL_sl+MI_kL_sl*(yIL_sl-y1_sl)/IIL_sl)</definedName>
    <definedName name="u2_kL_sl">aeL_sl*(Nk_sl*1000/AIL_sl+MI_kL_sl*(yIL_sl-y2_sl)/IIL_sl)</definedName>
    <definedName name="full_kL_sl">AND(Nk_sl&gt;0,Fh_kL_sl&gt;=0)</definedName>
    <definedName name="unc_kL_sl">OR(NOT(cracked_sl),full_kL_sl)</definedName>
    <definedName name="kc_kL_sl">(Nk_sl*1000*Qb_kL_sl+Mk_sl*1E6*Jb_kL_sl)/(Qb_kL_sl^2+Jb_kL_sl^2)</definedName>
    <definedName name="cr1_kL_sl">IF(full_kL_sl,u1_kL_sl,aeL_sl*kc_kL_sl*(xb_kL_sl-y1_sl))</definedName>
    <definedName name="cr2_kL_sl">IF(full_kL_sl,u2_kL_sl,aeL_sl*kc_kL_sl*(xb_kL_sl-y2_sl))</definedName>
    <definedName name="stcr_kL_sl">MAX(0,IF(A1_sl&gt;0,-cr1_kL_sl,0),-cr2_kL_sl)</definedName>
    <definedName name="st_kL_sl">MAX(0,IF(A1_sl&gt;0,-s1_kL_sl,0),-s2_kL_sl)</definedName>
    <definedName name="cT_kL_sl">IF(unc_kL_sl,uT_kL_sl,kc_kL_sl*xb_kL_sl)</definedName>
    <definedName name="cB_kL_sl">IF(unc_kL_sl,uB_kL_sl,0)</definedName>
    <definedName name="MI_qS_sl">Mqp_sl*1E6+Nqp_sl*1000*(yIS_sl-yc_sl)</definedName>
    <definedName name="u1_qS_sl">aeS_sl*(Nqp_sl*1000/AIS_sl+MI_qS_sl*(yIS_sl-y1_sl)/IIS_sl)</definedName>
    <definedName name="u2_qS_sl">aeS_sl*(Nqp_sl*1000/AIS_sl+MI_qS_sl*(yIS_sl-y2_sl)/IIS_sl)</definedName>
    <definedName name="full_qS_sl">AND(Nqp_sl&gt;0,Fh_qS_sl&gt;=0)</definedName>
    <definedName name="unc_qS_sl">OR(NOT(cracked_sl),full_qS_sl)</definedName>
    <definedName name="kc_qS_sl">(Nqp_sl*1000*Qb_qS_sl+Mqp_sl*1E6*Jb_qS_sl)/(Qb_qS_sl^2+Jb_qS_sl^2)</definedName>
    <definedName name="cr1_qS_sl">IF(full_qS_sl,u1_qS_sl,aeS_sl*kc_qS_sl*(xb_qS_sl-y1_sl))</definedName>
    <definedName name="cr2_qS_sl">IF(full_qS_sl,u2_qS_sl,aeS_sl*kc_qS_sl*(xb_qS_sl-y2_sl))</definedName>
    <definedName name="stcr_qS_sl">MAX(0,IF(A1_sl&gt;0,-cr1_qS_sl,0),-cr2_qS_sl)</definedName>
    <definedName name="st_qS_sl">MAX(0,IF(A1_sl&gt;0,-s1_qS_sl,0),-s2_qS_sl)</definedName>
    <definedName name="cT_qS_sl">IF(unc_qS_sl,uT_qS_sl,kc_qS_sl*xb_qS_sl)</definedName>
    <definedName name="cB_qS_sl">IF(unc_qS_sl,uB_qS_sl,0)</definedName>
    <definedName name="MI_qL_sl">Mqp_sl*1E6+Nqp_sl*1000*(yIL_sl-yc_sl)</definedName>
    <definedName name="u1_qL_sl">aeL_sl*(Nqp_sl*1000/AIL_sl+MI_qL_sl*(yIL_sl-y1_sl)/IIL_sl)</definedName>
    <definedName name="u2_qL_sl">aeL_sl*(Nqp_sl*1000/AIL_sl+MI_qL_sl*(yIL_sl-y2_sl)/IIL_sl)</definedName>
    <definedName name="full_qL_sl">AND(Nqp_sl&gt;0,Fh_qL_sl&gt;=0)</definedName>
    <definedName name="unc_qL_sl">OR(NOT(cracked_sl),full_qL_sl)</definedName>
    <definedName name="kc_qL_sl">(Nqp_sl*1000*Qb_qL_sl+Mqp_sl*1E6*Jb_qL_sl)/(Qb_qL_sl^2+Jb_qL_sl^2)</definedName>
    <definedName name="cr1_qL_sl">IF(full_qL_sl,u1_qL_sl,aeL_sl*kc_qL_sl*(xb_qL_sl-y1_sl))</definedName>
    <definedName name="cr2_qL_sl">IF(full_qL_sl,u2_qL_sl,aeL_sl*kc_qL_sl*(xb_qL_sl-y2_sl))</definedName>
    <definedName name="stcr_qL_sl">MAX(0,IF(A1_sl&gt;0,-cr1_qL_sl,0),-cr2_qL_sl)</definedName>
    <definedName name="st_qL_sl">MAX(0,IF(A1_sl&gt;0,-s1_qL_sl,0),-s2_qL_sl)</definedName>
    <definedName name="cT_qL_sl">IF(unc_qL_sl,uT_qL_sl,kc_qL_sl*xb_qL_sl)</definedName>
    <definedName name="cB_qL_sl">IF(unc_qL_sl,uB_qL_sl,0)</definedName>
    <definedName name="MI_dS_sl">dM_sl*1E6+dN_sl*1000*(yIS_sl-yc_sl)</definedName>
    <definedName name="u1_dS_sl">aeS_sl*(dN_sl*1000/AIS_sl+MI_dS_sl*(yIS_sl-y1_sl)/IIS_sl)</definedName>
    <definedName name="u2_dS_sl">aeS_sl*(dN_sl*1000/AIS_sl+MI_dS_sl*(yIS_sl-y2_sl)/IIS_sl)</definedName>
    <definedName name="full_dS_sl">AND(dN_sl&gt;0,Fh_dS_sl&gt;=0)</definedName>
    <definedName name="unc_dS_sl">OR(NOT(cracked_sl),full_dS_sl)</definedName>
    <definedName name="kc_dS_sl">(dN_sl*1000*Qb_dS_sl+dM_sl*1E6*Jb_dS_sl)/(Qb_dS_sl^2+Jb_dS_sl^2)</definedName>
    <definedName name="cr1_dS_sl">IF(full_dS_sl,u1_dS_sl,aeS_sl*kc_dS_sl*(xb_dS_sl-y1_sl))</definedName>
    <definedName name="cr2_dS_sl">IF(full_dS_sl,u2_dS_sl,aeS_sl*kc_dS_sl*(xb_dS_sl-y2_sl))</definedName>
    <definedName name="stcr_dS_sl">MAX(0,IF(A1_sl&gt;0,-cr1_dS_sl,0),-cr2_dS_sl)</definedName>
    <definedName name="st_dS_sl">MAX(0,IF(A1_sl&gt;0,-s1_dS_sl,0),-s2_dS_sl)</definedName>
    <definedName name="cT_dS_sl">IF(unc_dS_sl,uT_dS_sl,kc_dS_sl*xb_dS_sl)</definedName>
    <definedName name="cB_dS_sl">IF(unc_dS_sl,uB_dS_sl,0)</definedName>
    <definedName name="MI_mx_sl">Mk_sl*1E6+Nk_sl*1000*(yIM_sl-yc_sl)</definedName>
    <definedName name="u1_mx_sl">aeM_sl*(Nk_sl*1000/AIM_sl+MI_mx_sl*(yIM_sl-y1_sl)/IIM_sl)</definedName>
    <definedName name="u2_mx_sl">aeM_sl*(Nk_sl*1000/AIM_sl+MI_mx_sl*(yIM_sl-y2_sl)/IIM_sl)</definedName>
    <definedName name="full_mx_sl">AND(Nk_sl&gt;0,Fh_mx_sl&gt;=0)</definedName>
    <definedName name="unc_mx_sl">OR(NOT(cracked_sl),full_mx_sl)</definedName>
    <definedName name="kc_mx_sl">(Nk_sl*1000*Qb_mx_sl+Mk_sl*1E6*Jb_mx_sl)/(Qb_mx_sl^2+Jb_mx_sl^2)</definedName>
    <definedName name="cr1_mx_sl">IF(full_mx_sl,u1_mx_sl,aeM_sl*kc_mx_sl*(xb_mx_sl-y1_sl))</definedName>
    <definedName name="cr2_mx_sl">IF(full_mx_sl,u2_mx_sl,aeM_sl*kc_mx_sl*(xb_mx_sl-y2_sl))</definedName>
    <definedName name="stcr_mx_sl">MAX(0,IF(A1_sl&gt;0,-cr1_mx_sl,0),-cr2_mx_sl)</definedName>
    <definedName name="st_mx_sl">MAX(0,IF(A1_sl&gt;0,-s1_mx_sl,0),-s2_mx_sl)</definedName>
    <definedName name="cT_mx_sl">IF(unc_mx_sl,uT_mx_sl,kc_mx_sl*xb_mx_sl)</definedName>
    <definedName name="cB_mx_sl">IF(unc_mx_sl,uB_mx_sl,0)</definedName>
    <definedName name="st_stg_sl">MAX(0,IF(A1_sl&gt;0,-s1_stg_sl,0),-s2_stg_sl)</definedName>
    <definedName name="stgw_sl">AND(cracked_sl,Nk_sl&gt;0,Mk_sl&gt;0,ABS(Nqp_sl/MAX(Nk_sl,1E-9)-Mqp_sl/MAX(Mk_sl,1E-9))&gt;0.01)</definedName>
    <definedName name="gapt_sl">IF(nt_sl&gt;=2,(bw_sl-2*(c_sl+phiw_sl)-nt_sl*pt_sl)/(nt_sl-1),1E9)</definedName>
    <definedName name="gokt_sl">gapt_sl&gt;=MAX(pt_sl,20)</definedName>
    <definedName name="gapb_sl">IF(nb_sl&gt;=2,(bw_sl-2*(c_sl+phiw_sl)-nb_sl*pb_sl)/(nb_sl-1),1E9)</definedName>
    <definedName name="gokb_sl">gapb_sl&gt;=MAX(pb_sl,20)</definedName>
    <definedName name="gapv_sl">IF(AND(nt_sl&gt;0,nb_sl&gt;0),h_sl-2*(c_sl+phiw_sl)-pt_sl-pb_sl,1E9)</definedName>
    <definedName name="gokv_sl">gapv_sl&gt;=MAX(pt_sl,pb_sl,20)</definedName>
    <definedName name="gapmin_sl">MIN(gapt_sl,gapb_sl,gapv_sl)</definedName>
    <definedName name="di_sl">IF(dia_sl="Characteristic  short term",1,IF(dia_sl="Characteristic  long term",2,IF(dia_sl="Quasi-permanent  short term",3,4)))</definedName>
    <definedName name="gU_sl">CHOOSE(di_sl,unc_kS_sl,unc_kL_sl,unc_qS_sl,unc_qL_sl)</definedName>
    <definedName name="gk_sl">CHOOSE(di_sl,kc_kS_sl,kc_kL_sl,kc_qS_sl,kc_qL_sl)</definedName>
    <definedName name="gxb_sl">CHOOSE(di_sl,xb_kS_sl,xb_kL_sl,xb_qS_sl,xb_qL_sl)</definedName>
    <definedName name="guT_sl">CHOOSE(di_sl,uT_kS_sl,uT_kL_sl,uT_qS_sl,uT_qL_sl)</definedName>
    <definedName name="guB_sl">CHOOSE(di_sl,uB_kS_sl,uB_kL_sl,uB_qS_sl,uB_qL_sl)</definedName>
    <definedName name="gs1_sl">CHOOSE(di_sl,s1_kS_sl,s1_kL_sl,s1_qS_sl,s1_qL_sl)</definedName>
    <definedName name="gs2_sl">CHOOSE(di_sl,s2_kS_sl,s2_kL_sl,s2_qS_sl,s2_qL_sl)</definedName>
    <definedName name="gA_sl">IF(gU_sl,guT_sl,gk_sl*gxb_sl)</definedName>
    <definedName name="gB_sl">IF(gU_sl,guB_sl,gk_sl*(gxb_sl-h_sl))</definedName>
    <definedName name="gX_sl">IF(gU_sl,IF(gA_sl*gB_sl&lt;0,h_sl*gA_sl/(gA_sl-gB_sl),NA()),gxb_sl)</definedName>
    <definedName name="crk_status_sl">'Calculation'!$G$42</definedName>
    <definedName name="cc_status_sl">'Calculation'!$G$43</definedName>
    <definedName name="cq_status_sl">'Calculation'!$G$44</definedName>
    <definedName name="sk_status_sl">'Calculation'!$G$45</definedName>
    <definedName name="sy_status_sl">'Calculation'!$G$47</definedName>
    <definedName name="gap_status_sl">'Calculation'!$G$48</definedName>
    <definedName name="k1_sl">'Calculation'!$E$75</definedName>
    <definedName name="k2_sl">'Calculation'!$E$76</definedName>
    <definedName name="k3_sl">'Calculation'!$E$77</definedName>
    <definedName name="k4_sl">'Calculation'!$E$78</definedName>
    <definedName name="f_ck">'Calculation'!$E$79</definedName>
    <definedName name="f_ctm">'Calculation'!$E$80</definedName>
    <definedName name="aggf_sl">'Calculation'!$E$81</definedName>
    <definedName name="Ecm_sl">'Calculation'!$E$82</definedName>
    <definedName name="fctfl_sl">'Calculation'!$E$83</definedName>
    <definedName name="fcte_sl">'Calculation'!$E$84</definedName>
    <definedName name="Es_sl">'Calculation'!$E$85</definedName>
    <definedName name="Ece_sl">'Calculation'!$E$86</definedName>
    <definedName name="aeS_sl">'Calculation'!$E$87</definedName>
    <definedName name="aeL_sl">'Calculation'!$E$88</definedName>
    <definedName name="aeM_sl">'Calculation'!$E$89</definedName>
    <definedName name="Ac_sl">'Calculation'!$E$92</definedName>
    <definedName name="yg_sl">'Calculation'!$E$93</definedName>
    <definedName name="Ic_sl">'Calculation'!$E$94</definedName>
    <definedName name="At_sl">'Calculation'!$E$95</definedName>
    <definedName name="Ab_sl">'Calculation'!$E$96</definedName>
    <definedName name="yc_sl">'Calculation'!$E$97</definedName>
    <definedName name="A1_sl">'Calculation'!$E$98</definedName>
    <definedName name="y1_sl">'Calculation'!$E$99</definedName>
    <definedName name="A2_sl">'Calculation'!$E$100</definedName>
    <definedName name="y2_sl">'Calculation'!$E$101</definedName>
    <definedName name="AIS_sl">'Calculation'!$E$104</definedName>
    <definedName name="yIS_sl">'Calculation'!$E$105</definedName>
    <definedName name="IIS_sl">'Calculation'!$E$106</definedName>
    <definedName name="AIL_sl">'Calculation'!$E$107</definedName>
    <definedName name="yIL_sl">'Calculation'!$E$108</definedName>
    <definedName name="IIL_sl">'Calculation'!$E$109</definedName>
    <definedName name="AIM_sl">'Calculation'!$E$110</definedName>
    <definedName name="yIM_sl">'Calculation'!$E$111</definedName>
    <definedName name="IIM_sl">'Calculation'!$E$112</definedName>
    <definedName name="uT_kS_sl">'Calculation'!$E$113</definedName>
    <definedName name="uB_kS_sl">'Calculation'!$E$114</definedName>
    <definedName name="uT_kL_sl">'Calculation'!$E$115</definedName>
    <definedName name="uB_kL_sl">'Calculation'!$E$116</definedName>
    <definedName name="uT_qS_sl">'Calculation'!$E$117</definedName>
    <definedName name="uB_qS_sl">'Calculation'!$E$118</definedName>
    <definedName name="uT_qL_sl">'Calculation'!$E$119</definedName>
    <definedName name="uB_qL_sl">'Calculation'!$E$120</definedName>
    <definedName name="uT_dS_sl">'Calculation'!$E$121</definedName>
    <definedName name="uB_dS_sl">'Calculation'!$E$122</definedName>
    <definedName name="uT_mx_sl">'Calculation'!$E$123</definedName>
    <definedName name="uB_mx_sl">'Calculation'!$E$124</definedName>
    <definedName name="sct_sl">'Calculation'!$E$127</definedName>
    <definedName name="chk_crk_sl">'Calculation'!$G$128</definedName>
    <definedName name="chk_scope_sl">'Calculation'!$G$129</definedName>
    <definedName name="x_kS_sl">'Calculation'!$E$135</definedName>
    <definedName name="sc_kS_sl">'Calculation'!$E$136</definedName>
    <definedName name="s1_kS_sl">'Calculation'!$E$137</definedName>
    <definedName name="s2_kS_sl">'Calculation'!$E$138</definedName>
    <definedName name="x_kL_sl">'Calculation'!$E$139</definedName>
    <definedName name="sc_kL_sl">'Calculation'!$E$140</definedName>
    <definedName name="s1_kL_sl">'Calculation'!$E$141</definedName>
    <definedName name="s2_kL_sl">'Calculation'!$E$142</definedName>
    <definedName name="x_qS_sl">'Calculation'!$E$143</definedName>
    <definedName name="sc_qS_sl">'Calculation'!$E$144</definedName>
    <definedName name="s1_qS_sl">'Calculation'!$E$145</definedName>
    <definedName name="s2_qS_sl">'Calculation'!$E$146</definedName>
    <definedName name="x_qL_sl">'Calculation'!$E$147</definedName>
    <definedName name="sc_qL_sl">'Calculation'!$E$148</definedName>
    <definedName name="s1_qL_sl">'Calculation'!$E$149</definedName>
    <definedName name="s2_qL_sl">'Calculation'!$E$150</definedName>
    <definedName name="x_dS_sl">'Calculation'!$E$151</definedName>
    <definedName name="sc_dS_sl">'Calculation'!$E$152</definedName>
    <definedName name="s1_dS_sl">'Calculation'!$E$153</definedName>
    <definedName name="s2_dS_sl">'Calculation'!$E$154</definedName>
    <definedName name="x_mx_sl">'Calculation'!$E$155</definedName>
    <definedName name="sc_mx_sl">'Calculation'!$E$156</definedName>
    <definedName name="s1_mx_sl">'Calculation'!$E$157</definedName>
    <definedName name="s2_mx_sl">'Calculation'!$E$158</definedName>
    <definedName name="sc_stg_sl">'Calculation'!$E$159</definedName>
    <definedName name="s1_stg_sl">'Calculation'!$E$160</definedName>
    <definedName name="s2_stg_sl">'Calculation'!$E$161</definedName>
    <definedName name="sck_sl">'Calculation'!$E$164</definedName>
    <definedName name="lc1_sl">'Calculation'!$E$165</definedName>
    <definedName name="chk_cc_sl">'Calculation'!$G$166</definedName>
    <definedName name="scq_sl">'Calculation'!$E$167</definedName>
    <definedName name="lc2_sl">'Calculation'!$E$168</definedName>
    <definedName name="chk_cq_sl">'Calculation'!$G$169</definedName>
    <definedName name="ssk_sl">'Calculation'!$E$170</definedName>
    <definedName name="ls_sl">'Calculation'!$E$171</definedName>
    <definedName name="chk_sk_sl">'Calculation'!$G$172</definedName>
    <definedName name="ssq_sl">'Calculation'!$E$173</definedName>
    <definedName name="chk_stg_sl">'Calculation'!$G$174</definedName>
    <definedName name="scmax_sl">'Calculation'!$E$175</definedName>
    <definedName name="chk_sy_sl">'Calculation'!$G$176</definedName>
    <definedName name="chk_gap_sl">'Calculation'!$G$180</definedName>
    <definedName name="x0S_sl">'Solver'!$D$65</definedName>
    <definedName name="x0L_sl">'Solver'!$M$65</definedName>
    <definedName name="x0M_sl">'Solver'!$V$65</definedName>
    <definedName name="xb_kS_sl">'Solver'!$AE$65</definedName>
    <definedName name="Qb_kS_sl">'Solver'!$AH$65</definedName>
    <definedName name="Jb_kS_sl">'Solver'!$AI$65</definedName>
    <definedName name="Fh_kS_sl">'Solver'!$AJ$5</definedName>
    <definedName name="xb_kL_sl">'Solver'!$AN$65</definedName>
    <definedName name="Qb_kL_sl">'Solver'!$AQ$65</definedName>
    <definedName name="Jb_kL_sl">'Solver'!$AR$65</definedName>
    <definedName name="Fh_kL_sl">'Solver'!$AS$5</definedName>
    <definedName name="xb_qS_sl">'Solver'!$AW$65</definedName>
    <definedName name="Qb_qS_sl">'Solver'!$AZ$65</definedName>
    <definedName name="Jb_qS_sl">'Solver'!$BA$65</definedName>
    <definedName name="Fh_qS_sl">'Solver'!$BB$5</definedName>
    <definedName name="xb_qL_sl">'Solver'!$BF$65</definedName>
    <definedName name="Qb_qL_sl">'Solver'!$BI$65</definedName>
    <definedName name="Jb_qL_sl">'Solver'!$BJ$65</definedName>
    <definedName name="Fh_qL_sl">'Solver'!$BK$5</definedName>
    <definedName name="xb_dS_sl">'Solver'!$BO$65</definedName>
    <definedName name="Qb_dS_sl">'Solver'!$BR$65</definedName>
    <definedName name="Jb_dS_sl">'Solver'!$BS$65</definedName>
    <definedName name="Fh_dS_sl">'Solver'!$BT$5</definedName>
    <definedName name="xb_mx_sl">'Solver'!$BX$65</definedName>
    <definedName name="Qb_mx_sl">'Solver'!$CA$65</definedName>
    <definedName name="Jb_mx_sl">'Solver'!$CB$65</definedName>
    <definedName name="Fh_mx_sl">'Solver'!$CC$5</definedName>
    <definedName name="ndp_gamma_c">INDEX('NDP'!$D$6:$E$6,na_idx)</definedName>
    <definedName name="ndp_gamma_s">INDEX('NDP'!$D$7:$E$7,na_idx)</definedName>
    <definedName name="ndp_alpha_cc">INDEX('NDP'!$D$8:$E$8,na_idx)</definedName>
    <definedName name="ndp_alpha_cc_pl">INDEX('NDP'!$D$9:$E$9,na_idx)</definedName>
    <definedName name="ndp_alpha_cc_shear">INDEX('NDP'!$D$10:$E$10,na_idx)</definedName>
    <definedName name="ndp_alpha_ct">INDEX('NDP'!$D$11:$E$11,na_idx)</definedName>
    <definedName name="ndp_C_Rdc">INDEX('NDP'!$D$12:$E$12,na_idx)</definedName>
    <definedName name="ndp_k1_p">INDEX('NDP'!$D$13:$E$13,na_idx)</definedName>
    <definedName name="ndp_vmax">INDEX('NDP'!$D$14:$E$14,na_idx)</definedName>
    <definedName name="ndp_kmax">INDEX('NDP'!$D$15:$E$15,na_idx)</definedName>
    <definedName name="ndp_phi_large">INDEX('NDP'!$D$16:$E$16,na_idx)</definedName>
    <definedName name="ndp_cot_max">INDEX('NDP'!$D$17:$E$17,na_idx)</definedName>
    <definedName name="ndp_k1_red">INDEX('NDP'!$D$18:$E$18,na_idx)</definedName>
    <definedName name="ndp_k2_red">INDEX('NDP'!$D$19:$E$19,na_idx)</definedName>
    <definedName name="ndp_ld_mod_max">INDEX('NDP'!$D$20:$E$20,na_idx)</definedName>
    <definedName name="ndp_ld_cap_40K">INDEX('NDP'!$D$21:$E$21,na_idx)</definedName>
    <definedName name="ndp_phi_min_col">INDEX('NDP'!$D$22:$E$22,na_idx)</definedName>
    <definedName name="ndp_k3">INDEX('NDP'!$D$23:$E$23,na_idx)</definedName>
    <definedName name="ndp_k4">INDEX('NDP'!$D$24:$E$24,na_idx)</definedName>
    <definedName name="ndp_k1_sl">INDEX('NDP'!$D$25:$E$25,na_idx)</definedName>
    <definedName name="ndp_k2_sl">INDEX('NDP'!$D$26:$E$26,na_idx)</definedName>
    <definedName name="ndp_k3_sl">INDEX('NDP'!$D$27:$E$27,na_idx)</definedName>
    <definedName name="ndp_k4_sl">INDEX('NDP'!$D$28:$E$28,na_idx)</definedName>
    <definedName name="na_idx">IF(NA_sel="PL NA (PN-EN)",2,IF(NA_sel="UK NA (BS EN)",1,NA()))</definedName>
    <definedName name="_xlnm.Print_Area" localSheetId="0">'About'!$A$1:$D$39</definedName>
    <definedName name="_xlnm.Print_Area" localSheetId="1">'Calculation'!$A$1:$H$184</definedName>
    <definedName name="_xlnm.Print_Area" localSheetId="4">'NDP'!$A$1:$G$29</definedName>
  </definedNames>
  <calcPr calcId="124519" fullCalcOnLoad="1"/>
</workbook>
</file>

<file path=xl/styles.xml><?xml version="1.0" encoding="utf-8"?>
<styleSheet xmlns="http://schemas.openxmlformats.org/spreadsheetml/2006/main">
  <numFmts count="3">
    <numFmt numFmtId="164" formatCode="dd mmm yyyy"/>
    <numFmt numFmtId="165" formatCode="0.0"/>
    <numFmt numFmtId="166" formatCode="0.000E+00"/>
  </numFmts>
  <fonts count="23">
    <font>
      <name val="Calibri"/>
      <family val="2"/>
      <color theme="1"/>
      <sz val="11"/>
      <scheme val="minor"/>
    </font>
    <font>
      <name val="Calibri"/>
      <color rgb="00BDBDBD"/>
      <sz val="9"/>
    </font>
    <font>
      <name val="Calibri"/>
      <b val="1"/>
      <color rgb="002B2B2B"/>
      <sz val="24"/>
    </font>
    <font>
      <name val="Calibri"/>
      <color rgb="008A8A8A"/>
      <sz val="12"/>
    </font>
    <font>
      <name val="Calibri"/>
      <color rgb="008A8A8A"/>
      <sz val="10"/>
    </font>
    <font>
      <name val="Calibri"/>
      <color rgb="002B2B2B"/>
      <sz val="10"/>
    </font>
    <font>
      <name val="Calibri"/>
      <b val="1"/>
      <color rgb="005B7F8A"/>
      <sz val="11"/>
    </font>
    <font>
      <name val="Calibri"/>
      <color rgb="005B7F8A"/>
      <sz val="10"/>
    </font>
    <font>
      <name val="Calibri"/>
      <color rgb="008A8A8A"/>
      <sz val="9"/>
    </font>
    <font>
      <name val="Calibri"/>
      <b val="1"/>
      <color rgb="00FFFFFF"/>
      <sz val="14"/>
    </font>
    <font>
      <name val="Calibri"/>
      <b val="1"/>
      <color rgb="005B7F8A"/>
      <sz val="12"/>
    </font>
    <font>
      <name val="Calibri"/>
      <i val="1"/>
      <color rgb="008A8A8A"/>
      <sz val="8"/>
    </font>
    <font>
      <name val="Calibri"/>
      <b val="1"/>
      <color rgb="002B2B2B"/>
      <sz val="10"/>
    </font>
    <font>
      <name val="Calibri"/>
      <color rgb="008A8A8A"/>
      <sz val="8"/>
    </font>
    <font>
      <name val="Calibri"/>
      <b val="1"/>
      <color rgb="002B2B2B"/>
      <sz val="9"/>
    </font>
    <font>
      <name val="Calibri"/>
      <color rgb="002B2B2B"/>
      <sz val="11"/>
    </font>
    <font>
      <name val="Calibri"/>
      <b val="1"/>
      <color rgb="002B2B2B"/>
      <sz val="15"/>
    </font>
    <font>
      <name val="Calibri"/>
      <family val="2"/>
      <i val="1"/>
      <color rgb="008A8A8A"/>
      <sz val="9"/>
      <scheme val="minor"/>
    </font>
    <font>
      <name val="Calibri"/>
      <i val="1"/>
      <color rgb="008A8A8A"/>
      <sz val="8.5"/>
    </font>
    <font>
      <name val="Calibri"/>
      <b val="1"/>
      <color rgb="005B7F8A"/>
      <sz val="9"/>
    </font>
    <font>
      <name val="Calibri"/>
      <b val="1"/>
      <color rgb="009A9A9A"/>
      <sz val="8"/>
    </font>
    <font>
      <name val="Calibri"/>
      <b val="1"/>
      <color rgb="002B2B2B"/>
      <sz val="16"/>
    </font>
    <font>
      <name val="Calibri"/>
      <b val="1"/>
      <color rgb="008A8A8A"/>
      <sz val="9"/>
    </font>
  </fonts>
  <fills count="5">
    <fill>
      <patternFill/>
    </fill>
    <fill>
      <patternFill patternType="gray125"/>
    </fill>
    <fill>
      <patternFill patternType="solid">
        <fgColor rgb="001F1F1F"/>
        <bgColor rgb="001F1F1F"/>
      </patternFill>
    </fill>
    <fill>
      <patternFill patternType="solid">
        <fgColor rgb="00FFF4D6"/>
        <bgColor rgb="00FFF4D6"/>
      </patternFill>
    </fill>
    <fill>
      <patternFill patternType="solid">
        <fgColor rgb="00EEF4F6"/>
        <bgColor rgb="00EEF4F6"/>
      </patternFill>
    </fill>
  </fills>
  <borders count="3">
    <border>
      <left/>
      <right/>
      <top/>
      <bottom/>
      <diagonal/>
    </border>
    <border>
      <bottom style="thin">
        <color rgb="00E3E3E3"/>
      </bottom>
    </border>
    <border>
      <bottom style="thin">
        <color rgb="005B7F8A"/>
      </bottom>
    </border>
  </borders>
  <cellStyleXfs count="1">
    <xf numFmtId="0" fontId="0" fillId="0" borderId="0"/>
  </cellStyleXfs>
  <cellXfs count="54">
    <xf numFmtId="0" fontId="0" fillId="0" borderId="0" pivotButton="0" quotePrefix="0" xfId="0"/>
    <xf numFmtId="0" fontId="0" fillId="2" borderId="0" pivotButton="0" quotePrefix="0" xfId="0"/>
    <xf numFmtId="0" fontId="1" fillId="2" borderId="0" applyAlignment="1" pivotButton="0" quotePrefix="0" xfId="0">
      <alignment horizontal="right" vertical="center"/>
    </xf>
    <xf numFmtId="0" fontId="2" fillId="0" borderId="0" pivotButton="0" quotePrefix="0" xfId="0"/>
    <xf numFmtId="0" fontId="3" fillId="0" borderId="0" pivotButton="0" quotePrefix="0" xfId="0"/>
    <xf numFmtId="0" fontId="4" fillId="0" borderId="0" applyAlignment="1" pivotButton="0" quotePrefix="0" xfId="0">
      <alignment vertical="top"/>
    </xf>
    <xf numFmtId="0" fontId="5" fillId="0" borderId="0" pivotButton="0" quotePrefix="0" xfId="0"/>
    <xf numFmtId="0" fontId="5" fillId="0" borderId="0" applyAlignment="1" pivotButton="0" quotePrefix="0" xfId="0">
      <alignment vertical="top" wrapText="1"/>
    </xf>
    <xf numFmtId="0" fontId="6" fillId="0" borderId="1" pivotButton="0" quotePrefix="0" xfId="0"/>
    <xf numFmtId="0" fontId="0" fillId="0" borderId="1" pivotButton="0" quotePrefix="0" xfId="0"/>
    <xf numFmtId="0" fontId="4" fillId="0" borderId="0" applyAlignment="1" pivotButton="0" quotePrefix="0" xfId="0">
      <alignment vertical="top" wrapText="1"/>
    </xf>
    <xf numFmtId="0" fontId="4" fillId="0" borderId="0" pivotButton="0" quotePrefix="0" xfId="0"/>
    <xf numFmtId="0" fontId="7" fillId="0" borderId="0" pivotButton="0" quotePrefix="0" xfId="0"/>
    <xf numFmtId="0" fontId="8" fillId="0" borderId="0" applyAlignment="1" pivotButton="0" quotePrefix="0" xfId="0">
      <alignment vertical="top" wrapText="1"/>
    </xf>
    <xf numFmtId="0" fontId="9" fillId="2" borderId="0" applyAlignment="1" pivotButton="0" quotePrefix="0" xfId="0">
      <alignment horizontal="right" vertical="center"/>
    </xf>
    <xf numFmtId="0" fontId="1" fillId="2" borderId="0" applyAlignment="1" pivotButton="0" quotePrefix="0" xfId="0">
      <alignment horizontal="right" vertical="top"/>
    </xf>
    <xf numFmtId="0" fontId="8" fillId="0" borderId="0" pivotButton="0" quotePrefix="0" xfId="0"/>
    <xf numFmtId="0" fontId="5" fillId="3" borderId="0" applyProtection="1" pivotButton="0" quotePrefix="0" xfId="0">
      <protection locked="0" hidden="0"/>
    </xf>
    <xf numFmtId="0" fontId="8" fillId="0" borderId="0" applyAlignment="1" pivotButton="0" quotePrefix="0" xfId="0">
      <alignment horizontal="right"/>
    </xf>
    <xf numFmtId="164" fontId="5" fillId="3" borderId="0" applyProtection="1" pivotButton="0" quotePrefix="0" xfId="0">
      <protection locked="0" hidden="0"/>
    </xf>
    <xf numFmtId="0" fontId="10" fillId="0" borderId="2" pivotButton="0" quotePrefix="0" xfId="0"/>
    <xf numFmtId="0" fontId="0" fillId="0" borderId="2" pivotButton="0" quotePrefix="0" xfId="0"/>
    <xf numFmtId="0" fontId="11" fillId="0" borderId="2" applyAlignment="1" pivotButton="0" quotePrefix="0" xfId="0">
      <alignment horizontal="right"/>
    </xf>
    <xf numFmtId="0" fontId="0" fillId="0" borderId="1" applyAlignment="1" pivotButton="0" quotePrefix="0" xfId="0">
      <alignment vertical="center"/>
    </xf>
    <xf numFmtId="0" fontId="5" fillId="0" borderId="1" applyAlignment="1" pivotButton="0" quotePrefix="0" xfId="0">
      <alignment vertical="center"/>
    </xf>
    <xf numFmtId="0" fontId="12" fillId="3" borderId="1" applyAlignment="1" applyProtection="1" pivotButton="0" quotePrefix="0" xfId="0">
      <alignment horizontal="center" vertical="center"/>
      <protection locked="0" hidden="0"/>
    </xf>
    <xf numFmtId="0" fontId="13" fillId="0" borderId="1" applyAlignment="1" pivotButton="0" quotePrefix="0" xfId="0">
      <alignment vertical="center"/>
    </xf>
    <xf numFmtId="0" fontId="0" fillId="0" borderId="1" applyAlignment="1" pivotButton="0" quotePrefix="0" xfId="0">
      <alignment horizontal="center" vertical="center"/>
    </xf>
    <xf numFmtId="0" fontId="8" fillId="0" borderId="1" applyAlignment="1" pivotButton="0" quotePrefix="0" xfId="0">
      <alignment vertical="center"/>
    </xf>
    <xf numFmtId="165" fontId="12" fillId="3" borderId="1" applyAlignment="1" applyProtection="1" pivotButton="0" quotePrefix="0" xfId="0">
      <alignment horizontal="center" vertical="center"/>
      <protection locked="0" hidden="0"/>
    </xf>
    <xf numFmtId="1" fontId="12" fillId="3" borderId="1" applyAlignment="1" applyProtection="1" pivotButton="0" quotePrefix="0" xfId="0">
      <alignment horizontal="center" vertical="center"/>
      <protection locked="0" hidden="0"/>
    </xf>
    <xf numFmtId="2" fontId="12" fillId="3" borderId="1" applyAlignment="1" applyProtection="1" pivotButton="0" quotePrefix="0" xfId="0">
      <alignment horizontal="center" vertical="center"/>
      <protection locked="0" hidden="0"/>
    </xf>
    <xf numFmtId="0" fontId="14" fillId="0" borderId="1" applyAlignment="1" pivotButton="0" quotePrefix="0" xfId="0">
      <alignment horizontal="center" vertical="center"/>
    </xf>
    <xf numFmtId="0" fontId="0" fillId="4" borderId="0" pivotButton="0" quotePrefix="0" xfId="0"/>
    <xf numFmtId="0" fontId="15" fillId="4" borderId="0" applyAlignment="1" pivotButton="0" quotePrefix="0" xfId="0">
      <alignment vertical="center"/>
    </xf>
    <xf numFmtId="2" fontId="16" fillId="4" borderId="0" applyAlignment="1" pivotButton="0" quotePrefix="0" xfId="0">
      <alignment horizontal="center" vertical="center"/>
    </xf>
    <xf numFmtId="0" fontId="4" fillId="4" borderId="0" applyAlignment="1" pivotButton="0" quotePrefix="0" xfId="0">
      <alignment vertical="center"/>
    </xf>
    <xf numFmtId="0" fontId="12" fillId="4" borderId="0" applyAlignment="1" pivotButton="0" quotePrefix="0" xfId="0">
      <alignment horizontal="center" vertical="center"/>
    </xf>
    <xf numFmtId="0" fontId="0" fillId="4" borderId="0" applyAlignment="1" pivotButton="0" quotePrefix="0" xfId="0">
      <alignment horizontal="center" vertical="center"/>
    </xf>
    <xf numFmtId="165" fontId="16" fillId="4" borderId="0" applyAlignment="1" pivotButton="0" quotePrefix="0" xfId="0">
      <alignment horizontal="center" vertical="center"/>
    </xf>
    <xf numFmtId="1" fontId="16" fillId="4" borderId="0" applyAlignment="1" pivotButton="0" quotePrefix="0" xfId="0">
      <alignment horizontal="center" vertical="center"/>
    </xf>
    <xf numFmtId="0" fontId="17" fillId="0" borderId="0" pivotButton="0" quotePrefix="0" xfId="0"/>
    <xf numFmtId="2" fontId="5" fillId="0" borderId="1" applyAlignment="1" pivotButton="0" quotePrefix="0" xfId="0">
      <alignment horizontal="center" vertical="center"/>
    </xf>
    <xf numFmtId="1" fontId="5" fillId="0" borderId="1" applyAlignment="1" pivotButton="0" quotePrefix="0" xfId="0">
      <alignment horizontal="center" vertical="center"/>
    </xf>
    <xf numFmtId="165" fontId="5" fillId="0" borderId="1" applyAlignment="1" pivotButton="0" quotePrefix="0" xfId="0">
      <alignment horizontal="center" vertical="center"/>
    </xf>
    <xf numFmtId="166" fontId="5" fillId="0" borderId="1" applyAlignment="1" pivotButton="0" quotePrefix="0" xfId="0">
      <alignment horizontal="center" vertical="center"/>
    </xf>
    <xf numFmtId="0" fontId="18" fillId="0" borderId="0" applyAlignment="1" pivotButton="0" quotePrefix="0" xfId="0">
      <alignment vertical="top" wrapText="1"/>
    </xf>
    <xf numFmtId="0" fontId="19" fillId="0" borderId="0" pivotButton="0" quotePrefix="0" xfId="0"/>
    <xf numFmtId="0" fontId="20" fillId="0" borderId="0" applyAlignment="1" pivotButton="0" quotePrefix="0" xfId="0">
      <alignment horizontal="center"/>
    </xf>
    <xf numFmtId="0" fontId="21" fillId="0" borderId="0" pivotButton="0" quotePrefix="0" xfId="0"/>
    <xf numFmtId="0" fontId="22" fillId="0" borderId="2" pivotButton="0" quotePrefix="0" xfId="0"/>
    <xf numFmtId="0" fontId="5" fillId="0" borderId="1" pivotButton="0" quotePrefix="0" xfId="0"/>
    <xf numFmtId="0" fontId="8" fillId="0" borderId="1" pivotButton="0" quotePrefix="0" xfId="0"/>
    <xf numFmtId="0" fontId="12" fillId="0" borderId="1" applyAlignment="1" pivotButton="0" quotePrefix="0" xfId="0">
      <alignment horizontal="center"/>
    </xf>
  </cellXfs>
  <cellStyles count="1">
    <cellStyle name="Normal" xfId="0" builtinId="0" hidden="0"/>
  </cellStyles>
  <dxfs count="3">
    <dxf>
      <font>
        <name val="Calibri"/>
        <b val="1"/>
        <color rgb="001E7F4F"/>
      </font>
      <fill>
        <patternFill patternType="solid">
          <fgColor rgb="00E6F4EC"/>
          <bgColor rgb="00E6F4EC"/>
        </patternFill>
      </fill>
    </dxf>
    <dxf>
      <font>
        <name val="Calibri"/>
        <b val="1"/>
        <color rgb="00B3261E"/>
      </font>
      <fill>
        <patternFill patternType="solid">
          <fgColor rgb="00FBE9E7"/>
          <bgColor rgb="00FBE9E7"/>
        </patternFill>
      </fill>
    </dxf>
    <dxf>
      <font>
        <name val="Calibri"/>
        <b val="1"/>
        <color rgb="008A5A00"/>
      </font>
      <fill>
        <patternFill patternType="solid">
          <fgColor rgb="00FFF1D6"/>
          <bgColor rgb="00FFF1D6"/>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styles" Target="styles.xml" Id="rId6"/><Relationship Type="http://schemas.openxmlformats.org/officeDocument/2006/relationships/theme" Target="theme/theme1.xml" Id="rId7"/></Relationships>
</file>

<file path=xl/charts/chart1.xml><?xml version="1.0" encoding="utf-8"?>
<chartSpace xmlns="http://schemas.openxmlformats.org/drawingml/2006/chart">
  <style val="1"/>
  <chart>
    <plotArea>
      <scatterChart>
        <scatterStyle val="lineMarker"/>
        <ser>
          <idx val="0"/>
          <order val="0"/>
          <tx>
            <strRef>
              <f>'Geometry'!$A$2</f>
            </strRef>
          </tx>
          <spPr>
            <a:ln xmlns:a="http://schemas.openxmlformats.org/drawingml/2006/main">
              <a:noFill/>
              <a:prstDash val="solid"/>
            </a:ln>
          </spPr>
          <marker>
            <symbol val="none"/>
            <spPr>
              <a:ln xmlns:a="http://schemas.openxmlformats.org/drawingml/2006/main">
                <a:prstDash val="solid"/>
              </a:ln>
            </spPr>
          </marker>
          <dLbls>
            <spPr>
              <a:solidFill xmlns:a="http://schemas.openxmlformats.org/drawingml/2006/main">
                <a:srgbClr val="FFFFFF"/>
              </a:solidFill>
              <a:ln xmlns:a="http://schemas.openxmlformats.org/drawingml/2006/main">
                <a:prstDash val="solid"/>
              </a:ln>
            </spPr>
            <txPr>
              <a:bodyPr xmlns:a="http://schemas.openxmlformats.org/drawingml/2006/main"/>
              <a:p xmlns:a="http://schemas.openxmlformats.org/drawingml/2006/main">
                <a:pPr>
                  <a:defRPr sz="900">
                    <a:solidFill>
                      <a:srgbClr val="B3261E"/>
                    </a:solidFill>
                  </a:defRPr>
                </a:pPr>
                <a:r>
                  <a:t/>
                </a:r>
                <a:endParaRPr sz="900">
                  <a:solidFill>
                    <a:srgbClr val="B3261E"/>
                  </a:solidFill>
                </a:endParaRPr>
              </a:p>
            </txPr>
            <dLblPos val="r"/>
            <showLegendKey val="0"/>
            <showVal val="0"/>
            <showCatName val="0"/>
            <showSerName val="1"/>
            <showPercent val="0"/>
          </dLbls>
          <xVal>
            <numRef>
              <f>'Geometry'!$A$3</f>
            </numRef>
          </xVal>
          <yVal>
            <numRef>
              <f>'Geometry'!$B$3</f>
            </numRef>
          </yVal>
          <smooth val="0"/>
        </ser>
        <ser>
          <idx val="1"/>
          <order val="1"/>
          <tx>
            <v>section</v>
          </tx>
          <spPr>
            <a:ln xmlns:a="http://schemas.openxmlformats.org/drawingml/2006/main" w="25400">
              <a:solidFill>
                <a:srgbClr val="2B2B2B"/>
              </a:solidFill>
              <a:prstDash val="solid"/>
            </a:ln>
          </spPr>
          <marker>
            <symbol val="none"/>
            <spPr>
              <a:ln xmlns:a="http://schemas.openxmlformats.org/drawingml/2006/main">
                <a:prstDash val="solid"/>
              </a:ln>
            </spPr>
          </marker>
          <xVal>
            <numRef>
              <f>'Geometry'!$D$3:$D$11</f>
            </numRef>
          </xVal>
          <yVal>
            <numRef>
              <f>'Geometry'!$E$3:$E$11</f>
            </numRef>
          </yVal>
          <smooth val="0"/>
        </ser>
        <ser>
          <idx val="2"/>
          <order val="2"/>
          <tx>
            <v>link</v>
          </tx>
          <spPr>
            <a:ln xmlns:a="http://schemas.openxmlformats.org/drawingml/2006/main" w="15875">
              <a:solidFill>
                <a:srgbClr val="5B7F8A"/>
              </a:solidFill>
              <a:prstDash val="solid"/>
            </a:ln>
          </spPr>
          <marker>
            <symbol val="none"/>
            <spPr>
              <a:ln xmlns:a="http://schemas.openxmlformats.org/drawingml/2006/main">
                <a:prstDash val="solid"/>
              </a:ln>
            </spPr>
          </marker>
          <xVal>
            <numRef>
              <f>'Geometry'!$G$3:$G$7</f>
            </numRef>
          </xVal>
          <yVal>
            <numRef>
              <f>'Geometry'!$H$3:$H$7</f>
            </numRef>
          </yVal>
          <smooth val="0"/>
        </ser>
        <ser>
          <idx val="3"/>
          <order val="3"/>
          <tx>
            <v>bar top 0</v>
          </tx>
          <spPr>
            <a:ln xmlns:a="http://schemas.openxmlformats.org/drawingml/2006/main" w="25400">
              <a:solidFill>
                <a:srgbClr val="2B2B2B"/>
              </a:solidFill>
              <a:prstDash val="solid"/>
            </a:ln>
          </spPr>
          <marker>
            <symbol val="none"/>
            <spPr>
              <a:ln xmlns:a="http://schemas.openxmlformats.org/drawingml/2006/main">
                <a:prstDash val="solid"/>
              </a:ln>
            </spPr>
          </marker>
          <xVal>
            <numRef>
              <f>'Geometry'!$J$3:$J$15</f>
            </numRef>
          </xVal>
          <yVal>
            <numRef>
              <f>'Geometry'!$K$3:$K$15</f>
            </numRef>
          </yVal>
          <smooth val="0"/>
        </ser>
        <ser>
          <idx val="4"/>
          <order val="4"/>
          <tx>
            <v>bar top 1</v>
          </tx>
          <spPr>
            <a:ln xmlns:a="http://schemas.openxmlformats.org/drawingml/2006/main" w="25400">
              <a:solidFill>
                <a:srgbClr val="2B2B2B"/>
              </a:solidFill>
              <a:prstDash val="solid"/>
            </a:ln>
          </spPr>
          <marker>
            <symbol val="none"/>
            <spPr>
              <a:ln xmlns:a="http://schemas.openxmlformats.org/drawingml/2006/main">
                <a:prstDash val="solid"/>
              </a:ln>
            </spPr>
          </marker>
          <xVal>
            <numRef>
              <f>'Geometry'!$M$3:$M$15</f>
            </numRef>
          </xVal>
          <yVal>
            <numRef>
              <f>'Geometry'!$N$3:$N$15</f>
            </numRef>
          </yVal>
          <smooth val="0"/>
        </ser>
        <ser>
          <idx val="5"/>
          <order val="5"/>
          <tx>
            <v>bar top 2</v>
          </tx>
          <spPr>
            <a:ln xmlns:a="http://schemas.openxmlformats.org/drawingml/2006/main" w="25400">
              <a:solidFill>
                <a:srgbClr val="2B2B2B"/>
              </a:solidFill>
              <a:prstDash val="solid"/>
            </a:ln>
          </spPr>
          <marker>
            <symbol val="none"/>
            <spPr>
              <a:ln xmlns:a="http://schemas.openxmlformats.org/drawingml/2006/main">
                <a:prstDash val="solid"/>
              </a:ln>
            </spPr>
          </marker>
          <xVal>
            <numRef>
              <f>'Geometry'!$P$3:$P$15</f>
            </numRef>
          </xVal>
          <yVal>
            <numRef>
              <f>'Geometry'!$Q$3:$Q$15</f>
            </numRef>
          </yVal>
          <smooth val="0"/>
        </ser>
        <ser>
          <idx val="6"/>
          <order val="6"/>
          <tx>
            <v>bar top 3</v>
          </tx>
          <spPr>
            <a:ln xmlns:a="http://schemas.openxmlformats.org/drawingml/2006/main" w="25400">
              <a:solidFill>
                <a:srgbClr val="2B2B2B"/>
              </a:solidFill>
              <a:prstDash val="solid"/>
            </a:ln>
          </spPr>
          <marker>
            <symbol val="none"/>
            <spPr>
              <a:ln xmlns:a="http://schemas.openxmlformats.org/drawingml/2006/main">
                <a:prstDash val="solid"/>
              </a:ln>
            </spPr>
          </marker>
          <xVal>
            <numRef>
              <f>'Geometry'!$S$3:$S$15</f>
            </numRef>
          </xVal>
          <yVal>
            <numRef>
              <f>'Geometry'!$T$3:$T$15</f>
            </numRef>
          </yVal>
          <smooth val="0"/>
        </ser>
        <ser>
          <idx val="7"/>
          <order val="7"/>
          <tx>
            <v>bar top 4</v>
          </tx>
          <spPr>
            <a:ln xmlns:a="http://schemas.openxmlformats.org/drawingml/2006/main" w="25400">
              <a:solidFill>
                <a:srgbClr val="2B2B2B"/>
              </a:solidFill>
              <a:prstDash val="solid"/>
            </a:ln>
          </spPr>
          <marker>
            <symbol val="none"/>
            <spPr>
              <a:ln xmlns:a="http://schemas.openxmlformats.org/drawingml/2006/main">
                <a:prstDash val="solid"/>
              </a:ln>
            </spPr>
          </marker>
          <xVal>
            <numRef>
              <f>'Geometry'!$V$3:$V$15</f>
            </numRef>
          </xVal>
          <yVal>
            <numRef>
              <f>'Geometry'!$W$3:$W$15</f>
            </numRef>
          </yVal>
          <smooth val="0"/>
        </ser>
        <ser>
          <idx val="8"/>
          <order val="8"/>
          <tx>
            <v>bar top 5</v>
          </tx>
          <spPr>
            <a:ln xmlns:a="http://schemas.openxmlformats.org/drawingml/2006/main" w="25400">
              <a:solidFill>
                <a:srgbClr val="2B2B2B"/>
              </a:solidFill>
              <a:prstDash val="solid"/>
            </a:ln>
          </spPr>
          <marker>
            <symbol val="none"/>
            <spPr>
              <a:ln xmlns:a="http://schemas.openxmlformats.org/drawingml/2006/main">
                <a:prstDash val="solid"/>
              </a:ln>
            </spPr>
          </marker>
          <xVal>
            <numRef>
              <f>'Geometry'!$Y$3:$Y$15</f>
            </numRef>
          </xVal>
          <yVal>
            <numRef>
              <f>'Geometry'!$Z$3:$Z$15</f>
            </numRef>
          </yVal>
          <smooth val="0"/>
        </ser>
        <ser>
          <idx val="9"/>
          <order val="9"/>
          <tx>
            <v>bar top 6</v>
          </tx>
          <spPr>
            <a:ln xmlns:a="http://schemas.openxmlformats.org/drawingml/2006/main" w="25400">
              <a:solidFill>
                <a:srgbClr val="2B2B2B"/>
              </a:solidFill>
              <a:prstDash val="solid"/>
            </a:ln>
          </spPr>
          <marker>
            <symbol val="none"/>
            <spPr>
              <a:ln xmlns:a="http://schemas.openxmlformats.org/drawingml/2006/main">
                <a:prstDash val="solid"/>
              </a:ln>
            </spPr>
          </marker>
          <xVal>
            <numRef>
              <f>'Geometry'!$AB$3:$AB$15</f>
            </numRef>
          </xVal>
          <yVal>
            <numRef>
              <f>'Geometry'!$AC$3:$AC$15</f>
            </numRef>
          </yVal>
          <smooth val="0"/>
        </ser>
        <ser>
          <idx val="10"/>
          <order val="10"/>
          <tx>
            <v>bar top 7</v>
          </tx>
          <spPr>
            <a:ln xmlns:a="http://schemas.openxmlformats.org/drawingml/2006/main" w="25400">
              <a:solidFill>
                <a:srgbClr val="2B2B2B"/>
              </a:solidFill>
              <a:prstDash val="solid"/>
            </a:ln>
          </spPr>
          <marker>
            <symbol val="none"/>
            <spPr>
              <a:ln xmlns:a="http://schemas.openxmlformats.org/drawingml/2006/main">
                <a:prstDash val="solid"/>
              </a:ln>
            </spPr>
          </marker>
          <xVal>
            <numRef>
              <f>'Geometry'!$AE$3:$AE$15</f>
            </numRef>
          </xVal>
          <yVal>
            <numRef>
              <f>'Geometry'!$AF$3:$AF$15</f>
            </numRef>
          </yVal>
          <smooth val="0"/>
        </ser>
        <ser>
          <idx val="11"/>
          <order val="11"/>
          <tx>
            <v>bar top 8</v>
          </tx>
          <spPr>
            <a:ln xmlns:a="http://schemas.openxmlformats.org/drawingml/2006/main" w="25400">
              <a:solidFill>
                <a:srgbClr val="2B2B2B"/>
              </a:solidFill>
              <a:prstDash val="solid"/>
            </a:ln>
          </spPr>
          <marker>
            <symbol val="none"/>
            <spPr>
              <a:ln xmlns:a="http://schemas.openxmlformats.org/drawingml/2006/main">
                <a:prstDash val="solid"/>
              </a:ln>
            </spPr>
          </marker>
          <xVal>
            <numRef>
              <f>'Geometry'!$AH$3:$AH$15</f>
            </numRef>
          </xVal>
          <yVal>
            <numRef>
              <f>'Geometry'!$AI$3:$AI$15</f>
            </numRef>
          </yVal>
          <smooth val="0"/>
        </ser>
        <ser>
          <idx val="12"/>
          <order val="12"/>
          <tx>
            <v>bar top 9</v>
          </tx>
          <spPr>
            <a:ln xmlns:a="http://schemas.openxmlformats.org/drawingml/2006/main" w="25400">
              <a:solidFill>
                <a:srgbClr val="2B2B2B"/>
              </a:solidFill>
              <a:prstDash val="solid"/>
            </a:ln>
          </spPr>
          <marker>
            <symbol val="none"/>
            <spPr>
              <a:ln xmlns:a="http://schemas.openxmlformats.org/drawingml/2006/main">
                <a:prstDash val="solid"/>
              </a:ln>
            </spPr>
          </marker>
          <xVal>
            <numRef>
              <f>'Geometry'!$AK$3:$AK$15</f>
            </numRef>
          </xVal>
          <yVal>
            <numRef>
              <f>'Geometry'!$AL$3:$AL$15</f>
            </numRef>
          </yVal>
          <smooth val="0"/>
        </ser>
        <ser>
          <idx val="13"/>
          <order val="13"/>
          <tx>
            <v>bar top 10</v>
          </tx>
          <spPr>
            <a:ln xmlns:a="http://schemas.openxmlformats.org/drawingml/2006/main" w="25400">
              <a:solidFill>
                <a:srgbClr val="2B2B2B"/>
              </a:solidFill>
              <a:prstDash val="solid"/>
            </a:ln>
          </spPr>
          <marker>
            <symbol val="none"/>
            <spPr>
              <a:ln xmlns:a="http://schemas.openxmlformats.org/drawingml/2006/main">
                <a:prstDash val="solid"/>
              </a:ln>
            </spPr>
          </marker>
          <xVal>
            <numRef>
              <f>'Geometry'!$AN$3:$AN$15</f>
            </numRef>
          </xVal>
          <yVal>
            <numRef>
              <f>'Geometry'!$AO$3:$AO$15</f>
            </numRef>
          </yVal>
          <smooth val="0"/>
        </ser>
        <ser>
          <idx val="14"/>
          <order val="14"/>
          <tx>
            <v>bar top 11</v>
          </tx>
          <spPr>
            <a:ln xmlns:a="http://schemas.openxmlformats.org/drawingml/2006/main" w="25400">
              <a:solidFill>
                <a:srgbClr val="2B2B2B"/>
              </a:solidFill>
              <a:prstDash val="solid"/>
            </a:ln>
          </spPr>
          <marker>
            <symbol val="none"/>
            <spPr>
              <a:ln xmlns:a="http://schemas.openxmlformats.org/drawingml/2006/main">
                <a:prstDash val="solid"/>
              </a:ln>
            </spPr>
          </marker>
          <xVal>
            <numRef>
              <f>'Geometry'!$AQ$3:$AQ$15</f>
            </numRef>
          </xVal>
          <yVal>
            <numRef>
              <f>'Geometry'!$AR$3:$AR$15</f>
            </numRef>
          </yVal>
          <smooth val="0"/>
        </ser>
        <ser>
          <idx val="15"/>
          <order val="15"/>
          <tx>
            <v>bar bottom 0</v>
          </tx>
          <spPr>
            <a:ln xmlns:a="http://schemas.openxmlformats.org/drawingml/2006/main" w="25400">
              <a:solidFill>
                <a:srgbClr val="2B2B2B"/>
              </a:solidFill>
              <a:prstDash val="solid"/>
            </a:ln>
          </spPr>
          <marker>
            <symbol val="none"/>
            <spPr>
              <a:ln xmlns:a="http://schemas.openxmlformats.org/drawingml/2006/main">
                <a:prstDash val="solid"/>
              </a:ln>
            </spPr>
          </marker>
          <xVal>
            <numRef>
              <f>'Geometry'!$AT$3:$AT$15</f>
            </numRef>
          </xVal>
          <yVal>
            <numRef>
              <f>'Geometry'!$AU$3:$AU$15</f>
            </numRef>
          </yVal>
          <smooth val="0"/>
        </ser>
        <ser>
          <idx val="16"/>
          <order val="16"/>
          <tx>
            <v>bar bottom 1</v>
          </tx>
          <spPr>
            <a:ln xmlns:a="http://schemas.openxmlformats.org/drawingml/2006/main" w="25400">
              <a:solidFill>
                <a:srgbClr val="2B2B2B"/>
              </a:solidFill>
              <a:prstDash val="solid"/>
            </a:ln>
          </spPr>
          <marker>
            <symbol val="none"/>
            <spPr>
              <a:ln xmlns:a="http://schemas.openxmlformats.org/drawingml/2006/main">
                <a:prstDash val="solid"/>
              </a:ln>
            </spPr>
          </marker>
          <xVal>
            <numRef>
              <f>'Geometry'!$AW$3:$AW$15</f>
            </numRef>
          </xVal>
          <yVal>
            <numRef>
              <f>'Geometry'!$AX$3:$AX$15</f>
            </numRef>
          </yVal>
          <smooth val="0"/>
        </ser>
        <ser>
          <idx val="17"/>
          <order val="17"/>
          <tx>
            <v>bar bottom 2</v>
          </tx>
          <spPr>
            <a:ln xmlns:a="http://schemas.openxmlformats.org/drawingml/2006/main" w="25400">
              <a:solidFill>
                <a:srgbClr val="2B2B2B"/>
              </a:solidFill>
              <a:prstDash val="solid"/>
            </a:ln>
          </spPr>
          <marker>
            <symbol val="none"/>
            <spPr>
              <a:ln xmlns:a="http://schemas.openxmlformats.org/drawingml/2006/main">
                <a:prstDash val="solid"/>
              </a:ln>
            </spPr>
          </marker>
          <xVal>
            <numRef>
              <f>'Geometry'!$AZ$3:$AZ$15</f>
            </numRef>
          </xVal>
          <yVal>
            <numRef>
              <f>'Geometry'!$BA$3:$BA$15</f>
            </numRef>
          </yVal>
          <smooth val="0"/>
        </ser>
        <ser>
          <idx val="18"/>
          <order val="18"/>
          <tx>
            <v>bar bottom 3</v>
          </tx>
          <spPr>
            <a:ln xmlns:a="http://schemas.openxmlformats.org/drawingml/2006/main" w="25400">
              <a:solidFill>
                <a:srgbClr val="2B2B2B"/>
              </a:solidFill>
              <a:prstDash val="solid"/>
            </a:ln>
          </spPr>
          <marker>
            <symbol val="none"/>
            <spPr>
              <a:ln xmlns:a="http://schemas.openxmlformats.org/drawingml/2006/main">
                <a:prstDash val="solid"/>
              </a:ln>
            </spPr>
          </marker>
          <xVal>
            <numRef>
              <f>'Geometry'!$BC$3:$BC$15</f>
            </numRef>
          </xVal>
          <yVal>
            <numRef>
              <f>'Geometry'!$BD$3:$BD$15</f>
            </numRef>
          </yVal>
          <smooth val="0"/>
        </ser>
        <ser>
          <idx val="19"/>
          <order val="19"/>
          <tx>
            <v>bar bottom 4</v>
          </tx>
          <spPr>
            <a:ln xmlns:a="http://schemas.openxmlformats.org/drawingml/2006/main" w="25400">
              <a:solidFill>
                <a:srgbClr val="2B2B2B"/>
              </a:solidFill>
              <a:prstDash val="solid"/>
            </a:ln>
          </spPr>
          <marker>
            <symbol val="none"/>
            <spPr>
              <a:ln xmlns:a="http://schemas.openxmlformats.org/drawingml/2006/main">
                <a:prstDash val="solid"/>
              </a:ln>
            </spPr>
          </marker>
          <xVal>
            <numRef>
              <f>'Geometry'!$BF$3:$BF$15</f>
            </numRef>
          </xVal>
          <yVal>
            <numRef>
              <f>'Geometry'!$BG$3:$BG$15</f>
            </numRef>
          </yVal>
          <smooth val="0"/>
        </ser>
        <ser>
          <idx val="20"/>
          <order val="20"/>
          <tx>
            <v>bar bottom 5</v>
          </tx>
          <spPr>
            <a:ln xmlns:a="http://schemas.openxmlformats.org/drawingml/2006/main" w="25400">
              <a:solidFill>
                <a:srgbClr val="2B2B2B"/>
              </a:solidFill>
              <a:prstDash val="solid"/>
            </a:ln>
          </spPr>
          <marker>
            <symbol val="none"/>
            <spPr>
              <a:ln xmlns:a="http://schemas.openxmlformats.org/drawingml/2006/main">
                <a:prstDash val="solid"/>
              </a:ln>
            </spPr>
          </marker>
          <xVal>
            <numRef>
              <f>'Geometry'!$BI$3:$BI$15</f>
            </numRef>
          </xVal>
          <yVal>
            <numRef>
              <f>'Geometry'!$BJ$3:$BJ$15</f>
            </numRef>
          </yVal>
          <smooth val="0"/>
        </ser>
        <ser>
          <idx val="21"/>
          <order val="21"/>
          <tx>
            <v>bar bottom 6</v>
          </tx>
          <spPr>
            <a:ln xmlns:a="http://schemas.openxmlformats.org/drawingml/2006/main" w="25400">
              <a:solidFill>
                <a:srgbClr val="2B2B2B"/>
              </a:solidFill>
              <a:prstDash val="solid"/>
            </a:ln>
          </spPr>
          <marker>
            <symbol val="none"/>
            <spPr>
              <a:ln xmlns:a="http://schemas.openxmlformats.org/drawingml/2006/main">
                <a:prstDash val="solid"/>
              </a:ln>
            </spPr>
          </marker>
          <xVal>
            <numRef>
              <f>'Geometry'!$BL$3:$BL$15</f>
            </numRef>
          </xVal>
          <yVal>
            <numRef>
              <f>'Geometry'!$BM$3:$BM$15</f>
            </numRef>
          </yVal>
          <smooth val="0"/>
        </ser>
        <ser>
          <idx val="22"/>
          <order val="22"/>
          <tx>
            <v>bar bottom 7</v>
          </tx>
          <spPr>
            <a:ln xmlns:a="http://schemas.openxmlformats.org/drawingml/2006/main" w="25400">
              <a:solidFill>
                <a:srgbClr val="2B2B2B"/>
              </a:solidFill>
              <a:prstDash val="solid"/>
            </a:ln>
          </spPr>
          <marker>
            <symbol val="none"/>
            <spPr>
              <a:ln xmlns:a="http://schemas.openxmlformats.org/drawingml/2006/main">
                <a:prstDash val="solid"/>
              </a:ln>
            </spPr>
          </marker>
          <xVal>
            <numRef>
              <f>'Geometry'!$BO$3:$BO$15</f>
            </numRef>
          </xVal>
          <yVal>
            <numRef>
              <f>'Geometry'!$BP$3:$BP$15</f>
            </numRef>
          </yVal>
          <smooth val="0"/>
        </ser>
        <ser>
          <idx val="23"/>
          <order val="23"/>
          <tx>
            <v>bar bottom 8</v>
          </tx>
          <spPr>
            <a:ln xmlns:a="http://schemas.openxmlformats.org/drawingml/2006/main" w="25400">
              <a:solidFill>
                <a:srgbClr val="2B2B2B"/>
              </a:solidFill>
              <a:prstDash val="solid"/>
            </a:ln>
          </spPr>
          <marker>
            <symbol val="none"/>
            <spPr>
              <a:ln xmlns:a="http://schemas.openxmlformats.org/drawingml/2006/main">
                <a:prstDash val="solid"/>
              </a:ln>
            </spPr>
          </marker>
          <xVal>
            <numRef>
              <f>'Geometry'!$BR$3:$BR$15</f>
            </numRef>
          </xVal>
          <yVal>
            <numRef>
              <f>'Geometry'!$BS$3:$BS$15</f>
            </numRef>
          </yVal>
          <smooth val="0"/>
        </ser>
        <ser>
          <idx val="24"/>
          <order val="24"/>
          <tx>
            <v>bar bottom 9</v>
          </tx>
          <spPr>
            <a:ln xmlns:a="http://schemas.openxmlformats.org/drawingml/2006/main" w="25400">
              <a:solidFill>
                <a:srgbClr val="2B2B2B"/>
              </a:solidFill>
              <a:prstDash val="solid"/>
            </a:ln>
          </spPr>
          <marker>
            <symbol val="none"/>
            <spPr>
              <a:ln xmlns:a="http://schemas.openxmlformats.org/drawingml/2006/main">
                <a:prstDash val="solid"/>
              </a:ln>
            </spPr>
          </marker>
          <xVal>
            <numRef>
              <f>'Geometry'!$BU$3:$BU$15</f>
            </numRef>
          </xVal>
          <yVal>
            <numRef>
              <f>'Geometry'!$BV$3:$BV$15</f>
            </numRef>
          </yVal>
          <smooth val="0"/>
        </ser>
        <ser>
          <idx val="25"/>
          <order val="25"/>
          <tx>
            <v>bar bottom 10</v>
          </tx>
          <spPr>
            <a:ln xmlns:a="http://schemas.openxmlformats.org/drawingml/2006/main" w="25400">
              <a:solidFill>
                <a:srgbClr val="2B2B2B"/>
              </a:solidFill>
              <a:prstDash val="solid"/>
            </a:ln>
          </spPr>
          <marker>
            <symbol val="none"/>
            <spPr>
              <a:ln xmlns:a="http://schemas.openxmlformats.org/drawingml/2006/main">
                <a:prstDash val="solid"/>
              </a:ln>
            </spPr>
          </marker>
          <xVal>
            <numRef>
              <f>'Geometry'!$BX$3:$BX$15</f>
            </numRef>
          </xVal>
          <yVal>
            <numRef>
              <f>'Geometry'!$BY$3:$BY$15</f>
            </numRef>
          </yVal>
          <smooth val="0"/>
        </ser>
        <ser>
          <idx val="26"/>
          <order val="26"/>
          <tx>
            <v>bar bottom 11</v>
          </tx>
          <spPr>
            <a:ln xmlns:a="http://schemas.openxmlformats.org/drawingml/2006/main" w="25400">
              <a:solidFill>
                <a:srgbClr val="2B2B2B"/>
              </a:solidFill>
              <a:prstDash val="solid"/>
            </a:ln>
          </spPr>
          <marker>
            <symbol val="none"/>
            <spPr>
              <a:ln xmlns:a="http://schemas.openxmlformats.org/drawingml/2006/main">
                <a:prstDash val="solid"/>
              </a:ln>
            </spPr>
          </marker>
          <xVal>
            <numRef>
              <f>'Geometry'!$CA$3:$CA$15</f>
            </numRef>
          </xVal>
          <yVal>
            <numRef>
              <f>'Geometry'!$CB$3:$CB$15</f>
            </numRef>
          </yVal>
          <smooth val="0"/>
        </ser>
        <ser>
          <idx val="27"/>
          <order val="27"/>
          <tx>
            <v>neutral axis</v>
          </tx>
          <spPr>
            <a:ln xmlns:a="http://schemas.openxmlformats.org/drawingml/2006/main" w="12700">
              <a:solidFill>
                <a:srgbClr val="5B7F8A"/>
              </a:solidFill>
              <a:prstDash val="dash"/>
            </a:ln>
          </spPr>
          <marker>
            <symbol val="none"/>
            <spPr>
              <a:ln xmlns:a="http://schemas.openxmlformats.org/drawingml/2006/main">
                <a:prstDash val="solid"/>
              </a:ln>
            </spPr>
          </marker>
          <xVal>
            <numRef>
              <f>'Geometry'!$CD$3:$CD$4</f>
            </numRef>
          </xVal>
          <yVal>
            <numRef>
              <f>'Geometry'!$CE$3:$CE$4</f>
            </numRef>
          </yVal>
          <smooth val="0"/>
        </ser>
        <ser>
          <idx val="28"/>
          <order val="28"/>
          <tx>
            <v>concrete stress</v>
          </tx>
          <spPr>
            <a:ln xmlns:a="http://schemas.openxmlformats.org/drawingml/2006/main" w="22225">
              <a:solidFill>
                <a:srgbClr val="2B2B2B"/>
              </a:solidFill>
              <a:prstDash val="solid"/>
            </a:ln>
          </spPr>
          <marker>
            <symbol val="none"/>
            <spPr>
              <a:ln xmlns:a="http://schemas.openxmlformats.org/drawingml/2006/main">
                <a:prstDash val="solid"/>
              </a:ln>
            </spPr>
          </marker>
          <xVal>
            <numRef>
              <f>'Geometry'!$CG$3:$CG$7</f>
            </numRef>
          </xVal>
          <yVal>
            <numRef>
              <f>'Geometry'!$CH$3:$CH$7</f>
            </numRef>
          </yVal>
          <smooth val="0"/>
        </ser>
        <ser>
          <idx val="29"/>
          <order val="29"/>
          <tx>
            <v>strain line</v>
          </tx>
          <spPr>
            <a:ln xmlns:a="http://schemas.openxmlformats.org/drawingml/2006/main" w="12700">
              <a:solidFill>
                <a:srgbClr val="9A9A9A"/>
              </a:solidFill>
              <a:prstDash val="dash"/>
            </a:ln>
          </spPr>
          <marker>
            <symbol val="none"/>
            <spPr>
              <a:ln xmlns:a="http://schemas.openxmlformats.org/drawingml/2006/main">
                <a:prstDash val="solid"/>
              </a:ln>
            </spPr>
          </marker>
          <xVal>
            <numRef>
              <f>'Geometry'!$CJ$3:$CJ$4</f>
            </numRef>
          </xVal>
          <yVal>
            <numRef>
              <f>'Geometry'!$CK$3:$CK$4</f>
            </numRef>
          </yVal>
          <smooth val="0"/>
        </ser>
        <ser>
          <idx val="30"/>
          <order val="30"/>
          <tx>
            <v>zero line</v>
          </tx>
          <spPr>
            <a:ln xmlns:a="http://schemas.openxmlformats.org/drawingml/2006/main" w="9525">
              <a:solidFill>
                <a:srgbClr val="9A9A9A"/>
              </a:solidFill>
              <a:prstDash val="solid"/>
            </a:ln>
          </spPr>
          <marker>
            <symbol val="none"/>
            <spPr>
              <a:ln xmlns:a="http://schemas.openxmlformats.org/drawingml/2006/main">
                <a:prstDash val="solid"/>
              </a:ln>
            </spPr>
          </marker>
          <xVal>
            <numRef>
              <f>'Geometry'!$CM$3:$CM$4</f>
            </numRef>
          </xVal>
          <yVal>
            <numRef>
              <f>'Geometry'!$CN$3:$CN$4</f>
            </numRef>
          </yVal>
          <smooth val="0"/>
        </ser>
        <ser>
          <idx val="31"/>
          <order val="31"/>
          <tx>
            <v>compression bars</v>
          </tx>
          <spPr>
            <a:ln xmlns:a="http://schemas.openxmlformats.org/drawingml/2006/main" w="31750">
              <a:solidFill>
                <a:srgbClr val="B3261E"/>
              </a:solidFill>
              <a:prstDash val="solid"/>
            </a:ln>
          </spPr>
          <marker>
            <symbol val="none"/>
            <spPr>
              <a:ln xmlns:a="http://schemas.openxmlformats.org/drawingml/2006/main">
                <a:prstDash val="solid"/>
              </a:ln>
            </spPr>
          </marker>
          <xVal>
            <numRef>
              <f>'Geometry'!$CP$3:$CP$4</f>
            </numRef>
          </xVal>
          <yVal>
            <numRef>
              <f>'Geometry'!$CQ$3:$CQ$4</f>
            </numRef>
          </yVal>
          <smooth val="0"/>
        </ser>
        <ser>
          <idx val="32"/>
          <order val="32"/>
          <tx>
            <v>tension bars</v>
          </tx>
          <spPr>
            <a:ln xmlns:a="http://schemas.openxmlformats.org/drawingml/2006/main" w="31750">
              <a:solidFill>
                <a:srgbClr val="B3261E"/>
              </a:solidFill>
              <a:prstDash val="solid"/>
            </a:ln>
          </spPr>
          <marker>
            <symbol val="none"/>
            <spPr>
              <a:ln xmlns:a="http://schemas.openxmlformats.org/drawingml/2006/main">
                <a:prstDash val="solid"/>
              </a:ln>
            </spPr>
          </marker>
          <xVal>
            <numRef>
              <f>'Geometry'!$CS$3:$CS$4</f>
            </numRef>
          </xVal>
          <yVal>
            <numRef>
              <f>'Geometry'!$CT$3:$CT$4</f>
            </numRef>
          </yVal>
          <smooth val="0"/>
        </ser>
        <ser>
          <idx val="33"/>
          <order val="33"/>
          <tx>
            <strRef>
              <f>'Geometry'!$CV$2</f>
            </strRef>
          </tx>
          <spPr>
            <a:ln xmlns:a="http://schemas.openxmlformats.org/drawingml/2006/main">
              <a:noFill/>
              <a:prstDash val="solid"/>
            </a:ln>
          </spPr>
          <marker>
            <symbol val="none"/>
            <spPr>
              <a:ln xmlns:a="http://schemas.openxmlformats.org/drawingml/2006/main">
                <a:prstDash val="solid"/>
              </a:ln>
            </spPr>
          </marker>
          <dLbls>
            <spPr>
              <a:solidFill xmlns:a="http://schemas.openxmlformats.org/drawingml/2006/main">
                <a:srgbClr val="FFFFFF"/>
              </a:solidFill>
              <a:ln xmlns:a="http://schemas.openxmlformats.org/drawingml/2006/main">
                <a:prstDash val="solid"/>
              </a:ln>
            </spPr>
            <txPr>
              <a:bodyPr xmlns:a="http://schemas.openxmlformats.org/drawingml/2006/main"/>
              <a:p xmlns:a="http://schemas.openxmlformats.org/drawingml/2006/main">
                <a:pPr>
                  <a:defRPr sz="800">
                    <a:solidFill>
                      <a:srgbClr val="B3261E"/>
                    </a:solidFill>
                  </a:defRPr>
                </a:pPr>
                <a:r>
                  <a:t/>
                </a:r>
                <a:endParaRPr sz="800">
                  <a:solidFill>
                    <a:srgbClr val="B3261E"/>
                  </a:solidFill>
                </a:endParaRPr>
              </a:p>
            </txPr>
            <dLblPos val="r"/>
            <showLegendKey val="0"/>
            <showVal val="0"/>
            <showCatName val="0"/>
            <showSerName val="1"/>
            <showPercent val="0"/>
          </dLbls>
          <xVal>
            <numRef>
              <f>'Geometry'!$CV$3</f>
            </numRef>
          </xVal>
          <yVal>
            <numRef>
              <f>'Geometry'!$CW$3</f>
            </numRef>
          </yVal>
          <smooth val="0"/>
        </ser>
        <ser>
          <idx val="34"/>
          <order val="34"/>
          <tx>
            <strRef>
              <f>'Geometry'!$CY$2</f>
            </strRef>
          </tx>
          <spPr>
            <a:ln xmlns:a="http://schemas.openxmlformats.org/drawingml/2006/main">
              <a:noFill/>
              <a:prstDash val="solid"/>
            </a:ln>
          </spPr>
          <marker>
            <symbol val="none"/>
            <spPr>
              <a:ln xmlns:a="http://schemas.openxmlformats.org/drawingml/2006/main">
                <a:prstDash val="solid"/>
              </a:ln>
            </spPr>
          </marker>
          <dLbls>
            <spPr>
              <a:solidFill xmlns:a="http://schemas.openxmlformats.org/drawingml/2006/main">
                <a:srgbClr val="FFFFFF"/>
              </a:solidFill>
              <a:ln xmlns:a="http://schemas.openxmlformats.org/drawingml/2006/main">
                <a:prstDash val="solid"/>
              </a:ln>
            </spPr>
            <txPr>
              <a:bodyPr xmlns:a="http://schemas.openxmlformats.org/drawingml/2006/main"/>
              <a:p xmlns:a="http://schemas.openxmlformats.org/drawingml/2006/main">
                <a:pPr>
                  <a:defRPr sz="800">
                    <a:solidFill>
                      <a:srgbClr val="B3261E"/>
                    </a:solidFill>
                  </a:defRPr>
                </a:pPr>
                <a:r>
                  <a:t/>
                </a:r>
                <a:endParaRPr sz="800">
                  <a:solidFill>
                    <a:srgbClr val="B3261E"/>
                  </a:solidFill>
                </a:endParaRPr>
              </a:p>
            </txPr>
            <dLblPos val="r"/>
            <showLegendKey val="0"/>
            <showVal val="0"/>
            <showCatName val="0"/>
            <showSerName val="1"/>
            <showPercent val="0"/>
          </dLbls>
          <xVal>
            <numRef>
              <f>'Geometry'!$CY$3</f>
            </numRef>
          </xVal>
          <yVal>
            <numRef>
              <f>'Geometry'!$CZ$3</f>
            </numRef>
          </yVal>
          <smooth val="0"/>
        </ser>
        <ser>
          <idx val="35"/>
          <order val="35"/>
          <tx>
            <strRef>
              <f>'Geometry'!$DB$2</f>
            </strRef>
          </tx>
          <spPr>
            <a:ln xmlns:a="http://schemas.openxmlformats.org/drawingml/2006/main">
              <a:noFill/>
              <a:prstDash val="solid"/>
            </a:ln>
          </spPr>
          <marker>
            <symbol val="none"/>
            <spPr>
              <a:ln xmlns:a="http://schemas.openxmlformats.org/drawingml/2006/main">
                <a:prstDash val="solid"/>
              </a:ln>
            </spPr>
          </marker>
          <dLbls>
            <spPr>
              <a:solidFill xmlns:a="http://schemas.openxmlformats.org/drawingml/2006/main">
                <a:srgbClr val="FFFFFF"/>
              </a:solidFill>
              <a:ln xmlns:a="http://schemas.openxmlformats.org/drawingml/2006/main">
                <a:prstDash val="solid"/>
              </a:ln>
            </spPr>
            <txPr>
              <a:bodyPr xmlns:a="http://schemas.openxmlformats.org/drawingml/2006/main"/>
              <a:p xmlns:a="http://schemas.openxmlformats.org/drawingml/2006/main">
                <a:pPr>
                  <a:defRPr sz="800">
                    <a:solidFill>
                      <a:srgbClr val="2B2B2B"/>
                    </a:solidFill>
                  </a:defRPr>
                </a:pPr>
                <a:r>
                  <a:t/>
                </a:r>
                <a:endParaRPr sz="800">
                  <a:solidFill>
                    <a:srgbClr val="2B2B2B"/>
                  </a:solidFill>
                </a:endParaRPr>
              </a:p>
            </txPr>
            <dLblPos val="t"/>
            <showLegendKey val="0"/>
            <showVal val="0"/>
            <showCatName val="0"/>
            <showSerName val="1"/>
            <showPercent val="0"/>
          </dLbls>
          <xVal>
            <numRef>
              <f>'Geometry'!$DB$3</f>
            </numRef>
          </xVal>
          <yVal>
            <numRef>
              <f>'Geometry'!$DC$3</f>
            </numRef>
          </yVal>
          <smooth val="0"/>
        </ser>
        <ser>
          <idx val="36"/>
          <order val="36"/>
          <tx>
            <strRef>
              <f>'Geometry'!$DE$2</f>
            </strRef>
          </tx>
          <spPr>
            <a:ln xmlns:a="http://schemas.openxmlformats.org/drawingml/2006/main">
              <a:noFill/>
              <a:prstDash val="solid"/>
            </a:ln>
          </spPr>
          <marker>
            <symbol val="none"/>
            <spPr>
              <a:ln xmlns:a="http://schemas.openxmlformats.org/drawingml/2006/main">
                <a:prstDash val="solid"/>
              </a:ln>
            </spPr>
          </marker>
          <dLbls>
            <spPr>
              <a:solidFill xmlns:a="http://schemas.openxmlformats.org/drawingml/2006/main">
                <a:srgbClr val="FFFFFF"/>
              </a:solidFill>
              <a:ln xmlns:a="http://schemas.openxmlformats.org/drawingml/2006/main">
                <a:prstDash val="solid"/>
              </a:ln>
            </spPr>
            <txPr>
              <a:bodyPr xmlns:a="http://schemas.openxmlformats.org/drawingml/2006/main"/>
              <a:p xmlns:a="http://schemas.openxmlformats.org/drawingml/2006/main">
                <a:pPr>
                  <a:defRPr sz="800">
                    <a:solidFill>
                      <a:srgbClr val="5B7F8A"/>
                    </a:solidFill>
                  </a:defRPr>
                </a:pPr>
                <a:r>
                  <a:t/>
                </a:r>
                <a:endParaRPr sz="800">
                  <a:solidFill>
                    <a:srgbClr val="5B7F8A"/>
                  </a:solidFill>
                </a:endParaRPr>
              </a:p>
            </txPr>
            <dLblPos val="l"/>
            <showLegendKey val="0"/>
            <showVal val="0"/>
            <showCatName val="0"/>
            <showSerName val="1"/>
            <showPercent val="0"/>
          </dLbls>
          <xVal>
            <numRef>
              <f>'Geometry'!$DE$3</f>
            </numRef>
          </xVal>
          <yVal>
            <numRef>
              <f>'Geometry'!$DF$3</f>
            </numRef>
          </yVal>
          <smooth val="0"/>
        </ser>
        <ser>
          <idx val="37"/>
          <order val="37"/>
          <tx>
            <strRef>
              <f>'Geometry'!$DH$2</f>
            </strRef>
          </tx>
          <spPr>
            <a:ln xmlns:a="http://schemas.openxmlformats.org/drawingml/2006/main">
              <a:noFill/>
              <a:prstDash val="solid"/>
            </a:ln>
          </spPr>
          <marker>
            <symbol val="none"/>
            <spPr>
              <a:ln xmlns:a="http://schemas.openxmlformats.org/drawingml/2006/main">
                <a:prstDash val="solid"/>
              </a:ln>
            </spPr>
          </marker>
          <dLbls>
            <spPr>
              <a:solidFill xmlns:a="http://schemas.openxmlformats.org/drawingml/2006/main">
                <a:srgbClr val="FFFFFF"/>
              </a:solidFill>
              <a:ln xmlns:a="http://schemas.openxmlformats.org/drawingml/2006/main">
                <a:prstDash val="solid"/>
              </a:ln>
            </spPr>
            <txPr>
              <a:bodyPr xmlns:a="http://schemas.openxmlformats.org/drawingml/2006/main"/>
              <a:p xmlns:a="http://schemas.openxmlformats.org/drawingml/2006/main">
                <a:pPr>
                  <a:defRPr sz="800">
                    <a:solidFill>
                      <a:srgbClr val="9A9A9A"/>
                    </a:solidFill>
                  </a:defRPr>
                </a:pPr>
                <a:r>
                  <a:t/>
                </a:r>
                <a:endParaRPr sz="800">
                  <a:solidFill>
                    <a:srgbClr val="9A9A9A"/>
                  </a:solidFill>
                </a:endParaRPr>
              </a:p>
            </txPr>
            <dLblPos val="t"/>
            <showLegendKey val="0"/>
            <showVal val="0"/>
            <showCatName val="0"/>
            <showSerName val="1"/>
            <showPercent val="0"/>
          </dLbls>
          <xVal>
            <numRef>
              <f>'Geometry'!$DH$3</f>
            </numRef>
          </xVal>
          <yVal>
            <numRef>
              <f>'Geometry'!$DI$3</f>
            </numRef>
          </yVal>
          <smooth val="0"/>
        </ser>
        <ser>
          <idx val="38"/>
          <order val="38"/>
          <tx>
            <strRef>
              <f>'Geometry'!$DK$2</f>
            </strRef>
          </tx>
          <spPr>
            <a:ln xmlns:a="http://schemas.openxmlformats.org/drawingml/2006/main">
              <a:noFill/>
              <a:prstDash val="solid"/>
            </a:ln>
          </spPr>
          <marker>
            <symbol val="none"/>
            <spPr>
              <a:ln xmlns:a="http://schemas.openxmlformats.org/drawingml/2006/main">
                <a:prstDash val="solid"/>
              </a:ln>
            </spPr>
          </marker>
          <dLbls>
            <spPr>
              <a:solidFill xmlns:a="http://schemas.openxmlformats.org/drawingml/2006/main">
                <a:srgbClr val="FFFFFF"/>
              </a:solidFill>
              <a:ln xmlns:a="http://schemas.openxmlformats.org/drawingml/2006/main">
                <a:prstDash val="solid"/>
              </a:ln>
            </spPr>
            <txPr>
              <a:bodyPr xmlns:a="http://schemas.openxmlformats.org/drawingml/2006/main"/>
              <a:p xmlns:a="http://schemas.openxmlformats.org/drawingml/2006/main">
                <a:pPr>
                  <a:defRPr sz="800">
                    <a:solidFill>
                      <a:srgbClr val="9A9A9A"/>
                    </a:solidFill>
                  </a:defRPr>
                </a:pPr>
                <a:r>
                  <a:t/>
                </a:r>
                <a:endParaRPr sz="800">
                  <a:solidFill>
                    <a:srgbClr val="9A9A9A"/>
                  </a:solidFill>
                </a:endParaRPr>
              </a:p>
            </txPr>
            <dLblPos val="t"/>
            <showLegendKey val="0"/>
            <showVal val="0"/>
            <showCatName val="0"/>
            <showSerName val="1"/>
            <showPercent val="0"/>
          </dLbls>
          <xVal>
            <numRef>
              <f>'Geometry'!$DK$3</f>
            </numRef>
          </xVal>
          <yVal>
            <numRef>
              <f>'Geometry'!$DL$3</f>
            </numRef>
          </yVal>
          <smooth val="0"/>
        </ser>
        <ser>
          <idx val="39"/>
          <order val="39"/>
          <tx>
            <v>dim</v>
          </tx>
          <spPr>
            <a:ln xmlns:a="http://schemas.openxmlformats.org/drawingml/2006/main" w="9525">
              <a:solidFill>
                <a:srgbClr val="2B2B2B"/>
              </a:solidFill>
              <a:prstDash val="solid"/>
              <a:headEnd type="triangle" w="sm" len="sm"/>
              <a:tailEnd type="triangle" w="sm" len="sm"/>
            </a:ln>
          </spPr>
          <marker>
            <symbol val="none"/>
            <spPr>
              <a:ln xmlns:a="http://schemas.openxmlformats.org/drawingml/2006/main">
                <a:prstDash val="solid"/>
              </a:ln>
            </spPr>
          </marker>
          <xVal>
            <numRef>
              <f>'Geometry'!$DN$3:$DN$4</f>
            </numRef>
          </xVal>
          <yVal>
            <numRef>
              <f>'Geometry'!$DO$3:$DO$4</f>
            </numRef>
          </yVal>
          <smooth val="0"/>
        </ser>
        <ser>
          <idx val="40"/>
          <order val="40"/>
          <tx>
            <strRef>
              <f>'Geometry'!$DQ$2</f>
            </strRef>
          </tx>
          <spPr>
            <a:ln xmlns:a="http://schemas.openxmlformats.org/drawingml/2006/main">
              <a:noFill/>
              <a:prstDash val="solid"/>
            </a:ln>
          </spPr>
          <marker>
            <symbol val="none"/>
            <spPr>
              <a:ln xmlns:a="http://schemas.openxmlformats.org/drawingml/2006/main">
                <a:prstDash val="solid"/>
              </a:ln>
            </spPr>
          </marker>
          <dLbls>
            <spPr>
              <a:solidFill xmlns:a="http://schemas.openxmlformats.org/drawingml/2006/main">
                <a:srgbClr val="FFFFFF"/>
              </a:solidFill>
              <a:ln xmlns:a="http://schemas.openxmlformats.org/drawingml/2006/main">
                <a:prstDash val="solid"/>
              </a:ln>
            </spPr>
            <txPr>
              <a:bodyPr xmlns:a="http://schemas.openxmlformats.org/drawingml/2006/main"/>
              <a:p xmlns:a="http://schemas.openxmlformats.org/drawingml/2006/main">
                <a:pPr>
                  <a:defRPr sz="900">
                    <a:solidFill>
                      <a:srgbClr val="2B2B2B"/>
                    </a:solidFill>
                  </a:defRPr>
                </a:pPr>
                <a:r>
                  <a:t/>
                </a:r>
                <a:endParaRPr sz="900">
                  <a:solidFill>
                    <a:srgbClr val="2B2B2B"/>
                  </a:solidFill>
                </a:endParaRPr>
              </a:p>
            </txPr>
            <dLblPos val="b"/>
            <showLegendKey val="0"/>
            <showVal val="0"/>
            <showCatName val="0"/>
            <showSerName val="1"/>
            <showPercent val="0"/>
          </dLbls>
          <xVal>
            <numRef>
              <f>'Geometry'!$DQ$3</f>
            </numRef>
          </xVal>
          <yVal>
            <numRef>
              <f>'Geometry'!$DR$3</f>
            </numRef>
          </yVal>
          <smooth val="0"/>
        </ser>
        <ser>
          <idx val="41"/>
          <order val="41"/>
          <tx>
            <v>dim</v>
          </tx>
          <spPr>
            <a:ln xmlns:a="http://schemas.openxmlformats.org/drawingml/2006/main" w="9525">
              <a:solidFill>
                <a:srgbClr val="2B2B2B"/>
              </a:solidFill>
              <a:prstDash val="solid"/>
              <a:headEnd type="triangle" w="sm" len="sm"/>
              <a:tailEnd type="triangle" w="sm" len="sm"/>
            </a:ln>
          </spPr>
          <marker>
            <symbol val="none"/>
            <spPr>
              <a:ln xmlns:a="http://schemas.openxmlformats.org/drawingml/2006/main">
                <a:prstDash val="solid"/>
              </a:ln>
            </spPr>
          </marker>
          <xVal>
            <numRef>
              <f>'Geometry'!$DT$3:$DT$4</f>
            </numRef>
          </xVal>
          <yVal>
            <numRef>
              <f>'Geometry'!$DU$3:$DU$4</f>
            </numRef>
          </yVal>
          <smooth val="0"/>
        </ser>
        <ser>
          <idx val="42"/>
          <order val="42"/>
          <tx>
            <strRef>
              <f>'Geometry'!$DW$2</f>
            </strRef>
          </tx>
          <spPr>
            <a:ln xmlns:a="http://schemas.openxmlformats.org/drawingml/2006/main">
              <a:noFill/>
              <a:prstDash val="solid"/>
            </a:ln>
          </spPr>
          <marker>
            <symbol val="none"/>
            <spPr>
              <a:ln xmlns:a="http://schemas.openxmlformats.org/drawingml/2006/main">
                <a:prstDash val="solid"/>
              </a:ln>
            </spPr>
          </marker>
          <dLbls>
            <spPr>
              <a:solidFill xmlns:a="http://schemas.openxmlformats.org/drawingml/2006/main">
                <a:srgbClr val="FFFFFF"/>
              </a:solidFill>
              <a:ln xmlns:a="http://schemas.openxmlformats.org/drawingml/2006/main">
                <a:prstDash val="solid"/>
              </a:ln>
            </spPr>
            <txPr>
              <a:bodyPr xmlns:a="http://schemas.openxmlformats.org/drawingml/2006/main"/>
              <a:p xmlns:a="http://schemas.openxmlformats.org/drawingml/2006/main">
                <a:pPr>
                  <a:defRPr sz="900">
                    <a:solidFill>
                      <a:srgbClr val="2B2B2B"/>
                    </a:solidFill>
                  </a:defRPr>
                </a:pPr>
                <a:r>
                  <a:t/>
                </a:r>
                <a:endParaRPr sz="900">
                  <a:solidFill>
                    <a:srgbClr val="2B2B2B"/>
                  </a:solidFill>
                </a:endParaRPr>
              </a:p>
            </txPr>
            <dLblPos val="l"/>
            <showLegendKey val="0"/>
            <showVal val="0"/>
            <showCatName val="0"/>
            <showSerName val="1"/>
            <showPercent val="0"/>
          </dLbls>
          <xVal>
            <numRef>
              <f>'Geometry'!$DW$3</f>
            </numRef>
          </xVal>
          <yVal>
            <numRef>
              <f>'Geometry'!$DX$3</f>
            </numRef>
          </yVal>
          <smooth val="0"/>
        </ser>
        <ser>
          <idx val="43"/>
          <order val="43"/>
          <tx>
            <v>dim</v>
          </tx>
          <spPr>
            <a:ln xmlns:a="http://schemas.openxmlformats.org/drawingml/2006/main" w="9525">
              <a:solidFill>
                <a:srgbClr val="2B2B2B"/>
              </a:solidFill>
              <a:prstDash val="solid"/>
              <a:headEnd type="triangle" w="sm" len="sm"/>
              <a:tailEnd type="triangle" w="sm" len="sm"/>
            </a:ln>
          </spPr>
          <marker>
            <symbol val="none"/>
            <spPr>
              <a:ln xmlns:a="http://schemas.openxmlformats.org/drawingml/2006/main">
                <a:prstDash val="solid"/>
              </a:ln>
            </spPr>
          </marker>
          <xVal>
            <numRef>
              <f>'Geometry'!$DZ$3:$DZ$4</f>
            </numRef>
          </xVal>
          <yVal>
            <numRef>
              <f>'Geometry'!$EA$3:$EA$4</f>
            </numRef>
          </yVal>
          <smooth val="0"/>
        </ser>
        <ser>
          <idx val="44"/>
          <order val="44"/>
          <tx>
            <strRef>
              <f>'Geometry'!$EC$2</f>
            </strRef>
          </tx>
          <spPr>
            <a:ln xmlns:a="http://schemas.openxmlformats.org/drawingml/2006/main">
              <a:noFill/>
              <a:prstDash val="solid"/>
            </a:ln>
          </spPr>
          <marker>
            <symbol val="none"/>
            <spPr>
              <a:ln xmlns:a="http://schemas.openxmlformats.org/drawingml/2006/main">
                <a:prstDash val="solid"/>
              </a:ln>
            </spPr>
          </marker>
          <dLbls>
            <spPr>
              <a:solidFill xmlns:a="http://schemas.openxmlformats.org/drawingml/2006/main">
                <a:srgbClr val="FFFFFF"/>
              </a:solidFill>
              <a:ln xmlns:a="http://schemas.openxmlformats.org/drawingml/2006/main">
                <a:prstDash val="solid"/>
              </a:ln>
            </spPr>
            <txPr>
              <a:bodyPr xmlns:a="http://schemas.openxmlformats.org/drawingml/2006/main"/>
              <a:p xmlns:a="http://schemas.openxmlformats.org/drawingml/2006/main">
                <a:pPr>
                  <a:defRPr sz="900">
                    <a:solidFill>
                      <a:srgbClr val="2B2B2B"/>
                    </a:solidFill>
                  </a:defRPr>
                </a:pPr>
                <a:r>
                  <a:t/>
                </a:r>
                <a:endParaRPr sz="900">
                  <a:solidFill>
                    <a:srgbClr val="2B2B2B"/>
                  </a:solidFill>
                </a:endParaRPr>
              </a:p>
            </txPr>
            <dLblPos val="t"/>
            <showLegendKey val="0"/>
            <showVal val="0"/>
            <showCatName val="0"/>
            <showSerName val="1"/>
            <showPercent val="0"/>
          </dLbls>
          <xVal>
            <numRef>
              <f>'Geometry'!$EC$3</f>
            </numRef>
          </xVal>
          <yVal>
            <numRef>
              <f>'Geometry'!$ED$3</f>
            </numRef>
          </yVal>
          <smooth val="0"/>
        </ser>
        <ser>
          <idx val="45"/>
          <order val="45"/>
          <tx>
            <v>frame</v>
          </tx>
          <spPr>
            <a:ln xmlns:a="http://schemas.openxmlformats.org/drawingml/2006/main">
              <a:noFill/>
              <a:prstDash val="solid"/>
            </a:ln>
          </spPr>
          <marker>
            <symbol val="none"/>
            <spPr>
              <a:ln xmlns:a="http://schemas.openxmlformats.org/drawingml/2006/main">
                <a:prstDash val="solid"/>
              </a:ln>
            </spPr>
          </marker>
          <xVal>
            <numRef>
              <f>'Geometry'!$EF$3:$EF$4</f>
            </numRef>
          </xVal>
          <yVal>
            <numRef>
              <f>'Geometry'!$EG$3:$EG$4</f>
            </numRef>
          </yVal>
          <smooth val="0"/>
        </ser>
        <axId val="10"/>
        <axId val="20"/>
      </scatterChart>
      <valAx>
        <axId val="10"/>
        <scaling>
          <orientation val="minMax"/>
        </scaling>
        <delete val="1"/>
        <axPos val="l"/>
        <majorTickMark val="none"/>
        <minorTickMark val="none"/>
        <crossAx val="20"/>
      </valAx>
      <valAx>
        <axId val="20"/>
        <scaling>
          <orientation val="minMax"/>
        </scaling>
        <delete val="1"/>
        <axPos val="l"/>
        <majorTickMark val="none"/>
        <minorTickMark val="none"/>
        <crossAx val="10"/>
      </valAx>
    </plotArea>
    <plotVisOnly val="1"/>
    <dispBlanksAs val="gap"/>
  </chart>
  <spPr>
    <a:ln xmlns:a="http://schemas.openxmlformats.org/drawingml/2006/main">
      <a:noFill/>
      <a:prstDash val="solid"/>
    </a:ln>
  </spPr>
</chartSpace>
</file>

<file path=xl/drawings/_rels/drawing1.xml.rels><Relationships xmlns="http://schemas.openxmlformats.org/package/2006/relationships"><Relationship Type="http://schemas.openxmlformats.org/officeDocument/2006/relationships/image" Target="/xl/media/image1.png" Id="rId1"/></Relationships>
</file>

<file path=xl/drawings/_rels/drawing2.xml.rels><Relationships xmlns="http://schemas.openxmlformats.org/package/2006/relationships"><Relationship Type="http://schemas.openxmlformats.org/officeDocument/2006/relationships/chart" Target="/xl/charts/chart1.xml" Id="rId1"/><Relationship Type="http://schemas.openxmlformats.org/officeDocument/2006/relationships/image" Target="/xl/media/image2.png" Id="rId2"/></Relationships>
</file>

<file path=xl/drawings/drawing1.xml><?xml version="1.0" encoding="utf-8"?>
<wsDr xmlns="http://schemas.openxmlformats.org/drawingml/2006/spreadsheetDrawing">
  <oneCellAnchor>
    <from>
      <col>1</col>
      <colOff>0</colOff>
      <row>1</row>
      <rowOff>0</rowOff>
    </from>
    <ext cx="2847975" cy="609600"/>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spPr>
    </pic>
    <clientData/>
  </oneCellAnchor>
</wsDr>
</file>

<file path=xl/drawings/drawing2.xml><?xml version="1.0" encoding="utf-8"?>
<wsDr xmlns="http://schemas.openxmlformats.org/drawingml/2006/spreadsheetDrawing">
  <oneCellAnchor>
    <from>
      <col>2</col>
      <colOff>0</colOff>
      <row>50</row>
      <rowOff>0</rowOff>
    </from>
    <ext cx="6138000" cy="3960000"/>
    <graphicFrame>
      <nvGraphicFramePr>
        <cNvPr id="1" name="Chart 1"/>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1"/>
        </a:graphicData>
      </a:graphic>
    </graphicFrame>
    <clientData/>
  </oneCellAnchor>
  <oneCellAnchor>
    <from>
      <col>1</col>
      <colOff>0</colOff>
      <row>1</row>
      <rowOff>0</rowOff>
    </from>
    <ext cx="1514475" cy="323850"/>
    <pic>
      <nvPicPr>
        <cNvPr id="2" name="Image 2" descr="Picture"/>
        <cNvPicPr/>
      </nvPicPr>
      <blipFill>
        <a:blip xmlns:a="http://schemas.openxmlformats.org/drawingml/2006/main" xmlns:r="http://schemas.openxmlformats.org/officeDocument/2006/relationships" cstate="print" r:embed="rId2"/>
        <a:stretch xmlns:a="http://schemas.openxmlformats.org/drawingml/2006/main">
          <a:fillRect/>
        </a:stretch>
      </blipFill>
      <spPr>
        <a:prstGeom xmlns:a="http://schemas.openxmlformats.org/drawingml/2006/main" prst="rect"/>
      </spPr>
    </pic>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naengineering.uk" TargetMode="External" Id="rId1"/><Relationship Type="http://schemas.openxmlformats.org/officeDocument/2006/relationships/hyperlink" Target="mailto:adrian@naengineering.uk" TargetMode="External" Id="rId2"/><Relationship Type="http://schemas.openxmlformats.org/officeDocument/2006/relationships/hyperlink" Target="https://www.linkedin.com/company/naengineering" TargetMode="External" Id="rId3"/><Relationship Type="http://schemas.openxmlformats.org/officeDocument/2006/relationships/drawing" Target="/xl/drawings/drawing1.xml" Id="rId4"/></Relationships>
</file>

<file path=xl/worksheets/_rels/sheet2.xml.rels><Relationships xmlns="http://schemas.openxmlformats.org/package/2006/relationships"><Relationship Type="http://schemas.openxmlformats.org/officeDocument/2006/relationships/drawing" Target="/xl/drawings/drawing2.xml" Id="rId1"/></Relationships>
</file>

<file path=xl/worksheets/sheet1.xml><?xml version="1.0" encoding="utf-8"?>
<worksheet xmlns="http://schemas.openxmlformats.org/spreadsheetml/2006/main">
  <sheetPr>
    <outlinePr summaryBelow="1" summaryRight="1"/>
    <pageSetUpPr fitToPage="1"/>
  </sheetPr>
  <dimension ref="A1:D38"/>
  <sheetViews>
    <sheetView showGridLines="0" tabSelected="0" workbookViewId="0">
      <selection activeCell="A1" sqref="A1"/>
    </sheetView>
  </sheetViews>
  <sheetFormatPr baseColWidth="8" defaultRowHeight="15"/>
  <cols>
    <col width="4" customWidth="1" min="1" max="1"/>
    <col width="24" customWidth="1" min="2" max="2"/>
    <col width="78" customWidth="1" min="3" max="3"/>
    <col width="4" customWidth="1" min="4" max="4"/>
  </cols>
  <sheetData>
    <row r="1" ht="14" customHeight="1">
      <c r="A1" s="1" t="n"/>
      <c r="B1" s="1" t="n"/>
      <c r="C1" s="1" t="n"/>
      <c r="D1" s="1" t="n"/>
    </row>
    <row r="2" ht="50" customHeight="1">
      <c r="A2" s="1" t="n"/>
      <c r="B2" s="1" t="n"/>
      <c r="C2" s="1" t="n"/>
      <c r="D2" s="1" t="n"/>
    </row>
    <row r="3" ht="14" customHeight="1">
      <c r="A3" s="1" t="n"/>
      <c r="B3" s="1" t="n"/>
      <c r="C3" s="1" t="n"/>
      <c r="D3" s="1" t="n"/>
    </row>
    <row r="4" ht="18" customHeight="1">
      <c r="A4" s="1" t="n"/>
      <c r="B4" s="1" t="n"/>
      <c r="C4" s="2" t="inlineStr">
        <is>
          <t>Structural design  ·  RC modelling &amp; detailing  ·  Steel detailing</t>
        </is>
      </c>
      <c r="D4" s="1" t="n"/>
    </row>
    <row r="5" ht="10" customHeight="1">
      <c r="A5" s="1" t="n"/>
      <c r="B5" s="1" t="n"/>
      <c r="C5" s="1" t="n"/>
      <c r="D5" s="1" t="n"/>
    </row>
    <row r="7" ht="36" customHeight="1">
      <c r="B7" s="3" t="inlineStr">
        <is>
          <t>Stress limitation</t>
        </is>
      </c>
    </row>
    <row r="8" ht="20" customHeight="1">
      <c r="B8" s="4" t="inlineStr">
        <is>
          <t>Serviceability stresses  ·  EN 1992-1-1 §7.2  ·  UK NA / PN-EN</t>
        </is>
      </c>
    </row>
    <row r="10">
      <c r="B10" s="5" t="inlineStr">
        <is>
          <t>Reference</t>
        </is>
      </c>
      <c r="C10" s="6" t="inlineStr">
        <is>
          <t>NAE-RC-047  ·  version 1.0</t>
        </is>
      </c>
    </row>
    <row r="11" ht="31" customHeight="1">
      <c r="B11" s="5" t="inlineStr">
        <is>
          <t>Standards</t>
        </is>
      </c>
      <c r="C11" s="7" t="inlineStr">
        <is>
          <t>BS EN 1992-1-1:2004 with UK NA  ·  PN-EN 1992-1-1:2008 with Polish NA (NDP sources listed on the NDP sheet)</t>
        </is>
      </c>
    </row>
    <row r="12">
      <c r="B12" s="5" t="inlineStr">
        <is>
          <t>National Annex</t>
        </is>
      </c>
      <c r="C12" s="6" t="inlineStr">
        <is>
          <t>Selectable: UK NA to BS EN 1992-1-1 or Polish NA to PN-EN 1992-1-1</t>
        </is>
      </c>
    </row>
    <row r="13">
      <c r="B13" s="5" t="inlineStr">
        <is>
          <t>Issued</t>
        </is>
      </c>
      <c r="C13" s="6" t="inlineStr">
        <is>
          <t>30 October 2026</t>
        </is>
      </c>
    </row>
    <row r="15" ht="20" customHeight="1">
      <c r="B15" s="8" t="inlineStr">
        <is>
          <t>What it does</t>
        </is>
      </c>
      <c r="C15" s="9" t="n"/>
    </row>
    <row r="16" ht="62" customHeight="1">
      <c r="B16" s="7" t="inlineStr">
        <is>
          <t>Service stresses of a reinforced concrete section in bending, with or without axial compression, checked against the stress limits of 7.2: concrete under the characteristic combination (k1 fck, exposure XD, XF and XS), concrete under the quasi-permanent combination (k2 fck, linear creep) and reinforcement under the characteristic combination (k3 fyk, or k4 fyk for imposed deformation).</t>
        </is>
      </c>
    </row>
    <row r="18" ht="20" customHeight="1">
      <c r="B18" s="8" t="inlineStr">
        <is>
          <t>How to use</t>
        </is>
      </c>
      <c r="C18" s="9" t="n"/>
    </row>
    <row r="19" ht="47.5" customHeight="1">
      <c r="B19" s="7" t="inlineStr">
        <is>
          <t>1.  Open the Calculation sheet and select the National Annex.
2.  Fill in the shaded input cells. Everything else is calculated.
3.  Read the Results block; every step below it quotes its clause. Print or save as PDF for your calculation package.</t>
        </is>
      </c>
    </row>
    <row r="21" ht="20" customHeight="1">
      <c r="B21" s="8" t="inlineStr">
        <is>
          <t>Scope and limitations</t>
        </is>
      </c>
      <c r="C21" s="9" t="n"/>
    </row>
    <row r="22" ht="323" customHeight="1">
      <c r="B22" s="7" t="inlineStr">
        <is>
          <t>Rectangular or flanged section (flange at the top face) with one layer of bars at the top and one at the bottom. One moment sense, chosen as sagging (top face compressed) or hogging (bottom face compressed); moments entered as magnitudes, axial force compression or zero (tension members are not covered). Moments are about the centroid of the gross concrete section, where the axial force acts. Linear elastic analysis, Es = 200 GPa: the section is analysed uncracked (transformed with αe) and, when cracked, with the concrete in tension ignored (bars in the compressed concrete counted with αe − 1). It is taken as cracked when the flexural tension of the uncracked section under either combination exceeds fct,eff = fctm or fctm,fl (7.1(2)), or when declared cracked. Each combination is analysed with the short-term modular ratio Es / Ecm and the long-term Es / Ec,eff, Ec,eff = Ecm / (1 + φ) (7.4.3(5)); the characteristic combination also staged: uncracked, the quasi-permanent actions long term plus the increment (Nk − Nqp, Mk − Mqp) short term, superposed exactly; cracked, one analysis of the characteristic actions with the creep coefficient scaled by Mqp / Mk (as φef in 5.8.4(2); Nqp / Nk when Mk = 0), an approximation that we found conservative in pure bending and when the axial force is sustained in the same share as the moment, but not otherwise: a cracked section whose axial force is largely transient shows "! approximate" instead of OK and needs a separate staged analysis. The largest stress is checked. Ecm from Table 3.1 with the aggregate factor of 3.1.3(2). The elastic model needs every bar stress, tension or compression, below fyk (checked, 7.2(4)P). fctm,fl may be used only if the minimum reinforcement (7.3.2) is based on it too; the steel stress for crack control is always from the cracked section. The flange counts with the full width entered: use the effective width beff of 5.3.2.1. The k1 limit applies where the exposure is XD, XF or XS unless other measures (more cover, confinement by links) are taken; above k2 fck non-linear creep must be considered (3.1.4(4)). Concrete classes up to C50/60. Clear gaps between bars and between the layers against max(φ; 20 mm) of 8.2(2) as a warning (the aggregate size dg + 5 mm is not checked). Prestressing (k5), shear, crack widths and deflections are not covered here (RC-003, RC-016, RC-033).
The second-generation EN 1992-1-1:2023 is not yet implemented.</t>
        </is>
      </c>
    </row>
    <row r="24" ht="20" customHeight="1">
      <c r="B24" s="8" t="inlineStr">
        <is>
          <t>Further reading and independent cross-check</t>
        </is>
      </c>
      <c r="C24" s="9" t="n"/>
    </row>
    <row r="25" ht="76.5" customHeight="1">
      <c r="B25" s="10" t="inlineStr">
        <is>
          <t>•  The Concrete Centre, How to design concrete structures using Eurocode 2: Serviceability.
•  The Concrete Centre, Concise Eurocode 2, section 10 (serviceability).
•  The Concrete Centre, RC Spreadsheets v4 (licensed product) can be used as an independent cross-check.
NA Engineering is not affiliated with The Concrete Centre or CIRIA; their publications are referenced for information only.</t>
        </is>
      </c>
    </row>
    <row r="27" ht="20" customHeight="1">
      <c r="B27" s="8" t="inlineStr">
        <is>
          <t>About NA Engineering</t>
        </is>
      </c>
      <c r="C27" s="9" t="n"/>
    </row>
    <row r="28" ht="62" customHeight="1">
      <c r="B28" s="7" t="inlineStr">
        <is>
          <t>NA Engineering is a structural engineering consultancy delivering structural design, reinforced concrete modelling and detailing, and steel detailing for residential, commercial, infrastructure, energy and refurbishment projects. We share tools like this one because good engineering should be transparent: every formula here is visible and referenced. If you need a design, a check or a full detailing package, talk to us.</t>
        </is>
      </c>
    </row>
    <row r="29">
      <c r="B29" s="11" t="inlineStr">
        <is>
          <t>Website</t>
        </is>
      </c>
      <c r="C29" s="12" t="inlineStr">
        <is>
          <t>naengineering.uk</t>
        </is>
      </c>
    </row>
    <row r="30">
      <c r="B30" s="11" t="inlineStr">
        <is>
          <t>Email</t>
        </is>
      </c>
      <c r="C30" s="12" t="inlineStr">
        <is>
          <t>adrian@naengineering.uk</t>
        </is>
      </c>
    </row>
    <row r="31">
      <c r="B31" s="11" t="inlineStr">
        <is>
          <t>Phone</t>
        </is>
      </c>
      <c r="C31" s="6" t="inlineStr">
        <is>
          <t>+48 505 844 422</t>
        </is>
      </c>
    </row>
    <row r="32">
      <c r="B32" s="11" t="inlineStr">
        <is>
          <t>LinkedIn</t>
        </is>
      </c>
      <c r="C32" s="12" t="inlineStr">
        <is>
          <t>linkedin.com/company/naengineering</t>
        </is>
      </c>
    </row>
    <row r="34" ht="20" customHeight="1">
      <c r="B34" s="8" t="inlineStr">
        <is>
          <t>Disclaimer</t>
        </is>
      </c>
      <c r="C34" s="9" t="n"/>
    </row>
    <row r="35" ht="76.5" customHeight="1">
      <c r="B35" s="13" t="inlineStr">
        <is>
          <t>This spreadsheet is provided free of charge, as is, for use by competent engineers. It does not replace engineering judgement. The user is responsible for the input, for checking that the method suits the element being designed and for verifying the results. NA Engineering accepts no liability for any loss arising from its use. Sheets are password-protected and the workbook structure is locked so that the formulas and the NA Engineering details cannot be changed; only the shaded input cells can be edited.</t>
        </is>
      </c>
    </row>
    <row r="37" ht="20" customHeight="1">
      <c r="B37" s="8" t="inlineStr">
        <is>
          <t>Revision history</t>
        </is>
      </c>
      <c r="C37" s="9" t="n"/>
    </row>
    <row r="38">
      <c r="B38" s="5" t="inlineStr">
        <is>
          <t>v1.0</t>
        </is>
      </c>
      <c r="C38" s="6" t="inlineStr">
        <is>
          <t>30 Oct 2026  ·  First issue</t>
        </is>
      </c>
    </row>
  </sheetData>
  <sheetProtection selectLockedCells="0" selectUnlockedCells="0" sheet="1" objects="1" insertRows="1" insertHyperlinks="1" autoFilter="1" scenarios="0" formatColumns="1" deleteColumns="1" insertColumns="1" pivotTables="1" deleteRows="1" formatCells="1" formatRows="1" sort="1" password="AA0A"/>
  <mergeCells count="6">
    <mergeCell ref="B16:C16"/>
    <mergeCell ref="B25:C25"/>
    <mergeCell ref="B19:C19"/>
    <mergeCell ref="B28:C28"/>
    <mergeCell ref="B22:C22"/>
    <mergeCell ref="B35:C35"/>
  </mergeCells>
  <hyperlinks>
    <hyperlink xmlns:r="http://schemas.openxmlformats.org/officeDocument/2006/relationships" ref="C29" r:id="rId1"/>
    <hyperlink xmlns:r="http://schemas.openxmlformats.org/officeDocument/2006/relationships" ref="C30" r:id="rId2"/>
    <hyperlink xmlns:r="http://schemas.openxmlformats.org/officeDocument/2006/relationships" ref="C32" r:id="rId3"/>
  </hyperlinks>
  <printOptions horizontalCentered="1"/>
  <pageMargins left="0.4" right="0.4" top="0.4" bottom="0.6" header="0.5" footer="0.5"/>
  <pageSetup orientation="portrait" paperSize="9" fitToHeight="1" fitToWidth="1"/>
  <headerFooter>
    <oddHeader/>
    <oddFooter>&amp;L&amp;7 &amp;K8A8A8ANA Engineering sp. z o.o.  ·  naengineering.uk  ·  adrian@naengineering.uk  ·  +48 505 844 422&amp;C&amp;7 &amp;K8A8A8A&amp;P / &amp;N&amp;R&amp;7 &amp;K8A8A8ANAE-RC-047  v1.0</oddFooter>
    <evenHeader/>
    <evenFooter/>
    <firstHeader/>
    <firstFooter/>
  </headerFooter>
  <drawing xmlns:r="http://schemas.openxmlformats.org/officeDocument/2006/relationships" r:id="rId4"/>
</worksheet>
</file>

<file path=xl/worksheets/sheet2.xml><?xml version="1.0" encoding="utf-8"?>
<worksheet xmlns="http://schemas.openxmlformats.org/spreadsheetml/2006/main">
  <sheetPr>
    <outlinePr summaryBelow="1" summaryRight="1"/>
    <pageSetUpPr fitToPage="1"/>
  </sheetPr>
  <dimension ref="A1:H183"/>
  <sheetViews>
    <sheetView showGridLines="0" tabSelected="1" workbookViewId="0">
      <selection activeCell="A1" sqref="A1"/>
    </sheetView>
  </sheetViews>
  <sheetFormatPr baseColWidth="8" defaultRowHeight="15"/>
  <cols>
    <col width="2.5" customWidth="1" min="1" max="1"/>
    <col width="11" customWidth="1" min="2" max="2"/>
    <col width="46" customWidth="1" min="3" max="3"/>
    <col width="10" customWidth="1" min="4" max="4"/>
    <col width="13" customWidth="1" min="5" max="5"/>
    <col width="8" customWidth="1" min="6" max="6"/>
    <col width="22" customWidth="1" min="7" max="7"/>
    <col width="2.5" customWidth="1" min="8" max="8"/>
  </cols>
  <sheetData>
    <row r="1" ht="8" customHeight="1">
      <c r="A1" s="1" t="n"/>
      <c r="B1" s="1" t="n"/>
      <c r="C1" s="1" t="n"/>
      <c r="D1" s="1" t="n"/>
      <c r="E1" s="1" t="n"/>
      <c r="F1" s="1" t="n"/>
      <c r="G1" s="1" t="n"/>
      <c r="H1" s="1" t="n"/>
    </row>
    <row r="2" ht="30" customHeight="1">
      <c r="A2" s="1" t="n"/>
      <c r="B2" s="1" t="n"/>
      <c r="C2" s="1" t="n"/>
      <c r="D2" s="14" t="inlineStr">
        <is>
          <t>Stress limitation</t>
        </is>
      </c>
      <c r="H2" s="1" t="n"/>
    </row>
    <row r="3" ht="16" customHeight="1">
      <c r="A3" s="1" t="n"/>
      <c r="B3" s="1" t="n"/>
      <c r="C3" s="15" t="inlineStr">
        <is>
          <t>NAE-RC-047 v1.0  ·  naengineering.uk  ·  adrian@naengineering.uk  ·  +48 505 844 422</t>
        </is>
      </c>
      <c r="H3" s="1" t="n"/>
    </row>
    <row r="5">
      <c r="B5" s="16" t="inlineStr">
        <is>
          <t>Project</t>
        </is>
      </c>
      <c r="C5" s="17" t="n"/>
      <c r="D5" s="18" t="inlineStr">
        <is>
          <t>Job no.</t>
        </is>
      </c>
      <c r="E5" s="17" t="n"/>
    </row>
    <row r="6">
      <c r="B6" s="16" t="inlineStr">
        <is>
          <t>Element</t>
        </is>
      </c>
      <c r="C6" s="17" t="n"/>
      <c r="D6" s="18" t="inlineStr">
        <is>
          <t>Made by</t>
        </is>
      </c>
      <c r="E6" s="17" t="n"/>
    </row>
    <row r="7">
      <c r="B7" s="16" t="inlineStr">
        <is>
          <t>Date</t>
        </is>
      </c>
      <c r="C7" s="19" t="n"/>
      <c r="D7" s="18" t="inlineStr">
        <is>
          <t>Checked</t>
        </is>
      </c>
      <c r="E7" s="17" t="n"/>
    </row>
    <row r="10" ht="22" customHeight="1">
      <c r="B10" s="20" t="inlineStr">
        <is>
          <t>Inputs  ·  section</t>
        </is>
      </c>
      <c r="C10" s="21" t="n"/>
      <c r="D10" s="21" t="n"/>
      <c r="E10" s="21" t="n"/>
      <c r="F10" s="21" t="n"/>
      <c r="G10" s="22" t="inlineStr">
        <is>
          <t>Shaded cells only</t>
        </is>
      </c>
    </row>
    <row r="11" ht="17" customHeight="1">
      <c r="B11" s="23" t="n"/>
      <c r="C11" s="24" t="inlineStr">
        <is>
          <t>National Annex</t>
        </is>
      </c>
      <c r="D11" s="23" t="n"/>
      <c r="E11" s="25" t="inlineStr">
        <is>
          <t>UK NA (BS EN)</t>
        </is>
      </c>
      <c r="F11" s="23" t="n"/>
      <c r="G11" s="23" t="n"/>
    </row>
    <row r="12" ht="17" customHeight="1">
      <c r="B12" s="26" t="inlineStr">
        <is>
          <t>Table 3.1</t>
        </is>
      </c>
      <c r="C12" s="24" t="inlineStr">
        <is>
          <t>Concrete strength class</t>
        </is>
      </c>
      <c r="D12" s="23" t="n"/>
      <c r="E12" s="25" t="inlineStr">
        <is>
          <t>C32/40</t>
        </is>
      </c>
      <c r="F12" s="23" t="n"/>
      <c r="G12" s="23" t="n"/>
    </row>
    <row r="13" ht="17" customHeight="1">
      <c r="B13" s="26" t="inlineStr">
        <is>
          <t>3.2.2</t>
        </is>
      </c>
      <c r="C13" s="24" t="inlineStr">
        <is>
          <t>Reinforcement characteristic yield strength</t>
        </is>
      </c>
      <c r="D13" s="27" t="inlineStr">
        <is>
          <r>
            <rPr>
              <rFont val="Calibri"/>
              <i val="1"/>
              <color rgb="002B2B2B"/>
              <sz val="10"/>
            </rPr>
            <t>f</t>
          </r>
          <r>
            <rPr>
              <rFont val="Calibri"/>
              <i val="1"/>
              <color rgb="002B2B2B"/>
              <sz val="10"/>
              <vertAlign val="subscript"/>
            </rPr>
            <t>yk</t>
          </r>
        </is>
      </c>
      <c r="E13" s="25" t="n">
        <v>500</v>
      </c>
      <c r="F13" s="28" t="inlineStr">
        <is>
          <t>MPa</t>
        </is>
      </c>
      <c r="G13" s="23" t="n"/>
    </row>
    <row r="14" ht="17" customHeight="1">
      <c r="B14" s="23" t="n"/>
      <c r="C14" s="24" t="inlineStr">
        <is>
          <t>Section shape</t>
        </is>
      </c>
      <c r="D14" s="23" t="n"/>
      <c r="E14" s="25" t="inlineStr">
        <is>
          <t>Rectangular</t>
        </is>
      </c>
      <c r="F14" s="23" t="n"/>
      <c r="G14" s="23" t="n"/>
    </row>
    <row r="15" ht="17" customHeight="1">
      <c r="B15" s="23" t="n"/>
      <c r="C15" s="24" t="inlineStr">
        <is>
          <t>Web width  (rectangle: the width)</t>
        </is>
      </c>
      <c r="D15" s="27" t="inlineStr">
        <is>
          <r>
            <rPr>
              <rFont val="Calibri"/>
              <i val="1"/>
              <color rgb="002B2B2B"/>
              <sz val="10"/>
            </rPr>
            <t>b</t>
          </r>
          <r>
            <rPr>
              <rFont val="Calibri"/>
              <i val="1"/>
              <color rgb="002B2B2B"/>
              <sz val="10"/>
              <vertAlign val="subscript"/>
            </rPr>
            <t>w</t>
          </r>
        </is>
      </c>
      <c r="E15" s="25" t="n">
        <v>300</v>
      </c>
      <c r="F15" s="28" t="inlineStr">
        <is>
          <t>mm</t>
        </is>
      </c>
      <c r="G15" s="23" t="n"/>
    </row>
    <row r="16" ht="17" customHeight="1">
      <c r="B16" s="23" t="n"/>
      <c r="C16" s="24" t="inlineStr">
        <is>
          <t>Overall depth</t>
        </is>
      </c>
      <c r="D16" s="27" t="inlineStr">
        <is>
          <r>
            <rPr>
              <rFont val="Calibri"/>
              <i val="1"/>
              <color rgb="002B2B2B"/>
              <sz val="10"/>
            </rPr>
            <t>h</t>
          </r>
        </is>
      </c>
      <c r="E16" s="25" t="n">
        <v>500</v>
      </c>
      <c r="F16" s="28" t="inlineStr">
        <is>
          <t>mm</t>
        </is>
      </c>
      <c r="G16" s="23" t="n"/>
    </row>
    <row r="17" ht="17" customHeight="1">
      <c r="B17" s="23" t="n"/>
      <c r="C17" s="24" t="inlineStr">
        <is>
          <t>Flanged: flange width  (effective, 5.3.2.1)</t>
        </is>
      </c>
      <c r="D17" s="27" t="inlineStr">
        <is>
          <r>
            <rPr>
              <rFont val="Calibri"/>
              <i val="1"/>
              <color rgb="002B2B2B"/>
              <sz val="10"/>
            </rPr>
            <t>b</t>
          </r>
          <r>
            <rPr>
              <rFont val="Calibri"/>
              <i val="1"/>
              <color rgb="002B2B2B"/>
              <sz val="10"/>
              <vertAlign val="subscript"/>
            </rPr>
            <t>f</t>
          </r>
        </is>
      </c>
      <c r="E17" s="25" t="n">
        <v>1000</v>
      </c>
      <c r="F17" s="28" t="inlineStr">
        <is>
          <t>mm</t>
        </is>
      </c>
      <c r="G17" s="23" t="n"/>
    </row>
    <row r="18" ht="17" customHeight="1">
      <c r="B18" s="23" t="n"/>
      <c r="C18" s="24" t="inlineStr">
        <is>
          <t>Flanged: flange thickness</t>
        </is>
      </c>
      <c r="D18" s="27" t="inlineStr">
        <is>
          <r>
            <rPr>
              <rFont val="Calibri"/>
              <i val="1"/>
              <color rgb="002B2B2B"/>
              <sz val="10"/>
            </rPr>
            <t>h</t>
          </r>
          <r>
            <rPr>
              <rFont val="Calibri"/>
              <i val="1"/>
              <color rgb="002B2B2B"/>
              <sz val="10"/>
              <vertAlign val="subscript"/>
            </rPr>
            <t>f</t>
          </r>
        </is>
      </c>
      <c r="E18" s="25" t="n">
        <v>150</v>
      </c>
      <c r="F18" s="28" t="inlineStr">
        <is>
          <t>mm</t>
        </is>
      </c>
      <c r="G18" s="23" t="n"/>
    </row>
    <row r="19" ht="17" customHeight="1">
      <c r="B19" s="26" t="inlineStr">
        <is>
          <t>4.4.1</t>
        </is>
      </c>
      <c r="C19" s="24" t="inlineStr">
        <is>
          <t>Nominal cover to links</t>
        </is>
      </c>
      <c r="D19" s="27" t="inlineStr">
        <is>
          <r>
            <rPr>
              <rFont val="Calibri"/>
              <i val="1"/>
              <color rgb="002B2B2B"/>
              <sz val="10"/>
            </rPr>
            <t>c</t>
          </r>
          <r>
            <rPr>
              <rFont val="Calibri"/>
              <i val="1"/>
              <color rgb="002B2B2B"/>
              <sz val="10"/>
              <vertAlign val="subscript"/>
            </rPr>
            <t>nom</t>
          </r>
        </is>
      </c>
      <c r="E19" s="25" t="n">
        <v>30</v>
      </c>
      <c r="F19" s="28" t="inlineStr">
        <is>
          <t>mm</t>
        </is>
      </c>
      <c r="G19" s="23" t="n"/>
    </row>
    <row r="20" ht="17" customHeight="1">
      <c r="B20" s="23" t="n"/>
      <c r="C20" s="24" t="inlineStr">
        <is>
          <t>Link diameter  (0: no links, cover to the bars)</t>
        </is>
      </c>
      <c r="D20" s="27" t="inlineStr">
        <is>
          <r>
            <rPr>
              <rFont val="Calibri"/>
              <i val="1"/>
              <color rgb="002B2B2B"/>
              <sz val="10"/>
            </rPr>
            <t>φ</t>
          </r>
          <r>
            <rPr>
              <rFont val="Calibri"/>
              <i val="1"/>
              <color rgb="002B2B2B"/>
              <sz val="10"/>
              <vertAlign val="subscript"/>
            </rPr>
            <t>w</t>
          </r>
        </is>
      </c>
      <c r="E20" s="25" t="n">
        <v>8</v>
      </c>
      <c r="F20" s="28" t="inlineStr">
        <is>
          <t>mm</t>
        </is>
      </c>
      <c r="G20" s="23" t="n"/>
    </row>
    <row r="21" ht="17" customHeight="1">
      <c r="B21" s="23" t="n"/>
      <c r="C21" s="24" t="inlineStr">
        <is>
          <t>Top bars  (number)</t>
        </is>
      </c>
      <c r="D21" s="27" t="inlineStr">
        <is>
          <r>
            <rPr>
              <rFont val="Calibri"/>
              <i val="1"/>
              <color rgb="002B2B2B"/>
              <sz val="10"/>
            </rPr>
            <t>n</t>
          </r>
          <r>
            <rPr>
              <rFont val="Calibri"/>
              <i val="1"/>
              <color rgb="002B2B2B"/>
              <sz val="10"/>
              <vertAlign val="subscript"/>
            </rPr>
            <t>t</t>
          </r>
        </is>
      </c>
      <c r="E21" s="25" t="n">
        <v>2</v>
      </c>
      <c r="F21" s="23" t="n"/>
      <c r="G21" s="23" t="n"/>
    </row>
    <row r="22" ht="17" customHeight="1">
      <c r="B22" s="23" t="n"/>
      <c r="C22" s="24" t="inlineStr">
        <is>
          <t>Top bar diameter</t>
        </is>
      </c>
      <c r="D22" s="27" t="inlineStr">
        <is>
          <r>
            <rPr>
              <rFont val="Calibri"/>
              <i val="1"/>
              <color rgb="002B2B2B"/>
              <sz val="10"/>
            </rPr>
            <t>φ</t>
          </r>
          <r>
            <rPr>
              <rFont val="Calibri"/>
              <i val="1"/>
              <color rgb="002B2B2B"/>
              <sz val="10"/>
              <vertAlign val="subscript"/>
            </rPr>
            <t>t</t>
          </r>
        </is>
      </c>
      <c r="E22" s="25" t="n">
        <v>16</v>
      </c>
      <c r="F22" s="28" t="inlineStr">
        <is>
          <t>mm</t>
        </is>
      </c>
      <c r="G22" s="23" t="n"/>
    </row>
    <row r="23" ht="17" customHeight="1">
      <c r="B23" s="23" t="n"/>
      <c r="C23" s="24" t="inlineStr">
        <is>
          <t>Bottom bars  (number)</t>
        </is>
      </c>
      <c r="D23" s="27" t="inlineStr">
        <is>
          <r>
            <rPr>
              <rFont val="Calibri"/>
              <i val="1"/>
              <color rgb="002B2B2B"/>
              <sz val="10"/>
            </rPr>
            <t>n</t>
          </r>
          <r>
            <rPr>
              <rFont val="Calibri"/>
              <i val="1"/>
              <color rgb="002B2B2B"/>
              <sz val="10"/>
              <vertAlign val="subscript"/>
            </rPr>
            <t>b</t>
          </r>
        </is>
      </c>
      <c r="E23" s="25" t="n">
        <v>3</v>
      </c>
      <c r="F23" s="23" t="n"/>
      <c r="G23" s="23" t="n"/>
    </row>
    <row r="24" ht="17" customHeight="1">
      <c r="B24" s="23" t="n"/>
      <c r="C24" s="24" t="inlineStr">
        <is>
          <t>Bottom bar diameter</t>
        </is>
      </c>
      <c r="D24" s="27" t="inlineStr">
        <is>
          <r>
            <rPr>
              <rFont val="Calibri"/>
              <i val="1"/>
              <color rgb="002B2B2B"/>
              <sz val="10"/>
            </rPr>
            <t>φ</t>
          </r>
          <r>
            <rPr>
              <rFont val="Calibri"/>
              <i val="1"/>
              <color rgb="002B2B2B"/>
              <sz val="10"/>
              <vertAlign val="subscript"/>
            </rPr>
            <t>b</t>
          </r>
        </is>
      </c>
      <c r="E24" s="25" t="n">
        <v>20</v>
      </c>
      <c r="F24" s="28" t="inlineStr">
        <is>
          <t>mm</t>
        </is>
      </c>
      <c r="G24" s="23" t="n"/>
    </row>
    <row r="26" ht="22" customHeight="1">
      <c r="B26" s="20" t="inlineStr">
        <is>
          <t>Inputs  ·  service actions and conditions</t>
        </is>
      </c>
      <c r="C26" s="21" t="n"/>
      <c r="D26" s="21" t="n"/>
      <c r="E26" s="21" t="n"/>
      <c r="F26" s="21" t="n"/>
      <c r="G26" s="22" t="inlineStr">
        <is>
          <t>EN 1990 (6.14b), (6.16b)</t>
        </is>
      </c>
    </row>
    <row r="27" ht="17" customHeight="1">
      <c r="B27" s="23" t="n"/>
      <c r="C27" s="24" t="inlineStr">
        <is>
          <t>Moment sense</t>
        </is>
      </c>
      <c r="D27" s="23" t="n"/>
      <c r="E27" s="25" t="inlineStr">
        <is>
          <t>Sagging  (top face compressed)</t>
        </is>
      </c>
      <c r="F27" s="23" t="n"/>
      <c r="G27" s="23" t="n"/>
    </row>
    <row r="28" ht="17" customHeight="1">
      <c r="B28" s="26" t="inlineStr">
        <is>
          <t>7.2(2), (5)</t>
        </is>
      </c>
      <c r="C28" s="24" t="inlineStr">
        <is>
          <t>Characteristic combination: moment  (≥ M_qp)</t>
        </is>
      </c>
      <c r="D28" s="27" t="inlineStr">
        <is>
          <r>
            <rPr>
              <rFont val="Calibri"/>
              <i val="1"/>
              <color rgb="002B2B2B"/>
              <sz val="10"/>
            </rPr>
            <t>M</t>
          </r>
          <r>
            <rPr>
              <rFont val="Calibri"/>
              <i val="1"/>
              <color rgb="002B2B2B"/>
              <sz val="10"/>
              <vertAlign val="subscript"/>
            </rPr>
            <t>k</t>
          </r>
        </is>
      </c>
      <c r="E28" s="29" t="n">
        <v>150</v>
      </c>
      <c r="F28" s="28" t="inlineStr">
        <is>
          <t>kNm</t>
        </is>
      </c>
      <c r="G28" s="23" t="n"/>
    </row>
    <row r="29" ht="17" customHeight="1">
      <c r="B29" s="23" t="n"/>
      <c r="C29" s="24" t="inlineStr">
        <is>
          <t>Characteristic combination: axial compression  (≥ N_qp)</t>
        </is>
      </c>
      <c r="D29" s="27" t="inlineStr">
        <is>
          <r>
            <rPr>
              <rFont val="Calibri"/>
              <i val="1"/>
              <color rgb="002B2B2B"/>
              <sz val="10"/>
            </rPr>
            <t>N</t>
          </r>
          <r>
            <rPr>
              <rFont val="Calibri"/>
              <i val="1"/>
              <color rgb="002B2B2B"/>
              <sz val="10"/>
              <vertAlign val="subscript"/>
            </rPr>
            <t>k</t>
          </r>
        </is>
      </c>
      <c r="E29" s="30" t="n">
        <v>0</v>
      </c>
      <c r="F29" s="28" t="inlineStr">
        <is>
          <t>kN</t>
        </is>
      </c>
      <c r="G29" s="23" t="n"/>
    </row>
    <row r="30" ht="17" customHeight="1">
      <c r="B30" s="26" t="inlineStr">
        <is>
          <t>7.2(3)</t>
        </is>
      </c>
      <c r="C30" s="24" t="inlineStr">
        <is>
          <t>Quasi-permanent combination: moment</t>
        </is>
      </c>
      <c r="D30" s="27" t="inlineStr">
        <is>
          <r>
            <rPr>
              <rFont val="Calibri"/>
              <i val="1"/>
              <color rgb="002B2B2B"/>
              <sz val="10"/>
            </rPr>
            <t>M</t>
          </r>
          <r>
            <rPr>
              <rFont val="Calibri"/>
              <i val="1"/>
              <color rgb="002B2B2B"/>
              <sz val="10"/>
              <vertAlign val="subscript"/>
            </rPr>
            <t>qp</t>
          </r>
        </is>
      </c>
      <c r="E30" s="29" t="n">
        <v>100</v>
      </c>
      <c r="F30" s="28" t="inlineStr">
        <is>
          <t>kNm</t>
        </is>
      </c>
      <c r="G30" s="23" t="n"/>
    </row>
    <row r="31" ht="17" customHeight="1">
      <c r="B31" s="23" t="n"/>
      <c r="C31" s="24" t="inlineStr">
        <is>
          <t>Quasi-permanent combination: axial compression</t>
        </is>
      </c>
      <c r="D31" s="27" t="inlineStr">
        <is>
          <r>
            <rPr>
              <rFont val="Calibri"/>
              <i val="1"/>
              <color rgb="002B2B2B"/>
              <sz val="10"/>
            </rPr>
            <t>N</t>
          </r>
          <r>
            <rPr>
              <rFont val="Calibri"/>
              <i val="1"/>
              <color rgb="002B2B2B"/>
              <sz val="10"/>
              <vertAlign val="subscript"/>
            </rPr>
            <t>qp</t>
          </r>
        </is>
      </c>
      <c r="E31" s="30" t="n">
        <v>0</v>
      </c>
      <c r="F31" s="28" t="inlineStr">
        <is>
          <t>kN</t>
        </is>
      </c>
      <c r="G31" s="23" t="n"/>
    </row>
    <row r="32" ht="17" customHeight="1">
      <c r="B32" s="26" t="inlineStr">
        <is>
          <t>3.1.4, Annex B</t>
        </is>
      </c>
      <c r="C32" s="24" t="inlineStr">
        <is>
          <t>Creep coefficient  φ(∞, t0)</t>
        </is>
      </c>
      <c r="D32" s="27" t="inlineStr">
        <is>
          <r>
            <rPr>
              <rFont val="Calibri"/>
              <i val="1"/>
              <color rgb="002B2B2B"/>
              <sz val="10"/>
            </rPr>
            <t>φ</t>
          </r>
        </is>
      </c>
      <c r="E32" s="31" t="n">
        <v>2</v>
      </c>
      <c r="F32" s="23" t="n"/>
      <c r="G32" s="23" t="n"/>
    </row>
    <row r="33" ht="17" customHeight="1">
      <c r="B33" s="26" t="inlineStr">
        <is>
          <t>3.1.3(2)</t>
        </is>
      </c>
      <c r="C33" s="24" t="inlineStr">
        <is>
          <t>Aggregate  (factor on Ecm)</t>
        </is>
      </c>
      <c r="D33" s="23" t="n"/>
      <c r="E33" s="25" t="inlineStr">
        <is>
          <t>Quartzite  (1.0)</t>
        </is>
      </c>
      <c r="F33" s="23" t="n"/>
      <c r="G33" s="23" t="n"/>
    </row>
    <row r="34" ht="17" customHeight="1">
      <c r="B34" s="26" t="inlineStr">
        <is>
          <t>Table 4.1</t>
        </is>
      </c>
      <c r="C34" s="24" t="inlineStr">
        <is>
          <t>Exposure class</t>
        </is>
      </c>
      <c r="D34" s="23" t="n"/>
      <c r="E34" s="25" t="inlineStr">
        <is>
          <t>XC1</t>
        </is>
      </c>
      <c r="F34" s="23" t="n"/>
      <c r="G34" s="23" t="n"/>
    </row>
    <row r="35" ht="17" customHeight="1">
      <c r="B35" s="26" t="inlineStr">
        <is>
          <t>7.2(5)</t>
        </is>
      </c>
      <c r="C35" s="24" t="inlineStr">
        <is>
          <t>Steel stress caused by</t>
        </is>
      </c>
      <c r="D35" s="23" t="n"/>
      <c r="E35" s="25" t="inlineStr">
        <is>
          <t>Loads  (k3 fyk)</t>
        </is>
      </c>
      <c r="F35" s="23" t="n"/>
      <c r="G35" s="23" t="n"/>
    </row>
    <row r="36" ht="17" customHeight="1">
      <c r="B36" s="26" t="inlineStr">
        <is>
          <t>7.1(2)</t>
        </is>
      </c>
      <c r="C36" s="24" t="inlineStr">
        <is>
          <t>Tensile strength for the uncracked check  fct,eff</t>
        </is>
      </c>
      <c r="D36" s="23" t="n"/>
      <c r="E36" s="25" t="inlineStr">
        <is>
          <t>fctm</t>
        </is>
      </c>
      <c r="F36" s="23" t="n"/>
      <c r="G36" s="26" t="inlineStr">
        <is>
          <t>fctm.fl: As,min on it too</t>
        </is>
      </c>
    </row>
    <row r="37" ht="17" customHeight="1">
      <c r="B37" s="26" t="inlineStr">
        <is>
          <t>7.1(2)</t>
        </is>
      </c>
      <c r="C37" s="24" t="inlineStr">
        <is>
          <t>Cracking</t>
        </is>
      </c>
      <c r="D37" s="23" t="n"/>
      <c r="E37" s="25" t="inlineStr">
        <is>
          <t>From the stresses  (7.1(2))</t>
        </is>
      </c>
      <c r="F37" s="23" t="n"/>
      <c r="G37" s="23" t="n"/>
    </row>
    <row r="38" ht="17" customHeight="1">
      <c r="B38" s="23" t="n"/>
      <c r="C38" s="24" t="inlineStr">
        <is>
          <t>Stress diagram shows</t>
        </is>
      </c>
      <c r="D38" s="23" t="n"/>
      <c r="E38" s="25" t="inlineStr">
        <is>
          <t>Characteristic  short term</t>
        </is>
      </c>
      <c r="F38" s="23" t="n"/>
      <c r="G38" s="23" t="n"/>
    </row>
    <row r="39" ht="17" customHeight="1">
      <c r="B39" s="23" t="n"/>
      <c r="C39" s="24" t="inlineStr">
        <is>
          <t>Inputs valid and consistent</t>
        </is>
      </c>
      <c r="D39" s="23" t="n"/>
      <c r="E39" s="9" t="n"/>
      <c r="F39" s="23" t="n"/>
      <c r="G39" s="32">
        <f>IF(inputs_ok,"OK","FAIL")</f>
        <v/>
      </c>
    </row>
    <row r="41" ht="22" customHeight="1">
      <c r="B41" s="20" t="inlineStr">
        <is>
          <t>Results</t>
        </is>
      </c>
      <c r="C41" s="21" t="n"/>
      <c r="D41" s="21" t="n"/>
      <c r="E41" s="21" t="n"/>
      <c r="F41" s="21" t="n"/>
      <c r="G41" s="21" t="n"/>
    </row>
    <row r="42" ht="26" customHeight="1">
      <c r="B42" s="33" t="n"/>
      <c r="C42" s="34" t="inlineStr">
        <is>
          <t>Section state  (largest flexural tension, uncracked: σct / fct,eff)</t>
        </is>
      </c>
      <c r="D42" s="33" t="n"/>
      <c r="E42" s="35">
        <f>IF(inputs_ok,sct_sl/fcte_sl,"–")</f>
        <v/>
      </c>
      <c r="F42" s="36" t="inlineStr"/>
      <c r="G42" s="37">
        <f>IF(NOT(inputs_ok),"FAIL",IF(NOT(scope_sl),"FAIL",IF(cracked_sl,"cracked","uncracked")))</f>
        <v/>
      </c>
    </row>
    <row r="43" ht="26" customHeight="1">
      <c r="B43" s="33" t="n"/>
      <c r="C43" s="34" t="inlineStr">
        <is>
          <t>Concrete, characteristic  σc ≤ k1 fck  (XD, XF, XS)</t>
        </is>
      </c>
      <c r="D43" s="38" t="inlineStr">
        <is>
          <r>
            <rPr>
              <rFont val="Calibri"/>
              <i val="1"/>
              <color rgb="002B2B2B"/>
              <sz val="11"/>
            </rPr>
            <t>σ</t>
          </r>
          <r>
            <rPr>
              <rFont val="Calibri"/>
              <i val="1"/>
              <color rgb="002B2B2B"/>
              <sz val="11"/>
              <vertAlign val="subscript"/>
            </rPr>
            <t>c,k</t>
          </r>
        </is>
      </c>
      <c r="E43" s="39">
        <f>IF(inputs_ok,IF(scope_sl,sck_sl,"–"),"–")</f>
        <v/>
      </c>
      <c r="F43" s="36" t="inlineStr">
        <is>
          <t>MPa</t>
        </is>
      </c>
      <c r="G43" s="37">
        <f>IF(NOT(inputs_ok),"FAIL",IF(NOT(scope_sl),"FAIL",IF(k1ap_sl,IF(sck_sl&lt;=lc1_sl,IF(stgw_sl,"! approximate","OK"),"FAIL"),"not required")))</f>
        <v/>
      </c>
    </row>
    <row r="44" ht="26" customHeight="1">
      <c r="B44" s="33" t="n"/>
      <c r="C44" s="34" t="inlineStr">
        <is>
          <t>Concrete, quasi-permanent  σc ≤ k2 fck  (linear creep)</t>
        </is>
      </c>
      <c r="D44" s="38" t="inlineStr">
        <is>
          <r>
            <rPr>
              <rFont val="Calibri"/>
              <i val="1"/>
              <color rgb="002B2B2B"/>
              <sz val="11"/>
            </rPr>
            <t>σ</t>
          </r>
          <r>
            <rPr>
              <rFont val="Calibri"/>
              <i val="1"/>
              <color rgb="002B2B2B"/>
              <sz val="11"/>
              <vertAlign val="subscript"/>
            </rPr>
            <t>c,qp</t>
          </r>
        </is>
      </c>
      <c r="E44" s="39">
        <f>IF(inputs_ok,IF(scope_sl,scq_sl,"–"),"–")</f>
        <v/>
      </c>
      <c r="F44" s="36" t="inlineStr">
        <is>
          <t>MPa</t>
        </is>
      </c>
      <c r="G44" s="37">
        <f>IF(NOT(inputs_ok),"FAIL",IF(NOT(scope_sl),"FAIL",IF(scq_sl&lt;=lc2_sl,"OK","! non-linear creep")))</f>
        <v/>
      </c>
    </row>
    <row r="45" ht="26" customHeight="1">
      <c r="B45" s="33" t="n"/>
      <c r="C45" s="34" t="inlineStr">
        <is>
          <t>Reinforcement, characteristic  σs ≤ k3 fyk  (k4 fyk)</t>
        </is>
      </c>
      <c r="D45" s="38" t="inlineStr">
        <is>
          <r>
            <rPr>
              <rFont val="Calibri"/>
              <i val="1"/>
              <color rgb="002B2B2B"/>
              <sz val="11"/>
            </rPr>
            <t>σ</t>
          </r>
          <r>
            <rPr>
              <rFont val="Calibri"/>
              <i val="1"/>
              <color rgb="002B2B2B"/>
              <sz val="11"/>
              <vertAlign val="subscript"/>
            </rPr>
            <t>s,k</t>
          </r>
        </is>
      </c>
      <c r="E45" s="40">
        <f>IF(inputs_ok,IF(scope_sl,ssk_sl,"–"),"–")</f>
        <v/>
      </c>
      <c r="F45" s="36" t="inlineStr">
        <is>
          <t>MPa</t>
        </is>
      </c>
      <c r="G45" s="37">
        <f>IF(NOT(inputs_ok),"FAIL",IF(NOT(scope_sl),"FAIL",IF(ssk_sl&lt;=ls_sl,IF(stgw_sl,"! approximate","OK"),"FAIL")))</f>
        <v/>
      </c>
    </row>
    <row r="46" ht="26" customHeight="1">
      <c r="B46" s="33" t="n"/>
      <c r="C46" s="34" t="inlineStr">
        <is>
          <t>Reinforcement, quasi-permanent, cracked  (crack control)</t>
        </is>
      </c>
      <c r="D46" s="38" t="inlineStr">
        <is>
          <r>
            <rPr>
              <rFont val="Calibri"/>
              <i val="1"/>
              <color rgb="002B2B2B"/>
              <sz val="11"/>
            </rPr>
            <t>σ</t>
          </r>
          <r>
            <rPr>
              <rFont val="Calibri"/>
              <i val="1"/>
              <color rgb="002B2B2B"/>
              <sz val="11"/>
              <vertAlign val="subscript"/>
            </rPr>
            <t>s,qp</t>
          </r>
        </is>
      </c>
      <c r="E46" s="40">
        <f>IF(inputs_ok,IF(scope_sl,ssq_sl,"–"),"–")</f>
        <v/>
      </c>
      <c r="F46" s="36" t="inlineStr">
        <is>
          <t>MPa</t>
        </is>
      </c>
      <c r="G46" s="33" t="n"/>
    </row>
    <row r="47" ht="26" customHeight="1">
      <c r="B47" s="33" t="n"/>
      <c r="C47" s="34" t="inlineStr">
        <is>
          <t>Largest bar stress  ≤ fyk  (elastic analysis valid)</t>
        </is>
      </c>
      <c r="D47" s="38" t="inlineStr">
        <is>
          <r>
            <rPr>
              <rFont val="Calibri"/>
              <i val="1"/>
              <color rgb="002B2B2B"/>
              <sz val="11"/>
            </rPr>
            <t>|σ</t>
          </r>
          <r>
            <rPr>
              <rFont val="Calibri"/>
              <i val="1"/>
              <color rgb="002B2B2B"/>
              <sz val="11"/>
              <vertAlign val="subscript"/>
            </rPr>
            <t>s|</t>
          </r>
        </is>
      </c>
      <c r="E47" s="40">
        <f>IF(inputs_ok,IF(scope_sl,scmax_sl,"–"),"–")</f>
        <v/>
      </c>
      <c r="F47" s="36" t="inlineStr">
        <is>
          <t>MPa</t>
        </is>
      </c>
      <c r="G47" s="37">
        <f>IF(NOT(inputs_ok),"FAIL",IF(NOT(scope_sl),"FAIL",IF(scmax_sl&lt;=fyk_sl,"OK","FAIL")))</f>
        <v/>
      </c>
    </row>
    <row r="48" ht="26" customHeight="1">
      <c r="B48" s="33" t="n"/>
      <c r="C48" s="34" t="inlineStr">
        <is>
          <t>Smallest clear gap between bars  ≥ max(φ; 20 mm)</t>
        </is>
      </c>
      <c r="D48" s="33" t="n"/>
      <c r="E48" s="40">
        <f>IF(inputs_ok,IF(gapmin_sl&lt;1E9,gapmin_sl,"–"),"–")</f>
        <v/>
      </c>
      <c r="F48" s="36" t="inlineStr">
        <is>
          <t>mm</t>
        </is>
      </c>
      <c r="G48" s="37">
        <f>IF(NOT(inputs_ok),"FAIL",IF(AND(gokt_sl,gokb_sl,gokv_sl),"OK","! bar spacing"))</f>
        <v/>
      </c>
    </row>
    <row r="49"/>
    <row r="50">
      <c r="B50" s="41" t="inlineStr">
        <is>
          <t>Your section, to scale  ·  stresses of the case chosen above (concrete solid, the strain line dashed, bars at σs / αe)</t>
        </is>
      </c>
    </row>
    <row r="51"/>
    <row r="52"/>
    <row r="53"/>
    <row r="54"/>
    <row r="55"/>
    <row r="56"/>
    <row r="57"/>
    <row r="58"/>
    <row r="59"/>
    <row r="60"/>
    <row r="61"/>
    <row r="62"/>
    <row r="63"/>
    <row r="64"/>
    <row r="65"/>
    <row r="66"/>
    <row r="67"/>
    <row r="68"/>
    <row r="69"/>
    <row r="70"/>
    <row r="71"/>
    <row r="72"/>
    <row r="73"/>
    <row r="74" ht="22" customHeight="1">
      <c r="B74" s="20" t="inlineStr">
        <is>
          <t>Calculation  ·  materials</t>
        </is>
      </c>
      <c r="C74" s="21" t="n"/>
      <c r="D74" s="21" t="n"/>
      <c r="E74" s="21" t="n"/>
      <c r="F74" s="21" t="n"/>
      <c r="G74" s="21" t="n"/>
    </row>
    <row r="75" ht="17" customHeight="1">
      <c r="B75" s="26" t="inlineStr">
        <is>
          <t>7.2(2)</t>
        </is>
      </c>
      <c r="C75" s="24" t="inlineStr">
        <is>
          <t>Concrete stress factor, characteristic</t>
        </is>
      </c>
      <c r="D75" s="27" t="inlineStr">
        <is>
          <r>
            <rPr>
              <rFont val="Calibri"/>
              <i val="1"/>
              <color rgb="002B2B2B"/>
              <sz val="10"/>
            </rPr>
            <t>k</t>
          </r>
          <r>
            <rPr>
              <rFont val="Calibri"/>
              <i val="1"/>
              <color rgb="002B2B2B"/>
              <sz val="10"/>
              <vertAlign val="subscript"/>
            </rPr>
            <t>1</t>
          </r>
        </is>
      </c>
      <c r="E75" s="42">
        <f>IF(inputs_ok,ndp_k1_sl,NA())</f>
        <v/>
      </c>
      <c r="F75" s="23" t="n"/>
      <c r="G75" s="26" t="inlineStr">
        <is>
          <t>NDP sheet</t>
        </is>
      </c>
    </row>
    <row r="76" ht="17" customHeight="1">
      <c r="B76" s="26" t="inlineStr">
        <is>
          <t>7.2(3)</t>
        </is>
      </c>
      <c r="C76" s="24" t="inlineStr">
        <is>
          <t>Concrete stress factor, linear creep</t>
        </is>
      </c>
      <c r="D76" s="27" t="inlineStr">
        <is>
          <r>
            <rPr>
              <rFont val="Calibri"/>
              <i val="1"/>
              <color rgb="002B2B2B"/>
              <sz val="10"/>
            </rPr>
            <t>k</t>
          </r>
          <r>
            <rPr>
              <rFont val="Calibri"/>
              <i val="1"/>
              <color rgb="002B2B2B"/>
              <sz val="10"/>
              <vertAlign val="subscript"/>
            </rPr>
            <t>2</t>
          </r>
        </is>
      </c>
      <c r="E76" s="42">
        <f>IF(inputs_ok,ndp_k2_sl,NA())</f>
        <v/>
      </c>
      <c r="F76" s="23" t="n"/>
      <c r="G76" s="26" t="inlineStr">
        <is>
          <t>NDP sheet</t>
        </is>
      </c>
    </row>
    <row r="77" ht="17" customHeight="1">
      <c r="B77" s="26" t="inlineStr">
        <is>
          <t>7.2(5)</t>
        </is>
      </c>
      <c r="C77" s="24" t="inlineStr">
        <is>
          <t>Steel stress factor, characteristic</t>
        </is>
      </c>
      <c r="D77" s="27" t="inlineStr">
        <is>
          <r>
            <rPr>
              <rFont val="Calibri"/>
              <i val="1"/>
              <color rgb="002B2B2B"/>
              <sz val="10"/>
            </rPr>
            <t>k</t>
          </r>
          <r>
            <rPr>
              <rFont val="Calibri"/>
              <i val="1"/>
              <color rgb="002B2B2B"/>
              <sz val="10"/>
              <vertAlign val="subscript"/>
            </rPr>
            <t>3</t>
          </r>
        </is>
      </c>
      <c r="E77" s="42">
        <f>IF(inputs_ok,ndp_k3_sl,NA())</f>
        <v/>
      </c>
      <c r="F77" s="23" t="n"/>
      <c r="G77" s="26" t="inlineStr">
        <is>
          <t>NDP sheet</t>
        </is>
      </c>
    </row>
    <row r="78" ht="17" customHeight="1">
      <c r="B78" s="26" t="inlineStr">
        <is>
          <t>7.2(5)</t>
        </is>
      </c>
      <c r="C78" s="24" t="inlineStr">
        <is>
          <t>Steel stress factor, imposed deformation</t>
        </is>
      </c>
      <c r="D78" s="27" t="inlineStr">
        <is>
          <r>
            <rPr>
              <rFont val="Calibri"/>
              <i val="1"/>
              <color rgb="002B2B2B"/>
              <sz val="10"/>
            </rPr>
            <t>k</t>
          </r>
          <r>
            <rPr>
              <rFont val="Calibri"/>
              <i val="1"/>
              <color rgb="002B2B2B"/>
              <sz val="10"/>
              <vertAlign val="subscript"/>
            </rPr>
            <t>4</t>
          </r>
        </is>
      </c>
      <c r="E78" s="42">
        <f>IF(inputs_ok,ndp_k4_sl,NA())</f>
        <v/>
      </c>
      <c r="F78" s="23" t="n"/>
      <c r="G78" s="26" t="inlineStr">
        <is>
          <t>NDP sheet</t>
        </is>
      </c>
    </row>
    <row r="79" ht="17" customHeight="1">
      <c r="B79" s="26" t="inlineStr">
        <is>
          <t>Table 3.1</t>
        </is>
      </c>
      <c r="C79" s="24" t="inlineStr">
        <is>
          <t>Characteristic cylinder strength</t>
        </is>
      </c>
      <c r="D79" s="27" t="inlineStr">
        <is>
          <r>
            <rPr>
              <rFont val="Calibri"/>
              <i val="1"/>
              <color rgb="002B2B2B"/>
              <sz val="10"/>
            </rPr>
            <t>f</t>
          </r>
          <r>
            <rPr>
              <rFont val="Calibri"/>
              <i val="1"/>
              <color rgb="002B2B2B"/>
              <sz val="10"/>
              <vertAlign val="subscript"/>
            </rPr>
            <t>ck</t>
          </r>
        </is>
      </c>
      <c r="E79" s="43">
        <f>IF(inputs_ok,VALUE(MID(conc_class,2,FIND("/",conc_class)-2)),NA())</f>
        <v/>
      </c>
      <c r="F79" s="28" t="inlineStr">
        <is>
          <t>MPa</t>
        </is>
      </c>
      <c r="G79" s="23" t="n"/>
    </row>
    <row r="80" ht="17" customHeight="1">
      <c r="B80" s="26" t="inlineStr">
        <is>
          <t>Table 3.1</t>
        </is>
      </c>
      <c r="C80" s="24" t="inlineStr">
        <is>
          <t>Mean tensile strength</t>
        </is>
      </c>
      <c r="D80" s="27" t="inlineStr">
        <is>
          <r>
            <rPr>
              <rFont val="Calibri"/>
              <i val="1"/>
              <color rgb="002B2B2B"/>
              <sz val="10"/>
            </rPr>
            <t>f</t>
          </r>
          <r>
            <rPr>
              <rFont val="Calibri"/>
              <i val="1"/>
              <color rgb="002B2B2B"/>
              <sz val="10"/>
              <vertAlign val="subscript"/>
            </rPr>
            <t>ctm</t>
          </r>
        </is>
      </c>
      <c r="E80" s="42">
        <f>IF(inputs_ok,IF(f_ck&lt;=50,0.3*f_ck^(2/3),2.12*LN(1+(f_ck+8)/10)),NA())</f>
        <v/>
      </c>
      <c r="F80" s="28" t="inlineStr">
        <is>
          <t>MPa</t>
        </is>
      </c>
      <c r="G80" s="23" t="n"/>
    </row>
    <row r="81" ht="17" customHeight="1">
      <c r="B81" s="26" t="inlineStr">
        <is>
          <t>3.1.3(2)</t>
        </is>
      </c>
      <c r="C81" s="24" t="inlineStr">
        <is>
          <t>Aggregate factor  (quartzite 1.0, limestone 0.9, sandstone 0.7, basalt 1.2)</t>
        </is>
      </c>
      <c r="D81" s="23" t="n"/>
      <c r="E81" s="44">
        <f>IF(inputs_ok,IF(agg_sl="Quartzite  (1.0)",1,IF(agg_sl="Limestone  (0.9)",0.9,IF(agg_sl="Sandstone  (0.7)",0.7,1.2))),NA())</f>
        <v/>
      </c>
      <c r="F81" s="23" t="n"/>
      <c r="G81" s="23" t="n"/>
    </row>
    <row r="82" ht="17" customHeight="1">
      <c r="B82" s="26" t="inlineStr">
        <is>
          <t>Table 3.1</t>
        </is>
      </c>
      <c r="C82" s="24" t="inlineStr">
        <is>
          <t>Mean modulus  22 (fcm / 10)^0.3 × factor</t>
        </is>
      </c>
      <c r="D82" s="27" t="inlineStr">
        <is>
          <r>
            <rPr>
              <rFont val="Calibri"/>
              <i val="1"/>
              <color rgb="002B2B2B"/>
              <sz val="10"/>
            </rPr>
            <t>E</t>
          </r>
          <r>
            <rPr>
              <rFont val="Calibri"/>
              <i val="1"/>
              <color rgb="002B2B2B"/>
              <sz val="10"/>
              <vertAlign val="subscript"/>
            </rPr>
            <t>cm</t>
          </r>
        </is>
      </c>
      <c r="E82" s="43">
        <f>IF(inputs_ok,aggf_sl*22000*((f_ck+8)/10)^0.3,NA())</f>
        <v/>
      </c>
      <c r="F82" s="28" t="inlineStr">
        <is>
          <t>MPa</t>
        </is>
      </c>
      <c r="G82" s="23" t="n"/>
    </row>
    <row r="83" ht="17" customHeight="1">
      <c r="B83" s="26" t="inlineStr">
        <is>
          <t>(3.23)</t>
        </is>
      </c>
      <c r="C83" s="24" t="inlineStr">
        <is>
          <t>Flexural tensile strength  max((1.6 − h/1000) fctm; fctm)</t>
        </is>
      </c>
      <c r="D83" s="27" t="inlineStr">
        <is>
          <r>
            <rPr>
              <rFont val="Calibri"/>
              <i val="1"/>
              <color rgb="002B2B2B"/>
              <sz val="10"/>
            </rPr>
            <t>f</t>
          </r>
          <r>
            <rPr>
              <rFont val="Calibri"/>
              <i val="1"/>
              <color rgb="002B2B2B"/>
              <sz val="10"/>
              <vertAlign val="subscript"/>
            </rPr>
            <t>ctm,fl</t>
          </r>
        </is>
      </c>
      <c r="E83" s="42">
        <f>IF(inputs_ok,MAX((1.6-h_sl/1000)*f_ctm,f_ctm),NA())</f>
        <v/>
      </c>
      <c r="F83" s="28" t="inlineStr">
        <is>
          <t>MPa</t>
        </is>
      </c>
      <c r="G83" s="23" t="n"/>
    </row>
    <row r="84" ht="17" customHeight="1">
      <c r="B84" s="26" t="inlineStr">
        <is>
          <t>7.1(2)</t>
        </is>
      </c>
      <c r="C84" s="24" t="inlineStr">
        <is>
          <t>Tensile strength for the uncracked check</t>
        </is>
      </c>
      <c r="D84" s="27" t="inlineStr">
        <is>
          <r>
            <rPr>
              <rFont val="Calibri"/>
              <i val="1"/>
              <color rgb="002B2B2B"/>
              <sz val="10"/>
            </rPr>
            <t>f</t>
          </r>
          <r>
            <rPr>
              <rFont val="Calibri"/>
              <i val="1"/>
              <color rgb="002B2B2B"/>
              <sz val="10"/>
              <vertAlign val="subscript"/>
            </rPr>
            <t>ct,eff</t>
          </r>
        </is>
      </c>
      <c r="E84" s="42">
        <f>IF(inputs_ok,IF(fct_sl="fctm",f_ctm,fctfl_sl),NA())</f>
        <v/>
      </c>
      <c r="F84" s="28" t="inlineStr">
        <is>
          <t>MPa</t>
        </is>
      </c>
      <c r="G84" s="23" t="n"/>
    </row>
    <row r="85" ht="17" customHeight="1">
      <c r="B85" s="26" t="inlineStr">
        <is>
          <t>3.2.7(4)</t>
        </is>
      </c>
      <c r="C85" s="24" t="inlineStr">
        <is>
          <t>Modulus of the reinforcement</t>
        </is>
      </c>
      <c r="D85" s="27" t="inlineStr">
        <is>
          <r>
            <rPr>
              <rFont val="Calibri"/>
              <i val="1"/>
              <color rgb="002B2B2B"/>
              <sz val="10"/>
            </rPr>
            <t>E</t>
          </r>
          <r>
            <rPr>
              <rFont val="Calibri"/>
              <i val="1"/>
              <color rgb="002B2B2B"/>
              <sz val="10"/>
              <vertAlign val="subscript"/>
            </rPr>
            <t>s</t>
          </r>
        </is>
      </c>
      <c r="E85" s="43" t="n">
        <v>200000</v>
      </c>
      <c r="F85" s="28" t="inlineStr">
        <is>
          <t>MPa</t>
        </is>
      </c>
      <c r="G85" s="23" t="n"/>
    </row>
    <row r="86" ht="17" customHeight="1">
      <c r="B86" s="26" t="inlineStr">
        <is>
          <t>(7.20)</t>
        </is>
      </c>
      <c r="C86" s="24" t="inlineStr">
        <is>
          <t>Effective modulus  Ecm / (1 + φ)</t>
        </is>
      </c>
      <c r="D86" s="27" t="inlineStr">
        <is>
          <r>
            <rPr>
              <rFont val="Calibri"/>
              <i val="1"/>
              <color rgb="002B2B2B"/>
              <sz val="10"/>
            </rPr>
            <t>E</t>
          </r>
          <r>
            <rPr>
              <rFont val="Calibri"/>
              <i val="1"/>
              <color rgb="002B2B2B"/>
              <sz val="10"/>
              <vertAlign val="subscript"/>
            </rPr>
            <t>c,eff</t>
          </r>
        </is>
      </c>
      <c r="E86" s="43">
        <f>IF(inputs_ok,Ecm_sl/(1+phi_sl),NA())</f>
        <v/>
      </c>
      <c r="F86" s="28" t="inlineStr">
        <is>
          <t>MPa</t>
        </is>
      </c>
      <c r="G86" s="23" t="n"/>
    </row>
    <row r="87" ht="17" customHeight="1">
      <c r="B87" s="23" t="n"/>
      <c r="C87" s="24" t="inlineStr">
        <is>
          <t>Modular ratio, short term  Es / Ecm</t>
        </is>
      </c>
      <c r="D87" s="27" t="inlineStr">
        <is>
          <r>
            <rPr>
              <rFont val="Calibri"/>
              <i val="1"/>
              <color rgb="002B2B2B"/>
              <sz val="10"/>
            </rPr>
            <t>α</t>
          </r>
          <r>
            <rPr>
              <rFont val="Calibri"/>
              <i val="1"/>
              <color rgb="002B2B2B"/>
              <sz val="10"/>
              <vertAlign val="subscript"/>
            </rPr>
            <t>e,S</t>
          </r>
        </is>
      </c>
      <c r="E87" s="42">
        <f>IF(inputs_ok,Es_sl/Ecm_sl,NA())</f>
        <v/>
      </c>
      <c r="F87" s="23" t="n"/>
      <c r="G87" s="23" t="n"/>
    </row>
    <row r="88" ht="17" customHeight="1">
      <c r="B88" s="26" t="inlineStr">
        <is>
          <t>7.4.3(5)</t>
        </is>
      </c>
      <c r="C88" s="24" t="inlineStr">
        <is>
          <t>Modular ratio, long term  Es / Ec,eff</t>
        </is>
      </c>
      <c r="D88" s="27" t="inlineStr">
        <is>
          <r>
            <rPr>
              <rFont val="Calibri"/>
              <i val="1"/>
              <color rgb="002B2B2B"/>
              <sz val="10"/>
            </rPr>
            <t>α</t>
          </r>
          <r>
            <rPr>
              <rFont val="Calibri"/>
              <i val="1"/>
              <color rgb="002B2B2B"/>
              <sz val="10"/>
              <vertAlign val="subscript"/>
            </rPr>
            <t>e,L</t>
          </r>
        </is>
      </c>
      <c r="E88" s="42">
        <f>IF(inputs_ok,Es_sl/Ece_sl,NA())</f>
        <v/>
      </c>
      <c r="F88" s="23" t="n"/>
      <c r="G88" s="23" t="n"/>
    </row>
    <row r="89" ht="17" customHeight="1">
      <c r="B89" s="26" t="inlineStr">
        <is>
          <t>5.8.4(2)</t>
        </is>
      </c>
      <c r="C89" s="24" t="inlineStr">
        <is>
          <t>Mixed, creep φ Mqp / Mk  (Nqp / Nk when Mk = 0)</t>
        </is>
      </c>
      <c r="D89" s="27" t="inlineStr">
        <is>
          <r>
            <rPr>
              <rFont val="Calibri"/>
              <i val="1"/>
              <color rgb="002B2B2B"/>
              <sz val="10"/>
            </rPr>
            <t>α</t>
          </r>
          <r>
            <rPr>
              <rFont val="Calibri"/>
              <i val="1"/>
              <color rgb="002B2B2B"/>
              <sz val="10"/>
              <vertAlign val="subscript"/>
            </rPr>
            <t>e,M</t>
          </r>
        </is>
      </c>
      <c r="E89" s="42">
        <f>IF(inputs_ok,Es_sl*(1+phi_sl*IF(Mk_sl&gt;0,Mqp_sl/Mk_sl,IF(Nk_sl&gt;0,Nqp_sl/Nk_sl,1)))/Ecm_sl,NA())</f>
        <v/>
      </c>
      <c r="F89" s="23" t="n"/>
      <c r="G89" s="23" t="n"/>
    </row>
    <row r="90"/>
    <row r="91" ht="22" customHeight="1">
      <c r="B91" s="20" t="inlineStr">
        <is>
          <t>Calculation  ·  section  (depths y from the compressed face)</t>
        </is>
      </c>
      <c r="C91" s="21" t="n"/>
      <c r="D91" s="21" t="n"/>
      <c r="E91" s="21" t="n"/>
      <c r="F91" s="21" t="n"/>
      <c r="G91" s="21" t="n"/>
    </row>
    <row r="92" ht="17" customHeight="1">
      <c r="B92" s="23" t="n"/>
      <c r="C92" s="24" t="inlineStr">
        <is>
          <t>Gross concrete area  bw h + (bf − bw) hf</t>
        </is>
      </c>
      <c r="D92" s="27" t="inlineStr">
        <is>
          <r>
            <rPr>
              <rFont val="Calibri"/>
              <i val="1"/>
              <color rgb="002B2B2B"/>
              <sz val="10"/>
            </rPr>
            <t>A</t>
          </r>
          <r>
            <rPr>
              <rFont val="Calibri"/>
              <i val="1"/>
              <color rgb="002B2B2B"/>
              <sz val="10"/>
              <vertAlign val="subscript"/>
            </rPr>
            <t>c</t>
          </r>
        </is>
      </c>
      <c r="E92" s="43">
        <f>IF(inputs_ok,bw_sl*h_sl+ov_sl*hfe_sl,NA())</f>
        <v/>
      </c>
      <c r="F92" s="28" t="inlineStr">
        <is>
          <t>mm²</t>
        </is>
      </c>
      <c r="G92" s="23" t="n"/>
    </row>
    <row r="93" ht="17" customHeight="1">
      <c r="B93" s="23" t="n"/>
      <c r="C93" s="24" t="inlineStr">
        <is>
          <t>Its centroid below the top face</t>
        </is>
      </c>
      <c r="D93" s="27" t="inlineStr">
        <is>
          <r>
            <rPr>
              <rFont val="Calibri"/>
              <i val="1"/>
              <color rgb="002B2B2B"/>
              <sz val="10"/>
            </rPr>
            <t>y</t>
          </r>
          <r>
            <rPr>
              <rFont val="Calibri"/>
              <i val="1"/>
              <color rgb="002B2B2B"/>
              <sz val="10"/>
              <vertAlign val="subscript"/>
            </rPr>
            <t>g</t>
          </r>
        </is>
      </c>
      <c r="E93" s="44">
        <f>IF(inputs_ok,(bw_sl*h_sl^2/2+ov_sl*hfe_sl^2/2)/Ac_sl,NA())</f>
        <v/>
      </c>
      <c r="F93" s="28" t="inlineStr">
        <is>
          <t>mm</t>
        </is>
      </c>
      <c r="G93" s="23" t="n"/>
    </row>
    <row r="94" ht="17" customHeight="1">
      <c r="B94" s="23" t="n"/>
      <c r="C94" s="24" t="inlineStr">
        <is>
          <t>Its second moment of area</t>
        </is>
      </c>
      <c r="D94" s="27" t="inlineStr">
        <is>
          <r>
            <rPr>
              <rFont val="Calibri"/>
              <i val="1"/>
              <color rgb="002B2B2B"/>
              <sz val="10"/>
            </rPr>
            <t>I</t>
          </r>
          <r>
            <rPr>
              <rFont val="Calibri"/>
              <i val="1"/>
              <color rgb="002B2B2B"/>
              <sz val="10"/>
              <vertAlign val="subscript"/>
            </rPr>
            <t>c</t>
          </r>
        </is>
      </c>
      <c r="E94" s="45">
        <f>IF(inputs_ok,bw_sl*h_sl^3/12+bw_sl*h_sl*(h_sl/2-yg_sl)^2+ov_sl*hfe_sl^3/12+ov_sl*hfe_sl*(hfe_sl/2-yg_sl)^2,NA())</f>
        <v/>
      </c>
      <c r="F94" s="28" t="inlineStr">
        <is>
          <t>mm⁴</t>
        </is>
      </c>
      <c r="G94" s="23" t="n"/>
    </row>
    <row r="95" ht="17" customHeight="1">
      <c r="B95" s="23" t="n"/>
      <c r="C95" s="24" t="inlineStr">
        <is>
          <t>Top bars  nt π φt² / 4</t>
        </is>
      </c>
      <c r="D95" s="27" t="inlineStr">
        <is>
          <r>
            <rPr>
              <rFont val="Calibri"/>
              <i val="1"/>
              <color rgb="002B2B2B"/>
              <sz val="10"/>
            </rPr>
            <t>A</t>
          </r>
          <r>
            <rPr>
              <rFont val="Calibri"/>
              <i val="1"/>
              <color rgb="002B2B2B"/>
              <sz val="10"/>
              <vertAlign val="subscript"/>
            </rPr>
            <t>s,t</t>
          </r>
        </is>
      </c>
      <c r="E95" s="43">
        <f>IF(inputs_ok,nt_sl*PI()*pt_sl^2/4,NA())</f>
        <v/>
      </c>
      <c r="F95" s="28" t="inlineStr">
        <is>
          <t>mm²</t>
        </is>
      </c>
      <c r="G95" s="23" t="n"/>
    </row>
    <row r="96" ht="17" customHeight="1">
      <c r="B96" s="23" t="n"/>
      <c r="C96" s="24" t="inlineStr">
        <is>
          <t>Bottom bars  nb π φb² / 4</t>
        </is>
      </c>
      <c r="D96" s="27" t="inlineStr">
        <is>
          <r>
            <rPr>
              <rFont val="Calibri"/>
              <i val="1"/>
              <color rgb="002B2B2B"/>
              <sz val="10"/>
            </rPr>
            <t>A</t>
          </r>
          <r>
            <rPr>
              <rFont val="Calibri"/>
              <i val="1"/>
              <color rgb="002B2B2B"/>
              <sz val="10"/>
              <vertAlign val="subscript"/>
            </rPr>
            <t>s,b</t>
          </r>
        </is>
      </c>
      <c r="E96" s="43">
        <f>IF(inputs_ok,nb_sl*PI()*pb_sl^2/4,NA())</f>
        <v/>
      </c>
      <c r="F96" s="28" t="inlineStr">
        <is>
          <t>mm²</t>
        </is>
      </c>
      <c r="G96" s="23" t="n"/>
    </row>
    <row r="97" ht="17" customHeight="1">
      <c r="B97" s="23" t="n"/>
      <c r="C97" s="24" t="inlineStr">
        <is>
          <t>Centroid of the gross section from the compressed face</t>
        </is>
      </c>
      <c r="D97" s="27" t="inlineStr">
        <is>
          <r>
            <rPr>
              <rFont val="Calibri"/>
              <i val="1"/>
              <color rgb="002B2B2B"/>
              <sz val="10"/>
            </rPr>
            <t>y</t>
          </r>
          <r>
            <rPr>
              <rFont val="Calibri"/>
              <i val="1"/>
              <color rgb="002B2B2B"/>
              <sz val="10"/>
              <vertAlign val="subscript"/>
            </rPr>
            <t>c</t>
          </r>
        </is>
      </c>
      <c r="E97" s="44">
        <f>IF(inputs_ok,IF(sag_sl,yg_sl,h_sl-yg_sl),NA())</f>
        <v/>
      </c>
      <c r="F97" s="28" t="inlineStr">
        <is>
          <t>mm</t>
        </is>
      </c>
      <c r="G97" s="23" t="n"/>
    </row>
    <row r="98" ht="17" customHeight="1">
      <c r="B98" s="23" t="n"/>
      <c r="C98" s="24" t="inlineStr">
        <is>
          <t>Bars at the compressed face  (area)</t>
        </is>
      </c>
      <c r="D98" s="27" t="inlineStr">
        <is>
          <r>
            <rPr>
              <rFont val="Calibri"/>
              <i val="1"/>
              <color rgb="002B2B2B"/>
              <sz val="10"/>
            </rPr>
            <t>A</t>
          </r>
          <r>
            <rPr>
              <rFont val="Calibri"/>
              <i val="1"/>
              <color rgb="002B2B2B"/>
              <sz val="10"/>
              <vertAlign val="subscript"/>
            </rPr>
            <t>s2</t>
          </r>
        </is>
      </c>
      <c r="E98" s="43">
        <f>IF(inputs_ok,IF(sag_sl,At_sl,Ab_sl),NA())</f>
        <v/>
      </c>
      <c r="F98" s="28" t="inlineStr">
        <is>
          <t>mm²</t>
        </is>
      </c>
      <c r="G98" s="23" t="n"/>
    </row>
    <row r="99" ht="17" customHeight="1">
      <c r="B99" s="23" t="n"/>
      <c r="C99" s="24" t="inlineStr">
        <is>
          <t>Their depth  c + φw + φ/2</t>
        </is>
      </c>
      <c r="D99" s="27" t="inlineStr">
        <is>
          <r>
            <rPr>
              <rFont val="Calibri"/>
              <i val="1"/>
              <color rgb="002B2B2B"/>
              <sz val="10"/>
            </rPr>
            <t>d</t>
          </r>
          <r>
            <rPr>
              <rFont val="Calibri"/>
              <i val="1"/>
              <color rgb="002B2B2B"/>
              <sz val="10"/>
              <vertAlign val="subscript"/>
            </rPr>
            <t>2</t>
          </r>
        </is>
      </c>
      <c r="E99" s="44">
        <f>IF(inputs_ok,IF(sag_sl,dt_sl,db_sl),NA())</f>
        <v/>
      </c>
      <c r="F99" s="28" t="inlineStr">
        <is>
          <t>mm</t>
        </is>
      </c>
      <c r="G99" s="23" t="n"/>
    </row>
    <row r="100" ht="17" customHeight="1">
      <c r="B100" s="23" t="n"/>
      <c r="C100" s="24" t="inlineStr">
        <is>
          <t>Bars at the tension face  (area)</t>
        </is>
      </c>
      <c r="D100" s="27" t="inlineStr">
        <is>
          <r>
            <rPr>
              <rFont val="Calibri"/>
              <i val="1"/>
              <color rgb="002B2B2B"/>
              <sz val="10"/>
            </rPr>
            <t>A</t>
          </r>
          <r>
            <rPr>
              <rFont val="Calibri"/>
              <i val="1"/>
              <color rgb="002B2B2B"/>
              <sz val="10"/>
              <vertAlign val="subscript"/>
            </rPr>
            <t>s</t>
          </r>
        </is>
      </c>
      <c r="E100" s="43">
        <f>IF(inputs_ok,IF(sag_sl,Ab_sl,At_sl),NA())</f>
        <v/>
      </c>
      <c r="F100" s="28" t="inlineStr">
        <is>
          <t>mm²</t>
        </is>
      </c>
      <c r="G100" s="23" t="n"/>
    </row>
    <row r="101" ht="17" customHeight="1">
      <c r="B101" s="23" t="n"/>
      <c r="C101" s="24" t="inlineStr">
        <is>
          <t>Effective depth  h − c − φw − φ/2</t>
        </is>
      </c>
      <c r="D101" s="27" t="inlineStr">
        <is>
          <r>
            <rPr>
              <rFont val="Calibri"/>
              <i val="1"/>
              <color rgb="002B2B2B"/>
              <sz val="10"/>
            </rPr>
            <t>d</t>
          </r>
        </is>
      </c>
      <c r="E101" s="44">
        <f>IF(inputs_ok,h_sl-IF(sag_sl,db_sl,dt_sl),NA())</f>
        <v/>
      </c>
      <c r="F101" s="28" t="inlineStr">
        <is>
          <t>mm</t>
        </is>
      </c>
      <c r="G101" s="23" t="n"/>
    </row>
    <row r="102"/>
    <row r="103" ht="22" customHeight="1">
      <c r="B103" s="20" t="inlineStr">
        <is>
          <t>Calculation  ·  uncracked section  (transformed; + compression, − tension)</t>
        </is>
      </c>
      <c r="C103" s="21" t="n"/>
      <c r="D103" s="21" t="n"/>
      <c r="E103" s="21" t="n"/>
      <c r="F103" s="21" t="n"/>
      <c r="G103" s="21" t="n"/>
    </row>
    <row r="104" ht="17" customHeight="1">
      <c r="B104" s="23" t="n"/>
      <c r="C104" s="24" t="inlineStr">
        <is>
          <t>Transformed area, short term  Ac + (αe − 1)(As + As2)</t>
        </is>
      </c>
      <c r="D104" s="27" t="inlineStr">
        <is>
          <r>
            <rPr>
              <rFont val="Calibri"/>
              <i val="1"/>
              <color rgb="002B2B2B"/>
              <sz val="10"/>
            </rPr>
            <t>A</t>
          </r>
          <r>
            <rPr>
              <rFont val="Calibri"/>
              <i val="1"/>
              <color rgb="002B2B2B"/>
              <sz val="10"/>
              <vertAlign val="subscript"/>
            </rPr>
            <t>I,S</t>
          </r>
        </is>
      </c>
      <c r="E104" s="43">
        <f>IF(inputs_ok,Ac_sl+(aeS_sl-1)*(A1_sl+A2_sl),NA())</f>
        <v/>
      </c>
      <c r="F104" s="28" t="inlineStr">
        <is>
          <t>mm²</t>
        </is>
      </c>
      <c r="G104" s="23" t="n"/>
    </row>
    <row r="105" ht="17" customHeight="1">
      <c r="B105" s="23" t="n"/>
      <c r="C105" s="24" t="inlineStr">
        <is>
          <t>Its centroid from the compressed face</t>
        </is>
      </c>
      <c r="D105" s="27" t="inlineStr">
        <is>
          <r>
            <rPr>
              <rFont val="Calibri"/>
              <i val="1"/>
              <color rgb="002B2B2B"/>
              <sz val="10"/>
            </rPr>
            <t>y</t>
          </r>
          <r>
            <rPr>
              <rFont val="Calibri"/>
              <i val="1"/>
              <color rgb="002B2B2B"/>
              <sz val="10"/>
              <vertAlign val="subscript"/>
            </rPr>
            <t>I,S</t>
          </r>
        </is>
      </c>
      <c r="E105" s="44">
        <f>IF(inputs_ok,(Ac_sl*yc_sl+(aeS_sl-1)*(A1_sl*y1_sl+A2_sl*y2_sl))/AIS_sl,NA())</f>
        <v/>
      </c>
      <c r="F105" s="28" t="inlineStr">
        <is>
          <t>mm</t>
        </is>
      </c>
      <c r="G105" s="23" t="n"/>
    </row>
    <row r="106" ht="17" customHeight="1">
      <c r="B106" s="23" t="n"/>
      <c r="C106" s="24" t="inlineStr">
        <is>
          <t>Its second moment of area</t>
        </is>
      </c>
      <c r="D106" s="27" t="inlineStr">
        <is>
          <r>
            <rPr>
              <rFont val="Calibri"/>
              <i val="1"/>
              <color rgb="002B2B2B"/>
              <sz val="10"/>
            </rPr>
            <t>I</t>
          </r>
          <r>
            <rPr>
              <rFont val="Calibri"/>
              <i val="1"/>
              <color rgb="002B2B2B"/>
              <sz val="10"/>
              <vertAlign val="subscript"/>
            </rPr>
            <t>I,S</t>
          </r>
        </is>
      </c>
      <c r="E106" s="45">
        <f>IF(inputs_ok,Ic_sl+Ac_sl*(yc_sl-yIS_sl)^2+(aeS_sl-1)*(A1_sl*(y1_sl-yIS_sl)^2+A2_sl*(y2_sl-yIS_sl)^2),NA())</f>
        <v/>
      </c>
      <c r="F106" s="28" t="inlineStr">
        <is>
          <t>mm⁴</t>
        </is>
      </c>
      <c r="G106" s="23" t="n"/>
    </row>
    <row r="107" ht="17" customHeight="1">
      <c r="B107" s="23" t="n"/>
      <c r="C107" s="24" t="inlineStr">
        <is>
          <t>Transformed area, long term  Ac + (αe − 1)(As + As2)</t>
        </is>
      </c>
      <c r="D107" s="27" t="inlineStr">
        <is>
          <r>
            <rPr>
              <rFont val="Calibri"/>
              <i val="1"/>
              <color rgb="002B2B2B"/>
              <sz val="10"/>
            </rPr>
            <t>A</t>
          </r>
          <r>
            <rPr>
              <rFont val="Calibri"/>
              <i val="1"/>
              <color rgb="002B2B2B"/>
              <sz val="10"/>
              <vertAlign val="subscript"/>
            </rPr>
            <t>I,L</t>
          </r>
        </is>
      </c>
      <c r="E107" s="43">
        <f>IF(inputs_ok,Ac_sl+(aeL_sl-1)*(A1_sl+A2_sl),NA())</f>
        <v/>
      </c>
      <c r="F107" s="28" t="inlineStr">
        <is>
          <t>mm²</t>
        </is>
      </c>
      <c r="G107" s="23" t="n"/>
    </row>
    <row r="108" ht="17" customHeight="1">
      <c r="B108" s="23" t="n"/>
      <c r="C108" s="24" t="inlineStr">
        <is>
          <t>Its centroid from the compressed face</t>
        </is>
      </c>
      <c r="D108" s="27" t="inlineStr">
        <is>
          <r>
            <rPr>
              <rFont val="Calibri"/>
              <i val="1"/>
              <color rgb="002B2B2B"/>
              <sz val="10"/>
            </rPr>
            <t>y</t>
          </r>
          <r>
            <rPr>
              <rFont val="Calibri"/>
              <i val="1"/>
              <color rgb="002B2B2B"/>
              <sz val="10"/>
              <vertAlign val="subscript"/>
            </rPr>
            <t>I,L</t>
          </r>
        </is>
      </c>
      <c r="E108" s="44">
        <f>IF(inputs_ok,(Ac_sl*yc_sl+(aeL_sl-1)*(A1_sl*y1_sl+A2_sl*y2_sl))/AIL_sl,NA())</f>
        <v/>
      </c>
      <c r="F108" s="28" t="inlineStr">
        <is>
          <t>mm</t>
        </is>
      </c>
      <c r="G108" s="23" t="n"/>
    </row>
    <row r="109" ht="17" customHeight="1">
      <c r="B109" s="23" t="n"/>
      <c r="C109" s="24" t="inlineStr">
        <is>
          <t>Its second moment of area</t>
        </is>
      </c>
      <c r="D109" s="27" t="inlineStr">
        <is>
          <r>
            <rPr>
              <rFont val="Calibri"/>
              <i val="1"/>
              <color rgb="002B2B2B"/>
              <sz val="10"/>
            </rPr>
            <t>I</t>
          </r>
          <r>
            <rPr>
              <rFont val="Calibri"/>
              <i val="1"/>
              <color rgb="002B2B2B"/>
              <sz val="10"/>
              <vertAlign val="subscript"/>
            </rPr>
            <t>I,L</t>
          </r>
        </is>
      </c>
      <c r="E109" s="45">
        <f>IF(inputs_ok,Ic_sl+Ac_sl*(yc_sl-yIL_sl)^2+(aeL_sl-1)*(A1_sl*(y1_sl-yIL_sl)^2+A2_sl*(y2_sl-yIL_sl)^2),NA())</f>
        <v/>
      </c>
      <c r="F109" s="28" t="inlineStr">
        <is>
          <t>mm⁴</t>
        </is>
      </c>
      <c r="G109" s="23" t="n"/>
    </row>
    <row r="110" ht="17" customHeight="1">
      <c r="B110" s="23" t="n"/>
      <c r="C110" s="24" t="inlineStr">
        <is>
          <t>Transformed area, mixed  Ac + (αe − 1)(As + As2)</t>
        </is>
      </c>
      <c r="D110" s="27" t="inlineStr">
        <is>
          <r>
            <rPr>
              <rFont val="Calibri"/>
              <i val="1"/>
              <color rgb="002B2B2B"/>
              <sz val="10"/>
            </rPr>
            <t>A</t>
          </r>
          <r>
            <rPr>
              <rFont val="Calibri"/>
              <i val="1"/>
              <color rgb="002B2B2B"/>
              <sz val="10"/>
              <vertAlign val="subscript"/>
            </rPr>
            <t>I,M</t>
          </r>
        </is>
      </c>
      <c r="E110" s="43">
        <f>IF(inputs_ok,Ac_sl+(aeM_sl-1)*(A1_sl+A2_sl),NA())</f>
        <v/>
      </c>
      <c r="F110" s="28" t="inlineStr">
        <is>
          <t>mm²</t>
        </is>
      </c>
      <c r="G110" s="23" t="n"/>
    </row>
    <row r="111" ht="17" customHeight="1">
      <c r="B111" s="23" t="n"/>
      <c r="C111" s="24" t="inlineStr">
        <is>
          <t>Its centroid from the compressed face</t>
        </is>
      </c>
      <c r="D111" s="27" t="inlineStr">
        <is>
          <r>
            <rPr>
              <rFont val="Calibri"/>
              <i val="1"/>
              <color rgb="002B2B2B"/>
              <sz val="10"/>
            </rPr>
            <t>y</t>
          </r>
          <r>
            <rPr>
              <rFont val="Calibri"/>
              <i val="1"/>
              <color rgb="002B2B2B"/>
              <sz val="10"/>
              <vertAlign val="subscript"/>
            </rPr>
            <t>I,M</t>
          </r>
        </is>
      </c>
      <c r="E111" s="44">
        <f>IF(inputs_ok,(Ac_sl*yc_sl+(aeM_sl-1)*(A1_sl*y1_sl+A2_sl*y2_sl))/AIM_sl,NA())</f>
        <v/>
      </c>
      <c r="F111" s="28" t="inlineStr">
        <is>
          <t>mm</t>
        </is>
      </c>
      <c r="G111" s="23" t="n"/>
    </row>
    <row r="112" ht="17" customHeight="1">
      <c r="B112" s="23" t="n"/>
      <c r="C112" s="24" t="inlineStr">
        <is>
          <t>Its second moment of area</t>
        </is>
      </c>
      <c r="D112" s="27" t="inlineStr">
        <is>
          <r>
            <rPr>
              <rFont val="Calibri"/>
              <i val="1"/>
              <color rgb="002B2B2B"/>
              <sz val="10"/>
            </rPr>
            <t>I</t>
          </r>
          <r>
            <rPr>
              <rFont val="Calibri"/>
              <i val="1"/>
              <color rgb="002B2B2B"/>
              <sz val="10"/>
              <vertAlign val="subscript"/>
            </rPr>
            <t>I,M</t>
          </r>
        </is>
      </c>
      <c r="E112" s="45">
        <f>IF(inputs_ok,Ic_sl+Ac_sl*(yc_sl-yIM_sl)^2+(aeM_sl-1)*(A1_sl*(y1_sl-yIM_sl)^2+A2_sl*(y2_sl-yIM_sl)^2),NA())</f>
        <v/>
      </c>
      <c r="F112" s="28" t="inlineStr">
        <is>
          <t>mm⁴</t>
        </is>
      </c>
      <c r="G112" s="23" t="n"/>
    </row>
    <row r="113" ht="17" customHeight="1">
      <c r="B113" s="23" t="n"/>
      <c r="C113" s="24" t="inlineStr">
        <is>
          <t>Characteristic, short term: compressed face</t>
        </is>
      </c>
      <c r="D113" s="27" t="inlineStr">
        <is>
          <r>
            <rPr>
              <rFont val="Calibri"/>
              <i val="1"/>
              <color rgb="002B2B2B"/>
              <sz val="10"/>
            </rPr>
            <t>σ</t>
          </r>
          <r>
            <rPr>
              <rFont val="Calibri"/>
              <i val="1"/>
              <color rgb="002B2B2B"/>
              <sz val="10"/>
              <vertAlign val="subscript"/>
            </rPr>
            <t>top</t>
          </r>
        </is>
      </c>
      <c r="E113" s="42">
        <f>IF(inputs_ok,Nk_sl*1000/AIS_sl+MI_kS_sl*yIS_sl/IIS_sl,NA())</f>
        <v/>
      </c>
      <c r="F113" s="28" t="inlineStr">
        <is>
          <t>MPa</t>
        </is>
      </c>
      <c r="G113" s="23" t="n"/>
    </row>
    <row r="114" ht="17" customHeight="1">
      <c r="B114" s="23" t="n"/>
      <c r="C114" s="24" t="inlineStr">
        <is>
          <t>Characteristic, short term: tension face</t>
        </is>
      </c>
      <c r="D114" s="27" t="inlineStr">
        <is>
          <r>
            <rPr>
              <rFont val="Calibri"/>
              <i val="1"/>
              <color rgb="002B2B2B"/>
              <sz val="10"/>
            </rPr>
            <t>σ</t>
          </r>
          <r>
            <rPr>
              <rFont val="Calibri"/>
              <i val="1"/>
              <color rgb="002B2B2B"/>
              <sz val="10"/>
              <vertAlign val="subscript"/>
            </rPr>
            <t>bot</t>
          </r>
        </is>
      </c>
      <c r="E114" s="42">
        <f>IF(inputs_ok,Nk_sl*1000/AIS_sl-MI_kS_sl*(h_sl-yIS_sl)/IIS_sl,NA())</f>
        <v/>
      </c>
      <c r="F114" s="28" t="inlineStr">
        <is>
          <t>MPa</t>
        </is>
      </c>
      <c r="G114" s="23" t="n"/>
    </row>
    <row r="115" ht="17" customHeight="1">
      <c r="B115" s="23" t="n"/>
      <c r="C115" s="24" t="inlineStr">
        <is>
          <t>Characteristic, long term: compressed face</t>
        </is>
      </c>
      <c r="D115" s="27" t="inlineStr">
        <is>
          <r>
            <rPr>
              <rFont val="Calibri"/>
              <i val="1"/>
              <color rgb="002B2B2B"/>
              <sz val="10"/>
            </rPr>
            <t>σ</t>
          </r>
          <r>
            <rPr>
              <rFont val="Calibri"/>
              <i val="1"/>
              <color rgb="002B2B2B"/>
              <sz val="10"/>
              <vertAlign val="subscript"/>
            </rPr>
            <t>top</t>
          </r>
        </is>
      </c>
      <c r="E115" s="42">
        <f>IF(inputs_ok,Nk_sl*1000/AIL_sl+MI_kL_sl*yIL_sl/IIL_sl,NA())</f>
        <v/>
      </c>
      <c r="F115" s="28" t="inlineStr">
        <is>
          <t>MPa</t>
        </is>
      </c>
      <c r="G115" s="23" t="n"/>
    </row>
    <row r="116" ht="17" customHeight="1">
      <c r="B116" s="23" t="n"/>
      <c r="C116" s="24" t="inlineStr">
        <is>
          <t>Characteristic, long term: tension face</t>
        </is>
      </c>
      <c r="D116" s="27" t="inlineStr">
        <is>
          <r>
            <rPr>
              <rFont val="Calibri"/>
              <i val="1"/>
              <color rgb="002B2B2B"/>
              <sz val="10"/>
            </rPr>
            <t>σ</t>
          </r>
          <r>
            <rPr>
              <rFont val="Calibri"/>
              <i val="1"/>
              <color rgb="002B2B2B"/>
              <sz val="10"/>
              <vertAlign val="subscript"/>
            </rPr>
            <t>bot</t>
          </r>
        </is>
      </c>
      <c r="E116" s="42">
        <f>IF(inputs_ok,Nk_sl*1000/AIL_sl-MI_kL_sl*(h_sl-yIL_sl)/IIL_sl,NA())</f>
        <v/>
      </c>
      <c r="F116" s="28" t="inlineStr">
        <is>
          <t>MPa</t>
        </is>
      </c>
      <c r="G116" s="23" t="n"/>
    </row>
    <row r="117" ht="17" customHeight="1">
      <c r="B117" s="23" t="n"/>
      <c r="C117" s="24" t="inlineStr">
        <is>
          <t>Quasi-permanent, short term: compressed face</t>
        </is>
      </c>
      <c r="D117" s="27" t="inlineStr">
        <is>
          <r>
            <rPr>
              <rFont val="Calibri"/>
              <i val="1"/>
              <color rgb="002B2B2B"/>
              <sz val="10"/>
            </rPr>
            <t>σ</t>
          </r>
          <r>
            <rPr>
              <rFont val="Calibri"/>
              <i val="1"/>
              <color rgb="002B2B2B"/>
              <sz val="10"/>
              <vertAlign val="subscript"/>
            </rPr>
            <t>top</t>
          </r>
        </is>
      </c>
      <c r="E117" s="42">
        <f>IF(inputs_ok,Nqp_sl*1000/AIS_sl+MI_qS_sl*yIS_sl/IIS_sl,NA())</f>
        <v/>
      </c>
      <c r="F117" s="28" t="inlineStr">
        <is>
          <t>MPa</t>
        </is>
      </c>
      <c r="G117" s="23" t="n"/>
    </row>
    <row r="118" ht="17" customHeight="1">
      <c r="B118" s="23" t="n"/>
      <c r="C118" s="24" t="inlineStr">
        <is>
          <t>Quasi-permanent, short term: tension face</t>
        </is>
      </c>
      <c r="D118" s="27" t="inlineStr">
        <is>
          <r>
            <rPr>
              <rFont val="Calibri"/>
              <i val="1"/>
              <color rgb="002B2B2B"/>
              <sz val="10"/>
            </rPr>
            <t>σ</t>
          </r>
          <r>
            <rPr>
              <rFont val="Calibri"/>
              <i val="1"/>
              <color rgb="002B2B2B"/>
              <sz val="10"/>
              <vertAlign val="subscript"/>
            </rPr>
            <t>bot</t>
          </r>
        </is>
      </c>
      <c r="E118" s="42">
        <f>IF(inputs_ok,Nqp_sl*1000/AIS_sl-MI_qS_sl*(h_sl-yIS_sl)/IIS_sl,NA())</f>
        <v/>
      </c>
      <c r="F118" s="28" t="inlineStr">
        <is>
          <t>MPa</t>
        </is>
      </c>
      <c r="G118" s="23" t="n"/>
    </row>
    <row r="119" ht="17" customHeight="1">
      <c r="B119" s="23" t="n"/>
      <c r="C119" s="24" t="inlineStr">
        <is>
          <t>Quasi-permanent, long term: compressed face</t>
        </is>
      </c>
      <c r="D119" s="27" t="inlineStr">
        <is>
          <r>
            <rPr>
              <rFont val="Calibri"/>
              <i val="1"/>
              <color rgb="002B2B2B"/>
              <sz val="10"/>
            </rPr>
            <t>σ</t>
          </r>
          <r>
            <rPr>
              <rFont val="Calibri"/>
              <i val="1"/>
              <color rgb="002B2B2B"/>
              <sz val="10"/>
              <vertAlign val="subscript"/>
            </rPr>
            <t>top</t>
          </r>
        </is>
      </c>
      <c r="E119" s="42">
        <f>IF(inputs_ok,Nqp_sl*1000/AIL_sl+MI_qL_sl*yIL_sl/IIL_sl,NA())</f>
        <v/>
      </c>
      <c r="F119" s="28" t="inlineStr">
        <is>
          <t>MPa</t>
        </is>
      </c>
      <c r="G119" s="23" t="n"/>
    </row>
    <row r="120" ht="17" customHeight="1">
      <c r="B120" s="23" t="n"/>
      <c r="C120" s="24" t="inlineStr">
        <is>
          <t>Quasi-permanent, long term: tension face</t>
        </is>
      </c>
      <c r="D120" s="27" t="inlineStr">
        <is>
          <r>
            <rPr>
              <rFont val="Calibri"/>
              <i val="1"/>
              <color rgb="002B2B2B"/>
              <sz val="10"/>
            </rPr>
            <t>σ</t>
          </r>
          <r>
            <rPr>
              <rFont val="Calibri"/>
              <i val="1"/>
              <color rgb="002B2B2B"/>
              <sz val="10"/>
              <vertAlign val="subscript"/>
            </rPr>
            <t>bot</t>
          </r>
        </is>
      </c>
      <c r="E120" s="42">
        <f>IF(inputs_ok,Nqp_sl*1000/AIL_sl-MI_qL_sl*(h_sl-yIL_sl)/IIL_sl,NA())</f>
        <v/>
      </c>
      <c r="F120" s="28" t="inlineStr">
        <is>
          <t>MPa</t>
        </is>
      </c>
      <c r="G120" s="23" t="n"/>
    </row>
    <row r="121" ht="17" customHeight="1">
      <c r="B121" s="23" t="n"/>
      <c r="C121" s="24" t="inlineStr">
        <is>
          <t>Increment k − qp, short term: compressed face</t>
        </is>
      </c>
      <c r="D121" s="27" t="inlineStr">
        <is>
          <r>
            <rPr>
              <rFont val="Calibri"/>
              <i val="1"/>
              <color rgb="002B2B2B"/>
              <sz val="10"/>
            </rPr>
            <t>σ</t>
          </r>
          <r>
            <rPr>
              <rFont val="Calibri"/>
              <i val="1"/>
              <color rgb="002B2B2B"/>
              <sz val="10"/>
              <vertAlign val="subscript"/>
            </rPr>
            <t>top</t>
          </r>
        </is>
      </c>
      <c r="E121" s="42">
        <f>IF(inputs_ok,dN_sl*1000/AIS_sl+MI_dS_sl*yIS_sl/IIS_sl,NA())</f>
        <v/>
      </c>
      <c r="F121" s="28" t="inlineStr">
        <is>
          <t>MPa</t>
        </is>
      </c>
      <c r="G121" s="23" t="n"/>
    </row>
    <row r="122" ht="17" customHeight="1">
      <c r="B122" s="23" t="n"/>
      <c r="C122" s="24" t="inlineStr">
        <is>
          <t>Increment k − qp, short term: tension face</t>
        </is>
      </c>
      <c r="D122" s="27" t="inlineStr">
        <is>
          <r>
            <rPr>
              <rFont val="Calibri"/>
              <i val="1"/>
              <color rgb="002B2B2B"/>
              <sz val="10"/>
            </rPr>
            <t>σ</t>
          </r>
          <r>
            <rPr>
              <rFont val="Calibri"/>
              <i val="1"/>
              <color rgb="002B2B2B"/>
              <sz val="10"/>
              <vertAlign val="subscript"/>
            </rPr>
            <t>bot</t>
          </r>
        </is>
      </c>
      <c r="E122" s="42">
        <f>IF(inputs_ok,dN_sl*1000/AIS_sl-MI_dS_sl*(h_sl-yIS_sl)/IIS_sl,NA())</f>
        <v/>
      </c>
      <c r="F122" s="28" t="inlineStr">
        <is>
          <t>MPa</t>
        </is>
      </c>
      <c r="G122" s="23" t="n"/>
    </row>
    <row r="123" ht="17" customHeight="1">
      <c r="B123" s="23" t="n"/>
      <c r="C123" s="24" t="inlineStr">
        <is>
          <t>Characteristic, creep φ mqp / mk: compressed face</t>
        </is>
      </c>
      <c r="D123" s="27" t="inlineStr">
        <is>
          <r>
            <rPr>
              <rFont val="Calibri"/>
              <i val="1"/>
              <color rgb="002B2B2B"/>
              <sz val="10"/>
            </rPr>
            <t>σ</t>
          </r>
          <r>
            <rPr>
              <rFont val="Calibri"/>
              <i val="1"/>
              <color rgb="002B2B2B"/>
              <sz val="10"/>
              <vertAlign val="subscript"/>
            </rPr>
            <t>top</t>
          </r>
        </is>
      </c>
      <c r="E123" s="42">
        <f>IF(inputs_ok,Nk_sl*1000/AIM_sl+MI_mx_sl*yIM_sl/IIM_sl,NA())</f>
        <v/>
      </c>
      <c r="F123" s="28" t="inlineStr">
        <is>
          <t>MPa</t>
        </is>
      </c>
      <c r="G123" s="23" t="n"/>
    </row>
    <row r="124" ht="17" customHeight="1">
      <c r="B124" s="23" t="n"/>
      <c r="C124" s="24" t="inlineStr">
        <is>
          <t>Characteristic, creep φ mqp / mk: tension face</t>
        </is>
      </c>
      <c r="D124" s="27" t="inlineStr">
        <is>
          <r>
            <rPr>
              <rFont val="Calibri"/>
              <i val="1"/>
              <color rgb="002B2B2B"/>
              <sz val="10"/>
            </rPr>
            <t>σ</t>
          </r>
          <r>
            <rPr>
              <rFont val="Calibri"/>
              <i val="1"/>
              <color rgb="002B2B2B"/>
              <sz val="10"/>
              <vertAlign val="subscript"/>
            </rPr>
            <t>bot</t>
          </r>
        </is>
      </c>
      <c r="E124" s="42">
        <f>IF(inputs_ok,Nk_sl*1000/AIM_sl-MI_mx_sl*(h_sl-yIM_sl)/IIM_sl,NA())</f>
        <v/>
      </c>
      <c r="F124" s="28" t="inlineStr">
        <is>
          <t>MPa</t>
        </is>
      </c>
      <c r="G124" s="23" t="n"/>
    </row>
    <row r="125" ht="17" customHeight="1">
      <c r="B125" s="23" t="n"/>
      <c r="C125" s="24" t="inlineStr">
        <is>
          <t>Characteristic, staged  (qp long term + increment short term): compressed face</t>
        </is>
      </c>
      <c r="D125" s="27" t="inlineStr">
        <is>
          <r>
            <rPr>
              <rFont val="Calibri"/>
              <i val="1"/>
              <color rgb="002B2B2B"/>
              <sz val="10"/>
            </rPr>
            <t>σ</t>
          </r>
          <r>
            <rPr>
              <rFont val="Calibri"/>
              <i val="1"/>
              <color rgb="002B2B2B"/>
              <sz val="10"/>
              <vertAlign val="subscript"/>
            </rPr>
            <t>top</t>
          </r>
        </is>
      </c>
      <c r="E125" s="42">
        <f>IF(inputs_ok,uT_qL_sl+uT_dS_sl,NA())</f>
        <v/>
      </c>
      <c r="F125" s="28" t="inlineStr">
        <is>
          <t>MPa</t>
        </is>
      </c>
      <c r="G125" s="23" t="n"/>
    </row>
    <row r="126" ht="17" customHeight="1">
      <c r="B126" s="23" t="n"/>
      <c r="C126" s="24" t="inlineStr">
        <is>
          <t>Characteristic, staged: tension face</t>
        </is>
      </c>
      <c r="D126" s="27" t="inlineStr">
        <is>
          <r>
            <rPr>
              <rFont val="Calibri"/>
              <i val="1"/>
              <color rgb="002B2B2B"/>
              <sz val="10"/>
            </rPr>
            <t>σ</t>
          </r>
          <r>
            <rPr>
              <rFont val="Calibri"/>
              <i val="1"/>
              <color rgb="002B2B2B"/>
              <sz val="10"/>
              <vertAlign val="subscript"/>
            </rPr>
            <t>bot</t>
          </r>
        </is>
      </c>
      <c r="E126" s="42">
        <f>IF(inputs_ok,uB_qL_sl+uB_dS_sl,NA())</f>
        <v/>
      </c>
      <c r="F126" s="28" t="inlineStr">
        <is>
          <t>MPa</t>
        </is>
      </c>
      <c r="G126" s="23" t="n"/>
    </row>
    <row r="127" ht="17" customHeight="1">
      <c r="B127" s="26" t="inlineStr">
        <is>
          <t>7.1(2)</t>
        </is>
      </c>
      <c r="C127" s="24" t="inlineStr">
        <is>
          <t>Largest flexural tension, uncracked  (any analysis)</t>
        </is>
      </c>
      <c r="D127" s="27" t="inlineStr">
        <is>
          <r>
            <rPr>
              <rFont val="Calibri"/>
              <i val="1"/>
              <color rgb="002B2B2B"/>
              <sz val="10"/>
            </rPr>
            <t>σ</t>
          </r>
          <r>
            <rPr>
              <rFont val="Calibri"/>
              <i val="1"/>
              <color rgb="002B2B2B"/>
              <sz val="10"/>
              <vertAlign val="subscript"/>
            </rPr>
            <t>ct</t>
          </r>
        </is>
      </c>
      <c r="E127" s="42">
        <f>IF(inputs_ok,MAX(0,-uB_kS_sl,-uB_kL_sl,-uB_qS_sl,-uB_qL_sl,-uB_qL_sl-uB_dS_sl),NA())</f>
        <v/>
      </c>
      <c r="F127" s="28" t="inlineStr">
        <is>
          <t>MPa</t>
        </is>
      </c>
      <c r="G127" s="23" t="n"/>
    </row>
    <row r="128" ht="17" customHeight="1">
      <c r="B128" s="26" t="inlineStr">
        <is>
          <t>7.1(2)</t>
        </is>
      </c>
      <c r="C128" s="24" t="inlineStr">
        <is>
          <t>Section cracked  (σct &gt; fct,eff, or declared)</t>
        </is>
      </c>
      <c r="D128" s="23" t="n"/>
      <c r="E128" s="9" t="n"/>
      <c r="F128" s="23" t="n"/>
      <c r="G128" s="32">
        <f>IF(NOT(inputs_ok),"FAIL",IF(cracked_sl,"cracked","uncracked"))</f>
        <v/>
      </c>
    </row>
    <row r="129" ht="17" customHeight="1">
      <c r="B129" s="23" t="n"/>
      <c r="C129" s="24" t="inlineStr">
        <is>
          <t>Compressed face as entered  (FAIL: the other face is; change the sense)</t>
        </is>
      </c>
      <c r="D129" s="23" t="n"/>
      <c r="E129" s="9" t="n"/>
      <c r="F129" s="23" t="n"/>
      <c r="G129" s="32">
        <f>IF(NOT(inputs_ok),"FAIL",IF(scope_sl,"OK","FAIL"))</f>
        <v/>
      </c>
    </row>
    <row r="130"/>
    <row r="131" ht="22" customHeight="1">
      <c r="B131" s="20" t="inlineStr">
        <is>
          <t>Calculation  ·  cracked section  (concrete in tension ignored; see Solver)</t>
        </is>
      </c>
      <c r="C131" s="21" t="n"/>
      <c r="D131" s="21" t="n"/>
      <c r="E131" s="21" t="n"/>
      <c r="F131" s="21" t="n"/>
      <c r="G131" s="21" t="n"/>
    </row>
    <row r="132" ht="17" customHeight="1">
      <c r="B132" s="23" t="n"/>
      <c r="C132" s="24" t="inlineStr">
        <is>
          <t>Neutral axis in pure bending, short term  (Q = 0)</t>
        </is>
      </c>
      <c r="D132" s="27" t="inlineStr">
        <is>
          <r>
            <rPr>
              <rFont val="Calibri"/>
              <i val="1"/>
              <color rgb="002B2B2B"/>
              <sz val="10"/>
            </rPr>
            <t>x</t>
          </r>
          <r>
            <rPr>
              <rFont val="Calibri"/>
              <i val="1"/>
              <color rgb="002B2B2B"/>
              <sz val="10"/>
              <vertAlign val="subscript"/>
            </rPr>
            <t>0,S</t>
          </r>
        </is>
      </c>
      <c r="E132" s="44">
        <f>IF(inputs_ok,x0S_sl,NA())</f>
        <v/>
      </c>
      <c r="F132" s="28" t="inlineStr">
        <is>
          <t>mm</t>
        </is>
      </c>
      <c r="G132" s="23" t="n"/>
    </row>
    <row r="133" ht="17" customHeight="1">
      <c r="B133" s="23" t="n"/>
      <c r="C133" s="24" t="inlineStr">
        <is>
          <t>Neutral axis in pure bending, long term</t>
        </is>
      </c>
      <c r="D133" s="27" t="inlineStr">
        <is>
          <r>
            <rPr>
              <rFont val="Calibri"/>
              <i val="1"/>
              <color rgb="002B2B2B"/>
              <sz val="10"/>
            </rPr>
            <t>x</t>
          </r>
          <r>
            <rPr>
              <rFont val="Calibri"/>
              <i val="1"/>
              <color rgb="002B2B2B"/>
              <sz val="10"/>
              <vertAlign val="subscript"/>
            </rPr>
            <t>0,L</t>
          </r>
        </is>
      </c>
      <c r="E133" s="44">
        <f>IF(inputs_ok,x0L_sl,NA())</f>
        <v/>
      </c>
      <c r="F133" s="28" t="inlineStr">
        <is>
          <t>mm</t>
        </is>
      </c>
      <c r="G133" s="23" t="n"/>
    </row>
    <row r="134" ht="17" customHeight="1">
      <c r="B134" s="23" t="n"/>
      <c r="C134" s="24" t="inlineStr">
        <is>
          <t>Neutral axis in pure bending, mixed</t>
        </is>
      </c>
      <c r="D134" s="27" t="inlineStr">
        <is>
          <r>
            <rPr>
              <rFont val="Calibri"/>
              <i val="1"/>
              <color rgb="002B2B2B"/>
              <sz val="10"/>
            </rPr>
            <t>x</t>
          </r>
          <r>
            <rPr>
              <rFont val="Calibri"/>
              <i val="1"/>
              <color rgb="002B2B2B"/>
              <sz val="10"/>
              <vertAlign val="subscript"/>
            </rPr>
            <t>0,M</t>
          </r>
        </is>
      </c>
      <c r="E134" s="44">
        <f>IF(inputs_ok,x0M_sl,NA())</f>
        <v/>
      </c>
      <c r="F134" s="28" t="inlineStr">
        <is>
          <t>mm</t>
        </is>
      </c>
      <c r="G134" s="23" t="n"/>
    </row>
    <row r="135" ht="17" customHeight="1">
      <c r="B135" s="23" t="n"/>
      <c r="C135" s="24" t="inlineStr">
        <is>
          <t>Neutral axis, characteristic, short term  (N J = M Q)</t>
        </is>
      </c>
      <c r="D135" s="27" t="inlineStr">
        <is>
          <r>
            <rPr>
              <rFont val="Calibri"/>
              <i val="1"/>
              <color rgb="002B2B2B"/>
              <sz val="10"/>
            </rPr>
            <t>x</t>
          </r>
        </is>
      </c>
      <c r="E135" s="44">
        <f>IF(inputs_ok,IF(NOT(scope_sl),"–",IF(unc_kS_sl,IF(cracked_sl,"x ≥ h","uncracked"),xb_kS_sl)),NA())</f>
        <v/>
      </c>
      <c r="F135" s="28" t="inlineStr">
        <is>
          <t>mm</t>
        </is>
      </c>
      <c r="G135" s="23" t="n"/>
    </row>
    <row r="136" ht="17" customHeight="1">
      <c r="B136" s="23" t="n"/>
      <c r="C136" s="24" t="inlineStr">
        <is>
          <t>Concrete stress at the compressed face</t>
        </is>
      </c>
      <c r="D136" s="27" t="inlineStr">
        <is>
          <r>
            <rPr>
              <rFont val="Calibri"/>
              <i val="1"/>
              <color rgb="002B2B2B"/>
              <sz val="10"/>
            </rPr>
            <t>σ</t>
          </r>
          <r>
            <rPr>
              <rFont val="Calibri"/>
              <i val="1"/>
              <color rgb="002B2B2B"/>
              <sz val="10"/>
              <vertAlign val="subscript"/>
            </rPr>
            <t>c</t>
          </r>
        </is>
      </c>
      <c r="E136" s="42">
        <f>IF(inputs_ok,IF(NOT(scope_sl),"–",IF(unc_kS_sl,MAX(uT_kS_sl,uB_kS_sl),kc_kS_sl*xb_kS_sl)),NA())</f>
        <v/>
      </c>
      <c r="F136" s="28" t="inlineStr">
        <is>
          <t>MPa</t>
        </is>
      </c>
      <c r="G136" s="23" t="n"/>
    </row>
    <row r="137" ht="17" customHeight="1">
      <c r="B137" s="23" t="n"/>
      <c r="C137" s="24" t="inlineStr">
        <is>
          <t>Bars at the compressed face  (+ compression)</t>
        </is>
      </c>
      <c r="D137" s="27" t="inlineStr">
        <is>
          <r>
            <rPr>
              <rFont val="Calibri"/>
              <i val="1"/>
              <color rgb="002B2B2B"/>
              <sz val="10"/>
            </rPr>
            <t>σ</t>
          </r>
          <r>
            <rPr>
              <rFont val="Calibri"/>
              <i val="1"/>
              <color rgb="002B2B2B"/>
              <sz val="10"/>
              <vertAlign val="subscript"/>
            </rPr>
            <t>s2</t>
          </r>
        </is>
      </c>
      <c r="E137" s="44">
        <f>IF(inputs_ok,IF(NOT(scope_sl),"–",IF(unc_kS_sl,u1_kS_sl,cr1_kS_sl)),NA())</f>
        <v/>
      </c>
      <c r="F137" s="28" t="inlineStr">
        <is>
          <t>MPa</t>
        </is>
      </c>
      <c r="G137" s="23" t="n"/>
    </row>
    <row r="138" ht="17" customHeight="1">
      <c r="B138" s="23" t="n"/>
      <c r="C138" s="24" t="inlineStr">
        <is>
          <t>Bars at the tension face  (− tension)</t>
        </is>
      </c>
      <c r="D138" s="27" t="inlineStr">
        <is>
          <r>
            <rPr>
              <rFont val="Calibri"/>
              <i val="1"/>
              <color rgb="002B2B2B"/>
              <sz val="10"/>
            </rPr>
            <t>σ</t>
          </r>
          <r>
            <rPr>
              <rFont val="Calibri"/>
              <i val="1"/>
              <color rgb="002B2B2B"/>
              <sz val="10"/>
              <vertAlign val="subscript"/>
            </rPr>
            <t>s</t>
          </r>
        </is>
      </c>
      <c r="E138" s="44">
        <f>IF(inputs_ok,IF(NOT(scope_sl),"–",IF(unc_kS_sl,u2_kS_sl,cr2_kS_sl)),NA())</f>
        <v/>
      </c>
      <c r="F138" s="28" t="inlineStr">
        <is>
          <t>MPa</t>
        </is>
      </c>
      <c r="G138" s="23" t="n"/>
    </row>
    <row r="139" ht="17" customHeight="1">
      <c r="B139" s="23" t="n"/>
      <c r="C139" s="24" t="inlineStr">
        <is>
          <t>Neutral axis, characteristic, long term  (N J = M Q)</t>
        </is>
      </c>
      <c r="D139" s="27" t="inlineStr">
        <is>
          <r>
            <rPr>
              <rFont val="Calibri"/>
              <i val="1"/>
              <color rgb="002B2B2B"/>
              <sz val="10"/>
            </rPr>
            <t>x</t>
          </r>
        </is>
      </c>
      <c r="E139" s="44">
        <f>IF(inputs_ok,IF(NOT(scope_sl),"–",IF(unc_kL_sl,IF(cracked_sl,"x ≥ h","uncracked"),xb_kL_sl)),NA())</f>
        <v/>
      </c>
      <c r="F139" s="28" t="inlineStr">
        <is>
          <t>mm</t>
        </is>
      </c>
      <c r="G139" s="23" t="n"/>
    </row>
    <row r="140" ht="17" customHeight="1">
      <c r="B140" s="23" t="n"/>
      <c r="C140" s="24" t="inlineStr">
        <is>
          <t>Concrete stress at the compressed face</t>
        </is>
      </c>
      <c r="D140" s="27" t="inlineStr">
        <is>
          <r>
            <rPr>
              <rFont val="Calibri"/>
              <i val="1"/>
              <color rgb="002B2B2B"/>
              <sz val="10"/>
            </rPr>
            <t>σ</t>
          </r>
          <r>
            <rPr>
              <rFont val="Calibri"/>
              <i val="1"/>
              <color rgb="002B2B2B"/>
              <sz val="10"/>
              <vertAlign val="subscript"/>
            </rPr>
            <t>c</t>
          </r>
        </is>
      </c>
      <c r="E140" s="42">
        <f>IF(inputs_ok,IF(NOT(scope_sl),"–",IF(unc_kL_sl,MAX(uT_kL_sl,uB_kL_sl),kc_kL_sl*xb_kL_sl)),NA())</f>
        <v/>
      </c>
      <c r="F140" s="28" t="inlineStr">
        <is>
          <t>MPa</t>
        </is>
      </c>
      <c r="G140" s="23" t="n"/>
    </row>
    <row r="141" ht="17" customHeight="1">
      <c r="B141" s="23" t="n"/>
      <c r="C141" s="24" t="inlineStr">
        <is>
          <t>Bars at the compressed face  (+ compression)</t>
        </is>
      </c>
      <c r="D141" s="27" t="inlineStr">
        <is>
          <r>
            <rPr>
              <rFont val="Calibri"/>
              <i val="1"/>
              <color rgb="002B2B2B"/>
              <sz val="10"/>
            </rPr>
            <t>σ</t>
          </r>
          <r>
            <rPr>
              <rFont val="Calibri"/>
              <i val="1"/>
              <color rgb="002B2B2B"/>
              <sz val="10"/>
              <vertAlign val="subscript"/>
            </rPr>
            <t>s2</t>
          </r>
        </is>
      </c>
      <c r="E141" s="44">
        <f>IF(inputs_ok,IF(NOT(scope_sl),"–",IF(unc_kL_sl,u1_kL_sl,cr1_kL_sl)),NA())</f>
        <v/>
      </c>
      <c r="F141" s="28" t="inlineStr">
        <is>
          <t>MPa</t>
        </is>
      </c>
      <c r="G141" s="23" t="n"/>
    </row>
    <row r="142" ht="17" customHeight="1">
      <c r="B142" s="23" t="n"/>
      <c r="C142" s="24" t="inlineStr">
        <is>
          <t>Bars at the tension face  (− tension)</t>
        </is>
      </c>
      <c r="D142" s="27" t="inlineStr">
        <is>
          <r>
            <rPr>
              <rFont val="Calibri"/>
              <i val="1"/>
              <color rgb="002B2B2B"/>
              <sz val="10"/>
            </rPr>
            <t>σ</t>
          </r>
          <r>
            <rPr>
              <rFont val="Calibri"/>
              <i val="1"/>
              <color rgb="002B2B2B"/>
              <sz val="10"/>
              <vertAlign val="subscript"/>
            </rPr>
            <t>s</t>
          </r>
        </is>
      </c>
      <c r="E142" s="44">
        <f>IF(inputs_ok,IF(NOT(scope_sl),"–",IF(unc_kL_sl,u2_kL_sl,cr2_kL_sl)),NA())</f>
        <v/>
      </c>
      <c r="F142" s="28" t="inlineStr">
        <is>
          <t>MPa</t>
        </is>
      </c>
      <c r="G142" s="23" t="n"/>
    </row>
    <row r="143" ht="17" customHeight="1">
      <c r="B143" s="23" t="n"/>
      <c r="C143" s="24" t="inlineStr">
        <is>
          <t>Neutral axis, quasi-permanent, short term  (N J = M Q)</t>
        </is>
      </c>
      <c r="D143" s="27" t="inlineStr">
        <is>
          <r>
            <rPr>
              <rFont val="Calibri"/>
              <i val="1"/>
              <color rgb="002B2B2B"/>
              <sz val="10"/>
            </rPr>
            <t>x</t>
          </r>
        </is>
      </c>
      <c r="E143" s="44">
        <f>IF(inputs_ok,IF(NOT(scope_sl),"–",IF(unc_qS_sl,IF(cracked_sl,"x ≥ h","uncracked"),xb_qS_sl)),NA())</f>
        <v/>
      </c>
      <c r="F143" s="28" t="inlineStr">
        <is>
          <t>mm</t>
        </is>
      </c>
      <c r="G143" s="23" t="n"/>
    </row>
    <row r="144" ht="17" customHeight="1">
      <c r="B144" s="23" t="n"/>
      <c r="C144" s="24" t="inlineStr">
        <is>
          <t>Concrete stress at the compressed face</t>
        </is>
      </c>
      <c r="D144" s="27" t="inlineStr">
        <is>
          <r>
            <rPr>
              <rFont val="Calibri"/>
              <i val="1"/>
              <color rgb="002B2B2B"/>
              <sz val="10"/>
            </rPr>
            <t>σ</t>
          </r>
          <r>
            <rPr>
              <rFont val="Calibri"/>
              <i val="1"/>
              <color rgb="002B2B2B"/>
              <sz val="10"/>
              <vertAlign val="subscript"/>
            </rPr>
            <t>c</t>
          </r>
        </is>
      </c>
      <c r="E144" s="42">
        <f>IF(inputs_ok,IF(NOT(scope_sl),"–",IF(unc_qS_sl,MAX(uT_qS_sl,uB_qS_sl),kc_qS_sl*xb_qS_sl)),NA())</f>
        <v/>
      </c>
      <c r="F144" s="28" t="inlineStr">
        <is>
          <t>MPa</t>
        </is>
      </c>
      <c r="G144" s="23" t="n"/>
    </row>
    <row r="145" ht="17" customHeight="1">
      <c r="B145" s="23" t="n"/>
      <c r="C145" s="24" t="inlineStr">
        <is>
          <t>Bars at the compressed face  (+ compression)</t>
        </is>
      </c>
      <c r="D145" s="27" t="inlineStr">
        <is>
          <r>
            <rPr>
              <rFont val="Calibri"/>
              <i val="1"/>
              <color rgb="002B2B2B"/>
              <sz val="10"/>
            </rPr>
            <t>σ</t>
          </r>
          <r>
            <rPr>
              <rFont val="Calibri"/>
              <i val="1"/>
              <color rgb="002B2B2B"/>
              <sz val="10"/>
              <vertAlign val="subscript"/>
            </rPr>
            <t>s2</t>
          </r>
        </is>
      </c>
      <c r="E145" s="44">
        <f>IF(inputs_ok,IF(NOT(scope_sl),"–",IF(unc_qS_sl,u1_qS_sl,cr1_qS_sl)),NA())</f>
        <v/>
      </c>
      <c r="F145" s="28" t="inlineStr">
        <is>
          <t>MPa</t>
        </is>
      </c>
      <c r="G145" s="23" t="n"/>
    </row>
    <row r="146" ht="17" customHeight="1">
      <c r="B146" s="23" t="n"/>
      <c r="C146" s="24" t="inlineStr">
        <is>
          <t>Bars at the tension face  (− tension)</t>
        </is>
      </c>
      <c r="D146" s="27" t="inlineStr">
        <is>
          <r>
            <rPr>
              <rFont val="Calibri"/>
              <i val="1"/>
              <color rgb="002B2B2B"/>
              <sz val="10"/>
            </rPr>
            <t>σ</t>
          </r>
          <r>
            <rPr>
              <rFont val="Calibri"/>
              <i val="1"/>
              <color rgb="002B2B2B"/>
              <sz val="10"/>
              <vertAlign val="subscript"/>
            </rPr>
            <t>s</t>
          </r>
        </is>
      </c>
      <c r="E146" s="44">
        <f>IF(inputs_ok,IF(NOT(scope_sl),"–",IF(unc_qS_sl,u2_qS_sl,cr2_qS_sl)),NA())</f>
        <v/>
      </c>
      <c r="F146" s="28" t="inlineStr">
        <is>
          <t>MPa</t>
        </is>
      </c>
      <c r="G146" s="23" t="n"/>
    </row>
    <row r="147" ht="17" customHeight="1">
      <c r="B147" s="23" t="n"/>
      <c r="C147" s="24" t="inlineStr">
        <is>
          <t>Neutral axis, quasi-permanent, long term  (N J = M Q)</t>
        </is>
      </c>
      <c r="D147" s="27" t="inlineStr">
        <is>
          <r>
            <rPr>
              <rFont val="Calibri"/>
              <i val="1"/>
              <color rgb="002B2B2B"/>
              <sz val="10"/>
            </rPr>
            <t>x</t>
          </r>
        </is>
      </c>
      <c r="E147" s="44">
        <f>IF(inputs_ok,IF(NOT(scope_sl),"–",IF(unc_qL_sl,IF(cracked_sl,"x ≥ h","uncracked"),xb_qL_sl)),NA())</f>
        <v/>
      </c>
      <c r="F147" s="28" t="inlineStr">
        <is>
          <t>mm</t>
        </is>
      </c>
      <c r="G147" s="23" t="n"/>
    </row>
    <row r="148" ht="17" customHeight="1">
      <c r="B148" s="23" t="n"/>
      <c r="C148" s="24" t="inlineStr">
        <is>
          <t>Concrete stress at the compressed face</t>
        </is>
      </c>
      <c r="D148" s="27" t="inlineStr">
        <is>
          <r>
            <rPr>
              <rFont val="Calibri"/>
              <i val="1"/>
              <color rgb="002B2B2B"/>
              <sz val="10"/>
            </rPr>
            <t>σ</t>
          </r>
          <r>
            <rPr>
              <rFont val="Calibri"/>
              <i val="1"/>
              <color rgb="002B2B2B"/>
              <sz val="10"/>
              <vertAlign val="subscript"/>
            </rPr>
            <t>c</t>
          </r>
        </is>
      </c>
      <c r="E148" s="42">
        <f>IF(inputs_ok,IF(NOT(scope_sl),"–",IF(unc_qL_sl,MAX(uT_qL_sl,uB_qL_sl),kc_qL_sl*xb_qL_sl)),NA())</f>
        <v/>
      </c>
      <c r="F148" s="28" t="inlineStr">
        <is>
          <t>MPa</t>
        </is>
      </c>
      <c r="G148" s="23" t="n"/>
    </row>
    <row r="149" ht="17" customHeight="1">
      <c r="B149" s="23" t="n"/>
      <c r="C149" s="24" t="inlineStr">
        <is>
          <t>Bars at the compressed face  (+ compression)</t>
        </is>
      </c>
      <c r="D149" s="27" t="inlineStr">
        <is>
          <r>
            <rPr>
              <rFont val="Calibri"/>
              <i val="1"/>
              <color rgb="002B2B2B"/>
              <sz val="10"/>
            </rPr>
            <t>σ</t>
          </r>
          <r>
            <rPr>
              <rFont val="Calibri"/>
              <i val="1"/>
              <color rgb="002B2B2B"/>
              <sz val="10"/>
              <vertAlign val="subscript"/>
            </rPr>
            <t>s2</t>
          </r>
        </is>
      </c>
      <c r="E149" s="44">
        <f>IF(inputs_ok,IF(NOT(scope_sl),"–",IF(unc_qL_sl,u1_qL_sl,cr1_qL_sl)),NA())</f>
        <v/>
      </c>
      <c r="F149" s="28" t="inlineStr">
        <is>
          <t>MPa</t>
        </is>
      </c>
      <c r="G149" s="23" t="n"/>
    </row>
    <row r="150" ht="17" customHeight="1">
      <c r="B150" s="23" t="n"/>
      <c r="C150" s="24" t="inlineStr">
        <is>
          <t>Bars at the tension face  (− tension)</t>
        </is>
      </c>
      <c r="D150" s="27" t="inlineStr">
        <is>
          <r>
            <rPr>
              <rFont val="Calibri"/>
              <i val="1"/>
              <color rgb="002B2B2B"/>
              <sz val="10"/>
            </rPr>
            <t>σ</t>
          </r>
          <r>
            <rPr>
              <rFont val="Calibri"/>
              <i val="1"/>
              <color rgb="002B2B2B"/>
              <sz val="10"/>
              <vertAlign val="subscript"/>
            </rPr>
            <t>s</t>
          </r>
        </is>
      </c>
      <c r="E150" s="44">
        <f>IF(inputs_ok,IF(NOT(scope_sl),"–",IF(unc_qL_sl,u2_qL_sl,cr2_qL_sl)),NA())</f>
        <v/>
      </c>
      <c r="F150" s="28" t="inlineStr">
        <is>
          <t>MPa</t>
        </is>
      </c>
      <c r="G150" s="23" t="n"/>
    </row>
    <row r="151" ht="17" customHeight="1">
      <c r="B151" s="23" t="n"/>
      <c r="C151" s="24" t="inlineStr">
        <is>
          <t>Neutral axis, increment k − qp, short term  (N J = M Q)</t>
        </is>
      </c>
      <c r="D151" s="27" t="inlineStr">
        <is>
          <r>
            <rPr>
              <rFont val="Calibri"/>
              <i val="1"/>
              <color rgb="002B2B2B"/>
              <sz val="10"/>
            </rPr>
            <t>x</t>
          </r>
        </is>
      </c>
      <c r="E151" s="44">
        <f>IF(inputs_ok,IF(NOT(scope_sl),"–",IF(unc_dS_sl,IF(cracked_sl,"x ≥ h","uncracked"),xb_dS_sl)),NA())</f>
        <v/>
      </c>
      <c r="F151" s="28" t="inlineStr">
        <is>
          <t>mm</t>
        </is>
      </c>
      <c r="G151" s="23" t="n"/>
    </row>
    <row r="152" ht="17" customHeight="1">
      <c r="B152" s="23" t="n"/>
      <c r="C152" s="24" t="inlineStr">
        <is>
          <t>Concrete stress at the compressed face</t>
        </is>
      </c>
      <c r="D152" s="27" t="inlineStr">
        <is>
          <r>
            <rPr>
              <rFont val="Calibri"/>
              <i val="1"/>
              <color rgb="002B2B2B"/>
              <sz val="10"/>
            </rPr>
            <t>σ</t>
          </r>
          <r>
            <rPr>
              <rFont val="Calibri"/>
              <i val="1"/>
              <color rgb="002B2B2B"/>
              <sz val="10"/>
              <vertAlign val="subscript"/>
            </rPr>
            <t>c</t>
          </r>
        </is>
      </c>
      <c r="E152" s="42">
        <f>IF(inputs_ok,IF(NOT(scope_sl),"–",IF(unc_dS_sl,MAX(uT_dS_sl,uB_dS_sl),kc_dS_sl*xb_dS_sl)),NA())</f>
        <v/>
      </c>
      <c r="F152" s="28" t="inlineStr">
        <is>
          <t>MPa</t>
        </is>
      </c>
      <c r="G152" s="23" t="n"/>
    </row>
    <row r="153" ht="17" customHeight="1">
      <c r="B153" s="23" t="n"/>
      <c r="C153" s="24" t="inlineStr">
        <is>
          <t>Bars at the compressed face  (+ compression)</t>
        </is>
      </c>
      <c r="D153" s="27" t="inlineStr">
        <is>
          <r>
            <rPr>
              <rFont val="Calibri"/>
              <i val="1"/>
              <color rgb="002B2B2B"/>
              <sz val="10"/>
            </rPr>
            <t>σ</t>
          </r>
          <r>
            <rPr>
              <rFont val="Calibri"/>
              <i val="1"/>
              <color rgb="002B2B2B"/>
              <sz val="10"/>
              <vertAlign val="subscript"/>
            </rPr>
            <t>s2</t>
          </r>
        </is>
      </c>
      <c r="E153" s="44">
        <f>IF(inputs_ok,IF(NOT(scope_sl),"–",IF(unc_dS_sl,u1_dS_sl,cr1_dS_sl)),NA())</f>
        <v/>
      </c>
      <c r="F153" s="28" t="inlineStr">
        <is>
          <t>MPa</t>
        </is>
      </c>
      <c r="G153" s="23" t="n"/>
    </row>
    <row r="154" ht="17" customHeight="1">
      <c r="B154" s="23" t="n"/>
      <c r="C154" s="24" t="inlineStr">
        <is>
          <t>Bars at the tension face  (− tension)</t>
        </is>
      </c>
      <c r="D154" s="27" t="inlineStr">
        <is>
          <r>
            <rPr>
              <rFont val="Calibri"/>
              <i val="1"/>
              <color rgb="002B2B2B"/>
              <sz val="10"/>
            </rPr>
            <t>σ</t>
          </r>
          <r>
            <rPr>
              <rFont val="Calibri"/>
              <i val="1"/>
              <color rgb="002B2B2B"/>
              <sz val="10"/>
              <vertAlign val="subscript"/>
            </rPr>
            <t>s</t>
          </r>
        </is>
      </c>
      <c r="E154" s="44">
        <f>IF(inputs_ok,IF(NOT(scope_sl),"–",IF(unc_dS_sl,u2_dS_sl,cr2_dS_sl)),NA())</f>
        <v/>
      </c>
      <c r="F154" s="28" t="inlineStr">
        <is>
          <t>MPa</t>
        </is>
      </c>
      <c r="G154" s="23" t="n"/>
    </row>
    <row r="155" ht="17" customHeight="1">
      <c r="B155" s="23" t="n"/>
      <c r="C155" s="24" t="inlineStr">
        <is>
          <t>Neutral axis, characteristic, creep φ Mqp / Mk  (N J = M Q)</t>
        </is>
      </c>
      <c r="D155" s="27" t="inlineStr">
        <is>
          <r>
            <rPr>
              <rFont val="Calibri"/>
              <i val="1"/>
              <color rgb="002B2B2B"/>
              <sz val="10"/>
            </rPr>
            <t>x</t>
          </r>
        </is>
      </c>
      <c r="E155" s="44">
        <f>IF(inputs_ok,IF(NOT(scope_sl),"–",IF(unc_mx_sl,IF(cracked_sl,"x ≥ h","uncracked"),xb_mx_sl)),NA())</f>
        <v/>
      </c>
      <c r="F155" s="28" t="inlineStr">
        <is>
          <t>mm</t>
        </is>
      </c>
      <c r="G155" s="23" t="n"/>
    </row>
    <row r="156" ht="17" customHeight="1">
      <c r="B156" s="23" t="n"/>
      <c r="C156" s="24" t="inlineStr">
        <is>
          <t>Concrete stress at the compressed face</t>
        </is>
      </c>
      <c r="D156" s="27" t="inlineStr">
        <is>
          <r>
            <rPr>
              <rFont val="Calibri"/>
              <i val="1"/>
              <color rgb="002B2B2B"/>
              <sz val="10"/>
            </rPr>
            <t>σ</t>
          </r>
          <r>
            <rPr>
              <rFont val="Calibri"/>
              <i val="1"/>
              <color rgb="002B2B2B"/>
              <sz val="10"/>
              <vertAlign val="subscript"/>
            </rPr>
            <t>c</t>
          </r>
        </is>
      </c>
      <c r="E156" s="42">
        <f>IF(inputs_ok,IF(NOT(scope_sl),"–",IF(unc_mx_sl,MAX(uT_mx_sl,uB_mx_sl),kc_mx_sl*xb_mx_sl)),NA())</f>
        <v/>
      </c>
      <c r="F156" s="28" t="inlineStr">
        <is>
          <t>MPa</t>
        </is>
      </c>
      <c r="G156" s="23" t="n"/>
    </row>
    <row r="157" ht="17" customHeight="1">
      <c r="B157" s="23" t="n"/>
      <c r="C157" s="24" t="inlineStr">
        <is>
          <t>Bars at the compressed face  (+ compression)</t>
        </is>
      </c>
      <c r="D157" s="27" t="inlineStr">
        <is>
          <r>
            <rPr>
              <rFont val="Calibri"/>
              <i val="1"/>
              <color rgb="002B2B2B"/>
              <sz val="10"/>
            </rPr>
            <t>σ</t>
          </r>
          <r>
            <rPr>
              <rFont val="Calibri"/>
              <i val="1"/>
              <color rgb="002B2B2B"/>
              <sz val="10"/>
              <vertAlign val="subscript"/>
            </rPr>
            <t>s2</t>
          </r>
        </is>
      </c>
      <c r="E157" s="44">
        <f>IF(inputs_ok,IF(NOT(scope_sl),"–",IF(unc_mx_sl,u1_mx_sl,cr1_mx_sl)),NA())</f>
        <v/>
      </c>
      <c r="F157" s="28" t="inlineStr">
        <is>
          <t>MPa</t>
        </is>
      </c>
      <c r="G157" s="23" t="n"/>
    </row>
    <row r="158" ht="17" customHeight="1">
      <c r="B158" s="23" t="n"/>
      <c r="C158" s="24" t="inlineStr">
        <is>
          <t>Bars at the tension face  (− tension)</t>
        </is>
      </c>
      <c r="D158" s="27" t="inlineStr">
        <is>
          <r>
            <rPr>
              <rFont val="Calibri"/>
              <i val="1"/>
              <color rgb="002B2B2B"/>
              <sz val="10"/>
            </rPr>
            <t>σ</t>
          </r>
          <r>
            <rPr>
              <rFont val="Calibri"/>
              <i val="1"/>
              <color rgb="002B2B2B"/>
              <sz val="10"/>
              <vertAlign val="subscript"/>
            </rPr>
            <t>s</t>
          </r>
        </is>
      </c>
      <c r="E158" s="44">
        <f>IF(inputs_ok,IF(NOT(scope_sl),"–",IF(unc_mx_sl,u2_mx_sl,cr2_mx_sl)),NA())</f>
        <v/>
      </c>
      <c r="F158" s="28" t="inlineStr">
        <is>
          <t>MPa</t>
        </is>
      </c>
      <c r="G158" s="23" t="n"/>
    </row>
    <row r="159" ht="17" customHeight="1">
      <c r="B159" s="23" t="n"/>
      <c r="C159" s="24" t="inlineStr">
        <is>
          <t>Characteristic, staged  (uncracked: qp long term + increment short term; cracked: mixed)</t>
        </is>
      </c>
      <c r="D159" s="27" t="inlineStr">
        <is>
          <r>
            <rPr>
              <rFont val="Calibri"/>
              <i val="1"/>
              <color rgb="002B2B2B"/>
              <sz val="10"/>
            </rPr>
            <t>σ</t>
          </r>
          <r>
            <rPr>
              <rFont val="Calibri"/>
              <i val="1"/>
              <color rgb="002B2B2B"/>
              <sz val="10"/>
              <vertAlign val="subscript"/>
            </rPr>
            <t>c</t>
          </r>
        </is>
      </c>
      <c r="E159" s="42">
        <f>IF(inputs_ok,IF(NOT(scope_sl),"–",IF(cracked_sl,sc_mx_sl,MAX(uT_qL_sl+uT_dS_sl,uB_qL_sl+uB_dS_sl))),NA())</f>
        <v/>
      </c>
      <c r="F159" s="28" t="inlineStr">
        <is>
          <t>MPa</t>
        </is>
      </c>
      <c r="G159" s="23" t="n"/>
    </row>
    <row r="160" ht="17" customHeight="1">
      <c r="B160" s="23" t="n"/>
      <c r="C160" s="24" t="inlineStr">
        <is>
          <t>Bars at the compressed face</t>
        </is>
      </c>
      <c r="D160" s="27" t="inlineStr">
        <is>
          <r>
            <rPr>
              <rFont val="Calibri"/>
              <i val="1"/>
              <color rgb="002B2B2B"/>
              <sz val="10"/>
            </rPr>
            <t>σ</t>
          </r>
          <r>
            <rPr>
              <rFont val="Calibri"/>
              <i val="1"/>
              <color rgb="002B2B2B"/>
              <sz val="10"/>
              <vertAlign val="subscript"/>
            </rPr>
            <t>s2</t>
          </r>
        </is>
      </c>
      <c r="E160" s="44">
        <f>IF(inputs_ok,IF(NOT(scope_sl),"–",IF(cracked_sl,s1_mx_sl,u1_qL_sl+u1_dS_sl)),NA())</f>
        <v/>
      </c>
      <c r="F160" s="28" t="inlineStr">
        <is>
          <t>MPa</t>
        </is>
      </c>
      <c r="G160" s="23" t="n"/>
    </row>
    <row r="161" ht="17" customHeight="1">
      <c r="B161" s="23" t="n"/>
      <c r="C161" s="24" t="inlineStr">
        <is>
          <t>Bars at the tension face</t>
        </is>
      </c>
      <c r="D161" s="27" t="inlineStr">
        <is>
          <r>
            <rPr>
              <rFont val="Calibri"/>
              <i val="1"/>
              <color rgb="002B2B2B"/>
              <sz val="10"/>
            </rPr>
            <t>σ</t>
          </r>
          <r>
            <rPr>
              <rFont val="Calibri"/>
              <i val="1"/>
              <color rgb="002B2B2B"/>
              <sz val="10"/>
              <vertAlign val="subscript"/>
            </rPr>
            <t>s</t>
          </r>
        </is>
      </c>
      <c r="E161" s="44">
        <f>IF(inputs_ok,IF(NOT(scope_sl),"–",IF(cracked_sl,s2_mx_sl,u2_qL_sl+u2_dS_sl)),NA())</f>
        <v/>
      </c>
      <c r="F161" s="28" t="inlineStr">
        <is>
          <t>MPa</t>
        </is>
      </c>
      <c r="G161" s="23" t="n"/>
    </row>
    <row r="162"/>
    <row r="163" ht="22" customHeight="1">
      <c r="B163" s="20" t="inlineStr">
        <is>
          <t>Calculation  ·  stress limits  (largest of the analyses)</t>
        </is>
      </c>
      <c r="C163" s="21" t="n"/>
      <c r="D163" s="21" t="n"/>
      <c r="E163" s="21" t="n"/>
      <c r="F163" s="21" t="n"/>
      <c r="G163" s="21" t="n"/>
    </row>
    <row r="164" ht="17" customHeight="1">
      <c r="B164" s="26" t="inlineStr">
        <is>
          <t>7.2(2)</t>
        </is>
      </c>
      <c r="C164" s="24" t="inlineStr">
        <is>
          <t>Concrete, characteristic  (short, long term, staged)</t>
        </is>
      </c>
      <c r="D164" s="27" t="inlineStr">
        <is>
          <r>
            <rPr>
              <rFont val="Calibri"/>
              <i val="1"/>
              <color rgb="002B2B2B"/>
              <sz val="10"/>
            </rPr>
            <t>σ</t>
          </r>
          <r>
            <rPr>
              <rFont val="Calibri"/>
              <i val="1"/>
              <color rgb="002B2B2B"/>
              <sz val="10"/>
              <vertAlign val="subscript"/>
            </rPr>
            <t>c,k</t>
          </r>
        </is>
      </c>
      <c r="E164" s="42">
        <f>IF(inputs_ok,IF(scope_sl,MAX(sc_kS_sl,sc_kL_sl,sc_stg_sl),"–"),NA())</f>
        <v/>
      </c>
      <c r="F164" s="28" t="inlineStr">
        <is>
          <t>MPa</t>
        </is>
      </c>
      <c r="G164" s="23" t="n"/>
    </row>
    <row r="165" ht="17" customHeight="1">
      <c r="B165" s="26" t="inlineStr">
        <is>
          <t>7.2(2)</t>
        </is>
      </c>
      <c r="C165" s="24" t="inlineStr">
        <is>
          <t>Limit  k1 fck</t>
        </is>
      </c>
      <c r="D165" s="23" t="n"/>
      <c r="E165" s="44">
        <f>IF(inputs_ok,k1_sl*f_ck,NA())</f>
        <v/>
      </c>
      <c r="F165" s="28" t="inlineStr">
        <is>
          <t>MPa</t>
        </is>
      </c>
      <c r="G165" s="23" t="n"/>
    </row>
    <row r="166" ht="17" customHeight="1">
      <c r="B166" s="26" t="inlineStr">
        <is>
          <t>7.2(2)</t>
        </is>
      </c>
      <c r="C166" s="24" t="inlineStr">
        <is>
          <t>σc,k ≤ k1 fck  (required for exposure XD, XF, XS)</t>
        </is>
      </c>
      <c r="D166" s="23" t="n"/>
      <c r="E166" s="9" t="n"/>
      <c r="F166" s="23" t="n"/>
      <c r="G166" s="32">
        <f>IF(NOT(inputs_ok),"FAIL",IF(NOT(scope_sl),"FAIL",IF(k1ap_sl,IF(sck_sl&lt;=lc1_sl,IF(stgw_sl,"! approximate","OK"),"FAIL"),"not required")))</f>
        <v/>
      </c>
    </row>
    <row r="167" ht="17" customHeight="1">
      <c r="B167" s="26" t="inlineStr">
        <is>
          <t>7.2(3)</t>
        </is>
      </c>
      <c r="C167" s="24" t="inlineStr">
        <is>
          <t>Concrete, quasi-permanent</t>
        </is>
      </c>
      <c r="D167" s="27" t="inlineStr">
        <is>
          <r>
            <rPr>
              <rFont val="Calibri"/>
              <i val="1"/>
              <color rgb="002B2B2B"/>
              <sz val="10"/>
            </rPr>
            <t>σ</t>
          </r>
          <r>
            <rPr>
              <rFont val="Calibri"/>
              <i val="1"/>
              <color rgb="002B2B2B"/>
              <sz val="10"/>
              <vertAlign val="subscript"/>
            </rPr>
            <t>c,qp</t>
          </r>
        </is>
      </c>
      <c r="E167" s="42">
        <f>IF(inputs_ok,IF(scope_sl,MAX(sc_qS_sl,sc_qL_sl),"–"),NA())</f>
        <v/>
      </c>
      <c r="F167" s="28" t="inlineStr">
        <is>
          <t>MPa</t>
        </is>
      </c>
      <c r="G167" s="23" t="n"/>
    </row>
    <row r="168" ht="17" customHeight="1">
      <c r="B168" s="26" t="inlineStr">
        <is>
          <t>7.2(3)</t>
        </is>
      </c>
      <c r="C168" s="24" t="inlineStr">
        <is>
          <t>Limit for linear creep  k2 fck</t>
        </is>
      </c>
      <c r="D168" s="23" t="n"/>
      <c r="E168" s="44">
        <f>IF(inputs_ok,k2_sl*f_ck,NA())</f>
        <v/>
      </c>
      <c r="F168" s="28" t="inlineStr">
        <is>
          <t>MPa</t>
        </is>
      </c>
      <c r="G168" s="23" t="n"/>
    </row>
    <row r="169" ht="17" customHeight="1">
      <c r="B169" s="26" t="inlineStr">
        <is>
          <t>7.2(3)</t>
        </is>
      </c>
      <c r="C169" s="24" t="inlineStr">
        <is>
          <t>σc,qp ≤ k2 fck  (else non-linear creep, 3.1.4(4))</t>
        </is>
      </c>
      <c r="D169" s="23" t="n"/>
      <c r="E169" s="9" t="n"/>
      <c r="F169" s="23" t="n"/>
      <c r="G169" s="32">
        <f>IF(NOT(inputs_ok),"FAIL",IF(NOT(scope_sl),"FAIL",IF(scq_sl&lt;=lc2_sl,"OK","! non-linear creep")))</f>
        <v/>
      </c>
    </row>
    <row r="170" ht="17" customHeight="1">
      <c r="B170" s="26" t="inlineStr">
        <is>
          <t>7.2(5)</t>
        </is>
      </c>
      <c r="C170" s="24" t="inlineStr">
        <is>
          <t>Reinforcement tension, characteristic  (short, long term, staged)</t>
        </is>
      </c>
      <c r="D170" s="27" t="inlineStr">
        <is>
          <r>
            <rPr>
              <rFont val="Calibri"/>
              <i val="1"/>
              <color rgb="002B2B2B"/>
              <sz val="10"/>
            </rPr>
            <t>σ</t>
          </r>
          <r>
            <rPr>
              <rFont val="Calibri"/>
              <i val="1"/>
              <color rgb="002B2B2B"/>
              <sz val="10"/>
              <vertAlign val="subscript"/>
            </rPr>
            <t>s,k</t>
          </r>
        </is>
      </c>
      <c r="E170" s="44">
        <f>IF(inputs_ok,IF(scope_sl,MAX(st_kS_sl,st_kL_sl,st_stg_sl),"–"),NA())</f>
        <v/>
      </c>
      <c r="F170" s="28" t="inlineStr">
        <is>
          <t>MPa</t>
        </is>
      </c>
      <c r="G170" s="23" t="n"/>
    </row>
    <row r="171" ht="17" customHeight="1">
      <c r="B171" s="26" t="inlineStr">
        <is>
          <t>7.2(5)</t>
        </is>
      </c>
      <c r="C171" s="24" t="inlineStr">
        <is>
          <t>Limit  k3 fyk  (loads) or k4 fyk  (imposed deformation)</t>
        </is>
      </c>
      <c r="D171" s="23" t="n"/>
      <c r="E171" s="43">
        <f>IF(inputs_ok,IF(src_sl="Loads  (k3 fyk)",k3_sl,k4_sl)*fyk_sl,NA())</f>
        <v/>
      </c>
      <c r="F171" s="28" t="inlineStr">
        <is>
          <t>MPa</t>
        </is>
      </c>
      <c r="G171" s="23" t="n"/>
    </row>
    <row r="172" ht="17" customHeight="1">
      <c r="B172" s="26" t="inlineStr">
        <is>
          <t>7.2(5)</t>
        </is>
      </c>
      <c r="C172" s="24" t="inlineStr">
        <is>
          <t>σs,k ≤ limit</t>
        </is>
      </c>
      <c r="D172" s="23" t="n"/>
      <c r="E172" s="9" t="n"/>
      <c r="F172" s="23" t="n"/>
      <c r="G172" s="32">
        <f>IF(NOT(inputs_ok),"FAIL",IF(NOT(scope_sl),"FAIL",IF(ssk_sl&lt;=ls_sl,IF(stgw_sl,"! approximate","OK"),"FAIL")))</f>
        <v/>
      </c>
    </row>
    <row r="173" ht="17" customHeight="1">
      <c r="B173" s="26" t="inlineStr">
        <is>
          <t>7.3.3</t>
        </is>
      </c>
      <c r="C173" s="24" t="inlineStr">
        <is>
          <t>Reinforcement tension, quasi-permanent, cracked section  (RC-003, RC-016)</t>
        </is>
      </c>
      <c r="D173" s="27" t="inlineStr">
        <is>
          <r>
            <rPr>
              <rFont val="Calibri"/>
              <i val="1"/>
              <color rgb="002B2B2B"/>
              <sz val="10"/>
            </rPr>
            <t>σ</t>
          </r>
          <r>
            <rPr>
              <rFont val="Calibri"/>
              <i val="1"/>
              <color rgb="002B2B2B"/>
              <sz val="10"/>
              <vertAlign val="subscript"/>
            </rPr>
            <t>s,qp</t>
          </r>
        </is>
      </c>
      <c r="E173" s="44">
        <f>IF(inputs_ok,IF(scope_sl,MAX(stcr_qS_sl,stcr_qL_sl),"–"),NA())</f>
        <v/>
      </c>
      <c r="F173" s="28" t="inlineStr">
        <is>
          <t>MPa</t>
        </is>
      </c>
      <c r="G173" s="23" t="n"/>
    </row>
    <row r="174" ht="17" customHeight="1">
      <c r="B174" s="23" t="n"/>
      <c r="C174" s="24" t="inlineStr">
        <is>
          <t>Staged estimate  (cracked: Nqp / Nk = Mqp / Mk within 0.01, else approximate)</t>
        </is>
      </c>
      <c r="D174" s="23" t="n"/>
      <c r="E174" s="9" t="n"/>
      <c r="F174" s="23" t="n"/>
      <c r="G174" s="32">
        <f>IF(NOT(inputs_ok),"FAIL",IF(stgw_sl,"! approximate","OK"))</f>
        <v/>
      </c>
    </row>
    <row r="175" ht="17" customHeight="1">
      <c r="B175" s="26" t="inlineStr">
        <is>
          <t>7.2(4)P</t>
        </is>
      </c>
      <c r="C175" s="24" t="inlineStr">
        <is>
          <t>Largest bar stress  (any analysis, incl. the cracked one of 7.3.3)</t>
        </is>
      </c>
      <c r="D175" s="27" t="inlineStr">
        <is>
          <r>
            <rPr>
              <rFont val="Calibri"/>
              <i val="1"/>
              <color rgb="002B2B2B"/>
              <sz val="10"/>
            </rPr>
            <t>|σ</t>
          </r>
          <r>
            <rPr>
              <rFont val="Calibri"/>
              <i val="1"/>
              <color rgb="002B2B2B"/>
              <sz val="10"/>
              <vertAlign val="subscript"/>
            </rPr>
            <t>s|</t>
          </r>
        </is>
      </c>
      <c r="E175" s="44">
        <f>IF(inputs_ok,IF(scope_sl,MAX(ABS(s2_kS_sl),IF(A1_sl&gt;0,ABS(s1_kS_sl),0),ABS(s2_kL_sl),IF(A1_sl&gt;0,ABS(s1_kL_sl),0),ABS(s2_qS_sl),IF(A1_sl&gt;0,ABS(s1_qS_sl),0),ABS(s2_qL_sl),IF(A1_sl&gt;0,ABS(s1_qL_sl),0),ABS(s2_stg_sl),IF(A1_sl&gt;0,ABS(s1_stg_sl),0),ABS(cr2_qS_sl),IF(A1_sl&gt;0,ABS(cr1_qS_sl),0),ABS(cr2_qL_sl),IF(A1_sl&gt;0,ABS(cr1_qL_sl),0)),"–"),NA())</f>
        <v/>
      </c>
      <c r="F175" s="28" t="inlineStr">
        <is>
          <t>MPa</t>
        </is>
      </c>
      <c r="G175" s="23" t="n"/>
    </row>
    <row r="176" ht="17" customHeight="1">
      <c r="B176" s="26" t="inlineStr">
        <is>
          <t>7.2(4)P</t>
        </is>
      </c>
      <c r="C176" s="24" t="inlineStr">
        <is>
          <t>Bars ≤ fyk  (else the elastic analysis does not apply)</t>
        </is>
      </c>
      <c r="D176" s="23" t="n"/>
      <c r="E176" s="9" t="n"/>
      <c r="F176" s="23" t="n"/>
      <c r="G176" s="32">
        <f>IF(NOT(inputs_ok),"FAIL",IF(NOT(scope_sl),"FAIL",IF(scmax_sl&lt;=fyk_sl,"OK","FAIL")))</f>
        <v/>
      </c>
    </row>
    <row r="177" ht="17" customHeight="1">
      <c r="B177" s="26" t="inlineStr">
        <is>
          <t>8.2(2)</t>
        </is>
      </c>
      <c r="C177" s="24" t="inlineStr">
        <is>
          <t>Clear gap, top bars  (bw − 2(c + φw) − n φ) / (n − 1)</t>
        </is>
      </c>
      <c r="D177" s="23" t="n"/>
      <c r="E177" s="43">
        <f>IF(inputs_ok,IF(nt_sl&gt;=2,gapt_sl,"–"),NA())</f>
        <v/>
      </c>
      <c r="F177" s="28" t="inlineStr">
        <is>
          <t>mm</t>
        </is>
      </c>
      <c r="G177" s="23" t="n"/>
    </row>
    <row r="178" ht="17" customHeight="1">
      <c r="B178" s="26" t="inlineStr">
        <is>
          <t>8.2(2)</t>
        </is>
      </c>
      <c r="C178" s="24" t="inlineStr">
        <is>
          <t>Clear gap, bottom bars</t>
        </is>
      </c>
      <c r="D178" s="23" t="n"/>
      <c r="E178" s="43">
        <f>IF(inputs_ok,IF(nb_sl&gt;=2,gapb_sl,"–"),NA())</f>
        <v/>
      </c>
      <c r="F178" s="28" t="inlineStr">
        <is>
          <t>mm</t>
        </is>
      </c>
      <c r="G178" s="23" t="n"/>
    </row>
    <row r="179" ht="17" customHeight="1">
      <c r="B179" s="26" t="inlineStr">
        <is>
          <t>8.2(2)</t>
        </is>
      </c>
      <c r="C179" s="24" t="inlineStr">
        <is>
          <t>Clear gap between the layers  h − 2(c + φw) − φt − φb</t>
        </is>
      </c>
      <c r="D179" s="23" t="n"/>
      <c r="E179" s="43">
        <f>IF(inputs_ok,IF(gapv_sl&lt;1E9,gapv_sl,"–"),NA())</f>
        <v/>
      </c>
      <c r="F179" s="28" t="inlineStr">
        <is>
          <t>mm</t>
        </is>
      </c>
      <c r="G179" s="23" t="n"/>
    </row>
    <row r="180" ht="17" customHeight="1">
      <c r="B180" s="26" t="inlineStr">
        <is>
          <t>8.2(2)</t>
        </is>
      </c>
      <c r="C180" s="24" t="inlineStr">
        <is>
          <t>Gaps ≥ max(φ; 20 mm)  (dg + 5 mm not checked)</t>
        </is>
      </c>
      <c r="D180" s="23" t="n"/>
      <c r="E180" s="9" t="n"/>
      <c r="F180" s="23" t="n"/>
      <c r="G180" s="32">
        <f>IF(NOT(inputs_ok),"FAIL",IF(AND(gokt_sl,gokb_sl,gokv_sl),"OK","! bar spacing"))</f>
        <v/>
      </c>
    </row>
    <row r="181" ht="91.5" customHeight="1">
      <c r="B181" s="46" t="inlineStr">
        <is>
          <t>Stresses from a linear elastic analysis with Es = 200 GPa; the short-term modular ratio gives the stresses when the load is applied, the long-term one after creep; for the characteristic combination a staged value is added (uncracked: sustained part long term plus the rest short term, exact; cracked: creep scaled by Mqp / Mk) and the largest of the three is checked. A section once cracked stays cracked: the cracked analysis is used for both combinations. Where the whole section is compressed it is analysed uncracked. Tension in the bars at the compressed face counts in σs. The face entered as compressed must carry no tension (cracked) or no more than fct,eff (uncracked): otherwise the other face is the compressed one and every check reports FAIL. The k1 limit may be relaxed where other measures, such as more cover or confinement by transverse reinforcement, are taken (7.2(2)).</t>
        </is>
      </c>
    </row>
    <row r="182"/>
    <row r="183" ht="29" customHeight="1">
      <c r="B183" s="46" t="inlineStr">
        <is>
          <t>Prepared with NA Engineering calculation tools  ·  naengineering.uk  ·  adrian@naengineering.uk. Free for use by competent engineers; see the About sheet for scope and disclaimer.</t>
        </is>
      </c>
    </row>
  </sheetData>
  <sheetProtection selectLockedCells="0" selectUnlockedCells="0" sheet="1" objects="1" insertRows="1" insertHyperlinks="1" autoFilter="1" scenarios="0" formatColumns="0" deleteColumns="1" insertColumns="1" pivotTables="1" deleteRows="1" formatCells="1" formatRows="0" sort="1" password="AA0A"/>
  <mergeCells count="7">
    <mergeCell ref="E5:G5"/>
    <mergeCell ref="B181:G181"/>
    <mergeCell ref="B183:G183"/>
    <mergeCell ref="D2:G2"/>
    <mergeCell ref="E7:G7"/>
    <mergeCell ref="E6:G6"/>
    <mergeCell ref="C3:G3"/>
  </mergeCells>
  <conditionalFormatting sqref="G9:G184">
    <cfRule type="expression" priority="1" dxfId="0">
      <formula>G9="OK"</formula>
    </cfRule>
    <cfRule type="expression" priority="2" dxfId="1">
      <formula>G9="FAIL"</formula>
    </cfRule>
    <cfRule type="expression" priority="3" dxfId="2">
      <formula>LEFT(G9,1)="!"</formula>
    </cfRule>
  </conditionalFormatting>
  <dataValidations count="24">
    <dataValidation sqref="E11" showDropDown="0" showInputMessage="0" showErrorMessage="1" allowBlank="0" errorTitle="NA Engineering" error="Pick a value from the list." type="list" errorStyle="stop">
      <formula1>"UK NA (BS EN),PL NA (PN-EN)"</formula1>
    </dataValidation>
    <dataValidation sqref="E12" showDropDown="0" showInputMessage="0" showErrorMessage="1" allowBlank="0" errorTitle="NA Engineering" error="Pick a value from the list." type="list" errorStyle="stop">
      <formula1>"C20/25,C25/30,C28/35,C30/37,C32/40,C35/45,C40/50,C45/55,C50/60"</formula1>
    </dataValidation>
    <dataValidation sqref="E13" showDropDown="0" showInputMessage="0" showErrorMessage="1" allowBlank="0" errorTitle="NA Engineering" error="Enter a number greater than 0." type="decimal" errorStyle="stop" operator="greaterThan">
      <formula1>0</formula1>
    </dataValidation>
    <dataValidation sqref="E14" showDropDown="0" showInputMessage="0" showErrorMessage="1" allowBlank="0" errorTitle="NA Engineering" error="Pick a value from the list." type="list" errorStyle="stop">
      <formula1>"Rectangular,Flanged  (flange at the top)"</formula1>
    </dataValidation>
    <dataValidation sqref="E15" showDropDown="0" showInputMessage="0" showErrorMessage="1" allowBlank="0" errorTitle="NA Engineering" error="Enter a number greater than 0." type="decimal" errorStyle="stop" operator="greaterThan">
      <formula1>0</formula1>
    </dataValidation>
    <dataValidation sqref="E16" showDropDown="0" showInputMessage="0" showErrorMessage="1" allowBlank="0" errorTitle="NA Engineering" error="Enter a number greater than 0." type="decimal" errorStyle="stop" operator="greaterThan">
      <formula1>0</formula1>
    </dataValidation>
    <dataValidation sqref="E17" showDropDown="0" showInputMessage="0" showErrorMessage="1" allowBlank="1" errorTitle="NA Engineering" error="Enter a number greater than 0." type="custom" errorStyle="stop">
      <formula1>IF(fl_sl,AND(ISNUMBER(E17),E17&gt;0),TRUE)</formula1>
    </dataValidation>
    <dataValidation sqref="E18" showDropDown="0" showInputMessage="0" showErrorMessage="1" allowBlank="1" errorTitle="NA Engineering" error="Enter a number greater than 0." type="custom" errorStyle="stop">
      <formula1>IF(fl_sl,AND(ISNUMBER(E18),E18&gt;0),TRUE)</formula1>
    </dataValidation>
    <dataValidation sqref="E19" showDropDown="0" showInputMessage="0" showErrorMessage="1" allowBlank="0" errorTitle="NA Engineering" error="Enter a number greater than 0." type="decimal" errorStyle="stop" operator="greaterThan">
      <formula1>0</formula1>
    </dataValidation>
    <dataValidation sqref="E20" showDropDown="0" showInputMessage="0" showErrorMessage="1" allowBlank="0" errorTitle="NA Engineering" error="Pick a value from the list." type="list" errorStyle="stop">
      <formula1>"0,6,8,10,12"</formula1>
    </dataValidation>
    <dataValidation sqref="E21 E23" showDropDown="0" showInputMessage="0" showErrorMessage="1" allowBlank="0" errorTitle="NA Engineering" error="Pick a value from the list." type="list" errorStyle="stop">
      <formula1>"0,1,2,3,4,5,6,7,8,9,10,11,12"</formula1>
    </dataValidation>
    <dataValidation sqref="E22 E24" showDropDown="0" showInputMessage="0" showErrorMessage="1" allowBlank="0" errorTitle="NA Engineering" error="Pick a value from the list." type="list" errorStyle="stop">
      <formula1>"8,10,12,16,20,25,32,40"</formula1>
    </dataValidation>
    <dataValidation sqref="E27" showDropDown="0" showInputMessage="0" showErrorMessage="1" allowBlank="0" errorTitle="NA Engineering" error="Pick a value from the list." type="list" errorStyle="stop">
      <formula1>"Sagging  (top face compressed),Hogging  (bottom face compressed)"</formula1>
    </dataValidation>
    <dataValidation sqref="E28" showDropDown="0" showInputMessage="0" showErrorMessage="1" allowBlank="0" errorTitle="NA Engineering" error="Enter a number ≥ 0." type="decimal" errorStyle="stop" operator="greaterThanOrEqual">
      <formula1>0</formula1>
    </dataValidation>
    <dataValidation sqref="E29" showDropDown="0" showInputMessage="0" showErrorMessage="1" allowBlank="0" errorTitle="NA Engineering" error="Enter a number ≥ 0." type="decimal" errorStyle="stop" operator="greaterThanOrEqual">
      <formula1>0</formula1>
    </dataValidation>
    <dataValidation sqref="E30" showDropDown="0" showInputMessage="0" showErrorMessage="1" allowBlank="0" errorTitle="NA Engineering" error="Enter a number ≥ 0." type="decimal" errorStyle="stop" operator="greaterThanOrEqual">
      <formula1>0</formula1>
    </dataValidation>
    <dataValidation sqref="E31" showDropDown="0" showInputMessage="0" showErrorMessage="1" allowBlank="0" errorTitle="NA Engineering" error="Enter a number ≥ 0." type="decimal" errorStyle="stop" operator="greaterThanOrEqual">
      <formula1>0</formula1>
    </dataValidation>
    <dataValidation sqref="E32" showDropDown="0" showInputMessage="0" showErrorMessage="1" allowBlank="0" errorTitle="NA Engineering" error="Enter a number ≥ 0." type="decimal" errorStyle="stop" operator="greaterThanOrEqual">
      <formula1>0</formula1>
    </dataValidation>
    <dataValidation sqref="E33" showDropDown="0" showInputMessage="0" showErrorMessage="1" allowBlank="0" errorTitle="NA Engineering" error="Pick a value from the list." type="list" errorStyle="stop">
      <formula1>"Quartzite  (1.0),Limestone  (0.9),Sandstone  (0.7),Basalt  (1.2)"</formula1>
    </dataValidation>
    <dataValidation sqref="E34" showDropDown="0" showInputMessage="0" showErrorMessage="1" allowBlank="0" errorTitle="NA Engineering" error="Pick a value from the list." type="list" errorStyle="stop">
      <formula1>"X0,XC1,XC2,XC3,XC4,XD1,XD2,XD3,XS1,XS2,XS3,XF1,XF2,XF3,XF4"</formula1>
    </dataValidation>
    <dataValidation sqref="E35" showDropDown="0" showInputMessage="0" showErrorMessage="1" allowBlank="0" errorTitle="NA Engineering" error="Pick a value from the list." type="list" errorStyle="stop">
      <formula1>"Loads  (k3 fyk),Imposed deformation  (k4 fyk)"</formula1>
    </dataValidation>
    <dataValidation sqref="E36" showDropDown="0" showInputMessage="0" showErrorMessage="1" allowBlank="0" errorTitle="NA Engineering" error="Pick a value from the list." type="list" errorStyle="stop">
      <formula1>"fctm,fctm.fl  (3.23)"</formula1>
    </dataValidation>
    <dataValidation sqref="E37" showDropDown="0" showInputMessage="0" showErrorMessage="1" allowBlank="0" errorTitle="NA Engineering" error="Pick a value from the list." type="list" errorStyle="stop">
      <formula1>"From the stresses  (7.1(2)),Assume cracked"</formula1>
    </dataValidation>
    <dataValidation sqref="E38" showDropDown="0" showInputMessage="0" showErrorMessage="1" allowBlank="0" errorTitle="NA Engineering" error="Pick a value from the list." type="list" errorStyle="stop">
      <formula1>"Characteristic  short term,Characteristic  long term,Quasi-permanent  short term,Quasi-permanent  long term"</formula1>
    </dataValidation>
  </dataValidations>
  <printOptions horizontalCentered="1"/>
  <pageMargins left="0.4" right="0.4" top="0.4" bottom="0.6" header="0.5" footer="0.5"/>
  <pageSetup orientation="portrait" paperSize="9" fitToHeight="0" fitToWidth="1"/>
  <headerFooter>
    <oddHeader/>
    <oddFooter>&amp;L&amp;7 &amp;K8A8A8ANA Engineering sp. z o.o.  ·  naengineering.uk  ·  adrian@naengineering.uk  ·  +48 505 844 422&amp;C&amp;7 &amp;K8A8A8A&amp;P / &amp;N&amp;R&amp;7 &amp;K8A8A8ANAE-RC-047  v1.0</oddFooter>
    <evenHeader/>
    <evenFooter/>
    <firstHeader/>
    <firstFooter/>
  </headerFooter>
  <rowBreaks count="1" manualBreakCount="1">
    <brk id="40" min="0" max="16383" man="1"/>
  </rowBreaks>
  <drawing xmlns:r="http://schemas.openxmlformats.org/officeDocument/2006/relationships" r:id="rId1"/>
</worksheet>
</file>

<file path=xl/worksheets/sheet3.xml><?xml version="1.0" encoding="utf-8"?>
<worksheet xmlns="http://schemas.openxmlformats.org/spreadsheetml/2006/main">
  <sheetPr>
    <outlinePr summaryBelow="1" summaryRight="1"/>
    <pageSetUpPr/>
  </sheetPr>
  <dimension ref="A1:EG15"/>
  <sheetViews>
    <sheetView tabSelected="0" workbookViewId="0">
      <selection activeCell="A1" sqref="A1"/>
    </sheetView>
  </sheetViews>
  <sheetFormatPr baseColWidth="8" defaultRowHeight="15"/>
  <sheetData>
    <row r="1">
      <c r="A1" t="inlineStr">
        <is>
          <t>Coordinates for the live drawings (mm). Generated - do not edit.</t>
        </is>
      </c>
    </row>
    <row r="2">
      <c r="A2">
        <f>IF(inputs_ok,IF(scope_sl,"","the other face is compressed"),"check the inputs")</f>
        <v/>
      </c>
      <c r="D2" t="inlineStr">
        <is>
          <t>section</t>
        </is>
      </c>
      <c r="G2" t="inlineStr">
        <is>
          <t>link</t>
        </is>
      </c>
      <c r="J2" t="inlineStr">
        <is>
          <t>bar top 0</t>
        </is>
      </c>
      <c r="M2" t="inlineStr">
        <is>
          <t>bar top 1</t>
        </is>
      </c>
      <c r="P2" t="inlineStr">
        <is>
          <t>bar top 2</t>
        </is>
      </c>
      <c r="S2" t="inlineStr">
        <is>
          <t>bar top 3</t>
        </is>
      </c>
      <c r="V2" t="inlineStr">
        <is>
          <t>bar top 4</t>
        </is>
      </c>
      <c r="Y2" t="inlineStr">
        <is>
          <t>bar top 5</t>
        </is>
      </c>
      <c r="AB2" t="inlineStr">
        <is>
          <t>bar top 6</t>
        </is>
      </c>
      <c r="AE2" t="inlineStr">
        <is>
          <t>bar top 7</t>
        </is>
      </c>
      <c r="AH2" t="inlineStr">
        <is>
          <t>bar top 8</t>
        </is>
      </c>
      <c r="AK2" t="inlineStr">
        <is>
          <t>bar top 9</t>
        </is>
      </c>
      <c r="AN2" t="inlineStr">
        <is>
          <t>bar top 10</t>
        </is>
      </c>
      <c r="AQ2" t="inlineStr">
        <is>
          <t>bar top 11</t>
        </is>
      </c>
      <c r="AT2" t="inlineStr">
        <is>
          <t>bar bottom 0</t>
        </is>
      </c>
      <c r="AW2" t="inlineStr">
        <is>
          <t>bar bottom 1</t>
        </is>
      </c>
      <c r="AZ2" t="inlineStr">
        <is>
          <t>bar bottom 2</t>
        </is>
      </c>
      <c r="BC2" t="inlineStr">
        <is>
          <t>bar bottom 3</t>
        </is>
      </c>
      <c r="BF2" t="inlineStr">
        <is>
          <t>bar bottom 4</t>
        </is>
      </c>
      <c r="BI2" t="inlineStr">
        <is>
          <t>bar bottom 5</t>
        </is>
      </c>
      <c r="BL2" t="inlineStr">
        <is>
          <t>bar bottom 6</t>
        </is>
      </c>
      <c r="BO2" t="inlineStr">
        <is>
          <t>bar bottom 7</t>
        </is>
      </c>
      <c r="BR2" t="inlineStr">
        <is>
          <t>bar bottom 8</t>
        </is>
      </c>
      <c r="BU2" t="inlineStr">
        <is>
          <t>bar bottom 9</t>
        </is>
      </c>
      <c r="BX2" t="inlineStr">
        <is>
          <t>bar bottom 10</t>
        </is>
      </c>
      <c r="CA2" t="inlineStr">
        <is>
          <t>bar bottom 11</t>
        </is>
      </c>
      <c r="CD2" t="inlineStr">
        <is>
          <t>neutral axis</t>
        </is>
      </c>
      <c r="CG2" t="inlineStr">
        <is>
          <t>concrete stress</t>
        </is>
      </c>
      <c r="CJ2" t="inlineStr">
        <is>
          <t>strain line</t>
        </is>
      </c>
      <c r="CM2" t="inlineStr">
        <is>
          <t>zero line</t>
        </is>
      </c>
      <c r="CP2" t="inlineStr">
        <is>
          <t>compression bars</t>
        </is>
      </c>
      <c r="CS2" t="inlineStr">
        <is>
          <t>tension bars</t>
        </is>
      </c>
      <c r="CV2">
        <f>IF(draw_sl,"σs "&amp;TEXT(-gs2_sl,"0")&amp;" MPa","")</f>
        <v/>
      </c>
      <c r="CY2">
        <f>IF(draw_sl,IF(A1_sl&gt;0,"σs2 "&amp;TEXT(gs1_sl,"0")&amp;" MPa"&amp;IF(gs1_sl&lt;0," (tension)",""),""),"")</f>
        <v/>
      </c>
      <c r="DB2">
        <f>IF(draw_sl,"σc "&amp;TEXT(gA_sl,"0.0")&amp;" MPa","")</f>
        <v/>
      </c>
      <c r="DE2">
        <f>IF(draw_sl,IF(ISNUMBER(gX_sl),"x = "&amp;TEXT(gX_sl,"0")&amp;" mm",""),"")</f>
        <v/>
      </c>
      <c r="DH2">
        <f>IF(draw_sl,IF(di_sl&lt;=2,"characteristic","quasi-permanent"),"")</f>
        <v/>
      </c>
      <c r="DK2">
        <f>IF(draw_sl,IF(MOD(di_sl,2)=1,"short term","long term")&amp;", "&amp;IF(gU_sl,"uncracked","cracked"),"")</f>
        <v/>
      </c>
      <c r="DN2" t="inlineStr">
        <is>
          <t>dim</t>
        </is>
      </c>
      <c r="DQ2">
        <f>IF(draw_sl,"b = "&amp;TEXT(bw_sl,"0"),"")</f>
        <v/>
      </c>
      <c r="DT2" t="inlineStr">
        <is>
          <t>dim</t>
        </is>
      </c>
      <c r="DW2">
        <f>IF(draw_sl,"h = "&amp;TEXT(h_sl,"0"),"")</f>
        <v/>
      </c>
      <c r="DZ2" t="inlineStr">
        <is>
          <t>dim</t>
        </is>
      </c>
      <c r="EC2">
        <f>IF(draw_sl,"bf = "&amp;TEXT(bfe_sl,"0"),"")</f>
        <v/>
      </c>
      <c r="EF2" t="inlineStr">
        <is>
          <t>frame</t>
        </is>
      </c>
    </row>
    <row r="3">
      <c r="A3">
        <f>0</f>
        <v/>
      </c>
      <c r="B3">
        <f>0</f>
        <v/>
      </c>
      <c r="D3">
        <f>IF(draw_sl,0,NA())</f>
        <v/>
      </c>
      <c r="E3">
        <f>h_sl</f>
        <v/>
      </c>
      <c r="G3">
        <f>IF(draw_sl,IF(phiw_sl&gt;0,(ov_sl/2)+(c_sl+phiw_sl/2),NA()),NA())</f>
        <v/>
      </c>
      <c r="H3">
        <f>IF(phiw_sl&gt;0,(c_sl+phiw_sl/2),NA())</f>
        <v/>
      </c>
      <c r="J3">
        <f>IF(draw_sl,IF(0&lt;nt_sl,(IF(nt_sl=1,(ov_sl/2)+bw_sl/2,(ov_sl/2)+(c_sl+phiw_sl+pt_sl/2)+0*(bw_sl-2*(c_sl+phiw_sl+pt_sl/2))/(nt_sl-1)))+(pt_sl/2)*1.000000,NA()),NA())</f>
        <v/>
      </c>
      <c r="K3">
        <f>IF(0&lt;nt_sl,(h_sl-dt_sl)+(pt_sl/2)*0.000000,NA())</f>
        <v/>
      </c>
      <c r="M3">
        <f>IF(draw_sl,IF(1&lt;nt_sl,(IF(nt_sl=1,(ov_sl/2)+bw_sl/2,(ov_sl/2)+(c_sl+phiw_sl+pt_sl/2)+1*(bw_sl-2*(c_sl+phiw_sl+pt_sl/2))/(nt_sl-1)))+(pt_sl/2)*1.000000,NA()),NA())</f>
        <v/>
      </c>
      <c r="N3">
        <f>IF(1&lt;nt_sl,(h_sl-dt_sl)+(pt_sl/2)*0.000000,NA())</f>
        <v/>
      </c>
      <c r="P3">
        <f>IF(draw_sl,IF(2&lt;nt_sl,(IF(nt_sl=1,(ov_sl/2)+bw_sl/2,(ov_sl/2)+(c_sl+phiw_sl+pt_sl/2)+2*(bw_sl-2*(c_sl+phiw_sl+pt_sl/2))/(nt_sl-1)))+(pt_sl/2)*1.000000,NA()),NA())</f>
        <v/>
      </c>
      <c r="Q3">
        <f>IF(2&lt;nt_sl,(h_sl-dt_sl)+(pt_sl/2)*0.000000,NA())</f>
        <v/>
      </c>
      <c r="S3">
        <f>IF(draw_sl,IF(3&lt;nt_sl,(IF(nt_sl=1,(ov_sl/2)+bw_sl/2,(ov_sl/2)+(c_sl+phiw_sl+pt_sl/2)+3*(bw_sl-2*(c_sl+phiw_sl+pt_sl/2))/(nt_sl-1)))+(pt_sl/2)*1.000000,NA()),NA())</f>
        <v/>
      </c>
      <c r="T3">
        <f>IF(3&lt;nt_sl,(h_sl-dt_sl)+(pt_sl/2)*0.000000,NA())</f>
        <v/>
      </c>
      <c r="V3">
        <f>IF(draw_sl,IF(4&lt;nt_sl,(IF(nt_sl=1,(ov_sl/2)+bw_sl/2,(ov_sl/2)+(c_sl+phiw_sl+pt_sl/2)+4*(bw_sl-2*(c_sl+phiw_sl+pt_sl/2))/(nt_sl-1)))+(pt_sl/2)*1.000000,NA()),NA())</f>
        <v/>
      </c>
      <c r="W3">
        <f>IF(4&lt;nt_sl,(h_sl-dt_sl)+(pt_sl/2)*0.000000,NA())</f>
        <v/>
      </c>
      <c r="Y3">
        <f>IF(draw_sl,IF(5&lt;nt_sl,(IF(nt_sl=1,(ov_sl/2)+bw_sl/2,(ov_sl/2)+(c_sl+phiw_sl+pt_sl/2)+5*(bw_sl-2*(c_sl+phiw_sl+pt_sl/2))/(nt_sl-1)))+(pt_sl/2)*1.000000,NA()),NA())</f>
        <v/>
      </c>
      <c r="Z3">
        <f>IF(5&lt;nt_sl,(h_sl-dt_sl)+(pt_sl/2)*0.000000,NA())</f>
        <v/>
      </c>
      <c r="AB3">
        <f>IF(draw_sl,IF(6&lt;nt_sl,(IF(nt_sl=1,(ov_sl/2)+bw_sl/2,(ov_sl/2)+(c_sl+phiw_sl+pt_sl/2)+6*(bw_sl-2*(c_sl+phiw_sl+pt_sl/2))/(nt_sl-1)))+(pt_sl/2)*1.000000,NA()),NA())</f>
        <v/>
      </c>
      <c r="AC3">
        <f>IF(6&lt;nt_sl,(h_sl-dt_sl)+(pt_sl/2)*0.000000,NA())</f>
        <v/>
      </c>
      <c r="AE3">
        <f>IF(draw_sl,IF(7&lt;nt_sl,(IF(nt_sl=1,(ov_sl/2)+bw_sl/2,(ov_sl/2)+(c_sl+phiw_sl+pt_sl/2)+7*(bw_sl-2*(c_sl+phiw_sl+pt_sl/2))/(nt_sl-1)))+(pt_sl/2)*1.000000,NA()),NA())</f>
        <v/>
      </c>
      <c r="AF3">
        <f>IF(7&lt;nt_sl,(h_sl-dt_sl)+(pt_sl/2)*0.000000,NA())</f>
        <v/>
      </c>
      <c r="AH3">
        <f>IF(draw_sl,IF(8&lt;nt_sl,(IF(nt_sl=1,(ov_sl/2)+bw_sl/2,(ov_sl/2)+(c_sl+phiw_sl+pt_sl/2)+8*(bw_sl-2*(c_sl+phiw_sl+pt_sl/2))/(nt_sl-1)))+(pt_sl/2)*1.000000,NA()),NA())</f>
        <v/>
      </c>
      <c r="AI3">
        <f>IF(8&lt;nt_sl,(h_sl-dt_sl)+(pt_sl/2)*0.000000,NA())</f>
        <v/>
      </c>
      <c r="AK3">
        <f>IF(draw_sl,IF(9&lt;nt_sl,(IF(nt_sl=1,(ov_sl/2)+bw_sl/2,(ov_sl/2)+(c_sl+phiw_sl+pt_sl/2)+9*(bw_sl-2*(c_sl+phiw_sl+pt_sl/2))/(nt_sl-1)))+(pt_sl/2)*1.000000,NA()),NA())</f>
        <v/>
      </c>
      <c r="AL3">
        <f>IF(9&lt;nt_sl,(h_sl-dt_sl)+(pt_sl/2)*0.000000,NA())</f>
        <v/>
      </c>
      <c r="AN3">
        <f>IF(draw_sl,IF(10&lt;nt_sl,(IF(nt_sl=1,(ov_sl/2)+bw_sl/2,(ov_sl/2)+(c_sl+phiw_sl+pt_sl/2)+10*(bw_sl-2*(c_sl+phiw_sl+pt_sl/2))/(nt_sl-1)))+(pt_sl/2)*1.000000,NA()),NA())</f>
        <v/>
      </c>
      <c r="AO3">
        <f>IF(10&lt;nt_sl,(h_sl-dt_sl)+(pt_sl/2)*0.000000,NA())</f>
        <v/>
      </c>
      <c r="AQ3">
        <f>IF(draw_sl,IF(11&lt;nt_sl,(IF(nt_sl=1,(ov_sl/2)+bw_sl/2,(ov_sl/2)+(c_sl+phiw_sl+pt_sl/2)+11*(bw_sl-2*(c_sl+phiw_sl+pt_sl/2))/(nt_sl-1)))+(pt_sl/2)*1.000000,NA()),NA())</f>
        <v/>
      </c>
      <c r="AR3">
        <f>IF(11&lt;nt_sl,(h_sl-dt_sl)+(pt_sl/2)*0.000000,NA())</f>
        <v/>
      </c>
      <c r="AT3">
        <f>IF(draw_sl,IF(0&lt;nb_sl,(IF(nb_sl=1,(ov_sl/2)+bw_sl/2,(ov_sl/2)+(c_sl+phiw_sl+pb_sl/2)+0*(bw_sl-2*(c_sl+phiw_sl+pb_sl/2))/(nb_sl-1)))+(pb_sl/2)*1.000000,NA()),NA())</f>
        <v/>
      </c>
      <c r="AU3">
        <f>IF(0&lt;nb_sl,(db_sl)+(pb_sl/2)*0.000000,NA())</f>
        <v/>
      </c>
      <c r="AW3">
        <f>IF(draw_sl,IF(1&lt;nb_sl,(IF(nb_sl=1,(ov_sl/2)+bw_sl/2,(ov_sl/2)+(c_sl+phiw_sl+pb_sl/2)+1*(bw_sl-2*(c_sl+phiw_sl+pb_sl/2))/(nb_sl-1)))+(pb_sl/2)*1.000000,NA()),NA())</f>
        <v/>
      </c>
      <c r="AX3">
        <f>IF(1&lt;nb_sl,(db_sl)+(pb_sl/2)*0.000000,NA())</f>
        <v/>
      </c>
      <c r="AZ3">
        <f>IF(draw_sl,IF(2&lt;nb_sl,(IF(nb_sl=1,(ov_sl/2)+bw_sl/2,(ov_sl/2)+(c_sl+phiw_sl+pb_sl/2)+2*(bw_sl-2*(c_sl+phiw_sl+pb_sl/2))/(nb_sl-1)))+(pb_sl/2)*1.000000,NA()),NA())</f>
        <v/>
      </c>
      <c r="BA3">
        <f>IF(2&lt;nb_sl,(db_sl)+(pb_sl/2)*0.000000,NA())</f>
        <v/>
      </c>
      <c r="BC3">
        <f>IF(draw_sl,IF(3&lt;nb_sl,(IF(nb_sl=1,(ov_sl/2)+bw_sl/2,(ov_sl/2)+(c_sl+phiw_sl+pb_sl/2)+3*(bw_sl-2*(c_sl+phiw_sl+pb_sl/2))/(nb_sl-1)))+(pb_sl/2)*1.000000,NA()),NA())</f>
        <v/>
      </c>
      <c r="BD3">
        <f>IF(3&lt;nb_sl,(db_sl)+(pb_sl/2)*0.000000,NA())</f>
        <v/>
      </c>
      <c r="BF3">
        <f>IF(draw_sl,IF(4&lt;nb_sl,(IF(nb_sl=1,(ov_sl/2)+bw_sl/2,(ov_sl/2)+(c_sl+phiw_sl+pb_sl/2)+4*(bw_sl-2*(c_sl+phiw_sl+pb_sl/2))/(nb_sl-1)))+(pb_sl/2)*1.000000,NA()),NA())</f>
        <v/>
      </c>
      <c r="BG3">
        <f>IF(4&lt;nb_sl,(db_sl)+(pb_sl/2)*0.000000,NA())</f>
        <v/>
      </c>
      <c r="BI3">
        <f>IF(draw_sl,IF(5&lt;nb_sl,(IF(nb_sl=1,(ov_sl/2)+bw_sl/2,(ov_sl/2)+(c_sl+phiw_sl+pb_sl/2)+5*(bw_sl-2*(c_sl+phiw_sl+pb_sl/2))/(nb_sl-1)))+(pb_sl/2)*1.000000,NA()),NA())</f>
        <v/>
      </c>
      <c r="BJ3">
        <f>IF(5&lt;nb_sl,(db_sl)+(pb_sl/2)*0.000000,NA())</f>
        <v/>
      </c>
      <c r="BL3">
        <f>IF(draw_sl,IF(6&lt;nb_sl,(IF(nb_sl=1,(ov_sl/2)+bw_sl/2,(ov_sl/2)+(c_sl+phiw_sl+pb_sl/2)+6*(bw_sl-2*(c_sl+phiw_sl+pb_sl/2))/(nb_sl-1)))+(pb_sl/2)*1.000000,NA()),NA())</f>
        <v/>
      </c>
      <c r="BM3">
        <f>IF(6&lt;nb_sl,(db_sl)+(pb_sl/2)*0.000000,NA())</f>
        <v/>
      </c>
      <c r="BO3">
        <f>IF(draw_sl,IF(7&lt;nb_sl,(IF(nb_sl=1,(ov_sl/2)+bw_sl/2,(ov_sl/2)+(c_sl+phiw_sl+pb_sl/2)+7*(bw_sl-2*(c_sl+phiw_sl+pb_sl/2))/(nb_sl-1)))+(pb_sl/2)*1.000000,NA()),NA())</f>
        <v/>
      </c>
      <c r="BP3">
        <f>IF(7&lt;nb_sl,(db_sl)+(pb_sl/2)*0.000000,NA())</f>
        <v/>
      </c>
      <c r="BR3">
        <f>IF(draw_sl,IF(8&lt;nb_sl,(IF(nb_sl=1,(ov_sl/2)+bw_sl/2,(ov_sl/2)+(c_sl+phiw_sl+pb_sl/2)+8*(bw_sl-2*(c_sl+phiw_sl+pb_sl/2))/(nb_sl-1)))+(pb_sl/2)*1.000000,NA()),NA())</f>
        <v/>
      </c>
      <c r="BS3">
        <f>IF(8&lt;nb_sl,(db_sl)+(pb_sl/2)*0.000000,NA())</f>
        <v/>
      </c>
      <c r="BU3">
        <f>IF(draw_sl,IF(9&lt;nb_sl,(IF(nb_sl=1,(ov_sl/2)+bw_sl/2,(ov_sl/2)+(c_sl+phiw_sl+pb_sl/2)+9*(bw_sl-2*(c_sl+phiw_sl+pb_sl/2))/(nb_sl-1)))+(pb_sl/2)*1.000000,NA()),NA())</f>
        <v/>
      </c>
      <c r="BV3">
        <f>IF(9&lt;nb_sl,(db_sl)+(pb_sl/2)*0.000000,NA())</f>
        <v/>
      </c>
      <c r="BX3">
        <f>IF(draw_sl,IF(10&lt;nb_sl,(IF(nb_sl=1,(ov_sl/2)+bw_sl/2,(ov_sl/2)+(c_sl+phiw_sl+pb_sl/2)+10*(bw_sl-2*(c_sl+phiw_sl+pb_sl/2))/(nb_sl-1)))+(pb_sl/2)*1.000000,NA()),NA())</f>
        <v/>
      </c>
      <c r="BY3">
        <f>IF(10&lt;nb_sl,(db_sl)+(pb_sl/2)*0.000000,NA())</f>
        <v/>
      </c>
      <c r="CA3">
        <f>IF(draw_sl,IF(11&lt;nb_sl,(IF(nb_sl=1,(ov_sl/2)+bw_sl/2,(ov_sl/2)+(c_sl+phiw_sl+pb_sl/2)+11*(bw_sl-2*(c_sl+phiw_sl+pb_sl/2))/(nb_sl-1)))+(pb_sl/2)*1.000000,NA()),NA())</f>
        <v/>
      </c>
      <c r="CB3">
        <f>IF(11&lt;nb_sl,(db_sl)+(pb_sl/2)*0.000000,NA())</f>
        <v/>
      </c>
      <c r="CD3">
        <f>IF(draw_sl,IF(AND(ISNUMBER(gX_sl),gX_sl&gt;=0,gX_sl&lt;=h_sl),-0.06*MAX(bfe_sl,h_sl),NA()),NA())</f>
        <v/>
      </c>
      <c r="CE3">
        <f>IF(AND(ISNUMBER(gX_sl),gX_sl&gt;=0,gX_sl&lt;=h_sl),IF(sag_sl,h_sl-(gX_sl),gX_sl),NA())</f>
        <v/>
      </c>
      <c r="CG3">
        <f>IF(draw_sl,(bfe_sl+0.6*MAX(bfe_sl,h_sl)),NA())</f>
        <v/>
      </c>
      <c r="CH3">
        <f>IF(sag_sl,h_sl-(0),0)</f>
        <v/>
      </c>
      <c r="CJ3">
        <f>IF(draw_sl,(bfe_sl+0.6*MAX(bfe_sl,h_sl))+(0.45*MAX(bfe_sl,h_sl)/MAX(ABS(gA_sl),ABS(gB_sl),1E-9))*gA_sl,NA())</f>
        <v/>
      </c>
      <c r="CK3">
        <f>IF(sag_sl,h_sl-(0),0)</f>
        <v/>
      </c>
      <c r="CM3">
        <f>IF(draw_sl,(bfe_sl+0.6*MAX(bfe_sl,h_sl)),NA())</f>
        <v/>
      </c>
      <c r="CN3">
        <f>-0.04*MAX(bfe_sl,h_sl)</f>
        <v/>
      </c>
      <c r="CP3">
        <f>IF(draw_sl,IF(A1_sl&gt;0,(bfe_sl+0.6*MAX(bfe_sl,h_sl)),NA()),NA())</f>
        <v/>
      </c>
      <c r="CQ3">
        <f>IF(A1_sl&gt;0,IF(sag_sl,h_sl-(y1_sl),y1_sl),NA())</f>
        <v/>
      </c>
      <c r="CS3">
        <f>IF(draw_sl,IF(A2_sl&gt;0,(bfe_sl+0.6*MAX(bfe_sl,h_sl)),NA()),NA())</f>
        <v/>
      </c>
      <c r="CT3">
        <f>IF(A2_sl&gt;0,IF(sag_sl,h_sl-(y2_sl),y2_sl),NA())</f>
        <v/>
      </c>
      <c r="CV3">
        <f>IF(draw_sl,(bfe_sl+0.6*MAX(bfe_sl,h_sl))+(0.45*MAX(bfe_sl,h_sl)/MAX(ABS(gA_sl),ABS(gB_sl),1E-9))*MAX(0,(gA_sl+(gB_sl-gA_sl)*y2_sl/h_sl))+0.03*MAX(bfe_sl,h_sl),NA())</f>
        <v/>
      </c>
      <c r="CW3">
        <f>IF(sag_sl,h_sl-(y2_sl),y2_sl)</f>
        <v/>
      </c>
      <c r="CY3">
        <f>IF(draw_sl,(bfe_sl+0.6*MAX(bfe_sl,h_sl))+(0.45*MAX(bfe_sl,h_sl)/MAX(ABS(gA_sl),ABS(gB_sl),1E-9))*MAX(0,(gA_sl+(gB_sl-gA_sl)*y1_sl/h_sl))+0.03*MAX(bfe_sl,h_sl),NA())</f>
        <v/>
      </c>
      <c r="CZ3">
        <f>IF(sag_sl,h_sl-(y1_sl),y1_sl)</f>
        <v/>
      </c>
      <c r="DB3">
        <f>IF(draw_sl,(bfe_sl+0.6*MAX(bfe_sl,h_sl))+(0.45*MAX(bfe_sl,h_sl)/MAX(ABS(gA_sl),ABS(gB_sl),1E-9))*gA_sl,NA())</f>
        <v/>
      </c>
      <c r="DC3">
        <f>IF(sag_sl,h_sl-(0),0)</f>
        <v/>
      </c>
      <c r="DE3">
        <f>IF(draw_sl,-0.06*MAX(bfe_sl,h_sl),NA())</f>
        <v/>
      </c>
      <c r="DF3">
        <f>IF(sag_sl,h_sl-(IF(ISNUMBER(gX_sl),gX_sl,0)),IF(ISNUMBER(gX_sl),gX_sl,0))</f>
        <v/>
      </c>
      <c r="DH3">
        <f>IF(draw_sl,(bfe_sl+0.6*MAX(bfe_sl,h_sl)),NA())</f>
        <v/>
      </c>
      <c r="DI3">
        <f>h_sl+0.26*MAX(bfe_sl,h_sl)</f>
        <v/>
      </c>
      <c r="DK3">
        <f>IF(draw_sl,(bfe_sl+0.6*MAX(bfe_sl,h_sl)),NA())</f>
        <v/>
      </c>
      <c r="DL3">
        <f>h_sl+0.15*MAX(bfe_sl,h_sl)</f>
        <v/>
      </c>
      <c r="DN3">
        <f>IF(draw_sl,IF(TRUE,(ov_sl/2),NA()),NA())</f>
        <v/>
      </c>
      <c r="DO3">
        <f>IF(TRUE,-0.1*MAX(bfe_sl,h_sl),NA())</f>
        <v/>
      </c>
      <c r="DQ3">
        <f>IF(draw_sl,IF(TRUE,(((ov_sl/2))+((ov_sl/2+bw_sl)))/2,NA()),NA())</f>
        <v/>
      </c>
      <c r="DR3">
        <f>IF(TRUE,((-0.1*MAX(bfe_sl,h_sl))+(-0.1*MAX(bfe_sl,h_sl)))/2,NA())</f>
        <v/>
      </c>
      <c r="DT3">
        <f>IF(draw_sl,IF(TRUE,-2*0.1*MAX(bfe_sl,h_sl),NA()),NA())</f>
        <v/>
      </c>
      <c r="DU3">
        <f>IF(TRUE,0,NA())</f>
        <v/>
      </c>
      <c r="DW3">
        <f>IF(draw_sl,IF(TRUE,((-2*0.1*MAX(bfe_sl,h_sl))+(-2*0.1*MAX(bfe_sl,h_sl)))/2,NA()),NA())</f>
        <v/>
      </c>
      <c r="DX3">
        <f>IF(TRUE,((0)+(h_sl))/2,NA())</f>
        <v/>
      </c>
      <c r="DZ3">
        <f>IF(draw_sl,IF(fl_sl,0,NA()),NA())</f>
        <v/>
      </c>
      <c r="EA3">
        <f>IF(fl_sl,h_sl+0.1*MAX(bfe_sl,h_sl),NA())</f>
        <v/>
      </c>
      <c r="EC3">
        <f>IF(draw_sl,IF(fl_sl,((0)+(bfe_sl))/2,NA()),NA())</f>
        <v/>
      </c>
      <c r="ED3">
        <f>IF(fl_sl,((h_sl+0.1*MAX(bfe_sl,h_sl))+(h_sl+0.1*MAX(bfe_sl,h_sl)))/2,NA())</f>
        <v/>
      </c>
      <c r="EF3">
        <f>((-0.3*MAX(bfe_sl,h_sl))+((bfe_sl+0.6*MAX(bfe_sl,h_sl))+1.0*MAX(bfe_sl,h_sl)))/2-MAX((h_sl+0.35*MAX(bfe_sl,h_sl))-(-0.25*MAX(bfe_sl,h_sl)),(((bfe_sl+0.6*MAX(bfe_sl,h_sl))+1.0*MAX(bfe_sl,h_sl))-(-0.3*MAX(bfe_sl,h_sl)))/1.55)*0.53*1.55</f>
        <v/>
      </c>
      <c r="EG3">
        <f>((-0.25*MAX(bfe_sl,h_sl))+(h_sl+0.35*MAX(bfe_sl,h_sl)))/2-MAX((h_sl+0.35*MAX(bfe_sl,h_sl))-(-0.25*MAX(bfe_sl,h_sl)),(((bfe_sl+0.6*MAX(bfe_sl,h_sl))+1.0*MAX(bfe_sl,h_sl))-(-0.3*MAX(bfe_sl,h_sl)))/1.55)*0.53</f>
        <v/>
      </c>
    </row>
    <row r="4">
      <c r="D4">
        <f>IF(draw_sl,bfe_sl,NA())</f>
        <v/>
      </c>
      <c r="E4">
        <f>h_sl</f>
        <v/>
      </c>
      <c r="G4">
        <f>IF(draw_sl,IF(phiw_sl&gt;0,(ov_sl/2+bw_sl)-(c_sl+phiw_sl/2),NA()),NA())</f>
        <v/>
      </c>
      <c r="H4">
        <f>IF(phiw_sl&gt;0,(c_sl+phiw_sl/2),NA())</f>
        <v/>
      </c>
      <c r="J4">
        <f>IF(draw_sl,IF(0&lt;nt_sl,(IF(nt_sl=1,(ov_sl/2)+bw_sl/2,(ov_sl/2)+(c_sl+phiw_sl+pt_sl/2)+0*(bw_sl-2*(c_sl+phiw_sl+pt_sl/2))/(nt_sl-1)))+(pt_sl/2)*0.866025,NA()),NA())</f>
        <v/>
      </c>
      <c r="K4">
        <f>IF(0&lt;nt_sl,(h_sl-dt_sl)+(pt_sl/2)*0.500000,NA())</f>
        <v/>
      </c>
      <c r="M4">
        <f>IF(draw_sl,IF(1&lt;nt_sl,(IF(nt_sl=1,(ov_sl/2)+bw_sl/2,(ov_sl/2)+(c_sl+phiw_sl+pt_sl/2)+1*(bw_sl-2*(c_sl+phiw_sl+pt_sl/2))/(nt_sl-1)))+(pt_sl/2)*0.866025,NA()),NA())</f>
        <v/>
      </c>
      <c r="N4">
        <f>IF(1&lt;nt_sl,(h_sl-dt_sl)+(pt_sl/2)*0.500000,NA())</f>
        <v/>
      </c>
      <c r="P4">
        <f>IF(draw_sl,IF(2&lt;nt_sl,(IF(nt_sl=1,(ov_sl/2)+bw_sl/2,(ov_sl/2)+(c_sl+phiw_sl+pt_sl/2)+2*(bw_sl-2*(c_sl+phiw_sl+pt_sl/2))/(nt_sl-1)))+(pt_sl/2)*0.866025,NA()),NA())</f>
        <v/>
      </c>
      <c r="Q4">
        <f>IF(2&lt;nt_sl,(h_sl-dt_sl)+(pt_sl/2)*0.500000,NA())</f>
        <v/>
      </c>
      <c r="S4">
        <f>IF(draw_sl,IF(3&lt;nt_sl,(IF(nt_sl=1,(ov_sl/2)+bw_sl/2,(ov_sl/2)+(c_sl+phiw_sl+pt_sl/2)+3*(bw_sl-2*(c_sl+phiw_sl+pt_sl/2))/(nt_sl-1)))+(pt_sl/2)*0.866025,NA()),NA())</f>
        <v/>
      </c>
      <c r="T4">
        <f>IF(3&lt;nt_sl,(h_sl-dt_sl)+(pt_sl/2)*0.500000,NA())</f>
        <v/>
      </c>
      <c r="V4">
        <f>IF(draw_sl,IF(4&lt;nt_sl,(IF(nt_sl=1,(ov_sl/2)+bw_sl/2,(ov_sl/2)+(c_sl+phiw_sl+pt_sl/2)+4*(bw_sl-2*(c_sl+phiw_sl+pt_sl/2))/(nt_sl-1)))+(pt_sl/2)*0.866025,NA()),NA())</f>
        <v/>
      </c>
      <c r="W4">
        <f>IF(4&lt;nt_sl,(h_sl-dt_sl)+(pt_sl/2)*0.500000,NA())</f>
        <v/>
      </c>
      <c r="Y4">
        <f>IF(draw_sl,IF(5&lt;nt_sl,(IF(nt_sl=1,(ov_sl/2)+bw_sl/2,(ov_sl/2)+(c_sl+phiw_sl+pt_sl/2)+5*(bw_sl-2*(c_sl+phiw_sl+pt_sl/2))/(nt_sl-1)))+(pt_sl/2)*0.866025,NA()),NA())</f>
        <v/>
      </c>
      <c r="Z4">
        <f>IF(5&lt;nt_sl,(h_sl-dt_sl)+(pt_sl/2)*0.500000,NA())</f>
        <v/>
      </c>
      <c r="AB4">
        <f>IF(draw_sl,IF(6&lt;nt_sl,(IF(nt_sl=1,(ov_sl/2)+bw_sl/2,(ov_sl/2)+(c_sl+phiw_sl+pt_sl/2)+6*(bw_sl-2*(c_sl+phiw_sl+pt_sl/2))/(nt_sl-1)))+(pt_sl/2)*0.866025,NA()),NA())</f>
        <v/>
      </c>
      <c r="AC4">
        <f>IF(6&lt;nt_sl,(h_sl-dt_sl)+(pt_sl/2)*0.500000,NA())</f>
        <v/>
      </c>
      <c r="AE4">
        <f>IF(draw_sl,IF(7&lt;nt_sl,(IF(nt_sl=1,(ov_sl/2)+bw_sl/2,(ov_sl/2)+(c_sl+phiw_sl+pt_sl/2)+7*(bw_sl-2*(c_sl+phiw_sl+pt_sl/2))/(nt_sl-1)))+(pt_sl/2)*0.866025,NA()),NA())</f>
        <v/>
      </c>
      <c r="AF4">
        <f>IF(7&lt;nt_sl,(h_sl-dt_sl)+(pt_sl/2)*0.500000,NA())</f>
        <v/>
      </c>
      <c r="AH4">
        <f>IF(draw_sl,IF(8&lt;nt_sl,(IF(nt_sl=1,(ov_sl/2)+bw_sl/2,(ov_sl/2)+(c_sl+phiw_sl+pt_sl/2)+8*(bw_sl-2*(c_sl+phiw_sl+pt_sl/2))/(nt_sl-1)))+(pt_sl/2)*0.866025,NA()),NA())</f>
        <v/>
      </c>
      <c r="AI4">
        <f>IF(8&lt;nt_sl,(h_sl-dt_sl)+(pt_sl/2)*0.500000,NA())</f>
        <v/>
      </c>
      <c r="AK4">
        <f>IF(draw_sl,IF(9&lt;nt_sl,(IF(nt_sl=1,(ov_sl/2)+bw_sl/2,(ov_sl/2)+(c_sl+phiw_sl+pt_sl/2)+9*(bw_sl-2*(c_sl+phiw_sl+pt_sl/2))/(nt_sl-1)))+(pt_sl/2)*0.866025,NA()),NA())</f>
        <v/>
      </c>
      <c r="AL4">
        <f>IF(9&lt;nt_sl,(h_sl-dt_sl)+(pt_sl/2)*0.500000,NA())</f>
        <v/>
      </c>
      <c r="AN4">
        <f>IF(draw_sl,IF(10&lt;nt_sl,(IF(nt_sl=1,(ov_sl/2)+bw_sl/2,(ov_sl/2)+(c_sl+phiw_sl+pt_sl/2)+10*(bw_sl-2*(c_sl+phiw_sl+pt_sl/2))/(nt_sl-1)))+(pt_sl/2)*0.866025,NA()),NA())</f>
        <v/>
      </c>
      <c r="AO4">
        <f>IF(10&lt;nt_sl,(h_sl-dt_sl)+(pt_sl/2)*0.500000,NA())</f>
        <v/>
      </c>
      <c r="AQ4">
        <f>IF(draw_sl,IF(11&lt;nt_sl,(IF(nt_sl=1,(ov_sl/2)+bw_sl/2,(ov_sl/2)+(c_sl+phiw_sl+pt_sl/2)+11*(bw_sl-2*(c_sl+phiw_sl+pt_sl/2))/(nt_sl-1)))+(pt_sl/2)*0.866025,NA()),NA())</f>
        <v/>
      </c>
      <c r="AR4">
        <f>IF(11&lt;nt_sl,(h_sl-dt_sl)+(pt_sl/2)*0.500000,NA())</f>
        <v/>
      </c>
      <c r="AT4">
        <f>IF(draw_sl,IF(0&lt;nb_sl,(IF(nb_sl=1,(ov_sl/2)+bw_sl/2,(ov_sl/2)+(c_sl+phiw_sl+pb_sl/2)+0*(bw_sl-2*(c_sl+phiw_sl+pb_sl/2))/(nb_sl-1)))+(pb_sl/2)*0.866025,NA()),NA())</f>
        <v/>
      </c>
      <c r="AU4">
        <f>IF(0&lt;nb_sl,(db_sl)+(pb_sl/2)*0.500000,NA())</f>
        <v/>
      </c>
      <c r="AW4">
        <f>IF(draw_sl,IF(1&lt;nb_sl,(IF(nb_sl=1,(ov_sl/2)+bw_sl/2,(ov_sl/2)+(c_sl+phiw_sl+pb_sl/2)+1*(bw_sl-2*(c_sl+phiw_sl+pb_sl/2))/(nb_sl-1)))+(pb_sl/2)*0.866025,NA()),NA())</f>
        <v/>
      </c>
      <c r="AX4">
        <f>IF(1&lt;nb_sl,(db_sl)+(pb_sl/2)*0.500000,NA())</f>
        <v/>
      </c>
      <c r="AZ4">
        <f>IF(draw_sl,IF(2&lt;nb_sl,(IF(nb_sl=1,(ov_sl/2)+bw_sl/2,(ov_sl/2)+(c_sl+phiw_sl+pb_sl/2)+2*(bw_sl-2*(c_sl+phiw_sl+pb_sl/2))/(nb_sl-1)))+(pb_sl/2)*0.866025,NA()),NA())</f>
        <v/>
      </c>
      <c r="BA4">
        <f>IF(2&lt;nb_sl,(db_sl)+(pb_sl/2)*0.500000,NA())</f>
        <v/>
      </c>
      <c r="BC4">
        <f>IF(draw_sl,IF(3&lt;nb_sl,(IF(nb_sl=1,(ov_sl/2)+bw_sl/2,(ov_sl/2)+(c_sl+phiw_sl+pb_sl/2)+3*(bw_sl-2*(c_sl+phiw_sl+pb_sl/2))/(nb_sl-1)))+(pb_sl/2)*0.866025,NA()),NA())</f>
        <v/>
      </c>
      <c r="BD4">
        <f>IF(3&lt;nb_sl,(db_sl)+(pb_sl/2)*0.500000,NA())</f>
        <v/>
      </c>
      <c r="BF4">
        <f>IF(draw_sl,IF(4&lt;nb_sl,(IF(nb_sl=1,(ov_sl/2)+bw_sl/2,(ov_sl/2)+(c_sl+phiw_sl+pb_sl/2)+4*(bw_sl-2*(c_sl+phiw_sl+pb_sl/2))/(nb_sl-1)))+(pb_sl/2)*0.866025,NA()),NA())</f>
        <v/>
      </c>
      <c r="BG4">
        <f>IF(4&lt;nb_sl,(db_sl)+(pb_sl/2)*0.500000,NA())</f>
        <v/>
      </c>
      <c r="BI4">
        <f>IF(draw_sl,IF(5&lt;nb_sl,(IF(nb_sl=1,(ov_sl/2)+bw_sl/2,(ov_sl/2)+(c_sl+phiw_sl+pb_sl/2)+5*(bw_sl-2*(c_sl+phiw_sl+pb_sl/2))/(nb_sl-1)))+(pb_sl/2)*0.866025,NA()),NA())</f>
        <v/>
      </c>
      <c r="BJ4">
        <f>IF(5&lt;nb_sl,(db_sl)+(pb_sl/2)*0.500000,NA())</f>
        <v/>
      </c>
      <c r="BL4">
        <f>IF(draw_sl,IF(6&lt;nb_sl,(IF(nb_sl=1,(ov_sl/2)+bw_sl/2,(ov_sl/2)+(c_sl+phiw_sl+pb_sl/2)+6*(bw_sl-2*(c_sl+phiw_sl+pb_sl/2))/(nb_sl-1)))+(pb_sl/2)*0.866025,NA()),NA())</f>
        <v/>
      </c>
      <c r="BM4">
        <f>IF(6&lt;nb_sl,(db_sl)+(pb_sl/2)*0.500000,NA())</f>
        <v/>
      </c>
      <c r="BO4">
        <f>IF(draw_sl,IF(7&lt;nb_sl,(IF(nb_sl=1,(ov_sl/2)+bw_sl/2,(ov_sl/2)+(c_sl+phiw_sl+pb_sl/2)+7*(bw_sl-2*(c_sl+phiw_sl+pb_sl/2))/(nb_sl-1)))+(pb_sl/2)*0.866025,NA()),NA())</f>
        <v/>
      </c>
      <c r="BP4">
        <f>IF(7&lt;nb_sl,(db_sl)+(pb_sl/2)*0.500000,NA())</f>
        <v/>
      </c>
      <c r="BR4">
        <f>IF(draw_sl,IF(8&lt;nb_sl,(IF(nb_sl=1,(ov_sl/2)+bw_sl/2,(ov_sl/2)+(c_sl+phiw_sl+pb_sl/2)+8*(bw_sl-2*(c_sl+phiw_sl+pb_sl/2))/(nb_sl-1)))+(pb_sl/2)*0.866025,NA()),NA())</f>
        <v/>
      </c>
      <c r="BS4">
        <f>IF(8&lt;nb_sl,(db_sl)+(pb_sl/2)*0.500000,NA())</f>
        <v/>
      </c>
      <c r="BU4">
        <f>IF(draw_sl,IF(9&lt;nb_sl,(IF(nb_sl=1,(ov_sl/2)+bw_sl/2,(ov_sl/2)+(c_sl+phiw_sl+pb_sl/2)+9*(bw_sl-2*(c_sl+phiw_sl+pb_sl/2))/(nb_sl-1)))+(pb_sl/2)*0.866025,NA()),NA())</f>
        <v/>
      </c>
      <c r="BV4">
        <f>IF(9&lt;nb_sl,(db_sl)+(pb_sl/2)*0.500000,NA())</f>
        <v/>
      </c>
      <c r="BX4">
        <f>IF(draw_sl,IF(10&lt;nb_sl,(IF(nb_sl=1,(ov_sl/2)+bw_sl/2,(ov_sl/2)+(c_sl+phiw_sl+pb_sl/2)+10*(bw_sl-2*(c_sl+phiw_sl+pb_sl/2))/(nb_sl-1)))+(pb_sl/2)*0.866025,NA()),NA())</f>
        <v/>
      </c>
      <c r="BY4">
        <f>IF(10&lt;nb_sl,(db_sl)+(pb_sl/2)*0.500000,NA())</f>
        <v/>
      </c>
      <c r="CA4">
        <f>IF(draw_sl,IF(11&lt;nb_sl,(IF(nb_sl=1,(ov_sl/2)+bw_sl/2,(ov_sl/2)+(c_sl+phiw_sl+pb_sl/2)+11*(bw_sl-2*(c_sl+phiw_sl+pb_sl/2))/(nb_sl-1)))+(pb_sl/2)*0.866025,NA()),NA())</f>
        <v/>
      </c>
      <c r="CB4">
        <f>IF(11&lt;nb_sl,(db_sl)+(pb_sl/2)*0.500000,NA())</f>
        <v/>
      </c>
      <c r="CD4">
        <f>IF(draw_sl,IF(AND(ISNUMBER(gX_sl),gX_sl&gt;=0,gX_sl&lt;=h_sl),bfe_sl+0.06*MAX(bfe_sl,h_sl),NA()),NA())</f>
        <v/>
      </c>
      <c r="CE4">
        <f>IF(AND(ISNUMBER(gX_sl),gX_sl&gt;=0,gX_sl&lt;=h_sl),IF(sag_sl,h_sl-(gX_sl),gX_sl),NA())</f>
        <v/>
      </c>
      <c r="CG4">
        <f>IF(draw_sl,(bfe_sl+0.6*MAX(bfe_sl,h_sl))+(0.45*MAX(bfe_sl,h_sl)/MAX(ABS(gA_sl),ABS(gB_sl),1E-9))*gA_sl,NA())</f>
        <v/>
      </c>
      <c r="CH4">
        <f>IF(sag_sl,h_sl-(0),0)</f>
        <v/>
      </c>
      <c r="CJ4">
        <f>IF(draw_sl,(bfe_sl+0.6*MAX(bfe_sl,h_sl))+(0.45*MAX(bfe_sl,h_sl)/MAX(ABS(gA_sl),ABS(gB_sl),1E-9))*gB_sl,NA())</f>
        <v/>
      </c>
      <c r="CK4">
        <f>IF(sag_sl,h_sl-(h_sl),h_sl)</f>
        <v/>
      </c>
      <c r="CM4">
        <f>IF(draw_sl,(bfe_sl+0.6*MAX(bfe_sl,h_sl)),NA())</f>
        <v/>
      </c>
      <c r="CN4">
        <f>h_sl+0.04*MAX(bfe_sl,h_sl)</f>
        <v/>
      </c>
      <c r="CP4">
        <f>IF(draw_sl,IF(A1_sl&gt;0,(bfe_sl+0.6*MAX(bfe_sl,h_sl))+(0.45*MAX(bfe_sl,h_sl)/MAX(ABS(gA_sl),ABS(gB_sl),1E-9))*(gA_sl+(gB_sl-gA_sl)*y1_sl/h_sl),NA()),NA())</f>
        <v/>
      </c>
      <c r="CQ4">
        <f>IF(A1_sl&gt;0,IF(sag_sl,h_sl-(y1_sl),y1_sl),NA())</f>
        <v/>
      </c>
      <c r="CS4">
        <f>IF(draw_sl,IF(A2_sl&gt;0,(bfe_sl+0.6*MAX(bfe_sl,h_sl))+(0.45*MAX(bfe_sl,h_sl)/MAX(ABS(gA_sl),ABS(gB_sl),1E-9))*(gA_sl+(gB_sl-gA_sl)*y2_sl/h_sl),NA()),NA())</f>
        <v/>
      </c>
      <c r="CT4">
        <f>IF(A2_sl&gt;0,IF(sag_sl,h_sl-(y2_sl),y2_sl),NA())</f>
        <v/>
      </c>
      <c r="DN4">
        <f>IF(draw_sl,IF(TRUE,(ov_sl/2+bw_sl),NA()),NA())</f>
        <v/>
      </c>
      <c r="DO4">
        <f>IF(TRUE,-0.1*MAX(bfe_sl,h_sl),NA())</f>
        <v/>
      </c>
      <c r="DT4">
        <f>IF(draw_sl,IF(TRUE,-2*0.1*MAX(bfe_sl,h_sl),NA()),NA())</f>
        <v/>
      </c>
      <c r="DU4">
        <f>IF(TRUE,h_sl,NA())</f>
        <v/>
      </c>
      <c r="DZ4">
        <f>IF(draw_sl,IF(fl_sl,bfe_sl,NA()),NA())</f>
        <v/>
      </c>
      <c r="EA4">
        <f>IF(fl_sl,h_sl+0.1*MAX(bfe_sl,h_sl),NA())</f>
        <v/>
      </c>
      <c r="EF4">
        <f>((-0.3*MAX(bfe_sl,h_sl))+((bfe_sl+0.6*MAX(bfe_sl,h_sl))+1.0*MAX(bfe_sl,h_sl)))/2+MAX((h_sl+0.35*MAX(bfe_sl,h_sl))-(-0.25*MAX(bfe_sl,h_sl)),(((bfe_sl+0.6*MAX(bfe_sl,h_sl))+1.0*MAX(bfe_sl,h_sl))-(-0.3*MAX(bfe_sl,h_sl)))/1.55)*0.53*1.55</f>
        <v/>
      </c>
      <c r="EG4">
        <f>((-0.25*MAX(bfe_sl,h_sl))+(h_sl+0.35*MAX(bfe_sl,h_sl)))/2+MAX((h_sl+0.35*MAX(bfe_sl,h_sl))-(-0.25*MAX(bfe_sl,h_sl)),(((bfe_sl+0.6*MAX(bfe_sl,h_sl))+1.0*MAX(bfe_sl,h_sl))-(-0.3*MAX(bfe_sl,h_sl)))/1.55)*0.53</f>
        <v/>
      </c>
    </row>
    <row r="5">
      <c r="D5">
        <f>IF(draw_sl,bfe_sl,NA())</f>
        <v/>
      </c>
      <c r="E5">
        <f>(h_sl-hfe_sl)</f>
        <v/>
      </c>
      <c r="G5">
        <f>IF(draw_sl,IF(phiw_sl&gt;0,(ov_sl/2+bw_sl)-(c_sl+phiw_sl/2),NA()),NA())</f>
        <v/>
      </c>
      <c r="H5">
        <f>IF(phiw_sl&gt;0,h_sl-(c_sl+phiw_sl/2),NA())</f>
        <v/>
      </c>
      <c r="J5">
        <f>IF(draw_sl,IF(0&lt;nt_sl,(IF(nt_sl=1,(ov_sl/2)+bw_sl/2,(ov_sl/2)+(c_sl+phiw_sl+pt_sl/2)+0*(bw_sl-2*(c_sl+phiw_sl+pt_sl/2))/(nt_sl-1)))+(pt_sl/2)*0.500000,NA()),NA())</f>
        <v/>
      </c>
      <c r="K5">
        <f>IF(0&lt;nt_sl,(h_sl-dt_sl)+(pt_sl/2)*0.866025,NA())</f>
        <v/>
      </c>
      <c r="M5">
        <f>IF(draw_sl,IF(1&lt;nt_sl,(IF(nt_sl=1,(ov_sl/2)+bw_sl/2,(ov_sl/2)+(c_sl+phiw_sl+pt_sl/2)+1*(bw_sl-2*(c_sl+phiw_sl+pt_sl/2))/(nt_sl-1)))+(pt_sl/2)*0.500000,NA()),NA())</f>
        <v/>
      </c>
      <c r="N5">
        <f>IF(1&lt;nt_sl,(h_sl-dt_sl)+(pt_sl/2)*0.866025,NA())</f>
        <v/>
      </c>
      <c r="P5">
        <f>IF(draw_sl,IF(2&lt;nt_sl,(IF(nt_sl=1,(ov_sl/2)+bw_sl/2,(ov_sl/2)+(c_sl+phiw_sl+pt_sl/2)+2*(bw_sl-2*(c_sl+phiw_sl+pt_sl/2))/(nt_sl-1)))+(pt_sl/2)*0.500000,NA()),NA())</f>
        <v/>
      </c>
      <c r="Q5">
        <f>IF(2&lt;nt_sl,(h_sl-dt_sl)+(pt_sl/2)*0.866025,NA())</f>
        <v/>
      </c>
      <c r="S5">
        <f>IF(draw_sl,IF(3&lt;nt_sl,(IF(nt_sl=1,(ov_sl/2)+bw_sl/2,(ov_sl/2)+(c_sl+phiw_sl+pt_sl/2)+3*(bw_sl-2*(c_sl+phiw_sl+pt_sl/2))/(nt_sl-1)))+(pt_sl/2)*0.500000,NA()),NA())</f>
        <v/>
      </c>
      <c r="T5">
        <f>IF(3&lt;nt_sl,(h_sl-dt_sl)+(pt_sl/2)*0.866025,NA())</f>
        <v/>
      </c>
      <c r="V5">
        <f>IF(draw_sl,IF(4&lt;nt_sl,(IF(nt_sl=1,(ov_sl/2)+bw_sl/2,(ov_sl/2)+(c_sl+phiw_sl+pt_sl/2)+4*(bw_sl-2*(c_sl+phiw_sl+pt_sl/2))/(nt_sl-1)))+(pt_sl/2)*0.500000,NA()),NA())</f>
        <v/>
      </c>
      <c r="W5">
        <f>IF(4&lt;nt_sl,(h_sl-dt_sl)+(pt_sl/2)*0.866025,NA())</f>
        <v/>
      </c>
      <c r="Y5">
        <f>IF(draw_sl,IF(5&lt;nt_sl,(IF(nt_sl=1,(ov_sl/2)+bw_sl/2,(ov_sl/2)+(c_sl+phiw_sl+pt_sl/2)+5*(bw_sl-2*(c_sl+phiw_sl+pt_sl/2))/(nt_sl-1)))+(pt_sl/2)*0.500000,NA()),NA())</f>
        <v/>
      </c>
      <c r="Z5">
        <f>IF(5&lt;nt_sl,(h_sl-dt_sl)+(pt_sl/2)*0.866025,NA())</f>
        <v/>
      </c>
      <c r="AB5">
        <f>IF(draw_sl,IF(6&lt;nt_sl,(IF(nt_sl=1,(ov_sl/2)+bw_sl/2,(ov_sl/2)+(c_sl+phiw_sl+pt_sl/2)+6*(bw_sl-2*(c_sl+phiw_sl+pt_sl/2))/(nt_sl-1)))+(pt_sl/2)*0.500000,NA()),NA())</f>
        <v/>
      </c>
      <c r="AC5">
        <f>IF(6&lt;nt_sl,(h_sl-dt_sl)+(pt_sl/2)*0.866025,NA())</f>
        <v/>
      </c>
      <c r="AE5">
        <f>IF(draw_sl,IF(7&lt;nt_sl,(IF(nt_sl=1,(ov_sl/2)+bw_sl/2,(ov_sl/2)+(c_sl+phiw_sl+pt_sl/2)+7*(bw_sl-2*(c_sl+phiw_sl+pt_sl/2))/(nt_sl-1)))+(pt_sl/2)*0.500000,NA()),NA())</f>
        <v/>
      </c>
      <c r="AF5">
        <f>IF(7&lt;nt_sl,(h_sl-dt_sl)+(pt_sl/2)*0.866025,NA())</f>
        <v/>
      </c>
      <c r="AH5">
        <f>IF(draw_sl,IF(8&lt;nt_sl,(IF(nt_sl=1,(ov_sl/2)+bw_sl/2,(ov_sl/2)+(c_sl+phiw_sl+pt_sl/2)+8*(bw_sl-2*(c_sl+phiw_sl+pt_sl/2))/(nt_sl-1)))+(pt_sl/2)*0.500000,NA()),NA())</f>
        <v/>
      </c>
      <c r="AI5">
        <f>IF(8&lt;nt_sl,(h_sl-dt_sl)+(pt_sl/2)*0.866025,NA())</f>
        <v/>
      </c>
      <c r="AK5">
        <f>IF(draw_sl,IF(9&lt;nt_sl,(IF(nt_sl=1,(ov_sl/2)+bw_sl/2,(ov_sl/2)+(c_sl+phiw_sl+pt_sl/2)+9*(bw_sl-2*(c_sl+phiw_sl+pt_sl/2))/(nt_sl-1)))+(pt_sl/2)*0.500000,NA()),NA())</f>
        <v/>
      </c>
      <c r="AL5">
        <f>IF(9&lt;nt_sl,(h_sl-dt_sl)+(pt_sl/2)*0.866025,NA())</f>
        <v/>
      </c>
      <c r="AN5">
        <f>IF(draw_sl,IF(10&lt;nt_sl,(IF(nt_sl=1,(ov_sl/2)+bw_sl/2,(ov_sl/2)+(c_sl+phiw_sl+pt_sl/2)+10*(bw_sl-2*(c_sl+phiw_sl+pt_sl/2))/(nt_sl-1)))+(pt_sl/2)*0.500000,NA()),NA())</f>
        <v/>
      </c>
      <c r="AO5">
        <f>IF(10&lt;nt_sl,(h_sl-dt_sl)+(pt_sl/2)*0.866025,NA())</f>
        <v/>
      </c>
      <c r="AQ5">
        <f>IF(draw_sl,IF(11&lt;nt_sl,(IF(nt_sl=1,(ov_sl/2)+bw_sl/2,(ov_sl/2)+(c_sl+phiw_sl+pt_sl/2)+11*(bw_sl-2*(c_sl+phiw_sl+pt_sl/2))/(nt_sl-1)))+(pt_sl/2)*0.500000,NA()),NA())</f>
        <v/>
      </c>
      <c r="AR5">
        <f>IF(11&lt;nt_sl,(h_sl-dt_sl)+(pt_sl/2)*0.866025,NA())</f>
        <v/>
      </c>
      <c r="AT5">
        <f>IF(draw_sl,IF(0&lt;nb_sl,(IF(nb_sl=1,(ov_sl/2)+bw_sl/2,(ov_sl/2)+(c_sl+phiw_sl+pb_sl/2)+0*(bw_sl-2*(c_sl+phiw_sl+pb_sl/2))/(nb_sl-1)))+(pb_sl/2)*0.500000,NA()),NA())</f>
        <v/>
      </c>
      <c r="AU5">
        <f>IF(0&lt;nb_sl,(db_sl)+(pb_sl/2)*0.866025,NA())</f>
        <v/>
      </c>
      <c r="AW5">
        <f>IF(draw_sl,IF(1&lt;nb_sl,(IF(nb_sl=1,(ov_sl/2)+bw_sl/2,(ov_sl/2)+(c_sl+phiw_sl+pb_sl/2)+1*(bw_sl-2*(c_sl+phiw_sl+pb_sl/2))/(nb_sl-1)))+(pb_sl/2)*0.500000,NA()),NA())</f>
        <v/>
      </c>
      <c r="AX5">
        <f>IF(1&lt;nb_sl,(db_sl)+(pb_sl/2)*0.866025,NA())</f>
        <v/>
      </c>
      <c r="AZ5">
        <f>IF(draw_sl,IF(2&lt;nb_sl,(IF(nb_sl=1,(ov_sl/2)+bw_sl/2,(ov_sl/2)+(c_sl+phiw_sl+pb_sl/2)+2*(bw_sl-2*(c_sl+phiw_sl+pb_sl/2))/(nb_sl-1)))+(pb_sl/2)*0.500000,NA()),NA())</f>
        <v/>
      </c>
      <c r="BA5">
        <f>IF(2&lt;nb_sl,(db_sl)+(pb_sl/2)*0.866025,NA())</f>
        <v/>
      </c>
      <c r="BC5">
        <f>IF(draw_sl,IF(3&lt;nb_sl,(IF(nb_sl=1,(ov_sl/2)+bw_sl/2,(ov_sl/2)+(c_sl+phiw_sl+pb_sl/2)+3*(bw_sl-2*(c_sl+phiw_sl+pb_sl/2))/(nb_sl-1)))+(pb_sl/2)*0.500000,NA()),NA())</f>
        <v/>
      </c>
      <c r="BD5">
        <f>IF(3&lt;nb_sl,(db_sl)+(pb_sl/2)*0.866025,NA())</f>
        <v/>
      </c>
      <c r="BF5">
        <f>IF(draw_sl,IF(4&lt;nb_sl,(IF(nb_sl=1,(ov_sl/2)+bw_sl/2,(ov_sl/2)+(c_sl+phiw_sl+pb_sl/2)+4*(bw_sl-2*(c_sl+phiw_sl+pb_sl/2))/(nb_sl-1)))+(pb_sl/2)*0.500000,NA()),NA())</f>
        <v/>
      </c>
      <c r="BG5">
        <f>IF(4&lt;nb_sl,(db_sl)+(pb_sl/2)*0.866025,NA())</f>
        <v/>
      </c>
      <c r="BI5">
        <f>IF(draw_sl,IF(5&lt;nb_sl,(IF(nb_sl=1,(ov_sl/2)+bw_sl/2,(ov_sl/2)+(c_sl+phiw_sl+pb_sl/2)+5*(bw_sl-2*(c_sl+phiw_sl+pb_sl/2))/(nb_sl-1)))+(pb_sl/2)*0.500000,NA()),NA())</f>
        <v/>
      </c>
      <c r="BJ5">
        <f>IF(5&lt;nb_sl,(db_sl)+(pb_sl/2)*0.866025,NA())</f>
        <v/>
      </c>
      <c r="BL5">
        <f>IF(draw_sl,IF(6&lt;nb_sl,(IF(nb_sl=1,(ov_sl/2)+bw_sl/2,(ov_sl/2)+(c_sl+phiw_sl+pb_sl/2)+6*(bw_sl-2*(c_sl+phiw_sl+pb_sl/2))/(nb_sl-1)))+(pb_sl/2)*0.500000,NA()),NA())</f>
        <v/>
      </c>
      <c r="BM5">
        <f>IF(6&lt;nb_sl,(db_sl)+(pb_sl/2)*0.866025,NA())</f>
        <v/>
      </c>
      <c r="BO5">
        <f>IF(draw_sl,IF(7&lt;nb_sl,(IF(nb_sl=1,(ov_sl/2)+bw_sl/2,(ov_sl/2)+(c_sl+phiw_sl+pb_sl/2)+7*(bw_sl-2*(c_sl+phiw_sl+pb_sl/2))/(nb_sl-1)))+(pb_sl/2)*0.500000,NA()),NA())</f>
        <v/>
      </c>
      <c r="BP5">
        <f>IF(7&lt;nb_sl,(db_sl)+(pb_sl/2)*0.866025,NA())</f>
        <v/>
      </c>
      <c r="BR5">
        <f>IF(draw_sl,IF(8&lt;nb_sl,(IF(nb_sl=1,(ov_sl/2)+bw_sl/2,(ov_sl/2)+(c_sl+phiw_sl+pb_sl/2)+8*(bw_sl-2*(c_sl+phiw_sl+pb_sl/2))/(nb_sl-1)))+(pb_sl/2)*0.500000,NA()),NA())</f>
        <v/>
      </c>
      <c r="BS5">
        <f>IF(8&lt;nb_sl,(db_sl)+(pb_sl/2)*0.866025,NA())</f>
        <v/>
      </c>
      <c r="BU5">
        <f>IF(draw_sl,IF(9&lt;nb_sl,(IF(nb_sl=1,(ov_sl/2)+bw_sl/2,(ov_sl/2)+(c_sl+phiw_sl+pb_sl/2)+9*(bw_sl-2*(c_sl+phiw_sl+pb_sl/2))/(nb_sl-1)))+(pb_sl/2)*0.500000,NA()),NA())</f>
        <v/>
      </c>
      <c r="BV5">
        <f>IF(9&lt;nb_sl,(db_sl)+(pb_sl/2)*0.866025,NA())</f>
        <v/>
      </c>
      <c r="BX5">
        <f>IF(draw_sl,IF(10&lt;nb_sl,(IF(nb_sl=1,(ov_sl/2)+bw_sl/2,(ov_sl/2)+(c_sl+phiw_sl+pb_sl/2)+10*(bw_sl-2*(c_sl+phiw_sl+pb_sl/2))/(nb_sl-1)))+(pb_sl/2)*0.500000,NA()),NA())</f>
        <v/>
      </c>
      <c r="BY5">
        <f>IF(10&lt;nb_sl,(db_sl)+(pb_sl/2)*0.866025,NA())</f>
        <v/>
      </c>
      <c r="CA5">
        <f>IF(draw_sl,IF(11&lt;nb_sl,(IF(nb_sl=1,(ov_sl/2)+bw_sl/2,(ov_sl/2)+(c_sl+phiw_sl+pb_sl/2)+11*(bw_sl-2*(c_sl+phiw_sl+pb_sl/2))/(nb_sl-1)))+(pb_sl/2)*0.500000,NA()),NA())</f>
        <v/>
      </c>
      <c r="CB5">
        <f>IF(11&lt;nb_sl,(db_sl)+(pb_sl/2)*0.866025,NA())</f>
        <v/>
      </c>
      <c r="CG5">
        <f>IF(draw_sl,(bfe_sl+0.6*MAX(bfe_sl,h_sl))+(0.45*MAX(bfe_sl,h_sl)/MAX(ABS(gA_sl),ABS(gB_sl),1E-9))*IF(gU_sl,gB_sl,0),NA())</f>
        <v/>
      </c>
      <c r="CH5">
        <f>IF(sag_sl,h_sl-(IF(gU_sl,h_sl,gxb_sl)),IF(gU_sl,h_sl,gxb_sl))</f>
        <v/>
      </c>
    </row>
    <row r="6">
      <c r="D6">
        <f>IF(draw_sl,(ov_sl/2+bw_sl),NA())</f>
        <v/>
      </c>
      <c r="E6">
        <f>(h_sl-hfe_sl)</f>
        <v/>
      </c>
      <c r="G6">
        <f>IF(draw_sl,IF(phiw_sl&gt;0,(ov_sl/2)+(c_sl+phiw_sl/2),NA()),NA())</f>
        <v/>
      </c>
      <c r="H6">
        <f>IF(phiw_sl&gt;0,h_sl-(c_sl+phiw_sl/2),NA())</f>
        <v/>
      </c>
      <c r="J6">
        <f>IF(draw_sl,IF(0&lt;nt_sl,(IF(nt_sl=1,(ov_sl/2)+bw_sl/2,(ov_sl/2)+(c_sl+phiw_sl+pt_sl/2)+0*(bw_sl-2*(c_sl+phiw_sl+pt_sl/2))/(nt_sl-1)))+(pt_sl/2)*0.000000,NA()),NA())</f>
        <v/>
      </c>
      <c r="K6">
        <f>IF(0&lt;nt_sl,(h_sl-dt_sl)+(pt_sl/2)*1.000000,NA())</f>
        <v/>
      </c>
      <c r="M6">
        <f>IF(draw_sl,IF(1&lt;nt_sl,(IF(nt_sl=1,(ov_sl/2)+bw_sl/2,(ov_sl/2)+(c_sl+phiw_sl+pt_sl/2)+1*(bw_sl-2*(c_sl+phiw_sl+pt_sl/2))/(nt_sl-1)))+(pt_sl/2)*0.000000,NA()),NA())</f>
        <v/>
      </c>
      <c r="N6">
        <f>IF(1&lt;nt_sl,(h_sl-dt_sl)+(pt_sl/2)*1.000000,NA())</f>
        <v/>
      </c>
      <c r="P6">
        <f>IF(draw_sl,IF(2&lt;nt_sl,(IF(nt_sl=1,(ov_sl/2)+bw_sl/2,(ov_sl/2)+(c_sl+phiw_sl+pt_sl/2)+2*(bw_sl-2*(c_sl+phiw_sl+pt_sl/2))/(nt_sl-1)))+(pt_sl/2)*0.000000,NA()),NA())</f>
        <v/>
      </c>
      <c r="Q6">
        <f>IF(2&lt;nt_sl,(h_sl-dt_sl)+(pt_sl/2)*1.000000,NA())</f>
        <v/>
      </c>
      <c r="S6">
        <f>IF(draw_sl,IF(3&lt;nt_sl,(IF(nt_sl=1,(ov_sl/2)+bw_sl/2,(ov_sl/2)+(c_sl+phiw_sl+pt_sl/2)+3*(bw_sl-2*(c_sl+phiw_sl+pt_sl/2))/(nt_sl-1)))+(pt_sl/2)*0.000000,NA()),NA())</f>
        <v/>
      </c>
      <c r="T6">
        <f>IF(3&lt;nt_sl,(h_sl-dt_sl)+(pt_sl/2)*1.000000,NA())</f>
        <v/>
      </c>
      <c r="V6">
        <f>IF(draw_sl,IF(4&lt;nt_sl,(IF(nt_sl=1,(ov_sl/2)+bw_sl/2,(ov_sl/2)+(c_sl+phiw_sl+pt_sl/2)+4*(bw_sl-2*(c_sl+phiw_sl+pt_sl/2))/(nt_sl-1)))+(pt_sl/2)*0.000000,NA()),NA())</f>
        <v/>
      </c>
      <c r="W6">
        <f>IF(4&lt;nt_sl,(h_sl-dt_sl)+(pt_sl/2)*1.000000,NA())</f>
        <v/>
      </c>
      <c r="Y6">
        <f>IF(draw_sl,IF(5&lt;nt_sl,(IF(nt_sl=1,(ov_sl/2)+bw_sl/2,(ov_sl/2)+(c_sl+phiw_sl+pt_sl/2)+5*(bw_sl-2*(c_sl+phiw_sl+pt_sl/2))/(nt_sl-1)))+(pt_sl/2)*0.000000,NA()),NA())</f>
        <v/>
      </c>
      <c r="Z6">
        <f>IF(5&lt;nt_sl,(h_sl-dt_sl)+(pt_sl/2)*1.000000,NA())</f>
        <v/>
      </c>
      <c r="AB6">
        <f>IF(draw_sl,IF(6&lt;nt_sl,(IF(nt_sl=1,(ov_sl/2)+bw_sl/2,(ov_sl/2)+(c_sl+phiw_sl+pt_sl/2)+6*(bw_sl-2*(c_sl+phiw_sl+pt_sl/2))/(nt_sl-1)))+(pt_sl/2)*0.000000,NA()),NA())</f>
        <v/>
      </c>
      <c r="AC6">
        <f>IF(6&lt;nt_sl,(h_sl-dt_sl)+(pt_sl/2)*1.000000,NA())</f>
        <v/>
      </c>
      <c r="AE6">
        <f>IF(draw_sl,IF(7&lt;nt_sl,(IF(nt_sl=1,(ov_sl/2)+bw_sl/2,(ov_sl/2)+(c_sl+phiw_sl+pt_sl/2)+7*(bw_sl-2*(c_sl+phiw_sl+pt_sl/2))/(nt_sl-1)))+(pt_sl/2)*0.000000,NA()),NA())</f>
        <v/>
      </c>
      <c r="AF6">
        <f>IF(7&lt;nt_sl,(h_sl-dt_sl)+(pt_sl/2)*1.000000,NA())</f>
        <v/>
      </c>
      <c r="AH6">
        <f>IF(draw_sl,IF(8&lt;nt_sl,(IF(nt_sl=1,(ov_sl/2)+bw_sl/2,(ov_sl/2)+(c_sl+phiw_sl+pt_sl/2)+8*(bw_sl-2*(c_sl+phiw_sl+pt_sl/2))/(nt_sl-1)))+(pt_sl/2)*0.000000,NA()),NA())</f>
        <v/>
      </c>
      <c r="AI6">
        <f>IF(8&lt;nt_sl,(h_sl-dt_sl)+(pt_sl/2)*1.000000,NA())</f>
        <v/>
      </c>
      <c r="AK6">
        <f>IF(draw_sl,IF(9&lt;nt_sl,(IF(nt_sl=1,(ov_sl/2)+bw_sl/2,(ov_sl/2)+(c_sl+phiw_sl+pt_sl/2)+9*(bw_sl-2*(c_sl+phiw_sl+pt_sl/2))/(nt_sl-1)))+(pt_sl/2)*0.000000,NA()),NA())</f>
        <v/>
      </c>
      <c r="AL6">
        <f>IF(9&lt;nt_sl,(h_sl-dt_sl)+(pt_sl/2)*1.000000,NA())</f>
        <v/>
      </c>
      <c r="AN6">
        <f>IF(draw_sl,IF(10&lt;nt_sl,(IF(nt_sl=1,(ov_sl/2)+bw_sl/2,(ov_sl/2)+(c_sl+phiw_sl+pt_sl/2)+10*(bw_sl-2*(c_sl+phiw_sl+pt_sl/2))/(nt_sl-1)))+(pt_sl/2)*0.000000,NA()),NA())</f>
        <v/>
      </c>
      <c r="AO6">
        <f>IF(10&lt;nt_sl,(h_sl-dt_sl)+(pt_sl/2)*1.000000,NA())</f>
        <v/>
      </c>
      <c r="AQ6">
        <f>IF(draw_sl,IF(11&lt;nt_sl,(IF(nt_sl=1,(ov_sl/2)+bw_sl/2,(ov_sl/2)+(c_sl+phiw_sl+pt_sl/2)+11*(bw_sl-2*(c_sl+phiw_sl+pt_sl/2))/(nt_sl-1)))+(pt_sl/2)*0.000000,NA()),NA())</f>
        <v/>
      </c>
      <c r="AR6">
        <f>IF(11&lt;nt_sl,(h_sl-dt_sl)+(pt_sl/2)*1.000000,NA())</f>
        <v/>
      </c>
      <c r="AT6">
        <f>IF(draw_sl,IF(0&lt;nb_sl,(IF(nb_sl=1,(ov_sl/2)+bw_sl/2,(ov_sl/2)+(c_sl+phiw_sl+pb_sl/2)+0*(bw_sl-2*(c_sl+phiw_sl+pb_sl/2))/(nb_sl-1)))+(pb_sl/2)*0.000000,NA()),NA())</f>
        <v/>
      </c>
      <c r="AU6">
        <f>IF(0&lt;nb_sl,(db_sl)+(pb_sl/2)*1.000000,NA())</f>
        <v/>
      </c>
      <c r="AW6">
        <f>IF(draw_sl,IF(1&lt;nb_sl,(IF(nb_sl=1,(ov_sl/2)+bw_sl/2,(ov_sl/2)+(c_sl+phiw_sl+pb_sl/2)+1*(bw_sl-2*(c_sl+phiw_sl+pb_sl/2))/(nb_sl-1)))+(pb_sl/2)*0.000000,NA()),NA())</f>
        <v/>
      </c>
      <c r="AX6">
        <f>IF(1&lt;nb_sl,(db_sl)+(pb_sl/2)*1.000000,NA())</f>
        <v/>
      </c>
      <c r="AZ6">
        <f>IF(draw_sl,IF(2&lt;nb_sl,(IF(nb_sl=1,(ov_sl/2)+bw_sl/2,(ov_sl/2)+(c_sl+phiw_sl+pb_sl/2)+2*(bw_sl-2*(c_sl+phiw_sl+pb_sl/2))/(nb_sl-1)))+(pb_sl/2)*0.000000,NA()),NA())</f>
        <v/>
      </c>
      <c r="BA6">
        <f>IF(2&lt;nb_sl,(db_sl)+(pb_sl/2)*1.000000,NA())</f>
        <v/>
      </c>
      <c r="BC6">
        <f>IF(draw_sl,IF(3&lt;nb_sl,(IF(nb_sl=1,(ov_sl/2)+bw_sl/2,(ov_sl/2)+(c_sl+phiw_sl+pb_sl/2)+3*(bw_sl-2*(c_sl+phiw_sl+pb_sl/2))/(nb_sl-1)))+(pb_sl/2)*0.000000,NA()),NA())</f>
        <v/>
      </c>
      <c r="BD6">
        <f>IF(3&lt;nb_sl,(db_sl)+(pb_sl/2)*1.000000,NA())</f>
        <v/>
      </c>
      <c r="BF6">
        <f>IF(draw_sl,IF(4&lt;nb_sl,(IF(nb_sl=1,(ov_sl/2)+bw_sl/2,(ov_sl/2)+(c_sl+phiw_sl+pb_sl/2)+4*(bw_sl-2*(c_sl+phiw_sl+pb_sl/2))/(nb_sl-1)))+(pb_sl/2)*0.000000,NA()),NA())</f>
        <v/>
      </c>
      <c r="BG6">
        <f>IF(4&lt;nb_sl,(db_sl)+(pb_sl/2)*1.000000,NA())</f>
        <v/>
      </c>
      <c r="BI6">
        <f>IF(draw_sl,IF(5&lt;nb_sl,(IF(nb_sl=1,(ov_sl/2)+bw_sl/2,(ov_sl/2)+(c_sl+phiw_sl+pb_sl/2)+5*(bw_sl-2*(c_sl+phiw_sl+pb_sl/2))/(nb_sl-1)))+(pb_sl/2)*0.000000,NA()),NA())</f>
        <v/>
      </c>
      <c r="BJ6">
        <f>IF(5&lt;nb_sl,(db_sl)+(pb_sl/2)*1.000000,NA())</f>
        <v/>
      </c>
      <c r="BL6">
        <f>IF(draw_sl,IF(6&lt;nb_sl,(IF(nb_sl=1,(ov_sl/2)+bw_sl/2,(ov_sl/2)+(c_sl+phiw_sl+pb_sl/2)+6*(bw_sl-2*(c_sl+phiw_sl+pb_sl/2))/(nb_sl-1)))+(pb_sl/2)*0.000000,NA()),NA())</f>
        <v/>
      </c>
      <c r="BM6">
        <f>IF(6&lt;nb_sl,(db_sl)+(pb_sl/2)*1.000000,NA())</f>
        <v/>
      </c>
      <c r="BO6">
        <f>IF(draw_sl,IF(7&lt;nb_sl,(IF(nb_sl=1,(ov_sl/2)+bw_sl/2,(ov_sl/2)+(c_sl+phiw_sl+pb_sl/2)+7*(bw_sl-2*(c_sl+phiw_sl+pb_sl/2))/(nb_sl-1)))+(pb_sl/2)*0.000000,NA()),NA())</f>
        <v/>
      </c>
      <c r="BP6">
        <f>IF(7&lt;nb_sl,(db_sl)+(pb_sl/2)*1.000000,NA())</f>
        <v/>
      </c>
      <c r="BR6">
        <f>IF(draw_sl,IF(8&lt;nb_sl,(IF(nb_sl=1,(ov_sl/2)+bw_sl/2,(ov_sl/2)+(c_sl+phiw_sl+pb_sl/2)+8*(bw_sl-2*(c_sl+phiw_sl+pb_sl/2))/(nb_sl-1)))+(pb_sl/2)*0.000000,NA()),NA())</f>
        <v/>
      </c>
      <c r="BS6">
        <f>IF(8&lt;nb_sl,(db_sl)+(pb_sl/2)*1.000000,NA())</f>
        <v/>
      </c>
      <c r="BU6">
        <f>IF(draw_sl,IF(9&lt;nb_sl,(IF(nb_sl=1,(ov_sl/2)+bw_sl/2,(ov_sl/2)+(c_sl+phiw_sl+pb_sl/2)+9*(bw_sl-2*(c_sl+phiw_sl+pb_sl/2))/(nb_sl-1)))+(pb_sl/2)*0.000000,NA()),NA())</f>
        <v/>
      </c>
      <c r="BV6">
        <f>IF(9&lt;nb_sl,(db_sl)+(pb_sl/2)*1.000000,NA())</f>
        <v/>
      </c>
      <c r="BX6">
        <f>IF(draw_sl,IF(10&lt;nb_sl,(IF(nb_sl=1,(ov_sl/2)+bw_sl/2,(ov_sl/2)+(c_sl+phiw_sl+pb_sl/2)+10*(bw_sl-2*(c_sl+phiw_sl+pb_sl/2))/(nb_sl-1)))+(pb_sl/2)*0.000000,NA()),NA())</f>
        <v/>
      </c>
      <c r="BY6">
        <f>IF(10&lt;nb_sl,(db_sl)+(pb_sl/2)*1.000000,NA())</f>
        <v/>
      </c>
      <c r="CA6">
        <f>IF(draw_sl,IF(11&lt;nb_sl,(IF(nb_sl=1,(ov_sl/2)+bw_sl/2,(ov_sl/2)+(c_sl+phiw_sl+pb_sl/2)+11*(bw_sl-2*(c_sl+phiw_sl+pb_sl/2))/(nb_sl-1)))+(pb_sl/2)*0.000000,NA()),NA())</f>
        <v/>
      </c>
      <c r="CB6">
        <f>IF(11&lt;nb_sl,(db_sl)+(pb_sl/2)*1.000000,NA())</f>
        <v/>
      </c>
      <c r="CG6">
        <f>IF(draw_sl,(bfe_sl+0.6*MAX(bfe_sl,h_sl)),NA())</f>
        <v/>
      </c>
      <c r="CH6">
        <f>IF(sag_sl,h_sl-(IF(gU_sl,h_sl,gxb_sl)),IF(gU_sl,h_sl,gxb_sl))</f>
        <v/>
      </c>
    </row>
    <row r="7">
      <c r="D7">
        <f>IF(draw_sl,(ov_sl/2+bw_sl),NA())</f>
        <v/>
      </c>
      <c r="E7">
        <f>0</f>
        <v/>
      </c>
      <c r="G7">
        <f>IF(draw_sl,IF(phiw_sl&gt;0,(ov_sl/2)+(c_sl+phiw_sl/2),NA()),NA())</f>
        <v/>
      </c>
      <c r="H7">
        <f>IF(phiw_sl&gt;0,(c_sl+phiw_sl/2),NA())</f>
        <v/>
      </c>
      <c r="J7">
        <f>IF(draw_sl,IF(0&lt;nt_sl,(IF(nt_sl=1,(ov_sl/2)+bw_sl/2,(ov_sl/2)+(c_sl+phiw_sl+pt_sl/2)+0*(bw_sl-2*(c_sl+phiw_sl+pt_sl/2))/(nt_sl-1)))+(pt_sl/2)*-0.500000,NA()),NA())</f>
        <v/>
      </c>
      <c r="K7">
        <f>IF(0&lt;nt_sl,(h_sl-dt_sl)+(pt_sl/2)*0.866025,NA())</f>
        <v/>
      </c>
      <c r="M7">
        <f>IF(draw_sl,IF(1&lt;nt_sl,(IF(nt_sl=1,(ov_sl/2)+bw_sl/2,(ov_sl/2)+(c_sl+phiw_sl+pt_sl/2)+1*(bw_sl-2*(c_sl+phiw_sl+pt_sl/2))/(nt_sl-1)))+(pt_sl/2)*-0.500000,NA()),NA())</f>
        <v/>
      </c>
      <c r="N7">
        <f>IF(1&lt;nt_sl,(h_sl-dt_sl)+(pt_sl/2)*0.866025,NA())</f>
        <v/>
      </c>
      <c r="P7">
        <f>IF(draw_sl,IF(2&lt;nt_sl,(IF(nt_sl=1,(ov_sl/2)+bw_sl/2,(ov_sl/2)+(c_sl+phiw_sl+pt_sl/2)+2*(bw_sl-2*(c_sl+phiw_sl+pt_sl/2))/(nt_sl-1)))+(pt_sl/2)*-0.500000,NA()),NA())</f>
        <v/>
      </c>
      <c r="Q7">
        <f>IF(2&lt;nt_sl,(h_sl-dt_sl)+(pt_sl/2)*0.866025,NA())</f>
        <v/>
      </c>
      <c r="S7">
        <f>IF(draw_sl,IF(3&lt;nt_sl,(IF(nt_sl=1,(ov_sl/2)+bw_sl/2,(ov_sl/2)+(c_sl+phiw_sl+pt_sl/2)+3*(bw_sl-2*(c_sl+phiw_sl+pt_sl/2))/(nt_sl-1)))+(pt_sl/2)*-0.500000,NA()),NA())</f>
        <v/>
      </c>
      <c r="T7">
        <f>IF(3&lt;nt_sl,(h_sl-dt_sl)+(pt_sl/2)*0.866025,NA())</f>
        <v/>
      </c>
      <c r="V7">
        <f>IF(draw_sl,IF(4&lt;nt_sl,(IF(nt_sl=1,(ov_sl/2)+bw_sl/2,(ov_sl/2)+(c_sl+phiw_sl+pt_sl/2)+4*(bw_sl-2*(c_sl+phiw_sl+pt_sl/2))/(nt_sl-1)))+(pt_sl/2)*-0.500000,NA()),NA())</f>
        <v/>
      </c>
      <c r="W7">
        <f>IF(4&lt;nt_sl,(h_sl-dt_sl)+(pt_sl/2)*0.866025,NA())</f>
        <v/>
      </c>
      <c r="Y7">
        <f>IF(draw_sl,IF(5&lt;nt_sl,(IF(nt_sl=1,(ov_sl/2)+bw_sl/2,(ov_sl/2)+(c_sl+phiw_sl+pt_sl/2)+5*(bw_sl-2*(c_sl+phiw_sl+pt_sl/2))/(nt_sl-1)))+(pt_sl/2)*-0.500000,NA()),NA())</f>
        <v/>
      </c>
      <c r="Z7">
        <f>IF(5&lt;nt_sl,(h_sl-dt_sl)+(pt_sl/2)*0.866025,NA())</f>
        <v/>
      </c>
      <c r="AB7">
        <f>IF(draw_sl,IF(6&lt;nt_sl,(IF(nt_sl=1,(ov_sl/2)+bw_sl/2,(ov_sl/2)+(c_sl+phiw_sl+pt_sl/2)+6*(bw_sl-2*(c_sl+phiw_sl+pt_sl/2))/(nt_sl-1)))+(pt_sl/2)*-0.500000,NA()),NA())</f>
        <v/>
      </c>
      <c r="AC7">
        <f>IF(6&lt;nt_sl,(h_sl-dt_sl)+(pt_sl/2)*0.866025,NA())</f>
        <v/>
      </c>
      <c r="AE7">
        <f>IF(draw_sl,IF(7&lt;nt_sl,(IF(nt_sl=1,(ov_sl/2)+bw_sl/2,(ov_sl/2)+(c_sl+phiw_sl+pt_sl/2)+7*(bw_sl-2*(c_sl+phiw_sl+pt_sl/2))/(nt_sl-1)))+(pt_sl/2)*-0.500000,NA()),NA())</f>
        <v/>
      </c>
      <c r="AF7">
        <f>IF(7&lt;nt_sl,(h_sl-dt_sl)+(pt_sl/2)*0.866025,NA())</f>
        <v/>
      </c>
      <c r="AH7">
        <f>IF(draw_sl,IF(8&lt;nt_sl,(IF(nt_sl=1,(ov_sl/2)+bw_sl/2,(ov_sl/2)+(c_sl+phiw_sl+pt_sl/2)+8*(bw_sl-2*(c_sl+phiw_sl+pt_sl/2))/(nt_sl-1)))+(pt_sl/2)*-0.500000,NA()),NA())</f>
        <v/>
      </c>
      <c r="AI7">
        <f>IF(8&lt;nt_sl,(h_sl-dt_sl)+(pt_sl/2)*0.866025,NA())</f>
        <v/>
      </c>
      <c r="AK7">
        <f>IF(draw_sl,IF(9&lt;nt_sl,(IF(nt_sl=1,(ov_sl/2)+bw_sl/2,(ov_sl/2)+(c_sl+phiw_sl+pt_sl/2)+9*(bw_sl-2*(c_sl+phiw_sl+pt_sl/2))/(nt_sl-1)))+(pt_sl/2)*-0.500000,NA()),NA())</f>
        <v/>
      </c>
      <c r="AL7">
        <f>IF(9&lt;nt_sl,(h_sl-dt_sl)+(pt_sl/2)*0.866025,NA())</f>
        <v/>
      </c>
      <c r="AN7">
        <f>IF(draw_sl,IF(10&lt;nt_sl,(IF(nt_sl=1,(ov_sl/2)+bw_sl/2,(ov_sl/2)+(c_sl+phiw_sl+pt_sl/2)+10*(bw_sl-2*(c_sl+phiw_sl+pt_sl/2))/(nt_sl-1)))+(pt_sl/2)*-0.500000,NA()),NA())</f>
        <v/>
      </c>
      <c r="AO7">
        <f>IF(10&lt;nt_sl,(h_sl-dt_sl)+(pt_sl/2)*0.866025,NA())</f>
        <v/>
      </c>
      <c r="AQ7">
        <f>IF(draw_sl,IF(11&lt;nt_sl,(IF(nt_sl=1,(ov_sl/2)+bw_sl/2,(ov_sl/2)+(c_sl+phiw_sl+pt_sl/2)+11*(bw_sl-2*(c_sl+phiw_sl+pt_sl/2))/(nt_sl-1)))+(pt_sl/2)*-0.500000,NA()),NA())</f>
        <v/>
      </c>
      <c r="AR7">
        <f>IF(11&lt;nt_sl,(h_sl-dt_sl)+(pt_sl/2)*0.866025,NA())</f>
        <v/>
      </c>
      <c r="AT7">
        <f>IF(draw_sl,IF(0&lt;nb_sl,(IF(nb_sl=1,(ov_sl/2)+bw_sl/2,(ov_sl/2)+(c_sl+phiw_sl+pb_sl/2)+0*(bw_sl-2*(c_sl+phiw_sl+pb_sl/2))/(nb_sl-1)))+(pb_sl/2)*-0.500000,NA()),NA())</f>
        <v/>
      </c>
      <c r="AU7">
        <f>IF(0&lt;nb_sl,(db_sl)+(pb_sl/2)*0.866025,NA())</f>
        <v/>
      </c>
      <c r="AW7">
        <f>IF(draw_sl,IF(1&lt;nb_sl,(IF(nb_sl=1,(ov_sl/2)+bw_sl/2,(ov_sl/2)+(c_sl+phiw_sl+pb_sl/2)+1*(bw_sl-2*(c_sl+phiw_sl+pb_sl/2))/(nb_sl-1)))+(pb_sl/2)*-0.500000,NA()),NA())</f>
        <v/>
      </c>
      <c r="AX7">
        <f>IF(1&lt;nb_sl,(db_sl)+(pb_sl/2)*0.866025,NA())</f>
        <v/>
      </c>
      <c r="AZ7">
        <f>IF(draw_sl,IF(2&lt;nb_sl,(IF(nb_sl=1,(ov_sl/2)+bw_sl/2,(ov_sl/2)+(c_sl+phiw_sl+pb_sl/2)+2*(bw_sl-2*(c_sl+phiw_sl+pb_sl/2))/(nb_sl-1)))+(pb_sl/2)*-0.500000,NA()),NA())</f>
        <v/>
      </c>
      <c r="BA7">
        <f>IF(2&lt;nb_sl,(db_sl)+(pb_sl/2)*0.866025,NA())</f>
        <v/>
      </c>
      <c r="BC7">
        <f>IF(draw_sl,IF(3&lt;nb_sl,(IF(nb_sl=1,(ov_sl/2)+bw_sl/2,(ov_sl/2)+(c_sl+phiw_sl+pb_sl/2)+3*(bw_sl-2*(c_sl+phiw_sl+pb_sl/2))/(nb_sl-1)))+(pb_sl/2)*-0.500000,NA()),NA())</f>
        <v/>
      </c>
      <c r="BD7">
        <f>IF(3&lt;nb_sl,(db_sl)+(pb_sl/2)*0.866025,NA())</f>
        <v/>
      </c>
      <c r="BF7">
        <f>IF(draw_sl,IF(4&lt;nb_sl,(IF(nb_sl=1,(ov_sl/2)+bw_sl/2,(ov_sl/2)+(c_sl+phiw_sl+pb_sl/2)+4*(bw_sl-2*(c_sl+phiw_sl+pb_sl/2))/(nb_sl-1)))+(pb_sl/2)*-0.500000,NA()),NA())</f>
        <v/>
      </c>
      <c r="BG7">
        <f>IF(4&lt;nb_sl,(db_sl)+(pb_sl/2)*0.866025,NA())</f>
        <v/>
      </c>
      <c r="BI7">
        <f>IF(draw_sl,IF(5&lt;nb_sl,(IF(nb_sl=1,(ov_sl/2)+bw_sl/2,(ov_sl/2)+(c_sl+phiw_sl+pb_sl/2)+5*(bw_sl-2*(c_sl+phiw_sl+pb_sl/2))/(nb_sl-1)))+(pb_sl/2)*-0.500000,NA()),NA())</f>
        <v/>
      </c>
      <c r="BJ7">
        <f>IF(5&lt;nb_sl,(db_sl)+(pb_sl/2)*0.866025,NA())</f>
        <v/>
      </c>
      <c r="BL7">
        <f>IF(draw_sl,IF(6&lt;nb_sl,(IF(nb_sl=1,(ov_sl/2)+bw_sl/2,(ov_sl/2)+(c_sl+phiw_sl+pb_sl/2)+6*(bw_sl-2*(c_sl+phiw_sl+pb_sl/2))/(nb_sl-1)))+(pb_sl/2)*-0.500000,NA()),NA())</f>
        <v/>
      </c>
      <c r="BM7">
        <f>IF(6&lt;nb_sl,(db_sl)+(pb_sl/2)*0.866025,NA())</f>
        <v/>
      </c>
      <c r="BO7">
        <f>IF(draw_sl,IF(7&lt;nb_sl,(IF(nb_sl=1,(ov_sl/2)+bw_sl/2,(ov_sl/2)+(c_sl+phiw_sl+pb_sl/2)+7*(bw_sl-2*(c_sl+phiw_sl+pb_sl/2))/(nb_sl-1)))+(pb_sl/2)*-0.500000,NA()),NA())</f>
        <v/>
      </c>
      <c r="BP7">
        <f>IF(7&lt;nb_sl,(db_sl)+(pb_sl/2)*0.866025,NA())</f>
        <v/>
      </c>
      <c r="BR7">
        <f>IF(draw_sl,IF(8&lt;nb_sl,(IF(nb_sl=1,(ov_sl/2)+bw_sl/2,(ov_sl/2)+(c_sl+phiw_sl+pb_sl/2)+8*(bw_sl-2*(c_sl+phiw_sl+pb_sl/2))/(nb_sl-1)))+(pb_sl/2)*-0.500000,NA()),NA())</f>
        <v/>
      </c>
      <c r="BS7">
        <f>IF(8&lt;nb_sl,(db_sl)+(pb_sl/2)*0.866025,NA())</f>
        <v/>
      </c>
      <c r="BU7">
        <f>IF(draw_sl,IF(9&lt;nb_sl,(IF(nb_sl=1,(ov_sl/2)+bw_sl/2,(ov_sl/2)+(c_sl+phiw_sl+pb_sl/2)+9*(bw_sl-2*(c_sl+phiw_sl+pb_sl/2))/(nb_sl-1)))+(pb_sl/2)*-0.500000,NA()),NA())</f>
        <v/>
      </c>
      <c r="BV7">
        <f>IF(9&lt;nb_sl,(db_sl)+(pb_sl/2)*0.866025,NA())</f>
        <v/>
      </c>
      <c r="BX7">
        <f>IF(draw_sl,IF(10&lt;nb_sl,(IF(nb_sl=1,(ov_sl/2)+bw_sl/2,(ov_sl/2)+(c_sl+phiw_sl+pb_sl/2)+10*(bw_sl-2*(c_sl+phiw_sl+pb_sl/2))/(nb_sl-1)))+(pb_sl/2)*-0.500000,NA()),NA())</f>
        <v/>
      </c>
      <c r="BY7">
        <f>IF(10&lt;nb_sl,(db_sl)+(pb_sl/2)*0.866025,NA())</f>
        <v/>
      </c>
      <c r="CA7">
        <f>IF(draw_sl,IF(11&lt;nb_sl,(IF(nb_sl=1,(ov_sl/2)+bw_sl/2,(ov_sl/2)+(c_sl+phiw_sl+pb_sl/2)+11*(bw_sl-2*(c_sl+phiw_sl+pb_sl/2))/(nb_sl-1)))+(pb_sl/2)*-0.500000,NA()),NA())</f>
        <v/>
      </c>
      <c r="CB7">
        <f>IF(11&lt;nb_sl,(db_sl)+(pb_sl/2)*0.866025,NA())</f>
        <v/>
      </c>
      <c r="CG7">
        <f>IF(draw_sl,(bfe_sl+0.6*MAX(bfe_sl,h_sl)),NA())</f>
        <v/>
      </c>
      <c r="CH7">
        <f>IF(sag_sl,h_sl-(0),0)</f>
        <v/>
      </c>
    </row>
    <row r="8">
      <c r="D8">
        <f>IF(draw_sl,(ov_sl/2),NA())</f>
        <v/>
      </c>
      <c r="E8">
        <f>0</f>
        <v/>
      </c>
      <c r="J8">
        <f>IF(draw_sl,IF(0&lt;nt_sl,(IF(nt_sl=1,(ov_sl/2)+bw_sl/2,(ov_sl/2)+(c_sl+phiw_sl+pt_sl/2)+0*(bw_sl-2*(c_sl+phiw_sl+pt_sl/2))/(nt_sl-1)))+(pt_sl/2)*-0.866025,NA()),NA())</f>
        <v/>
      </c>
      <c r="K8">
        <f>IF(0&lt;nt_sl,(h_sl-dt_sl)+(pt_sl/2)*0.500000,NA())</f>
        <v/>
      </c>
      <c r="M8">
        <f>IF(draw_sl,IF(1&lt;nt_sl,(IF(nt_sl=1,(ov_sl/2)+bw_sl/2,(ov_sl/2)+(c_sl+phiw_sl+pt_sl/2)+1*(bw_sl-2*(c_sl+phiw_sl+pt_sl/2))/(nt_sl-1)))+(pt_sl/2)*-0.866025,NA()),NA())</f>
        <v/>
      </c>
      <c r="N8">
        <f>IF(1&lt;nt_sl,(h_sl-dt_sl)+(pt_sl/2)*0.500000,NA())</f>
        <v/>
      </c>
      <c r="P8">
        <f>IF(draw_sl,IF(2&lt;nt_sl,(IF(nt_sl=1,(ov_sl/2)+bw_sl/2,(ov_sl/2)+(c_sl+phiw_sl+pt_sl/2)+2*(bw_sl-2*(c_sl+phiw_sl+pt_sl/2))/(nt_sl-1)))+(pt_sl/2)*-0.866025,NA()),NA())</f>
        <v/>
      </c>
      <c r="Q8">
        <f>IF(2&lt;nt_sl,(h_sl-dt_sl)+(pt_sl/2)*0.500000,NA())</f>
        <v/>
      </c>
      <c r="S8">
        <f>IF(draw_sl,IF(3&lt;nt_sl,(IF(nt_sl=1,(ov_sl/2)+bw_sl/2,(ov_sl/2)+(c_sl+phiw_sl+pt_sl/2)+3*(bw_sl-2*(c_sl+phiw_sl+pt_sl/2))/(nt_sl-1)))+(pt_sl/2)*-0.866025,NA()),NA())</f>
        <v/>
      </c>
      <c r="T8">
        <f>IF(3&lt;nt_sl,(h_sl-dt_sl)+(pt_sl/2)*0.500000,NA())</f>
        <v/>
      </c>
      <c r="V8">
        <f>IF(draw_sl,IF(4&lt;nt_sl,(IF(nt_sl=1,(ov_sl/2)+bw_sl/2,(ov_sl/2)+(c_sl+phiw_sl+pt_sl/2)+4*(bw_sl-2*(c_sl+phiw_sl+pt_sl/2))/(nt_sl-1)))+(pt_sl/2)*-0.866025,NA()),NA())</f>
        <v/>
      </c>
      <c r="W8">
        <f>IF(4&lt;nt_sl,(h_sl-dt_sl)+(pt_sl/2)*0.500000,NA())</f>
        <v/>
      </c>
      <c r="Y8">
        <f>IF(draw_sl,IF(5&lt;nt_sl,(IF(nt_sl=1,(ov_sl/2)+bw_sl/2,(ov_sl/2)+(c_sl+phiw_sl+pt_sl/2)+5*(bw_sl-2*(c_sl+phiw_sl+pt_sl/2))/(nt_sl-1)))+(pt_sl/2)*-0.866025,NA()),NA())</f>
        <v/>
      </c>
      <c r="Z8">
        <f>IF(5&lt;nt_sl,(h_sl-dt_sl)+(pt_sl/2)*0.500000,NA())</f>
        <v/>
      </c>
      <c r="AB8">
        <f>IF(draw_sl,IF(6&lt;nt_sl,(IF(nt_sl=1,(ov_sl/2)+bw_sl/2,(ov_sl/2)+(c_sl+phiw_sl+pt_sl/2)+6*(bw_sl-2*(c_sl+phiw_sl+pt_sl/2))/(nt_sl-1)))+(pt_sl/2)*-0.866025,NA()),NA())</f>
        <v/>
      </c>
      <c r="AC8">
        <f>IF(6&lt;nt_sl,(h_sl-dt_sl)+(pt_sl/2)*0.500000,NA())</f>
        <v/>
      </c>
      <c r="AE8">
        <f>IF(draw_sl,IF(7&lt;nt_sl,(IF(nt_sl=1,(ov_sl/2)+bw_sl/2,(ov_sl/2)+(c_sl+phiw_sl+pt_sl/2)+7*(bw_sl-2*(c_sl+phiw_sl+pt_sl/2))/(nt_sl-1)))+(pt_sl/2)*-0.866025,NA()),NA())</f>
        <v/>
      </c>
      <c r="AF8">
        <f>IF(7&lt;nt_sl,(h_sl-dt_sl)+(pt_sl/2)*0.500000,NA())</f>
        <v/>
      </c>
      <c r="AH8">
        <f>IF(draw_sl,IF(8&lt;nt_sl,(IF(nt_sl=1,(ov_sl/2)+bw_sl/2,(ov_sl/2)+(c_sl+phiw_sl+pt_sl/2)+8*(bw_sl-2*(c_sl+phiw_sl+pt_sl/2))/(nt_sl-1)))+(pt_sl/2)*-0.866025,NA()),NA())</f>
        <v/>
      </c>
      <c r="AI8">
        <f>IF(8&lt;nt_sl,(h_sl-dt_sl)+(pt_sl/2)*0.500000,NA())</f>
        <v/>
      </c>
      <c r="AK8">
        <f>IF(draw_sl,IF(9&lt;nt_sl,(IF(nt_sl=1,(ov_sl/2)+bw_sl/2,(ov_sl/2)+(c_sl+phiw_sl+pt_sl/2)+9*(bw_sl-2*(c_sl+phiw_sl+pt_sl/2))/(nt_sl-1)))+(pt_sl/2)*-0.866025,NA()),NA())</f>
        <v/>
      </c>
      <c r="AL8">
        <f>IF(9&lt;nt_sl,(h_sl-dt_sl)+(pt_sl/2)*0.500000,NA())</f>
        <v/>
      </c>
      <c r="AN8">
        <f>IF(draw_sl,IF(10&lt;nt_sl,(IF(nt_sl=1,(ov_sl/2)+bw_sl/2,(ov_sl/2)+(c_sl+phiw_sl+pt_sl/2)+10*(bw_sl-2*(c_sl+phiw_sl+pt_sl/2))/(nt_sl-1)))+(pt_sl/2)*-0.866025,NA()),NA())</f>
        <v/>
      </c>
      <c r="AO8">
        <f>IF(10&lt;nt_sl,(h_sl-dt_sl)+(pt_sl/2)*0.500000,NA())</f>
        <v/>
      </c>
      <c r="AQ8">
        <f>IF(draw_sl,IF(11&lt;nt_sl,(IF(nt_sl=1,(ov_sl/2)+bw_sl/2,(ov_sl/2)+(c_sl+phiw_sl+pt_sl/2)+11*(bw_sl-2*(c_sl+phiw_sl+pt_sl/2))/(nt_sl-1)))+(pt_sl/2)*-0.866025,NA()),NA())</f>
        <v/>
      </c>
      <c r="AR8">
        <f>IF(11&lt;nt_sl,(h_sl-dt_sl)+(pt_sl/2)*0.500000,NA())</f>
        <v/>
      </c>
      <c r="AT8">
        <f>IF(draw_sl,IF(0&lt;nb_sl,(IF(nb_sl=1,(ov_sl/2)+bw_sl/2,(ov_sl/2)+(c_sl+phiw_sl+pb_sl/2)+0*(bw_sl-2*(c_sl+phiw_sl+pb_sl/2))/(nb_sl-1)))+(pb_sl/2)*-0.866025,NA()),NA())</f>
        <v/>
      </c>
      <c r="AU8">
        <f>IF(0&lt;nb_sl,(db_sl)+(pb_sl/2)*0.500000,NA())</f>
        <v/>
      </c>
      <c r="AW8">
        <f>IF(draw_sl,IF(1&lt;nb_sl,(IF(nb_sl=1,(ov_sl/2)+bw_sl/2,(ov_sl/2)+(c_sl+phiw_sl+pb_sl/2)+1*(bw_sl-2*(c_sl+phiw_sl+pb_sl/2))/(nb_sl-1)))+(pb_sl/2)*-0.866025,NA()),NA())</f>
        <v/>
      </c>
      <c r="AX8">
        <f>IF(1&lt;nb_sl,(db_sl)+(pb_sl/2)*0.500000,NA())</f>
        <v/>
      </c>
      <c r="AZ8">
        <f>IF(draw_sl,IF(2&lt;nb_sl,(IF(nb_sl=1,(ov_sl/2)+bw_sl/2,(ov_sl/2)+(c_sl+phiw_sl+pb_sl/2)+2*(bw_sl-2*(c_sl+phiw_sl+pb_sl/2))/(nb_sl-1)))+(pb_sl/2)*-0.866025,NA()),NA())</f>
        <v/>
      </c>
      <c r="BA8">
        <f>IF(2&lt;nb_sl,(db_sl)+(pb_sl/2)*0.500000,NA())</f>
        <v/>
      </c>
      <c r="BC8">
        <f>IF(draw_sl,IF(3&lt;nb_sl,(IF(nb_sl=1,(ov_sl/2)+bw_sl/2,(ov_sl/2)+(c_sl+phiw_sl+pb_sl/2)+3*(bw_sl-2*(c_sl+phiw_sl+pb_sl/2))/(nb_sl-1)))+(pb_sl/2)*-0.866025,NA()),NA())</f>
        <v/>
      </c>
      <c r="BD8">
        <f>IF(3&lt;nb_sl,(db_sl)+(pb_sl/2)*0.500000,NA())</f>
        <v/>
      </c>
      <c r="BF8">
        <f>IF(draw_sl,IF(4&lt;nb_sl,(IF(nb_sl=1,(ov_sl/2)+bw_sl/2,(ov_sl/2)+(c_sl+phiw_sl+pb_sl/2)+4*(bw_sl-2*(c_sl+phiw_sl+pb_sl/2))/(nb_sl-1)))+(pb_sl/2)*-0.866025,NA()),NA())</f>
        <v/>
      </c>
      <c r="BG8">
        <f>IF(4&lt;nb_sl,(db_sl)+(pb_sl/2)*0.500000,NA())</f>
        <v/>
      </c>
      <c r="BI8">
        <f>IF(draw_sl,IF(5&lt;nb_sl,(IF(nb_sl=1,(ov_sl/2)+bw_sl/2,(ov_sl/2)+(c_sl+phiw_sl+pb_sl/2)+5*(bw_sl-2*(c_sl+phiw_sl+pb_sl/2))/(nb_sl-1)))+(pb_sl/2)*-0.866025,NA()),NA())</f>
        <v/>
      </c>
      <c r="BJ8">
        <f>IF(5&lt;nb_sl,(db_sl)+(pb_sl/2)*0.500000,NA())</f>
        <v/>
      </c>
      <c r="BL8">
        <f>IF(draw_sl,IF(6&lt;nb_sl,(IF(nb_sl=1,(ov_sl/2)+bw_sl/2,(ov_sl/2)+(c_sl+phiw_sl+pb_sl/2)+6*(bw_sl-2*(c_sl+phiw_sl+pb_sl/2))/(nb_sl-1)))+(pb_sl/2)*-0.866025,NA()),NA())</f>
        <v/>
      </c>
      <c r="BM8">
        <f>IF(6&lt;nb_sl,(db_sl)+(pb_sl/2)*0.500000,NA())</f>
        <v/>
      </c>
      <c r="BO8">
        <f>IF(draw_sl,IF(7&lt;nb_sl,(IF(nb_sl=1,(ov_sl/2)+bw_sl/2,(ov_sl/2)+(c_sl+phiw_sl+pb_sl/2)+7*(bw_sl-2*(c_sl+phiw_sl+pb_sl/2))/(nb_sl-1)))+(pb_sl/2)*-0.866025,NA()),NA())</f>
        <v/>
      </c>
      <c r="BP8">
        <f>IF(7&lt;nb_sl,(db_sl)+(pb_sl/2)*0.500000,NA())</f>
        <v/>
      </c>
      <c r="BR8">
        <f>IF(draw_sl,IF(8&lt;nb_sl,(IF(nb_sl=1,(ov_sl/2)+bw_sl/2,(ov_sl/2)+(c_sl+phiw_sl+pb_sl/2)+8*(bw_sl-2*(c_sl+phiw_sl+pb_sl/2))/(nb_sl-1)))+(pb_sl/2)*-0.866025,NA()),NA())</f>
        <v/>
      </c>
      <c r="BS8">
        <f>IF(8&lt;nb_sl,(db_sl)+(pb_sl/2)*0.500000,NA())</f>
        <v/>
      </c>
      <c r="BU8">
        <f>IF(draw_sl,IF(9&lt;nb_sl,(IF(nb_sl=1,(ov_sl/2)+bw_sl/2,(ov_sl/2)+(c_sl+phiw_sl+pb_sl/2)+9*(bw_sl-2*(c_sl+phiw_sl+pb_sl/2))/(nb_sl-1)))+(pb_sl/2)*-0.866025,NA()),NA())</f>
        <v/>
      </c>
      <c r="BV8">
        <f>IF(9&lt;nb_sl,(db_sl)+(pb_sl/2)*0.500000,NA())</f>
        <v/>
      </c>
      <c r="BX8">
        <f>IF(draw_sl,IF(10&lt;nb_sl,(IF(nb_sl=1,(ov_sl/2)+bw_sl/2,(ov_sl/2)+(c_sl+phiw_sl+pb_sl/2)+10*(bw_sl-2*(c_sl+phiw_sl+pb_sl/2))/(nb_sl-1)))+(pb_sl/2)*-0.866025,NA()),NA())</f>
        <v/>
      </c>
      <c r="BY8">
        <f>IF(10&lt;nb_sl,(db_sl)+(pb_sl/2)*0.500000,NA())</f>
        <v/>
      </c>
      <c r="CA8">
        <f>IF(draw_sl,IF(11&lt;nb_sl,(IF(nb_sl=1,(ov_sl/2)+bw_sl/2,(ov_sl/2)+(c_sl+phiw_sl+pb_sl/2)+11*(bw_sl-2*(c_sl+phiw_sl+pb_sl/2))/(nb_sl-1)))+(pb_sl/2)*-0.866025,NA()),NA())</f>
        <v/>
      </c>
      <c r="CB8">
        <f>IF(11&lt;nb_sl,(db_sl)+(pb_sl/2)*0.500000,NA())</f>
        <v/>
      </c>
    </row>
    <row r="9">
      <c r="D9">
        <f>IF(draw_sl,(ov_sl/2),NA())</f>
        <v/>
      </c>
      <c r="E9">
        <f>(h_sl-hfe_sl)</f>
        <v/>
      </c>
      <c r="J9">
        <f>IF(draw_sl,IF(0&lt;nt_sl,(IF(nt_sl=1,(ov_sl/2)+bw_sl/2,(ov_sl/2)+(c_sl+phiw_sl+pt_sl/2)+0*(bw_sl-2*(c_sl+phiw_sl+pt_sl/2))/(nt_sl-1)))+(pt_sl/2)*-1.000000,NA()),NA())</f>
        <v/>
      </c>
      <c r="K9">
        <f>IF(0&lt;nt_sl,(h_sl-dt_sl)+(pt_sl/2)*0.000000,NA())</f>
        <v/>
      </c>
      <c r="M9">
        <f>IF(draw_sl,IF(1&lt;nt_sl,(IF(nt_sl=1,(ov_sl/2)+bw_sl/2,(ov_sl/2)+(c_sl+phiw_sl+pt_sl/2)+1*(bw_sl-2*(c_sl+phiw_sl+pt_sl/2))/(nt_sl-1)))+(pt_sl/2)*-1.000000,NA()),NA())</f>
        <v/>
      </c>
      <c r="N9">
        <f>IF(1&lt;nt_sl,(h_sl-dt_sl)+(pt_sl/2)*0.000000,NA())</f>
        <v/>
      </c>
      <c r="P9">
        <f>IF(draw_sl,IF(2&lt;nt_sl,(IF(nt_sl=1,(ov_sl/2)+bw_sl/2,(ov_sl/2)+(c_sl+phiw_sl+pt_sl/2)+2*(bw_sl-2*(c_sl+phiw_sl+pt_sl/2))/(nt_sl-1)))+(pt_sl/2)*-1.000000,NA()),NA())</f>
        <v/>
      </c>
      <c r="Q9">
        <f>IF(2&lt;nt_sl,(h_sl-dt_sl)+(pt_sl/2)*0.000000,NA())</f>
        <v/>
      </c>
      <c r="S9">
        <f>IF(draw_sl,IF(3&lt;nt_sl,(IF(nt_sl=1,(ov_sl/2)+bw_sl/2,(ov_sl/2)+(c_sl+phiw_sl+pt_sl/2)+3*(bw_sl-2*(c_sl+phiw_sl+pt_sl/2))/(nt_sl-1)))+(pt_sl/2)*-1.000000,NA()),NA())</f>
        <v/>
      </c>
      <c r="T9">
        <f>IF(3&lt;nt_sl,(h_sl-dt_sl)+(pt_sl/2)*0.000000,NA())</f>
        <v/>
      </c>
      <c r="V9">
        <f>IF(draw_sl,IF(4&lt;nt_sl,(IF(nt_sl=1,(ov_sl/2)+bw_sl/2,(ov_sl/2)+(c_sl+phiw_sl+pt_sl/2)+4*(bw_sl-2*(c_sl+phiw_sl+pt_sl/2))/(nt_sl-1)))+(pt_sl/2)*-1.000000,NA()),NA())</f>
        <v/>
      </c>
      <c r="W9">
        <f>IF(4&lt;nt_sl,(h_sl-dt_sl)+(pt_sl/2)*0.000000,NA())</f>
        <v/>
      </c>
      <c r="Y9">
        <f>IF(draw_sl,IF(5&lt;nt_sl,(IF(nt_sl=1,(ov_sl/2)+bw_sl/2,(ov_sl/2)+(c_sl+phiw_sl+pt_sl/2)+5*(bw_sl-2*(c_sl+phiw_sl+pt_sl/2))/(nt_sl-1)))+(pt_sl/2)*-1.000000,NA()),NA())</f>
        <v/>
      </c>
      <c r="Z9">
        <f>IF(5&lt;nt_sl,(h_sl-dt_sl)+(pt_sl/2)*0.000000,NA())</f>
        <v/>
      </c>
      <c r="AB9">
        <f>IF(draw_sl,IF(6&lt;nt_sl,(IF(nt_sl=1,(ov_sl/2)+bw_sl/2,(ov_sl/2)+(c_sl+phiw_sl+pt_sl/2)+6*(bw_sl-2*(c_sl+phiw_sl+pt_sl/2))/(nt_sl-1)))+(pt_sl/2)*-1.000000,NA()),NA())</f>
        <v/>
      </c>
      <c r="AC9">
        <f>IF(6&lt;nt_sl,(h_sl-dt_sl)+(pt_sl/2)*0.000000,NA())</f>
        <v/>
      </c>
      <c r="AE9">
        <f>IF(draw_sl,IF(7&lt;nt_sl,(IF(nt_sl=1,(ov_sl/2)+bw_sl/2,(ov_sl/2)+(c_sl+phiw_sl+pt_sl/2)+7*(bw_sl-2*(c_sl+phiw_sl+pt_sl/2))/(nt_sl-1)))+(pt_sl/2)*-1.000000,NA()),NA())</f>
        <v/>
      </c>
      <c r="AF9">
        <f>IF(7&lt;nt_sl,(h_sl-dt_sl)+(pt_sl/2)*0.000000,NA())</f>
        <v/>
      </c>
      <c r="AH9">
        <f>IF(draw_sl,IF(8&lt;nt_sl,(IF(nt_sl=1,(ov_sl/2)+bw_sl/2,(ov_sl/2)+(c_sl+phiw_sl+pt_sl/2)+8*(bw_sl-2*(c_sl+phiw_sl+pt_sl/2))/(nt_sl-1)))+(pt_sl/2)*-1.000000,NA()),NA())</f>
        <v/>
      </c>
      <c r="AI9">
        <f>IF(8&lt;nt_sl,(h_sl-dt_sl)+(pt_sl/2)*0.000000,NA())</f>
        <v/>
      </c>
      <c r="AK9">
        <f>IF(draw_sl,IF(9&lt;nt_sl,(IF(nt_sl=1,(ov_sl/2)+bw_sl/2,(ov_sl/2)+(c_sl+phiw_sl+pt_sl/2)+9*(bw_sl-2*(c_sl+phiw_sl+pt_sl/2))/(nt_sl-1)))+(pt_sl/2)*-1.000000,NA()),NA())</f>
        <v/>
      </c>
      <c r="AL9">
        <f>IF(9&lt;nt_sl,(h_sl-dt_sl)+(pt_sl/2)*0.000000,NA())</f>
        <v/>
      </c>
      <c r="AN9">
        <f>IF(draw_sl,IF(10&lt;nt_sl,(IF(nt_sl=1,(ov_sl/2)+bw_sl/2,(ov_sl/2)+(c_sl+phiw_sl+pt_sl/2)+10*(bw_sl-2*(c_sl+phiw_sl+pt_sl/2))/(nt_sl-1)))+(pt_sl/2)*-1.000000,NA()),NA())</f>
        <v/>
      </c>
      <c r="AO9">
        <f>IF(10&lt;nt_sl,(h_sl-dt_sl)+(pt_sl/2)*0.000000,NA())</f>
        <v/>
      </c>
      <c r="AQ9">
        <f>IF(draw_sl,IF(11&lt;nt_sl,(IF(nt_sl=1,(ov_sl/2)+bw_sl/2,(ov_sl/2)+(c_sl+phiw_sl+pt_sl/2)+11*(bw_sl-2*(c_sl+phiw_sl+pt_sl/2))/(nt_sl-1)))+(pt_sl/2)*-1.000000,NA()),NA())</f>
        <v/>
      </c>
      <c r="AR9">
        <f>IF(11&lt;nt_sl,(h_sl-dt_sl)+(pt_sl/2)*0.000000,NA())</f>
        <v/>
      </c>
      <c r="AT9">
        <f>IF(draw_sl,IF(0&lt;nb_sl,(IF(nb_sl=1,(ov_sl/2)+bw_sl/2,(ov_sl/2)+(c_sl+phiw_sl+pb_sl/2)+0*(bw_sl-2*(c_sl+phiw_sl+pb_sl/2))/(nb_sl-1)))+(pb_sl/2)*-1.000000,NA()),NA())</f>
        <v/>
      </c>
      <c r="AU9">
        <f>IF(0&lt;nb_sl,(db_sl)+(pb_sl/2)*0.000000,NA())</f>
        <v/>
      </c>
      <c r="AW9">
        <f>IF(draw_sl,IF(1&lt;nb_sl,(IF(nb_sl=1,(ov_sl/2)+bw_sl/2,(ov_sl/2)+(c_sl+phiw_sl+pb_sl/2)+1*(bw_sl-2*(c_sl+phiw_sl+pb_sl/2))/(nb_sl-1)))+(pb_sl/2)*-1.000000,NA()),NA())</f>
        <v/>
      </c>
      <c r="AX9">
        <f>IF(1&lt;nb_sl,(db_sl)+(pb_sl/2)*0.000000,NA())</f>
        <v/>
      </c>
      <c r="AZ9">
        <f>IF(draw_sl,IF(2&lt;nb_sl,(IF(nb_sl=1,(ov_sl/2)+bw_sl/2,(ov_sl/2)+(c_sl+phiw_sl+pb_sl/2)+2*(bw_sl-2*(c_sl+phiw_sl+pb_sl/2))/(nb_sl-1)))+(pb_sl/2)*-1.000000,NA()),NA())</f>
        <v/>
      </c>
      <c r="BA9">
        <f>IF(2&lt;nb_sl,(db_sl)+(pb_sl/2)*0.000000,NA())</f>
        <v/>
      </c>
      <c r="BC9">
        <f>IF(draw_sl,IF(3&lt;nb_sl,(IF(nb_sl=1,(ov_sl/2)+bw_sl/2,(ov_sl/2)+(c_sl+phiw_sl+pb_sl/2)+3*(bw_sl-2*(c_sl+phiw_sl+pb_sl/2))/(nb_sl-1)))+(pb_sl/2)*-1.000000,NA()),NA())</f>
        <v/>
      </c>
      <c r="BD9">
        <f>IF(3&lt;nb_sl,(db_sl)+(pb_sl/2)*0.000000,NA())</f>
        <v/>
      </c>
      <c r="BF9">
        <f>IF(draw_sl,IF(4&lt;nb_sl,(IF(nb_sl=1,(ov_sl/2)+bw_sl/2,(ov_sl/2)+(c_sl+phiw_sl+pb_sl/2)+4*(bw_sl-2*(c_sl+phiw_sl+pb_sl/2))/(nb_sl-1)))+(pb_sl/2)*-1.000000,NA()),NA())</f>
        <v/>
      </c>
      <c r="BG9">
        <f>IF(4&lt;nb_sl,(db_sl)+(pb_sl/2)*0.000000,NA())</f>
        <v/>
      </c>
      <c r="BI9">
        <f>IF(draw_sl,IF(5&lt;nb_sl,(IF(nb_sl=1,(ov_sl/2)+bw_sl/2,(ov_sl/2)+(c_sl+phiw_sl+pb_sl/2)+5*(bw_sl-2*(c_sl+phiw_sl+pb_sl/2))/(nb_sl-1)))+(pb_sl/2)*-1.000000,NA()),NA())</f>
        <v/>
      </c>
      <c r="BJ9">
        <f>IF(5&lt;nb_sl,(db_sl)+(pb_sl/2)*0.000000,NA())</f>
        <v/>
      </c>
      <c r="BL9">
        <f>IF(draw_sl,IF(6&lt;nb_sl,(IF(nb_sl=1,(ov_sl/2)+bw_sl/2,(ov_sl/2)+(c_sl+phiw_sl+pb_sl/2)+6*(bw_sl-2*(c_sl+phiw_sl+pb_sl/2))/(nb_sl-1)))+(pb_sl/2)*-1.000000,NA()),NA())</f>
        <v/>
      </c>
      <c r="BM9">
        <f>IF(6&lt;nb_sl,(db_sl)+(pb_sl/2)*0.000000,NA())</f>
        <v/>
      </c>
      <c r="BO9">
        <f>IF(draw_sl,IF(7&lt;nb_sl,(IF(nb_sl=1,(ov_sl/2)+bw_sl/2,(ov_sl/2)+(c_sl+phiw_sl+pb_sl/2)+7*(bw_sl-2*(c_sl+phiw_sl+pb_sl/2))/(nb_sl-1)))+(pb_sl/2)*-1.000000,NA()),NA())</f>
        <v/>
      </c>
      <c r="BP9">
        <f>IF(7&lt;nb_sl,(db_sl)+(pb_sl/2)*0.000000,NA())</f>
        <v/>
      </c>
      <c r="BR9">
        <f>IF(draw_sl,IF(8&lt;nb_sl,(IF(nb_sl=1,(ov_sl/2)+bw_sl/2,(ov_sl/2)+(c_sl+phiw_sl+pb_sl/2)+8*(bw_sl-2*(c_sl+phiw_sl+pb_sl/2))/(nb_sl-1)))+(pb_sl/2)*-1.000000,NA()),NA())</f>
        <v/>
      </c>
      <c r="BS9">
        <f>IF(8&lt;nb_sl,(db_sl)+(pb_sl/2)*0.000000,NA())</f>
        <v/>
      </c>
      <c r="BU9">
        <f>IF(draw_sl,IF(9&lt;nb_sl,(IF(nb_sl=1,(ov_sl/2)+bw_sl/2,(ov_sl/2)+(c_sl+phiw_sl+pb_sl/2)+9*(bw_sl-2*(c_sl+phiw_sl+pb_sl/2))/(nb_sl-1)))+(pb_sl/2)*-1.000000,NA()),NA())</f>
        <v/>
      </c>
      <c r="BV9">
        <f>IF(9&lt;nb_sl,(db_sl)+(pb_sl/2)*0.000000,NA())</f>
        <v/>
      </c>
      <c r="BX9">
        <f>IF(draw_sl,IF(10&lt;nb_sl,(IF(nb_sl=1,(ov_sl/2)+bw_sl/2,(ov_sl/2)+(c_sl+phiw_sl+pb_sl/2)+10*(bw_sl-2*(c_sl+phiw_sl+pb_sl/2))/(nb_sl-1)))+(pb_sl/2)*-1.000000,NA()),NA())</f>
        <v/>
      </c>
      <c r="BY9">
        <f>IF(10&lt;nb_sl,(db_sl)+(pb_sl/2)*0.000000,NA())</f>
        <v/>
      </c>
      <c r="CA9">
        <f>IF(draw_sl,IF(11&lt;nb_sl,(IF(nb_sl=1,(ov_sl/2)+bw_sl/2,(ov_sl/2)+(c_sl+phiw_sl+pb_sl/2)+11*(bw_sl-2*(c_sl+phiw_sl+pb_sl/2))/(nb_sl-1)))+(pb_sl/2)*-1.000000,NA()),NA())</f>
        <v/>
      </c>
      <c r="CB9">
        <f>IF(11&lt;nb_sl,(db_sl)+(pb_sl/2)*0.000000,NA())</f>
        <v/>
      </c>
    </row>
    <row r="10">
      <c r="D10">
        <f>IF(draw_sl,0,NA())</f>
        <v/>
      </c>
      <c r="E10">
        <f>(h_sl-hfe_sl)</f>
        <v/>
      </c>
      <c r="J10">
        <f>IF(draw_sl,IF(0&lt;nt_sl,(IF(nt_sl=1,(ov_sl/2)+bw_sl/2,(ov_sl/2)+(c_sl+phiw_sl+pt_sl/2)+0*(bw_sl-2*(c_sl+phiw_sl+pt_sl/2))/(nt_sl-1)))+(pt_sl/2)*-0.866025,NA()),NA())</f>
        <v/>
      </c>
      <c r="K10">
        <f>IF(0&lt;nt_sl,(h_sl-dt_sl)+(pt_sl/2)*-0.500000,NA())</f>
        <v/>
      </c>
      <c r="M10">
        <f>IF(draw_sl,IF(1&lt;nt_sl,(IF(nt_sl=1,(ov_sl/2)+bw_sl/2,(ov_sl/2)+(c_sl+phiw_sl+pt_sl/2)+1*(bw_sl-2*(c_sl+phiw_sl+pt_sl/2))/(nt_sl-1)))+(pt_sl/2)*-0.866025,NA()),NA())</f>
        <v/>
      </c>
      <c r="N10">
        <f>IF(1&lt;nt_sl,(h_sl-dt_sl)+(pt_sl/2)*-0.500000,NA())</f>
        <v/>
      </c>
      <c r="P10">
        <f>IF(draw_sl,IF(2&lt;nt_sl,(IF(nt_sl=1,(ov_sl/2)+bw_sl/2,(ov_sl/2)+(c_sl+phiw_sl+pt_sl/2)+2*(bw_sl-2*(c_sl+phiw_sl+pt_sl/2))/(nt_sl-1)))+(pt_sl/2)*-0.866025,NA()),NA())</f>
        <v/>
      </c>
      <c r="Q10">
        <f>IF(2&lt;nt_sl,(h_sl-dt_sl)+(pt_sl/2)*-0.500000,NA())</f>
        <v/>
      </c>
      <c r="S10">
        <f>IF(draw_sl,IF(3&lt;nt_sl,(IF(nt_sl=1,(ov_sl/2)+bw_sl/2,(ov_sl/2)+(c_sl+phiw_sl+pt_sl/2)+3*(bw_sl-2*(c_sl+phiw_sl+pt_sl/2))/(nt_sl-1)))+(pt_sl/2)*-0.866025,NA()),NA())</f>
        <v/>
      </c>
      <c r="T10">
        <f>IF(3&lt;nt_sl,(h_sl-dt_sl)+(pt_sl/2)*-0.500000,NA())</f>
        <v/>
      </c>
      <c r="V10">
        <f>IF(draw_sl,IF(4&lt;nt_sl,(IF(nt_sl=1,(ov_sl/2)+bw_sl/2,(ov_sl/2)+(c_sl+phiw_sl+pt_sl/2)+4*(bw_sl-2*(c_sl+phiw_sl+pt_sl/2))/(nt_sl-1)))+(pt_sl/2)*-0.866025,NA()),NA())</f>
        <v/>
      </c>
      <c r="W10">
        <f>IF(4&lt;nt_sl,(h_sl-dt_sl)+(pt_sl/2)*-0.500000,NA())</f>
        <v/>
      </c>
      <c r="Y10">
        <f>IF(draw_sl,IF(5&lt;nt_sl,(IF(nt_sl=1,(ov_sl/2)+bw_sl/2,(ov_sl/2)+(c_sl+phiw_sl+pt_sl/2)+5*(bw_sl-2*(c_sl+phiw_sl+pt_sl/2))/(nt_sl-1)))+(pt_sl/2)*-0.866025,NA()),NA())</f>
        <v/>
      </c>
      <c r="Z10">
        <f>IF(5&lt;nt_sl,(h_sl-dt_sl)+(pt_sl/2)*-0.500000,NA())</f>
        <v/>
      </c>
      <c r="AB10">
        <f>IF(draw_sl,IF(6&lt;nt_sl,(IF(nt_sl=1,(ov_sl/2)+bw_sl/2,(ov_sl/2)+(c_sl+phiw_sl+pt_sl/2)+6*(bw_sl-2*(c_sl+phiw_sl+pt_sl/2))/(nt_sl-1)))+(pt_sl/2)*-0.866025,NA()),NA())</f>
        <v/>
      </c>
      <c r="AC10">
        <f>IF(6&lt;nt_sl,(h_sl-dt_sl)+(pt_sl/2)*-0.500000,NA())</f>
        <v/>
      </c>
      <c r="AE10">
        <f>IF(draw_sl,IF(7&lt;nt_sl,(IF(nt_sl=1,(ov_sl/2)+bw_sl/2,(ov_sl/2)+(c_sl+phiw_sl+pt_sl/2)+7*(bw_sl-2*(c_sl+phiw_sl+pt_sl/2))/(nt_sl-1)))+(pt_sl/2)*-0.866025,NA()),NA())</f>
        <v/>
      </c>
      <c r="AF10">
        <f>IF(7&lt;nt_sl,(h_sl-dt_sl)+(pt_sl/2)*-0.500000,NA())</f>
        <v/>
      </c>
      <c r="AH10">
        <f>IF(draw_sl,IF(8&lt;nt_sl,(IF(nt_sl=1,(ov_sl/2)+bw_sl/2,(ov_sl/2)+(c_sl+phiw_sl+pt_sl/2)+8*(bw_sl-2*(c_sl+phiw_sl+pt_sl/2))/(nt_sl-1)))+(pt_sl/2)*-0.866025,NA()),NA())</f>
        <v/>
      </c>
      <c r="AI10">
        <f>IF(8&lt;nt_sl,(h_sl-dt_sl)+(pt_sl/2)*-0.500000,NA())</f>
        <v/>
      </c>
      <c r="AK10">
        <f>IF(draw_sl,IF(9&lt;nt_sl,(IF(nt_sl=1,(ov_sl/2)+bw_sl/2,(ov_sl/2)+(c_sl+phiw_sl+pt_sl/2)+9*(bw_sl-2*(c_sl+phiw_sl+pt_sl/2))/(nt_sl-1)))+(pt_sl/2)*-0.866025,NA()),NA())</f>
        <v/>
      </c>
      <c r="AL10">
        <f>IF(9&lt;nt_sl,(h_sl-dt_sl)+(pt_sl/2)*-0.500000,NA())</f>
        <v/>
      </c>
      <c r="AN10">
        <f>IF(draw_sl,IF(10&lt;nt_sl,(IF(nt_sl=1,(ov_sl/2)+bw_sl/2,(ov_sl/2)+(c_sl+phiw_sl+pt_sl/2)+10*(bw_sl-2*(c_sl+phiw_sl+pt_sl/2))/(nt_sl-1)))+(pt_sl/2)*-0.866025,NA()),NA())</f>
        <v/>
      </c>
      <c r="AO10">
        <f>IF(10&lt;nt_sl,(h_sl-dt_sl)+(pt_sl/2)*-0.500000,NA())</f>
        <v/>
      </c>
      <c r="AQ10">
        <f>IF(draw_sl,IF(11&lt;nt_sl,(IF(nt_sl=1,(ov_sl/2)+bw_sl/2,(ov_sl/2)+(c_sl+phiw_sl+pt_sl/2)+11*(bw_sl-2*(c_sl+phiw_sl+pt_sl/2))/(nt_sl-1)))+(pt_sl/2)*-0.866025,NA()),NA())</f>
        <v/>
      </c>
      <c r="AR10">
        <f>IF(11&lt;nt_sl,(h_sl-dt_sl)+(pt_sl/2)*-0.500000,NA())</f>
        <v/>
      </c>
      <c r="AT10">
        <f>IF(draw_sl,IF(0&lt;nb_sl,(IF(nb_sl=1,(ov_sl/2)+bw_sl/2,(ov_sl/2)+(c_sl+phiw_sl+pb_sl/2)+0*(bw_sl-2*(c_sl+phiw_sl+pb_sl/2))/(nb_sl-1)))+(pb_sl/2)*-0.866025,NA()),NA())</f>
        <v/>
      </c>
      <c r="AU10">
        <f>IF(0&lt;nb_sl,(db_sl)+(pb_sl/2)*-0.500000,NA())</f>
        <v/>
      </c>
      <c r="AW10">
        <f>IF(draw_sl,IF(1&lt;nb_sl,(IF(nb_sl=1,(ov_sl/2)+bw_sl/2,(ov_sl/2)+(c_sl+phiw_sl+pb_sl/2)+1*(bw_sl-2*(c_sl+phiw_sl+pb_sl/2))/(nb_sl-1)))+(pb_sl/2)*-0.866025,NA()),NA())</f>
        <v/>
      </c>
      <c r="AX10">
        <f>IF(1&lt;nb_sl,(db_sl)+(pb_sl/2)*-0.500000,NA())</f>
        <v/>
      </c>
      <c r="AZ10">
        <f>IF(draw_sl,IF(2&lt;nb_sl,(IF(nb_sl=1,(ov_sl/2)+bw_sl/2,(ov_sl/2)+(c_sl+phiw_sl+pb_sl/2)+2*(bw_sl-2*(c_sl+phiw_sl+pb_sl/2))/(nb_sl-1)))+(pb_sl/2)*-0.866025,NA()),NA())</f>
        <v/>
      </c>
      <c r="BA10">
        <f>IF(2&lt;nb_sl,(db_sl)+(pb_sl/2)*-0.500000,NA())</f>
        <v/>
      </c>
      <c r="BC10">
        <f>IF(draw_sl,IF(3&lt;nb_sl,(IF(nb_sl=1,(ov_sl/2)+bw_sl/2,(ov_sl/2)+(c_sl+phiw_sl+pb_sl/2)+3*(bw_sl-2*(c_sl+phiw_sl+pb_sl/2))/(nb_sl-1)))+(pb_sl/2)*-0.866025,NA()),NA())</f>
        <v/>
      </c>
      <c r="BD10">
        <f>IF(3&lt;nb_sl,(db_sl)+(pb_sl/2)*-0.500000,NA())</f>
        <v/>
      </c>
      <c r="BF10">
        <f>IF(draw_sl,IF(4&lt;nb_sl,(IF(nb_sl=1,(ov_sl/2)+bw_sl/2,(ov_sl/2)+(c_sl+phiw_sl+pb_sl/2)+4*(bw_sl-2*(c_sl+phiw_sl+pb_sl/2))/(nb_sl-1)))+(pb_sl/2)*-0.866025,NA()),NA())</f>
        <v/>
      </c>
      <c r="BG10">
        <f>IF(4&lt;nb_sl,(db_sl)+(pb_sl/2)*-0.500000,NA())</f>
        <v/>
      </c>
      <c r="BI10">
        <f>IF(draw_sl,IF(5&lt;nb_sl,(IF(nb_sl=1,(ov_sl/2)+bw_sl/2,(ov_sl/2)+(c_sl+phiw_sl+pb_sl/2)+5*(bw_sl-2*(c_sl+phiw_sl+pb_sl/2))/(nb_sl-1)))+(pb_sl/2)*-0.866025,NA()),NA())</f>
        <v/>
      </c>
      <c r="BJ10">
        <f>IF(5&lt;nb_sl,(db_sl)+(pb_sl/2)*-0.500000,NA())</f>
        <v/>
      </c>
      <c r="BL10">
        <f>IF(draw_sl,IF(6&lt;nb_sl,(IF(nb_sl=1,(ov_sl/2)+bw_sl/2,(ov_sl/2)+(c_sl+phiw_sl+pb_sl/2)+6*(bw_sl-2*(c_sl+phiw_sl+pb_sl/2))/(nb_sl-1)))+(pb_sl/2)*-0.866025,NA()),NA())</f>
        <v/>
      </c>
      <c r="BM10">
        <f>IF(6&lt;nb_sl,(db_sl)+(pb_sl/2)*-0.500000,NA())</f>
        <v/>
      </c>
      <c r="BO10">
        <f>IF(draw_sl,IF(7&lt;nb_sl,(IF(nb_sl=1,(ov_sl/2)+bw_sl/2,(ov_sl/2)+(c_sl+phiw_sl+pb_sl/2)+7*(bw_sl-2*(c_sl+phiw_sl+pb_sl/2))/(nb_sl-1)))+(pb_sl/2)*-0.866025,NA()),NA())</f>
        <v/>
      </c>
      <c r="BP10">
        <f>IF(7&lt;nb_sl,(db_sl)+(pb_sl/2)*-0.500000,NA())</f>
        <v/>
      </c>
      <c r="BR10">
        <f>IF(draw_sl,IF(8&lt;nb_sl,(IF(nb_sl=1,(ov_sl/2)+bw_sl/2,(ov_sl/2)+(c_sl+phiw_sl+pb_sl/2)+8*(bw_sl-2*(c_sl+phiw_sl+pb_sl/2))/(nb_sl-1)))+(pb_sl/2)*-0.866025,NA()),NA())</f>
        <v/>
      </c>
      <c r="BS10">
        <f>IF(8&lt;nb_sl,(db_sl)+(pb_sl/2)*-0.500000,NA())</f>
        <v/>
      </c>
      <c r="BU10">
        <f>IF(draw_sl,IF(9&lt;nb_sl,(IF(nb_sl=1,(ov_sl/2)+bw_sl/2,(ov_sl/2)+(c_sl+phiw_sl+pb_sl/2)+9*(bw_sl-2*(c_sl+phiw_sl+pb_sl/2))/(nb_sl-1)))+(pb_sl/2)*-0.866025,NA()),NA())</f>
        <v/>
      </c>
      <c r="BV10">
        <f>IF(9&lt;nb_sl,(db_sl)+(pb_sl/2)*-0.500000,NA())</f>
        <v/>
      </c>
      <c r="BX10">
        <f>IF(draw_sl,IF(10&lt;nb_sl,(IF(nb_sl=1,(ov_sl/2)+bw_sl/2,(ov_sl/2)+(c_sl+phiw_sl+pb_sl/2)+10*(bw_sl-2*(c_sl+phiw_sl+pb_sl/2))/(nb_sl-1)))+(pb_sl/2)*-0.866025,NA()),NA())</f>
        <v/>
      </c>
      <c r="BY10">
        <f>IF(10&lt;nb_sl,(db_sl)+(pb_sl/2)*-0.500000,NA())</f>
        <v/>
      </c>
      <c r="CA10">
        <f>IF(draw_sl,IF(11&lt;nb_sl,(IF(nb_sl=1,(ov_sl/2)+bw_sl/2,(ov_sl/2)+(c_sl+phiw_sl+pb_sl/2)+11*(bw_sl-2*(c_sl+phiw_sl+pb_sl/2))/(nb_sl-1)))+(pb_sl/2)*-0.866025,NA()),NA())</f>
        <v/>
      </c>
      <c r="CB10">
        <f>IF(11&lt;nb_sl,(db_sl)+(pb_sl/2)*-0.500000,NA())</f>
        <v/>
      </c>
    </row>
    <row r="11">
      <c r="D11">
        <f>IF(draw_sl,0,NA())</f>
        <v/>
      </c>
      <c r="E11">
        <f>h_sl</f>
        <v/>
      </c>
      <c r="J11">
        <f>IF(draw_sl,IF(0&lt;nt_sl,(IF(nt_sl=1,(ov_sl/2)+bw_sl/2,(ov_sl/2)+(c_sl+phiw_sl+pt_sl/2)+0*(bw_sl-2*(c_sl+phiw_sl+pt_sl/2))/(nt_sl-1)))+(pt_sl/2)*-0.500000,NA()),NA())</f>
        <v/>
      </c>
      <c r="K11">
        <f>IF(0&lt;nt_sl,(h_sl-dt_sl)+(pt_sl/2)*-0.866025,NA())</f>
        <v/>
      </c>
      <c r="M11">
        <f>IF(draw_sl,IF(1&lt;nt_sl,(IF(nt_sl=1,(ov_sl/2)+bw_sl/2,(ov_sl/2)+(c_sl+phiw_sl+pt_sl/2)+1*(bw_sl-2*(c_sl+phiw_sl+pt_sl/2))/(nt_sl-1)))+(pt_sl/2)*-0.500000,NA()),NA())</f>
        <v/>
      </c>
      <c r="N11">
        <f>IF(1&lt;nt_sl,(h_sl-dt_sl)+(pt_sl/2)*-0.866025,NA())</f>
        <v/>
      </c>
      <c r="P11">
        <f>IF(draw_sl,IF(2&lt;nt_sl,(IF(nt_sl=1,(ov_sl/2)+bw_sl/2,(ov_sl/2)+(c_sl+phiw_sl+pt_sl/2)+2*(bw_sl-2*(c_sl+phiw_sl+pt_sl/2))/(nt_sl-1)))+(pt_sl/2)*-0.500000,NA()),NA())</f>
        <v/>
      </c>
      <c r="Q11">
        <f>IF(2&lt;nt_sl,(h_sl-dt_sl)+(pt_sl/2)*-0.866025,NA())</f>
        <v/>
      </c>
      <c r="S11">
        <f>IF(draw_sl,IF(3&lt;nt_sl,(IF(nt_sl=1,(ov_sl/2)+bw_sl/2,(ov_sl/2)+(c_sl+phiw_sl+pt_sl/2)+3*(bw_sl-2*(c_sl+phiw_sl+pt_sl/2))/(nt_sl-1)))+(pt_sl/2)*-0.500000,NA()),NA())</f>
        <v/>
      </c>
      <c r="T11">
        <f>IF(3&lt;nt_sl,(h_sl-dt_sl)+(pt_sl/2)*-0.866025,NA())</f>
        <v/>
      </c>
      <c r="V11">
        <f>IF(draw_sl,IF(4&lt;nt_sl,(IF(nt_sl=1,(ov_sl/2)+bw_sl/2,(ov_sl/2)+(c_sl+phiw_sl+pt_sl/2)+4*(bw_sl-2*(c_sl+phiw_sl+pt_sl/2))/(nt_sl-1)))+(pt_sl/2)*-0.500000,NA()),NA())</f>
        <v/>
      </c>
      <c r="W11">
        <f>IF(4&lt;nt_sl,(h_sl-dt_sl)+(pt_sl/2)*-0.866025,NA())</f>
        <v/>
      </c>
      <c r="Y11">
        <f>IF(draw_sl,IF(5&lt;nt_sl,(IF(nt_sl=1,(ov_sl/2)+bw_sl/2,(ov_sl/2)+(c_sl+phiw_sl+pt_sl/2)+5*(bw_sl-2*(c_sl+phiw_sl+pt_sl/2))/(nt_sl-1)))+(pt_sl/2)*-0.500000,NA()),NA())</f>
        <v/>
      </c>
      <c r="Z11">
        <f>IF(5&lt;nt_sl,(h_sl-dt_sl)+(pt_sl/2)*-0.866025,NA())</f>
        <v/>
      </c>
      <c r="AB11">
        <f>IF(draw_sl,IF(6&lt;nt_sl,(IF(nt_sl=1,(ov_sl/2)+bw_sl/2,(ov_sl/2)+(c_sl+phiw_sl+pt_sl/2)+6*(bw_sl-2*(c_sl+phiw_sl+pt_sl/2))/(nt_sl-1)))+(pt_sl/2)*-0.500000,NA()),NA())</f>
        <v/>
      </c>
      <c r="AC11">
        <f>IF(6&lt;nt_sl,(h_sl-dt_sl)+(pt_sl/2)*-0.866025,NA())</f>
        <v/>
      </c>
      <c r="AE11">
        <f>IF(draw_sl,IF(7&lt;nt_sl,(IF(nt_sl=1,(ov_sl/2)+bw_sl/2,(ov_sl/2)+(c_sl+phiw_sl+pt_sl/2)+7*(bw_sl-2*(c_sl+phiw_sl+pt_sl/2))/(nt_sl-1)))+(pt_sl/2)*-0.500000,NA()),NA())</f>
        <v/>
      </c>
      <c r="AF11">
        <f>IF(7&lt;nt_sl,(h_sl-dt_sl)+(pt_sl/2)*-0.866025,NA())</f>
        <v/>
      </c>
      <c r="AH11">
        <f>IF(draw_sl,IF(8&lt;nt_sl,(IF(nt_sl=1,(ov_sl/2)+bw_sl/2,(ov_sl/2)+(c_sl+phiw_sl+pt_sl/2)+8*(bw_sl-2*(c_sl+phiw_sl+pt_sl/2))/(nt_sl-1)))+(pt_sl/2)*-0.500000,NA()),NA())</f>
        <v/>
      </c>
      <c r="AI11">
        <f>IF(8&lt;nt_sl,(h_sl-dt_sl)+(pt_sl/2)*-0.866025,NA())</f>
        <v/>
      </c>
      <c r="AK11">
        <f>IF(draw_sl,IF(9&lt;nt_sl,(IF(nt_sl=1,(ov_sl/2)+bw_sl/2,(ov_sl/2)+(c_sl+phiw_sl+pt_sl/2)+9*(bw_sl-2*(c_sl+phiw_sl+pt_sl/2))/(nt_sl-1)))+(pt_sl/2)*-0.500000,NA()),NA())</f>
        <v/>
      </c>
      <c r="AL11">
        <f>IF(9&lt;nt_sl,(h_sl-dt_sl)+(pt_sl/2)*-0.866025,NA())</f>
        <v/>
      </c>
      <c r="AN11">
        <f>IF(draw_sl,IF(10&lt;nt_sl,(IF(nt_sl=1,(ov_sl/2)+bw_sl/2,(ov_sl/2)+(c_sl+phiw_sl+pt_sl/2)+10*(bw_sl-2*(c_sl+phiw_sl+pt_sl/2))/(nt_sl-1)))+(pt_sl/2)*-0.500000,NA()),NA())</f>
        <v/>
      </c>
      <c r="AO11">
        <f>IF(10&lt;nt_sl,(h_sl-dt_sl)+(pt_sl/2)*-0.866025,NA())</f>
        <v/>
      </c>
      <c r="AQ11">
        <f>IF(draw_sl,IF(11&lt;nt_sl,(IF(nt_sl=1,(ov_sl/2)+bw_sl/2,(ov_sl/2)+(c_sl+phiw_sl+pt_sl/2)+11*(bw_sl-2*(c_sl+phiw_sl+pt_sl/2))/(nt_sl-1)))+(pt_sl/2)*-0.500000,NA()),NA())</f>
        <v/>
      </c>
      <c r="AR11">
        <f>IF(11&lt;nt_sl,(h_sl-dt_sl)+(pt_sl/2)*-0.866025,NA())</f>
        <v/>
      </c>
      <c r="AT11">
        <f>IF(draw_sl,IF(0&lt;nb_sl,(IF(nb_sl=1,(ov_sl/2)+bw_sl/2,(ov_sl/2)+(c_sl+phiw_sl+pb_sl/2)+0*(bw_sl-2*(c_sl+phiw_sl+pb_sl/2))/(nb_sl-1)))+(pb_sl/2)*-0.500000,NA()),NA())</f>
        <v/>
      </c>
      <c r="AU11">
        <f>IF(0&lt;nb_sl,(db_sl)+(pb_sl/2)*-0.866025,NA())</f>
        <v/>
      </c>
      <c r="AW11">
        <f>IF(draw_sl,IF(1&lt;nb_sl,(IF(nb_sl=1,(ov_sl/2)+bw_sl/2,(ov_sl/2)+(c_sl+phiw_sl+pb_sl/2)+1*(bw_sl-2*(c_sl+phiw_sl+pb_sl/2))/(nb_sl-1)))+(pb_sl/2)*-0.500000,NA()),NA())</f>
        <v/>
      </c>
      <c r="AX11">
        <f>IF(1&lt;nb_sl,(db_sl)+(pb_sl/2)*-0.866025,NA())</f>
        <v/>
      </c>
      <c r="AZ11">
        <f>IF(draw_sl,IF(2&lt;nb_sl,(IF(nb_sl=1,(ov_sl/2)+bw_sl/2,(ov_sl/2)+(c_sl+phiw_sl+pb_sl/2)+2*(bw_sl-2*(c_sl+phiw_sl+pb_sl/2))/(nb_sl-1)))+(pb_sl/2)*-0.500000,NA()),NA())</f>
        <v/>
      </c>
      <c r="BA11">
        <f>IF(2&lt;nb_sl,(db_sl)+(pb_sl/2)*-0.866025,NA())</f>
        <v/>
      </c>
      <c r="BC11">
        <f>IF(draw_sl,IF(3&lt;nb_sl,(IF(nb_sl=1,(ov_sl/2)+bw_sl/2,(ov_sl/2)+(c_sl+phiw_sl+pb_sl/2)+3*(bw_sl-2*(c_sl+phiw_sl+pb_sl/2))/(nb_sl-1)))+(pb_sl/2)*-0.500000,NA()),NA())</f>
        <v/>
      </c>
      <c r="BD11">
        <f>IF(3&lt;nb_sl,(db_sl)+(pb_sl/2)*-0.866025,NA())</f>
        <v/>
      </c>
      <c r="BF11">
        <f>IF(draw_sl,IF(4&lt;nb_sl,(IF(nb_sl=1,(ov_sl/2)+bw_sl/2,(ov_sl/2)+(c_sl+phiw_sl+pb_sl/2)+4*(bw_sl-2*(c_sl+phiw_sl+pb_sl/2))/(nb_sl-1)))+(pb_sl/2)*-0.500000,NA()),NA())</f>
        <v/>
      </c>
      <c r="BG11">
        <f>IF(4&lt;nb_sl,(db_sl)+(pb_sl/2)*-0.866025,NA())</f>
        <v/>
      </c>
      <c r="BI11">
        <f>IF(draw_sl,IF(5&lt;nb_sl,(IF(nb_sl=1,(ov_sl/2)+bw_sl/2,(ov_sl/2)+(c_sl+phiw_sl+pb_sl/2)+5*(bw_sl-2*(c_sl+phiw_sl+pb_sl/2))/(nb_sl-1)))+(pb_sl/2)*-0.500000,NA()),NA())</f>
        <v/>
      </c>
      <c r="BJ11">
        <f>IF(5&lt;nb_sl,(db_sl)+(pb_sl/2)*-0.866025,NA())</f>
        <v/>
      </c>
      <c r="BL11">
        <f>IF(draw_sl,IF(6&lt;nb_sl,(IF(nb_sl=1,(ov_sl/2)+bw_sl/2,(ov_sl/2)+(c_sl+phiw_sl+pb_sl/2)+6*(bw_sl-2*(c_sl+phiw_sl+pb_sl/2))/(nb_sl-1)))+(pb_sl/2)*-0.500000,NA()),NA())</f>
        <v/>
      </c>
      <c r="BM11">
        <f>IF(6&lt;nb_sl,(db_sl)+(pb_sl/2)*-0.866025,NA())</f>
        <v/>
      </c>
      <c r="BO11">
        <f>IF(draw_sl,IF(7&lt;nb_sl,(IF(nb_sl=1,(ov_sl/2)+bw_sl/2,(ov_sl/2)+(c_sl+phiw_sl+pb_sl/2)+7*(bw_sl-2*(c_sl+phiw_sl+pb_sl/2))/(nb_sl-1)))+(pb_sl/2)*-0.500000,NA()),NA())</f>
        <v/>
      </c>
      <c r="BP11">
        <f>IF(7&lt;nb_sl,(db_sl)+(pb_sl/2)*-0.866025,NA())</f>
        <v/>
      </c>
      <c r="BR11">
        <f>IF(draw_sl,IF(8&lt;nb_sl,(IF(nb_sl=1,(ov_sl/2)+bw_sl/2,(ov_sl/2)+(c_sl+phiw_sl+pb_sl/2)+8*(bw_sl-2*(c_sl+phiw_sl+pb_sl/2))/(nb_sl-1)))+(pb_sl/2)*-0.500000,NA()),NA())</f>
        <v/>
      </c>
      <c r="BS11">
        <f>IF(8&lt;nb_sl,(db_sl)+(pb_sl/2)*-0.866025,NA())</f>
        <v/>
      </c>
      <c r="BU11">
        <f>IF(draw_sl,IF(9&lt;nb_sl,(IF(nb_sl=1,(ov_sl/2)+bw_sl/2,(ov_sl/2)+(c_sl+phiw_sl+pb_sl/2)+9*(bw_sl-2*(c_sl+phiw_sl+pb_sl/2))/(nb_sl-1)))+(pb_sl/2)*-0.500000,NA()),NA())</f>
        <v/>
      </c>
      <c r="BV11">
        <f>IF(9&lt;nb_sl,(db_sl)+(pb_sl/2)*-0.866025,NA())</f>
        <v/>
      </c>
      <c r="BX11">
        <f>IF(draw_sl,IF(10&lt;nb_sl,(IF(nb_sl=1,(ov_sl/2)+bw_sl/2,(ov_sl/2)+(c_sl+phiw_sl+pb_sl/2)+10*(bw_sl-2*(c_sl+phiw_sl+pb_sl/2))/(nb_sl-1)))+(pb_sl/2)*-0.500000,NA()),NA())</f>
        <v/>
      </c>
      <c r="BY11">
        <f>IF(10&lt;nb_sl,(db_sl)+(pb_sl/2)*-0.866025,NA())</f>
        <v/>
      </c>
      <c r="CA11">
        <f>IF(draw_sl,IF(11&lt;nb_sl,(IF(nb_sl=1,(ov_sl/2)+bw_sl/2,(ov_sl/2)+(c_sl+phiw_sl+pb_sl/2)+11*(bw_sl-2*(c_sl+phiw_sl+pb_sl/2))/(nb_sl-1)))+(pb_sl/2)*-0.500000,NA()),NA())</f>
        <v/>
      </c>
      <c r="CB11">
        <f>IF(11&lt;nb_sl,(db_sl)+(pb_sl/2)*-0.866025,NA())</f>
        <v/>
      </c>
    </row>
    <row r="12">
      <c r="J12">
        <f>IF(draw_sl,IF(0&lt;nt_sl,(IF(nt_sl=1,(ov_sl/2)+bw_sl/2,(ov_sl/2)+(c_sl+phiw_sl+pt_sl/2)+0*(bw_sl-2*(c_sl+phiw_sl+pt_sl/2))/(nt_sl-1)))+(pt_sl/2)*-0.000000,NA()),NA())</f>
        <v/>
      </c>
      <c r="K12">
        <f>IF(0&lt;nt_sl,(h_sl-dt_sl)+(pt_sl/2)*-1.000000,NA())</f>
        <v/>
      </c>
      <c r="M12">
        <f>IF(draw_sl,IF(1&lt;nt_sl,(IF(nt_sl=1,(ov_sl/2)+bw_sl/2,(ov_sl/2)+(c_sl+phiw_sl+pt_sl/2)+1*(bw_sl-2*(c_sl+phiw_sl+pt_sl/2))/(nt_sl-1)))+(pt_sl/2)*-0.000000,NA()),NA())</f>
        <v/>
      </c>
      <c r="N12">
        <f>IF(1&lt;nt_sl,(h_sl-dt_sl)+(pt_sl/2)*-1.000000,NA())</f>
        <v/>
      </c>
      <c r="P12">
        <f>IF(draw_sl,IF(2&lt;nt_sl,(IF(nt_sl=1,(ov_sl/2)+bw_sl/2,(ov_sl/2)+(c_sl+phiw_sl+pt_sl/2)+2*(bw_sl-2*(c_sl+phiw_sl+pt_sl/2))/(nt_sl-1)))+(pt_sl/2)*-0.000000,NA()),NA())</f>
        <v/>
      </c>
      <c r="Q12">
        <f>IF(2&lt;nt_sl,(h_sl-dt_sl)+(pt_sl/2)*-1.000000,NA())</f>
        <v/>
      </c>
      <c r="S12">
        <f>IF(draw_sl,IF(3&lt;nt_sl,(IF(nt_sl=1,(ov_sl/2)+bw_sl/2,(ov_sl/2)+(c_sl+phiw_sl+pt_sl/2)+3*(bw_sl-2*(c_sl+phiw_sl+pt_sl/2))/(nt_sl-1)))+(pt_sl/2)*-0.000000,NA()),NA())</f>
        <v/>
      </c>
      <c r="T12">
        <f>IF(3&lt;nt_sl,(h_sl-dt_sl)+(pt_sl/2)*-1.000000,NA())</f>
        <v/>
      </c>
      <c r="V12">
        <f>IF(draw_sl,IF(4&lt;nt_sl,(IF(nt_sl=1,(ov_sl/2)+bw_sl/2,(ov_sl/2)+(c_sl+phiw_sl+pt_sl/2)+4*(bw_sl-2*(c_sl+phiw_sl+pt_sl/2))/(nt_sl-1)))+(pt_sl/2)*-0.000000,NA()),NA())</f>
        <v/>
      </c>
      <c r="W12">
        <f>IF(4&lt;nt_sl,(h_sl-dt_sl)+(pt_sl/2)*-1.000000,NA())</f>
        <v/>
      </c>
      <c r="Y12">
        <f>IF(draw_sl,IF(5&lt;nt_sl,(IF(nt_sl=1,(ov_sl/2)+bw_sl/2,(ov_sl/2)+(c_sl+phiw_sl+pt_sl/2)+5*(bw_sl-2*(c_sl+phiw_sl+pt_sl/2))/(nt_sl-1)))+(pt_sl/2)*-0.000000,NA()),NA())</f>
        <v/>
      </c>
      <c r="Z12">
        <f>IF(5&lt;nt_sl,(h_sl-dt_sl)+(pt_sl/2)*-1.000000,NA())</f>
        <v/>
      </c>
      <c r="AB12">
        <f>IF(draw_sl,IF(6&lt;nt_sl,(IF(nt_sl=1,(ov_sl/2)+bw_sl/2,(ov_sl/2)+(c_sl+phiw_sl+pt_sl/2)+6*(bw_sl-2*(c_sl+phiw_sl+pt_sl/2))/(nt_sl-1)))+(pt_sl/2)*-0.000000,NA()),NA())</f>
        <v/>
      </c>
      <c r="AC12">
        <f>IF(6&lt;nt_sl,(h_sl-dt_sl)+(pt_sl/2)*-1.000000,NA())</f>
        <v/>
      </c>
      <c r="AE12">
        <f>IF(draw_sl,IF(7&lt;nt_sl,(IF(nt_sl=1,(ov_sl/2)+bw_sl/2,(ov_sl/2)+(c_sl+phiw_sl+pt_sl/2)+7*(bw_sl-2*(c_sl+phiw_sl+pt_sl/2))/(nt_sl-1)))+(pt_sl/2)*-0.000000,NA()),NA())</f>
        <v/>
      </c>
      <c r="AF12">
        <f>IF(7&lt;nt_sl,(h_sl-dt_sl)+(pt_sl/2)*-1.000000,NA())</f>
        <v/>
      </c>
      <c r="AH12">
        <f>IF(draw_sl,IF(8&lt;nt_sl,(IF(nt_sl=1,(ov_sl/2)+bw_sl/2,(ov_sl/2)+(c_sl+phiw_sl+pt_sl/2)+8*(bw_sl-2*(c_sl+phiw_sl+pt_sl/2))/(nt_sl-1)))+(pt_sl/2)*-0.000000,NA()),NA())</f>
        <v/>
      </c>
      <c r="AI12">
        <f>IF(8&lt;nt_sl,(h_sl-dt_sl)+(pt_sl/2)*-1.000000,NA())</f>
        <v/>
      </c>
      <c r="AK12">
        <f>IF(draw_sl,IF(9&lt;nt_sl,(IF(nt_sl=1,(ov_sl/2)+bw_sl/2,(ov_sl/2)+(c_sl+phiw_sl+pt_sl/2)+9*(bw_sl-2*(c_sl+phiw_sl+pt_sl/2))/(nt_sl-1)))+(pt_sl/2)*-0.000000,NA()),NA())</f>
        <v/>
      </c>
      <c r="AL12">
        <f>IF(9&lt;nt_sl,(h_sl-dt_sl)+(pt_sl/2)*-1.000000,NA())</f>
        <v/>
      </c>
      <c r="AN12">
        <f>IF(draw_sl,IF(10&lt;nt_sl,(IF(nt_sl=1,(ov_sl/2)+bw_sl/2,(ov_sl/2)+(c_sl+phiw_sl+pt_sl/2)+10*(bw_sl-2*(c_sl+phiw_sl+pt_sl/2))/(nt_sl-1)))+(pt_sl/2)*-0.000000,NA()),NA())</f>
        <v/>
      </c>
      <c r="AO12">
        <f>IF(10&lt;nt_sl,(h_sl-dt_sl)+(pt_sl/2)*-1.000000,NA())</f>
        <v/>
      </c>
      <c r="AQ12">
        <f>IF(draw_sl,IF(11&lt;nt_sl,(IF(nt_sl=1,(ov_sl/2)+bw_sl/2,(ov_sl/2)+(c_sl+phiw_sl+pt_sl/2)+11*(bw_sl-2*(c_sl+phiw_sl+pt_sl/2))/(nt_sl-1)))+(pt_sl/2)*-0.000000,NA()),NA())</f>
        <v/>
      </c>
      <c r="AR12">
        <f>IF(11&lt;nt_sl,(h_sl-dt_sl)+(pt_sl/2)*-1.000000,NA())</f>
        <v/>
      </c>
      <c r="AT12">
        <f>IF(draw_sl,IF(0&lt;nb_sl,(IF(nb_sl=1,(ov_sl/2)+bw_sl/2,(ov_sl/2)+(c_sl+phiw_sl+pb_sl/2)+0*(bw_sl-2*(c_sl+phiw_sl+pb_sl/2))/(nb_sl-1)))+(pb_sl/2)*-0.000000,NA()),NA())</f>
        <v/>
      </c>
      <c r="AU12">
        <f>IF(0&lt;nb_sl,(db_sl)+(pb_sl/2)*-1.000000,NA())</f>
        <v/>
      </c>
      <c r="AW12">
        <f>IF(draw_sl,IF(1&lt;nb_sl,(IF(nb_sl=1,(ov_sl/2)+bw_sl/2,(ov_sl/2)+(c_sl+phiw_sl+pb_sl/2)+1*(bw_sl-2*(c_sl+phiw_sl+pb_sl/2))/(nb_sl-1)))+(pb_sl/2)*-0.000000,NA()),NA())</f>
        <v/>
      </c>
      <c r="AX12">
        <f>IF(1&lt;nb_sl,(db_sl)+(pb_sl/2)*-1.000000,NA())</f>
        <v/>
      </c>
      <c r="AZ12">
        <f>IF(draw_sl,IF(2&lt;nb_sl,(IF(nb_sl=1,(ov_sl/2)+bw_sl/2,(ov_sl/2)+(c_sl+phiw_sl+pb_sl/2)+2*(bw_sl-2*(c_sl+phiw_sl+pb_sl/2))/(nb_sl-1)))+(pb_sl/2)*-0.000000,NA()),NA())</f>
        <v/>
      </c>
      <c r="BA12">
        <f>IF(2&lt;nb_sl,(db_sl)+(pb_sl/2)*-1.000000,NA())</f>
        <v/>
      </c>
      <c r="BC12">
        <f>IF(draw_sl,IF(3&lt;nb_sl,(IF(nb_sl=1,(ov_sl/2)+bw_sl/2,(ov_sl/2)+(c_sl+phiw_sl+pb_sl/2)+3*(bw_sl-2*(c_sl+phiw_sl+pb_sl/2))/(nb_sl-1)))+(pb_sl/2)*-0.000000,NA()),NA())</f>
        <v/>
      </c>
      <c r="BD12">
        <f>IF(3&lt;nb_sl,(db_sl)+(pb_sl/2)*-1.000000,NA())</f>
        <v/>
      </c>
      <c r="BF12">
        <f>IF(draw_sl,IF(4&lt;nb_sl,(IF(nb_sl=1,(ov_sl/2)+bw_sl/2,(ov_sl/2)+(c_sl+phiw_sl+pb_sl/2)+4*(bw_sl-2*(c_sl+phiw_sl+pb_sl/2))/(nb_sl-1)))+(pb_sl/2)*-0.000000,NA()),NA())</f>
        <v/>
      </c>
      <c r="BG12">
        <f>IF(4&lt;nb_sl,(db_sl)+(pb_sl/2)*-1.000000,NA())</f>
        <v/>
      </c>
      <c r="BI12">
        <f>IF(draw_sl,IF(5&lt;nb_sl,(IF(nb_sl=1,(ov_sl/2)+bw_sl/2,(ov_sl/2)+(c_sl+phiw_sl+pb_sl/2)+5*(bw_sl-2*(c_sl+phiw_sl+pb_sl/2))/(nb_sl-1)))+(pb_sl/2)*-0.000000,NA()),NA())</f>
        <v/>
      </c>
      <c r="BJ12">
        <f>IF(5&lt;nb_sl,(db_sl)+(pb_sl/2)*-1.000000,NA())</f>
        <v/>
      </c>
      <c r="BL12">
        <f>IF(draw_sl,IF(6&lt;nb_sl,(IF(nb_sl=1,(ov_sl/2)+bw_sl/2,(ov_sl/2)+(c_sl+phiw_sl+pb_sl/2)+6*(bw_sl-2*(c_sl+phiw_sl+pb_sl/2))/(nb_sl-1)))+(pb_sl/2)*-0.000000,NA()),NA())</f>
        <v/>
      </c>
      <c r="BM12">
        <f>IF(6&lt;nb_sl,(db_sl)+(pb_sl/2)*-1.000000,NA())</f>
        <v/>
      </c>
      <c r="BO12">
        <f>IF(draw_sl,IF(7&lt;nb_sl,(IF(nb_sl=1,(ov_sl/2)+bw_sl/2,(ov_sl/2)+(c_sl+phiw_sl+pb_sl/2)+7*(bw_sl-2*(c_sl+phiw_sl+pb_sl/2))/(nb_sl-1)))+(pb_sl/2)*-0.000000,NA()),NA())</f>
        <v/>
      </c>
      <c r="BP12">
        <f>IF(7&lt;nb_sl,(db_sl)+(pb_sl/2)*-1.000000,NA())</f>
        <v/>
      </c>
      <c r="BR12">
        <f>IF(draw_sl,IF(8&lt;nb_sl,(IF(nb_sl=1,(ov_sl/2)+bw_sl/2,(ov_sl/2)+(c_sl+phiw_sl+pb_sl/2)+8*(bw_sl-2*(c_sl+phiw_sl+pb_sl/2))/(nb_sl-1)))+(pb_sl/2)*-0.000000,NA()),NA())</f>
        <v/>
      </c>
      <c r="BS12">
        <f>IF(8&lt;nb_sl,(db_sl)+(pb_sl/2)*-1.000000,NA())</f>
        <v/>
      </c>
      <c r="BU12">
        <f>IF(draw_sl,IF(9&lt;nb_sl,(IF(nb_sl=1,(ov_sl/2)+bw_sl/2,(ov_sl/2)+(c_sl+phiw_sl+pb_sl/2)+9*(bw_sl-2*(c_sl+phiw_sl+pb_sl/2))/(nb_sl-1)))+(pb_sl/2)*-0.000000,NA()),NA())</f>
        <v/>
      </c>
      <c r="BV12">
        <f>IF(9&lt;nb_sl,(db_sl)+(pb_sl/2)*-1.000000,NA())</f>
        <v/>
      </c>
      <c r="BX12">
        <f>IF(draw_sl,IF(10&lt;nb_sl,(IF(nb_sl=1,(ov_sl/2)+bw_sl/2,(ov_sl/2)+(c_sl+phiw_sl+pb_sl/2)+10*(bw_sl-2*(c_sl+phiw_sl+pb_sl/2))/(nb_sl-1)))+(pb_sl/2)*-0.000000,NA()),NA())</f>
        <v/>
      </c>
      <c r="BY12">
        <f>IF(10&lt;nb_sl,(db_sl)+(pb_sl/2)*-1.000000,NA())</f>
        <v/>
      </c>
      <c r="CA12">
        <f>IF(draw_sl,IF(11&lt;nb_sl,(IF(nb_sl=1,(ov_sl/2)+bw_sl/2,(ov_sl/2)+(c_sl+phiw_sl+pb_sl/2)+11*(bw_sl-2*(c_sl+phiw_sl+pb_sl/2))/(nb_sl-1)))+(pb_sl/2)*-0.000000,NA()),NA())</f>
        <v/>
      </c>
      <c r="CB12">
        <f>IF(11&lt;nb_sl,(db_sl)+(pb_sl/2)*-1.000000,NA())</f>
        <v/>
      </c>
    </row>
    <row r="13">
      <c r="J13">
        <f>IF(draw_sl,IF(0&lt;nt_sl,(IF(nt_sl=1,(ov_sl/2)+bw_sl/2,(ov_sl/2)+(c_sl+phiw_sl+pt_sl/2)+0*(bw_sl-2*(c_sl+phiw_sl+pt_sl/2))/(nt_sl-1)))+(pt_sl/2)*0.500000,NA()),NA())</f>
        <v/>
      </c>
      <c r="K13">
        <f>IF(0&lt;nt_sl,(h_sl-dt_sl)+(pt_sl/2)*-0.866025,NA())</f>
        <v/>
      </c>
      <c r="M13">
        <f>IF(draw_sl,IF(1&lt;nt_sl,(IF(nt_sl=1,(ov_sl/2)+bw_sl/2,(ov_sl/2)+(c_sl+phiw_sl+pt_sl/2)+1*(bw_sl-2*(c_sl+phiw_sl+pt_sl/2))/(nt_sl-1)))+(pt_sl/2)*0.500000,NA()),NA())</f>
        <v/>
      </c>
      <c r="N13">
        <f>IF(1&lt;nt_sl,(h_sl-dt_sl)+(pt_sl/2)*-0.866025,NA())</f>
        <v/>
      </c>
      <c r="P13">
        <f>IF(draw_sl,IF(2&lt;nt_sl,(IF(nt_sl=1,(ov_sl/2)+bw_sl/2,(ov_sl/2)+(c_sl+phiw_sl+pt_sl/2)+2*(bw_sl-2*(c_sl+phiw_sl+pt_sl/2))/(nt_sl-1)))+(pt_sl/2)*0.500000,NA()),NA())</f>
        <v/>
      </c>
      <c r="Q13">
        <f>IF(2&lt;nt_sl,(h_sl-dt_sl)+(pt_sl/2)*-0.866025,NA())</f>
        <v/>
      </c>
      <c r="S13">
        <f>IF(draw_sl,IF(3&lt;nt_sl,(IF(nt_sl=1,(ov_sl/2)+bw_sl/2,(ov_sl/2)+(c_sl+phiw_sl+pt_sl/2)+3*(bw_sl-2*(c_sl+phiw_sl+pt_sl/2))/(nt_sl-1)))+(pt_sl/2)*0.500000,NA()),NA())</f>
        <v/>
      </c>
      <c r="T13">
        <f>IF(3&lt;nt_sl,(h_sl-dt_sl)+(pt_sl/2)*-0.866025,NA())</f>
        <v/>
      </c>
      <c r="V13">
        <f>IF(draw_sl,IF(4&lt;nt_sl,(IF(nt_sl=1,(ov_sl/2)+bw_sl/2,(ov_sl/2)+(c_sl+phiw_sl+pt_sl/2)+4*(bw_sl-2*(c_sl+phiw_sl+pt_sl/2))/(nt_sl-1)))+(pt_sl/2)*0.500000,NA()),NA())</f>
        <v/>
      </c>
      <c r="W13">
        <f>IF(4&lt;nt_sl,(h_sl-dt_sl)+(pt_sl/2)*-0.866025,NA())</f>
        <v/>
      </c>
      <c r="Y13">
        <f>IF(draw_sl,IF(5&lt;nt_sl,(IF(nt_sl=1,(ov_sl/2)+bw_sl/2,(ov_sl/2)+(c_sl+phiw_sl+pt_sl/2)+5*(bw_sl-2*(c_sl+phiw_sl+pt_sl/2))/(nt_sl-1)))+(pt_sl/2)*0.500000,NA()),NA())</f>
        <v/>
      </c>
      <c r="Z13">
        <f>IF(5&lt;nt_sl,(h_sl-dt_sl)+(pt_sl/2)*-0.866025,NA())</f>
        <v/>
      </c>
      <c r="AB13">
        <f>IF(draw_sl,IF(6&lt;nt_sl,(IF(nt_sl=1,(ov_sl/2)+bw_sl/2,(ov_sl/2)+(c_sl+phiw_sl+pt_sl/2)+6*(bw_sl-2*(c_sl+phiw_sl+pt_sl/2))/(nt_sl-1)))+(pt_sl/2)*0.500000,NA()),NA())</f>
        <v/>
      </c>
      <c r="AC13">
        <f>IF(6&lt;nt_sl,(h_sl-dt_sl)+(pt_sl/2)*-0.866025,NA())</f>
        <v/>
      </c>
      <c r="AE13">
        <f>IF(draw_sl,IF(7&lt;nt_sl,(IF(nt_sl=1,(ov_sl/2)+bw_sl/2,(ov_sl/2)+(c_sl+phiw_sl+pt_sl/2)+7*(bw_sl-2*(c_sl+phiw_sl+pt_sl/2))/(nt_sl-1)))+(pt_sl/2)*0.500000,NA()),NA())</f>
        <v/>
      </c>
      <c r="AF13">
        <f>IF(7&lt;nt_sl,(h_sl-dt_sl)+(pt_sl/2)*-0.866025,NA())</f>
        <v/>
      </c>
      <c r="AH13">
        <f>IF(draw_sl,IF(8&lt;nt_sl,(IF(nt_sl=1,(ov_sl/2)+bw_sl/2,(ov_sl/2)+(c_sl+phiw_sl+pt_sl/2)+8*(bw_sl-2*(c_sl+phiw_sl+pt_sl/2))/(nt_sl-1)))+(pt_sl/2)*0.500000,NA()),NA())</f>
        <v/>
      </c>
      <c r="AI13">
        <f>IF(8&lt;nt_sl,(h_sl-dt_sl)+(pt_sl/2)*-0.866025,NA())</f>
        <v/>
      </c>
      <c r="AK13">
        <f>IF(draw_sl,IF(9&lt;nt_sl,(IF(nt_sl=1,(ov_sl/2)+bw_sl/2,(ov_sl/2)+(c_sl+phiw_sl+pt_sl/2)+9*(bw_sl-2*(c_sl+phiw_sl+pt_sl/2))/(nt_sl-1)))+(pt_sl/2)*0.500000,NA()),NA())</f>
        <v/>
      </c>
      <c r="AL13">
        <f>IF(9&lt;nt_sl,(h_sl-dt_sl)+(pt_sl/2)*-0.866025,NA())</f>
        <v/>
      </c>
      <c r="AN13">
        <f>IF(draw_sl,IF(10&lt;nt_sl,(IF(nt_sl=1,(ov_sl/2)+bw_sl/2,(ov_sl/2)+(c_sl+phiw_sl+pt_sl/2)+10*(bw_sl-2*(c_sl+phiw_sl+pt_sl/2))/(nt_sl-1)))+(pt_sl/2)*0.500000,NA()),NA())</f>
        <v/>
      </c>
      <c r="AO13">
        <f>IF(10&lt;nt_sl,(h_sl-dt_sl)+(pt_sl/2)*-0.866025,NA())</f>
        <v/>
      </c>
      <c r="AQ13">
        <f>IF(draw_sl,IF(11&lt;nt_sl,(IF(nt_sl=1,(ov_sl/2)+bw_sl/2,(ov_sl/2)+(c_sl+phiw_sl+pt_sl/2)+11*(bw_sl-2*(c_sl+phiw_sl+pt_sl/2))/(nt_sl-1)))+(pt_sl/2)*0.500000,NA()),NA())</f>
        <v/>
      </c>
      <c r="AR13">
        <f>IF(11&lt;nt_sl,(h_sl-dt_sl)+(pt_sl/2)*-0.866025,NA())</f>
        <v/>
      </c>
      <c r="AT13">
        <f>IF(draw_sl,IF(0&lt;nb_sl,(IF(nb_sl=1,(ov_sl/2)+bw_sl/2,(ov_sl/2)+(c_sl+phiw_sl+pb_sl/2)+0*(bw_sl-2*(c_sl+phiw_sl+pb_sl/2))/(nb_sl-1)))+(pb_sl/2)*0.500000,NA()),NA())</f>
        <v/>
      </c>
      <c r="AU13">
        <f>IF(0&lt;nb_sl,(db_sl)+(pb_sl/2)*-0.866025,NA())</f>
        <v/>
      </c>
      <c r="AW13">
        <f>IF(draw_sl,IF(1&lt;nb_sl,(IF(nb_sl=1,(ov_sl/2)+bw_sl/2,(ov_sl/2)+(c_sl+phiw_sl+pb_sl/2)+1*(bw_sl-2*(c_sl+phiw_sl+pb_sl/2))/(nb_sl-1)))+(pb_sl/2)*0.500000,NA()),NA())</f>
        <v/>
      </c>
      <c r="AX13">
        <f>IF(1&lt;nb_sl,(db_sl)+(pb_sl/2)*-0.866025,NA())</f>
        <v/>
      </c>
      <c r="AZ13">
        <f>IF(draw_sl,IF(2&lt;nb_sl,(IF(nb_sl=1,(ov_sl/2)+bw_sl/2,(ov_sl/2)+(c_sl+phiw_sl+pb_sl/2)+2*(bw_sl-2*(c_sl+phiw_sl+pb_sl/2))/(nb_sl-1)))+(pb_sl/2)*0.500000,NA()),NA())</f>
        <v/>
      </c>
      <c r="BA13">
        <f>IF(2&lt;nb_sl,(db_sl)+(pb_sl/2)*-0.866025,NA())</f>
        <v/>
      </c>
      <c r="BC13">
        <f>IF(draw_sl,IF(3&lt;nb_sl,(IF(nb_sl=1,(ov_sl/2)+bw_sl/2,(ov_sl/2)+(c_sl+phiw_sl+pb_sl/2)+3*(bw_sl-2*(c_sl+phiw_sl+pb_sl/2))/(nb_sl-1)))+(pb_sl/2)*0.500000,NA()),NA())</f>
        <v/>
      </c>
      <c r="BD13">
        <f>IF(3&lt;nb_sl,(db_sl)+(pb_sl/2)*-0.866025,NA())</f>
        <v/>
      </c>
      <c r="BF13">
        <f>IF(draw_sl,IF(4&lt;nb_sl,(IF(nb_sl=1,(ov_sl/2)+bw_sl/2,(ov_sl/2)+(c_sl+phiw_sl+pb_sl/2)+4*(bw_sl-2*(c_sl+phiw_sl+pb_sl/2))/(nb_sl-1)))+(pb_sl/2)*0.500000,NA()),NA())</f>
        <v/>
      </c>
      <c r="BG13">
        <f>IF(4&lt;nb_sl,(db_sl)+(pb_sl/2)*-0.866025,NA())</f>
        <v/>
      </c>
      <c r="BI13">
        <f>IF(draw_sl,IF(5&lt;nb_sl,(IF(nb_sl=1,(ov_sl/2)+bw_sl/2,(ov_sl/2)+(c_sl+phiw_sl+pb_sl/2)+5*(bw_sl-2*(c_sl+phiw_sl+pb_sl/2))/(nb_sl-1)))+(pb_sl/2)*0.500000,NA()),NA())</f>
        <v/>
      </c>
      <c r="BJ13">
        <f>IF(5&lt;nb_sl,(db_sl)+(pb_sl/2)*-0.866025,NA())</f>
        <v/>
      </c>
      <c r="BL13">
        <f>IF(draw_sl,IF(6&lt;nb_sl,(IF(nb_sl=1,(ov_sl/2)+bw_sl/2,(ov_sl/2)+(c_sl+phiw_sl+pb_sl/2)+6*(bw_sl-2*(c_sl+phiw_sl+pb_sl/2))/(nb_sl-1)))+(pb_sl/2)*0.500000,NA()),NA())</f>
        <v/>
      </c>
      <c r="BM13">
        <f>IF(6&lt;nb_sl,(db_sl)+(pb_sl/2)*-0.866025,NA())</f>
        <v/>
      </c>
      <c r="BO13">
        <f>IF(draw_sl,IF(7&lt;nb_sl,(IF(nb_sl=1,(ov_sl/2)+bw_sl/2,(ov_sl/2)+(c_sl+phiw_sl+pb_sl/2)+7*(bw_sl-2*(c_sl+phiw_sl+pb_sl/2))/(nb_sl-1)))+(pb_sl/2)*0.500000,NA()),NA())</f>
        <v/>
      </c>
      <c r="BP13">
        <f>IF(7&lt;nb_sl,(db_sl)+(pb_sl/2)*-0.866025,NA())</f>
        <v/>
      </c>
      <c r="BR13">
        <f>IF(draw_sl,IF(8&lt;nb_sl,(IF(nb_sl=1,(ov_sl/2)+bw_sl/2,(ov_sl/2)+(c_sl+phiw_sl+pb_sl/2)+8*(bw_sl-2*(c_sl+phiw_sl+pb_sl/2))/(nb_sl-1)))+(pb_sl/2)*0.500000,NA()),NA())</f>
        <v/>
      </c>
      <c r="BS13">
        <f>IF(8&lt;nb_sl,(db_sl)+(pb_sl/2)*-0.866025,NA())</f>
        <v/>
      </c>
      <c r="BU13">
        <f>IF(draw_sl,IF(9&lt;nb_sl,(IF(nb_sl=1,(ov_sl/2)+bw_sl/2,(ov_sl/2)+(c_sl+phiw_sl+pb_sl/2)+9*(bw_sl-2*(c_sl+phiw_sl+pb_sl/2))/(nb_sl-1)))+(pb_sl/2)*0.500000,NA()),NA())</f>
        <v/>
      </c>
      <c r="BV13">
        <f>IF(9&lt;nb_sl,(db_sl)+(pb_sl/2)*-0.866025,NA())</f>
        <v/>
      </c>
      <c r="BX13">
        <f>IF(draw_sl,IF(10&lt;nb_sl,(IF(nb_sl=1,(ov_sl/2)+bw_sl/2,(ov_sl/2)+(c_sl+phiw_sl+pb_sl/2)+10*(bw_sl-2*(c_sl+phiw_sl+pb_sl/2))/(nb_sl-1)))+(pb_sl/2)*0.500000,NA()),NA())</f>
        <v/>
      </c>
      <c r="BY13">
        <f>IF(10&lt;nb_sl,(db_sl)+(pb_sl/2)*-0.866025,NA())</f>
        <v/>
      </c>
      <c r="CA13">
        <f>IF(draw_sl,IF(11&lt;nb_sl,(IF(nb_sl=1,(ov_sl/2)+bw_sl/2,(ov_sl/2)+(c_sl+phiw_sl+pb_sl/2)+11*(bw_sl-2*(c_sl+phiw_sl+pb_sl/2))/(nb_sl-1)))+(pb_sl/2)*0.500000,NA()),NA())</f>
        <v/>
      </c>
      <c r="CB13">
        <f>IF(11&lt;nb_sl,(db_sl)+(pb_sl/2)*-0.866025,NA())</f>
        <v/>
      </c>
    </row>
    <row r="14">
      <c r="J14">
        <f>IF(draw_sl,IF(0&lt;nt_sl,(IF(nt_sl=1,(ov_sl/2)+bw_sl/2,(ov_sl/2)+(c_sl+phiw_sl+pt_sl/2)+0*(bw_sl-2*(c_sl+phiw_sl+pt_sl/2))/(nt_sl-1)))+(pt_sl/2)*0.866025,NA()),NA())</f>
        <v/>
      </c>
      <c r="K14">
        <f>IF(0&lt;nt_sl,(h_sl-dt_sl)+(pt_sl/2)*-0.500000,NA())</f>
        <v/>
      </c>
      <c r="M14">
        <f>IF(draw_sl,IF(1&lt;nt_sl,(IF(nt_sl=1,(ov_sl/2)+bw_sl/2,(ov_sl/2)+(c_sl+phiw_sl+pt_sl/2)+1*(bw_sl-2*(c_sl+phiw_sl+pt_sl/2))/(nt_sl-1)))+(pt_sl/2)*0.866025,NA()),NA())</f>
        <v/>
      </c>
      <c r="N14">
        <f>IF(1&lt;nt_sl,(h_sl-dt_sl)+(pt_sl/2)*-0.500000,NA())</f>
        <v/>
      </c>
      <c r="P14">
        <f>IF(draw_sl,IF(2&lt;nt_sl,(IF(nt_sl=1,(ov_sl/2)+bw_sl/2,(ov_sl/2)+(c_sl+phiw_sl+pt_sl/2)+2*(bw_sl-2*(c_sl+phiw_sl+pt_sl/2))/(nt_sl-1)))+(pt_sl/2)*0.866025,NA()),NA())</f>
        <v/>
      </c>
      <c r="Q14">
        <f>IF(2&lt;nt_sl,(h_sl-dt_sl)+(pt_sl/2)*-0.500000,NA())</f>
        <v/>
      </c>
      <c r="S14">
        <f>IF(draw_sl,IF(3&lt;nt_sl,(IF(nt_sl=1,(ov_sl/2)+bw_sl/2,(ov_sl/2)+(c_sl+phiw_sl+pt_sl/2)+3*(bw_sl-2*(c_sl+phiw_sl+pt_sl/2))/(nt_sl-1)))+(pt_sl/2)*0.866025,NA()),NA())</f>
        <v/>
      </c>
      <c r="T14">
        <f>IF(3&lt;nt_sl,(h_sl-dt_sl)+(pt_sl/2)*-0.500000,NA())</f>
        <v/>
      </c>
      <c r="V14">
        <f>IF(draw_sl,IF(4&lt;nt_sl,(IF(nt_sl=1,(ov_sl/2)+bw_sl/2,(ov_sl/2)+(c_sl+phiw_sl+pt_sl/2)+4*(bw_sl-2*(c_sl+phiw_sl+pt_sl/2))/(nt_sl-1)))+(pt_sl/2)*0.866025,NA()),NA())</f>
        <v/>
      </c>
      <c r="W14">
        <f>IF(4&lt;nt_sl,(h_sl-dt_sl)+(pt_sl/2)*-0.500000,NA())</f>
        <v/>
      </c>
      <c r="Y14">
        <f>IF(draw_sl,IF(5&lt;nt_sl,(IF(nt_sl=1,(ov_sl/2)+bw_sl/2,(ov_sl/2)+(c_sl+phiw_sl+pt_sl/2)+5*(bw_sl-2*(c_sl+phiw_sl+pt_sl/2))/(nt_sl-1)))+(pt_sl/2)*0.866025,NA()),NA())</f>
        <v/>
      </c>
      <c r="Z14">
        <f>IF(5&lt;nt_sl,(h_sl-dt_sl)+(pt_sl/2)*-0.500000,NA())</f>
        <v/>
      </c>
      <c r="AB14">
        <f>IF(draw_sl,IF(6&lt;nt_sl,(IF(nt_sl=1,(ov_sl/2)+bw_sl/2,(ov_sl/2)+(c_sl+phiw_sl+pt_sl/2)+6*(bw_sl-2*(c_sl+phiw_sl+pt_sl/2))/(nt_sl-1)))+(pt_sl/2)*0.866025,NA()),NA())</f>
        <v/>
      </c>
      <c r="AC14">
        <f>IF(6&lt;nt_sl,(h_sl-dt_sl)+(pt_sl/2)*-0.500000,NA())</f>
        <v/>
      </c>
      <c r="AE14">
        <f>IF(draw_sl,IF(7&lt;nt_sl,(IF(nt_sl=1,(ov_sl/2)+bw_sl/2,(ov_sl/2)+(c_sl+phiw_sl+pt_sl/2)+7*(bw_sl-2*(c_sl+phiw_sl+pt_sl/2))/(nt_sl-1)))+(pt_sl/2)*0.866025,NA()),NA())</f>
        <v/>
      </c>
      <c r="AF14">
        <f>IF(7&lt;nt_sl,(h_sl-dt_sl)+(pt_sl/2)*-0.500000,NA())</f>
        <v/>
      </c>
      <c r="AH14">
        <f>IF(draw_sl,IF(8&lt;nt_sl,(IF(nt_sl=1,(ov_sl/2)+bw_sl/2,(ov_sl/2)+(c_sl+phiw_sl+pt_sl/2)+8*(bw_sl-2*(c_sl+phiw_sl+pt_sl/2))/(nt_sl-1)))+(pt_sl/2)*0.866025,NA()),NA())</f>
        <v/>
      </c>
      <c r="AI14">
        <f>IF(8&lt;nt_sl,(h_sl-dt_sl)+(pt_sl/2)*-0.500000,NA())</f>
        <v/>
      </c>
      <c r="AK14">
        <f>IF(draw_sl,IF(9&lt;nt_sl,(IF(nt_sl=1,(ov_sl/2)+bw_sl/2,(ov_sl/2)+(c_sl+phiw_sl+pt_sl/2)+9*(bw_sl-2*(c_sl+phiw_sl+pt_sl/2))/(nt_sl-1)))+(pt_sl/2)*0.866025,NA()),NA())</f>
        <v/>
      </c>
      <c r="AL14">
        <f>IF(9&lt;nt_sl,(h_sl-dt_sl)+(pt_sl/2)*-0.500000,NA())</f>
        <v/>
      </c>
      <c r="AN14">
        <f>IF(draw_sl,IF(10&lt;nt_sl,(IF(nt_sl=1,(ov_sl/2)+bw_sl/2,(ov_sl/2)+(c_sl+phiw_sl+pt_sl/2)+10*(bw_sl-2*(c_sl+phiw_sl+pt_sl/2))/(nt_sl-1)))+(pt_sl/2)*0.866025,NA()),NA())</f>
        <v/>
      </c>
      <c r="AO14">
        <f>IF(10&lt;nt_sl,(h_sl-dt_sl)+(pt_sl/2)*-0.500000,NA())</f>
        <v/>
      </c>
      <c r="AQ14">
        <f>IF(draw_sl,IF(11&lt;nt_sl,(IF(nt_sl=1,(ov_sl/2)+bw_sl/2,(ov_sl/2)+(c_sl+phiw_sl+pt_sl/2)+11*(bw_sl-2*(c_sl+phiw_sl+pt_sl/2))/(nt_sl-1)))+(pt_sl/2)*0.866025,NA()),NA())</f>
        <v/>
      </c>
      <c r="AR14">
        <f>IF(11&lt;nt_sl,(h_sl-dt_sl)+(pt_sl/2)*-0.500000,NA())</f>
        <v/>
      </c>
      <c r="AT14">
        <f>IF(draw_sl,IF(0&lt;nb_sl,(IF(nb_sl=1,(ov_sl/2)+bw_sl/2,(ov_sl/2)+(c_sl+phiw_sl+pb_sl/2)+0*(bw_sl-2*(c_sl+phiw_sl+pb_sl/2))/(nb_sl-1)))+(pb_sl/2)*0.866025,NA()),NA())</f>
        <v/>
      </c>
      <c r="AU14">
        <f>IF(0&lt;nb_sl,(db_sl)+(pb_sl/2)*-0.500000,NA())</f>
        <v/>
      </c>
      <c r="AW14">
        <f>IF(draw_sl,IF(1&lt;nb_sl,(IF(nb_sl=1,(ov_sl/2)+bw_sl/2,(ov_sl/2)+(c_sl+phiw_sl+pb_sl/2)+1*(bw_sl-2*(c_sl+phiw_sl+pb_sl/2))/(nb_sl-1)))+(pb_sl/2)*0.866025,NA()),NA())</f>
        <v/>
      </c>
      <c r="AX14">
        <f>IF(1&lt;nb_sl,(db_sl)+(pb_sl/2)*-0.500000,NA())</f>
        <v/>
      </c>
      <c r="AZ14">
        <f>IF(draw_sl,IF(2&lt;nb_sl,(IF(nb_sl=1,(ov_sl/2)+bw_sl/2,(ov_sl/2)+(c_sl+phiw_sl+pb_sl/2)+2*(bw_sl-2*(c_sl+phiw_sl+pb_sl/2))/(nb_sl-1)))+(pb_sl/2)*0.866025,NA()),NA())</f>
        <v/>
      </c>
      <c r="BA14">
        <f>IF(2&lt;nb_sl,(db_sl)+(pb_sl/2)*-0.500000,NA())</f>
        <v/>
      </c>
      <c r="BC14">
        <f>IF(draw_sl,IF(3&lt;nb_sl,(IF(nb_sl=1,(ov_sl/2)+bw_sl/2,(ov_sl/2)+(c_sl+phiw_sl+pb_sl/2)+3*(bw_sl-2*(c_sl+phiw_sl+pb_sl/2))/(nb_sl-1)))+(pb_sl/2)*0.866025,NA()),NA())</f>
        <v/>
      </c>
      <c r="BD14">
        <f>IF(3&lt;nb_sl,(db_sl)+(pb_sl/2)*-0.500000,NA())</f>
        <v/>
      </c>
      <c r="BF14">
        <f>IF(draw_sl,IF(4&lt;nb_sl,(IF(nb_sl=1,(ov_sl/2)+bw_sl/2,(ov_sl/2)+(c_sl+phiw_sl+pb_sl/2)+4*(bw_sl-2*(c_sl+phiw_sl+pb_sl/2))/(nb_sl-1)))+(pb_sl/2)*0.866025,NA()),NA())</f>
        <v/>
      </c>
      <c r="BG14">
        <f>IF(4&lt;nb_sl,(db_sl)+(pb_sl/2)*-0.500000,NA())</f>
        <v/>
      </c>
      <c r="BI14">
        <f>IF(draw_sl,IF(5&lt;nb_sl,(IF(nb_sl=1,(ov_sl/2)+bw_sl/2,(ov_sl/2)+(c_sl+phiw_sl+pb_sl/2)+5*(bw_sl-2*(c_sl+phiw_sl+pb_sl/2))/(nb_sl-1)))+(pb_sl/2)*0.866025,NA()),NA())</f>
        <v/>
      </c>
      <c r="BJ14">
        <f>IF(5&lt;nb_sl,(db_sl)+(pb_sl/2)*-0.500000,NA())</f>
        <v/>
      </c>
      <c r="BL14">
        <f>IF(draw_sl,IF(6&lt;nb_sl,(IF(nb_sl=1,(ov_sl/2)+bw_sl/2,(ov_sl/2)+(c_sl+phiw_sl+pb_sl/2)+6*(bw_sl-2*(c_sl+phiw_sl+pb_sl/2))/(nb_sl-1)))+(pb_sl/2)*0.866025,NA()),NA())</f>
        <v/>
      </c>
      <c r="BM14">
        <f>IF(6&lt;nb_sl,(db_sl)+(pb_sl/2)*-0.500000,NA())</f>
        <v/>
      </c>
      <c r="BO14">
        <f>IF(draw_sl,IF(7&lt;nb_sl,(IF(nb_sl=1,(ov_sl/2)+bw_sl/2,(ov_sl/2)+(c_sl+phiw_sl+pb_sl/2)+7*(bw_sl-2*(c_sl+phiw_sl+pb_sl/2))/(nb_sl-1)))+(pb_sl/2)*0.866025,NA()),NA())</f>
        <v/>
      </c>
      <c r="BP14">
        <f>IF(7&lt;nb_sl,(db_sl)+(pb_sl/2)*-0.500000,NA())</f>
        <v/>
      </c>
      <c r="BR14">
        <f>IF(draw_sl,IF(8&lt;nb_sl,(IF(nb_sl=1,(ov_sl/2)+bw_sl/2,(ov_sl/2)+(c_sl+phiw_sl+pb_sl/2)+8*(bw_sl-2*(c_sl+phiw_sl+pb_sl/2))/(nb_sl-1)))+(pb_sl/2)*0.866025,NA()),NA())</f>
        <v/>
      </c>
      <c r="BS14">
        <f>IF(8&lt;nb_sl,(db_sl)+(pb_sl/2)*-0.500000,NA())</f>
        <v/>
      </c>
      <c r="BU14">
        <f>IF(draw_sl,IF(9&lt;nb_sl,(IF(nb_sl=1,(ov_sl/2)+bw_sl/2,(ov_sl/2)+(c_sl+phiw_sl+pb_sl/2)+9*(bw_sl-2*(c_sl+phiw_sl+pb_sl/2))/(nb_sl-1)))+(pb_sl/2)*0.866025,NA()),NA())</f>
        <v/>
      </c>
      <c r="BV14">
        <f>IF(9&lt;nb_sl,(db_sl)+(pb_sl/2)*-0.500000,NA())</f>
        <v/>
      </c>
      <c r="BX14">
        <f>IF(draw_sl,IF(10&lt;nb_sl,(IF(nb_sl=1,(ov_sl/2)+bw_sl/2,(ov_sl/2)+(c_sl+phiw_sl+pb_sl/2)+10*(bw_sl-2*(c_sl+phiw_sl+pb_sl/2))/(nb_sl-1)))+(pb_sl/2)*0.866025,NA()),NA())</f>
        <v/>
      </c>
      <c r="BY14">
        <f>IF(10&lt;nb_sl,(db_sl)+(pb_sl/2)*-0.500000,NA())</f>
        <v/>
      </c>
      <c r="CA14">
        <f>IF(draw_sl,IF(11&lt;nb_sl,(IF(nb_sl=1,(ov_sl/2)+bw_sl/2,(ov_sl/2)+(c_sl+phiw_sl+pb_sl/2)+11*(bw_sl-2*(c_sl+phiw_sl+pb_sl/2))/(nb_sl-1)))+(pb_sl/2)*0.866025,NA()),NA())</f>
        <v/>
      </c>
      <c r="CB14">
        <f>IF(11&lt;nb_sl,(db_sl)+(pb_sl/2)*-0.500000,NA())</f>
        <v/>
      </c>
    </row>
    <row r="15">
      <c r="J15">
        <f>IF(draw_sl,IF(0&lt;nt_sl,(IF(nt_sl=1,(ov_sl/2)+bw_sl/2,(ov_sl/2)+(c_sl+phiw_sl+pt_sl/2)+0*(bw_sl-2*(c_sl+phiw_sl+pt_sl/2))/(nt_sl-1)))+(pt_sl/2)*1.000000,NA()),NA())</f>
        <v/>
      </c>
      <c r="K15">
        <f>IF(0&lt;nt_sl,(h_sl-dt_sl)+(pt_sl/2)*-0.000000,NA())</f>
        <v/>
      </c>
      <c r="M15">
        <f>IF(draw_sl,IF(1&lt;nt_sl,(IF(nt_sl=1,(ov_sl/2)+bw_sl/2,(ov_sl/2)+(c_sl+phiw_sl+pt_sl/2)+1*(bw_sl-2*(c_sl+phiw_sl+pt_sl/2))/(nt_sl-1)))+(pt_sl/2)*1.000000,NA()),NA())</f>
        <v/>
      </c>
      <c r="N15">
        <f>IF(1&lt;nt_sl,(h_sl-dt_sl)+(pt_sl/2)*-0.000000,NA())</f>
        <v/>
      </c>
      <c r="P15">
        <f>IF(draw_sl,IF(2&lt;nt_sl,(IF(nt_sl=1,(ov_sl/2)+bw_sl/2,(ov_sl/2)+(c_sl+phiw_sl+pt_sl/2)+2*(bw_sl-2*(c_sl+phiw_sl+pt_sl/2))/(nt_sl-1)))+(pt_sl/2)*1.000000,NA()),NA())</f>
        <v/>
      </c>
      <c r="Q15">
        <f>IF(2&lt;nt_sl,(h_sl-dt_sl)+(pt_sl/2)*-0.000000,NA())</f>
        <v/>
      </c>
      <c r="S15">
        <f>IF(draw_sl,IF(3&lt;nt_sl,(IF(nt_sl=1,(ov_sl/2)+bw_sl/2,(ov_sl/2)+(c_sl+phiw_sl+pt_sl/2)+3*(bw_sl-2*(c_sl+phiw_sl+pt_sl/2))/(nt_sl-1)))+(pt_sl/2)*1.000000,NA()),NA())</f>
        <v/>
      </c>
      <c r="T15">
        <f>IF(3&lt;nt_sl,(h_sl-dt_sl)+(pt_sl/2)*-0.000000,NA())</f>
        <v/>
      </c>
      <c r="V15">
        <f>IF(draw_sl,IF(4&lt;nt_sl,(IF(nt_sl=1,(ov_sl/2)+bw_sl/2,(ov_sl/2)+(c_sl+phiw_sl+pt_sl/2)+4*(bw_sl-2*(c_sl+phiw_sl+pt_sl/2))/(nt_sl-1)))+(pt_sl/2)*1.000000,NA()),NA())</f>
        <v/>
      </c>
      <c r="W15">
        <f>IF(4&lt;nt_sl,(h_sl-dt_sl)+(pt_sl/2)*-0.000000,NA())</f>
        <v/>
      </c>
      <c r="Y15">
        <f>IF(draw_sl,IF(5&lt;nt_sl,(IF(nt_sl=1,(ov_sl/2)+bw_sl/2,(ov_sl/2)+(c_sl+phiw_sl+pt_sl/2)+5*(bw_sl-2*(c_sl+phiw_sl+pt_sl/2))/(nt_sl-1)))+(pt_sl/2)*1.000000,NA()),NA())</f>
        <v/>
      </c>
      <c r="Z15">
        <f>IF(5&lt;nt_sl,(h_sl-dt_sl)+(pt_sl/2)*-0.000000,NA())</f>
        <v/>
      </c>
      <c r="AB15">
        <f>IF(draw_sl,IF(6&lt;nt_sl,(IF(nt_sl=1,(ov_sl/2)+bw_sl/2,(ov_sl/2)+(c_sl+phiw_sl+pt_sl/2)+6*(bw_sl-2*(c_sl+phiw_sl+pt_sl/2))/(nt_sl-1)))+(pt_sl/2)*1.000000,NA()),NA())</f>
        <v/>
      </c>
      <c r="AC15">
        <f>IF(6&lt;nt_sl,(h_sl-dt_sl)+(pt_sl/2)*-0.000000,NA())</f>
        <v/>
      </c>
      <c r="AE15">
        <f>IF(draw_sl,IF(7&lt;nt_sl,(IF(nt_sl=1,(ov_sl/2)+bw_sl/2,(ov_sl/2)+(c_sl+phiw_sl+pt_sl/2)+7*(bw_sl-2*(c_sl+phiw_sl+pt_sl/2))/(nt_sl-1)))+(pt_sl/2)*1.000000,NA()),NA())</f>
        <v/>
      </c>
      <c r="AF15">
        <f>IF(7&lt;nt_sl,(h_sl-dt_sl)+(pt_sl/2)*-0.000000,NA())</f>
        <v/>
      </c>
      <c r="AH15">
        <f>IF(draw_sl,IF(8&lt;nt_sl,(IF(nt_sl=1,(ov_sl/2)+bw_sl/2,(ov_sl/2)+(c_sl+phiw_sl+pt_sl/2)+8*(bw_sl-2*(c_sl+phiw_sl+pt_sl/2))/(nt_sl-1)))+(pt_sl/2)*1.000000,NA()),NA())</f>
        <v/>
      </c>
      <c r="AI15">
        <f>IF(8&lt;nt_sl,(h_sl-dt_sl)+(pt_sl/2)*-0.000000,NA())</f>
        <v/>
      </c>
      <c r="AK15">
        <f>IF(draw_sl,IF(9&lt;nt_sl,(IF(nt_sl=1,(ov_sl/2)+bw_sl/2,(ov_sl/2)+(c_sl+phiw_sl+pt_sl/2)+9*(bw_sl-2*(c_sl+phiw_sl+pt_sl/2))/(nt_sl-1)))+(pt_sl/2)*1.000000,NA()),NA())</f>
        <v/>
      </c>
      <c r="AL15">
        <f>IF(9&lt;nt_sl,(h_sl-dt_sl)+(pt_sl/2)*-0.000000,NA())</f>
        <v/>
      </c>
      <c r="AN15">
        <f>IF(draw_sl,IF(10&lt;nt_sl,(IF(nt_sl=1,(ov_sl/2)+bw_sl/2,(ov_sl/2)+(c_sl+phiw_sl+pt_sl/2)+10*(bw_sl-2*(c_sl+phiw_sl+pt_sl/2))/(nt_sl-1)))+(pt_sl/2)*1.000000,NA()),NA())</f>
        <v/>
      </c>
      <c r="AO15">
        <f>IF(10&lt;nt_sl,(h_sl-dt_sl)+(pt_sl/2)*-0.000000,NA())</f>
        <v/>
      </c>
      <c r="AQ15">
        <f>IF(draw_sl,IF(11&lt;nt_sl,(IF(nt_sl=1,(ov_sl/2)+bw_sl/2,(ov_sl/2)+(c_sl+phiw_sl+pt_sl/2)+11*(bw_sl-2*(c_sl+phiw_sl+pt_sl/2))/(nt_sl-1)))+(pt_sl/2)*1.000000,NA()),NA())</f>
        <v/>
      </c>
      <c r="AR15">
        <f>IF(11&lt;nt_sl,(h_sl-dt_sl)+(pt_sl/2)*-0.000000,NA())</f>
        <v/>
      </c>
      <c r="AT15">
        <f>IF(draw_sl,IF(0&lt;nb_sl,(IF(nb_sl=1,(ov_sl/2)+bw_sl/2,(ov_sl/2)+(c_sl+phiw_sl+pb_sl/2)+0*(bw_sl-2*(c_sl+phiw_sl+pb_sl/2))/(nb_sl-1)))+(pb_sl/2)*1.000000,NA()),NA())</f>
        <v/>
      </c>
      <c r="AU15">
        <f>IF(0&lt;nb_sl,(db_sl)+(pb_sl/2)*-0.000000,NA())</f>
        <v/>
      </c>
      <c r="AW15">
        <f>IF(draw_sl,IF(1&lt;nb_sl,(IF(nb_sl=1,(ov_sl/2)+bw_sl/2,(ov_sl/2)+(c_sl+phiw_sl+pb_sl/2)+1*(bw_sl-2*(c_sl+phiw_sl+pb_sl/2))/(nb_sl-1)))+(pb_sl/2)*1.000000,NA()),NA())</f>
        <v/>
      </c>
      <c r="AX15">
        <f>IF(1&lt;nb_sl,(db_sl)+(pb_sl/2)*-0.000000,NA())</f>
        <v/>
      </c>
      <c r="AZ15">
        <f>IF(draw_sl,IF(2&lt;nb_sl,(IF(nb_sl=1,(ov_sl/2)+bw_sl/2,(ov_sl/2)+(c_sl+phiw_sl+pb_sl/2)+2*(bw_sl-2*(c_sl+phiw_sl+pb_sl/2))/(nb_sl-1)))+(pb_sl/2)*1.000000,NA()),NA())</f>
        <v/>
      </c>
      <c r="BA15">
        <f>IF(2&lt;nb_sl,(db_sl)+(pb_sl/2)*-0.000000,NA())</f>
        <v/>
      </c>
      <c r="BC15">
        <f>IF(draw_sl,IF(3&lt;nb_sl,(IF(nb_sl=1,(ov_sl/2)+bw_sl/2,(ov_sl/2)+(c_sl+phiw_sl+pb_sl/2)+3*(bw_sl-2*(c_sl+phiw_sl+pb_sl/2))/(nb_sl-1)))+(pb_sl/2)*1.000000,NA()),NA())</f>
        <v/>
      </c>
      <c r="BD15">
        <f>IF(3&lt;nb_sl,(db_sl)+(pb_sl/2)*-0.000000,NA())</f>
        <v/>
      </c>
      <c r="BF15">
        <f>IF(draw_sl,IF(4&lt;nb_sl,(IF(nb_sl=1,(ov_sl/2)+bw_sl/2,(ov_sl/2)+(c_sl+phiw_sl+pb_sl/2)+4*(bw_sl-2*(c_sl+phiw_sl+pb_sl/2))/(nb_sl-1)))+(pb_sl/2)*1.000000,NA()),NA())</f>
        <v/>
      </c>
      <c r="BG15">
        <f>IF(4&lt;nb_sl,(db_sl)+(pb_sl/2)*-0.000000,NA())</f>
        <v/>
      </c>
      <c r="BI15">
        <f>IF(draw_sl,IF(5&lt;nb_sl,(IF(nb_sl=1,(ov_sl/2)+bw_sl/2,(ov_sl/2)+(c_sl+phiw_sl+pb_sl/2)+5*(bw_sl-2*(c_sl+phiw_sl+pb_sl/2))/(nb_sl-1)))+(pb_sl/2)*1.000000,NA()),NA())</f>
        <v/>
      </c>
      <c r="BJ15">
        <f>IF(5&lt;nb_sl,(db_sl)+(pb_sl/2)*-0.000000,NA())</f>
        <v/>
      </c>
      <c r="BL15">
        <f>IF(draw_sl,IF(6&lt;nb_sl,(IF(nb_sl=1,(ov_sl/2)+bw_sl/2,(ov_sl/2)+(c_sl+phiw_sl+pb_sl/2)+6*(bw_sl-2*(c_sl+phiw_sl+pb_sl/2))/(nb_sl-1)))+(pb_sl/2)*1.000000,NA()),NA())</f>
        <v/>
      </c>
      <c r="BM15">
        <f>IF(6&lt;nb_sl,(db_sl)+(pb_sl/2)*-0.000000,NA())</f>
        <v/>
      </c>
      <c r="BO15">
        <f>IF(draw_sl,IF(7&lt;nb_sl,(IF(nb_sl=1,(ov_sl/2)+bw_sl/2,(ov_sl/2)+(c_sl+phiw_sl+pb_sl/2)+7*(bw_sl-2*(c_sl+phiw_sl+pb_sl/2))/(nb_sl-1)))+(pb_sl/2)*1.000000,NA()),NA())</f>
        <v/>
      </c>
      <c r="BP15">
        <f>IF(7&lt;nb_sl,(db_sl)+(pb_sl/2)*-0.000000,NA())</f>
        <v/>
      </c>
      <c r="BR15">
        <f>IF(draw_sl,IF(8&lt;nb_sl,(IF(nb_sl=1,(ov_sl/2)+bw_sl/2,(ov_sl/2)+(c_sl+phiw_sl+pb_sl/2)+8*(bw_sl-2*(c_sl+phiw_sl+pb_sl/2))/(nb_sl-1)))+(pb_sl/2)*1.000000,NA()),NA())</f>
        <v/>
      </c>
      <c r="BS15">
        <f>IF(8&lt;nb_sl,(db_sl)+(pb_sl/2)*-0.000000,NA())</f>
        <v/>
      </c>
      <c r="BU15">
        <f>IF(draw_sl,IF(9&lt;nb_sl,(IF(nb_sl=1,(ov_sl/2)+bw_sl/2,(ov_sl/2)+(c_sl+phiw_sl+pb_sl/2)+9*(bw_sl-2*(c_sl+phiw_sl+pb_sl/2))/(nb_sl-1)))+(pb_sl/2)*1.000000,NA()),NA())</f>
        <v/>
      </c>
      <c r="BV15">
        <f>IF(9&lt;nb_sl,(db_sl)+(pb_sl/2)*-0.000000,NA())</f>
        <v/>
      </c>
      <c r="BX15">
        <f>IF(draw_sl,IF(10&lt;nb_sl,(IF(nb_sl=1,(ov_sl/2)+bw_sl/2,(ov_sl/2)+(c_sl+phiw_sl+pb_sl/2)+10*(bw_sl-2*(c_sl+phiw_sl+pb_sl/2))/(nb_sl-1)))+(pb_sl/2)*1.000000,NA()),NA())</f>
        <v/>
      </c>
      <c r="BY15">
        <f>IF(10&lt;nb_sl,(db_sl)+(pb_sl/2)*-0.000000,NA())</f>
        <v/>
      </c>
      <c r="CA15">
        <f>IF(draw_sl,IF(11&lt;nb_sl,(IF(nb_sl=1,(ov_sl/2)+bw_sl/2,(ov_sl/2)+(c_sl+phiw_sl+pb_sl/2)+11*(bw_sl-2*(c_sl+phiw_sl+pb_sl/2))/(nb_sl-1)))+(pb_sl/2)*1.000000,NA()),NA())</f>
        <v/>
      </c>
      <c r="CB15">
        <f>IF(11&lt;nb_sl,(db_sl)+(pb_sl/2)*-0.000000,NA())</f>
        <v/>
      </c>
    </row>
  </sheetData>
  <sheetProtection selectLockedCells="0" selectUnlockedCells="0" sheet="1" objects="1" insertRows="1" insertHyperlinks="1" autoFilter="1" scenarios="0" formatColumns="1" deleteColumns="1" insertColumns="1" pivotTables="1" deleteRows="1" formatCells="1" formatRows="1" sort="1" password="AA0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CC65"/>
  <sheetViews>
    <sheetView tabSelected="0" workbookViewId="0">
      <selection activeCell="A1" sqref="A1"/>
    </sheetView>
  </sheetViews>
  <sheetFormatPr baseColWidth="8" defaultRowHeight="15"/>
  <sheetData>
    <row r="1">
      <c r="A1" t="inlineStr">
        <is>
          <t>Bisections for the cracked neutral axis depth x (mm from the compressed face). Generated - do not edit.</t>
        </is>
      </c>
    </row>
    <row r="3">
      <c r="B3" s="47" t="inlineStr">
        <is>
          <t>x0S: pure bending, short term</t>
        </is>
      </c>
      <c r="K3" s="47" t="inlineStr">
        <is>
          <t>x0L: pure bending, long term</t>
        </is>
      </c>
      <c r="T3" s="47" t="inlineStr">
        <is>
          <t>x0M: pure bending, mixed</t>
        </is>
      </c>
      <c r="AC3" s="47" t="inlineStr">
        <is>
          <t>kS: characteristic, short term</t>
        </is>
      </c>
      <c r="AL3" s="47" t="inlineStr">
        <is>
          <t>kL: characteristic, long term</t>
        </is>
      </c>
      <c r="AU3" s="47" t="inlineStr">
        <is>
          <t>qS: quasi-permanent, short term</t>
        </is>
      </c>
      <c r="BD3" s="47" t="inlineStr">
        <is>
          <t>qL: quasi-permanent, long term</t>
        </is>
      </c>
      <c r="BM3" s="47" t="inlineStr">
        <is>
          <t>dS: increment k − qp, short term</t>
        </is>
      </c>
      <c r="BV3" s="47" t="inlineStr">
        <is>
          <t>mx: characteristic, creep φ Mqp / Mk</t>
        </is>
      </c>
    </row>
    <row r="4">
      <c r="B4" s="48" t="inlineStr">
        <is>
          <t>x low</t>
        </is>
      </c>
      <c r="C4" s="48" t="inlineStr">
        <is>
          <t>x high</t>
        </is>
      </c>
      <c r="D4" s="48" t="inlineStr">
        <is>
          <t>x</t>
        </is>
      </c>
      <c r="E4" s="48" t="inlineStr">
        <is>
          <t>web</t>
        </is>
      </c>
      <c r="F4" s="48" t="inlineStr">
        <is>
          <t>flange</t>
        </is>
      </c>
      <c r="G4" s="48" t="inlineStr">
        <is>
          <t>Q</t>
        </is>
      </c>
      <c r="H4" s="48" t="inlineStr">
        <is>
          <t>J</t>
        </is>
      </c>
      <c r="I4" s="48" t="inlineStr">
        <is>
          <t>f</t>
        </is>
      </c>
      <c r="K4" s="48" t="inlineStr">
        <is>
          <t>x low</t>
        </is>
      </c>
      <c r="L4" s="48" t="inlineStr">
        <is>
          <t>x high</t>
        </is>
      </c>
      <c r="M4" s="48" t="inlineStr">
        <is>
          <t>x</t>
        </is>
      </c>
      <c r="N4" s="48" t="inlineStr">
        <is>
          <t>web</t>
        </is>
      </c>
      <c r="O4" s="48" t="inlineStr">
        <is>
          <t>flange</t>
        </is>
      </c>
      <c r="P4" s="48" t="inlineStr">
        <is>
          <t>Q</t>
        </is>
      </c>
      <c r="Q4" s="48" t="inlineStr">
        <is>
          <t>J</t>
        </is>
      </c>
      <c r="R4" s="48" t="inlineStr">
        <is>
          <t>f</t>
        </is>
      </c>
      <c r="T4" s="48" t="inlineStr">
        <is>
          <t>x low</t>
        </is>
      </c>
      <c r="U4" s="48" t="inlineStr">
        <is>
          <t>x high</t>
        </is>
      </c>
      <c r="V4" s="48" t="inlineStr">
        <is>
          <t>x</t>
        </is>
      </c>
      <c r="W4" s="48" t="inlineStr">
        <is>
          <t>web</t>
        </is>
      </c>
      <c r="X4" s="48" t="inlineStr">
        <is>
          <t>flange</t>
        </is>
      </c>
      <c r="Y4" s="48" t="inlineStr">
        <is>
          <t>Q</t>
        </is>
      </c>
      <c r="Z4" s="48" t="inlineStr">
        <is>
          <t>J</t>
        </is>
      </c>
      <c r="AA4" s="48" t="inlineStr">
        <is>
          <t>f</t>
        </is>
      </c>
      <c r="AC4" s="48" t="inlineStr">
        <is>
          <t>x low</t>
        </is>
      </c>
      <c r="AD4" s="48" t="inlineStr">
        <is>
          <t>x high</t>
        </is>
      </c>
      <c r="AE4" s="48" t="inlineStr">
        <is>
          <t>x</t>
        </is>
      </c>
      <c r="AF4" s="48" t="inlineStr">
        <is>
          <t>web</t>
        </is>
      </c>
      <c r="AG4" s="48" t="inlineStr">
        <is>
          <t>flange</t>
        </is>
      </c>
      <c r="AH4" s="48" t="inlineStr">
        <is>
          <t>Q</t>
        </is>
      </c>
      <c r="AI4" s="48" t="inlineStr">
        <is>
          <t>J</t>
        </is>
      </c>
      <c r="AJ4" s="48" t="inlineStr">
        <is>
          <t>f</t>
        </is>
      </c>
      <c r="AL4" s="48" t="inlineStr">
        <is>
          <t>x low</t>
        </is>
      </c>
      <c r="AM4" s="48" t="inlineStr">
        <is>
          <t>x high</t>
        </is>
      </c>
      <c r="AN4" s="48" t="inlineStr">
        <is>
          <t>x</t>
        </is>
      </c>
      <c r="AO4" s="48" t="inlineStr">
        <is>
          <t>web</t>
        </is>
      </c>
      <c r="AP4" s="48" t="inlineStr">
        <is>
          <t>flange</t>
        </is>
      </c>
      <c r="AQ4" s="48" t="inlineStr">
        <is>
          <t>Q</t>
        </is>
      </c>
      <c r="AR4" s="48" t="inlineStr">
        <is>
          <t>J</t>
        </is>
      </c>
      <c r="AS4" s="48" t="inlineStr">
        <is>
          <t>f</t>
        </is>
      </c>
      <c r="AU4" s="48" t="inlineStr">
        <is>
          <t>x low</t>
        </is>
      </c>
      <c r="AV4" s="48" t="inlineStr">
        <is>
          <t>x high</t>
        </is>
      </c>
      <c r="AW4" s="48" t="inlineStr">
        <is>
          <t>x</t>
        </is>
      </c>
      <c r="AX4" s="48" t="inlineStr">
        <is>
          <t>web</t>
        </is>
      </c>
      <c r="AY4" s="48" t="inlineStr">
        <is>
          <t>flange</t>
        </is>
      </c>
      <c r="AZ4" s="48" t="inlineStr">
        <is>
          <t>Q</t>
        </is>
      </c>
      <c r="BA4" s="48" t="inlineStr">
        <is>
          <t>J</t>
        </is>
      </c>
      <c r="BB4" s="48" t="inlineStr">
        <is>
          <t>f</t>
        </is>
      </c>
      <c r="BD4" s="48" t="inlineStr">
        <is>
          <t>x low</t>
        </is>
      </c>
      <c r="BE4" s="48" t="inlineStr">
        <is>
          <t>x high</t>
        </is>
      </c>
      <c r="BF4" s="48" t="inlineStr">
        <is>
          <t>x</t>
        </is>
      </c>
      <c r="BG4" s="48" t="inlineStr">
        <is>
          <t>web</t>
        </is>
      </c>
      <c r="BH4" s="48" t="inlineStr">
        <is>
          <t>flange</t>
        </is>
      </c>
      <c r="BI4" s="48" t="inlineStr">
        <is>
          <t>Q</t>
        </is>
      </c>
      <c r="BJ4" s="48" t="inlineStr">
        <is>
          <t>J</t>
        </is>
      </c>
      <c r="BK4" s="48" t="inlineStr">
        <is>
          <t>f</t>
        </is>
      </c>
      <c r="BM4" s="48" t="inlineStr">
        <is>
          <t>x low</t>
        </is>
      </c>
      <c r="BN4" s="48" t="inlineStr">
        <is>
          <t>x high</t>
        </is>
      </c>
      <c r="BO4" s="48" t="inlineStr">
        <is>
          <t>x</t>
        </is>
      </c>
      <c r="BP4" s="48" t="inlineStr">
        <is>
          <t>web</t>
        </is>
      </c>
      <c r="BQ4" s="48" t="inlineStr">
        <is>
          <t>flange</t>
        </is>
      </c>
      <c r="BR4" s="48" t="inlineStr">
        <is>
          <t>Q</t>
        </is>
      </c>
      <c r="BS4" s="48" t="inlineStr">
        <is>
          <t>J</t>
        </is>
      </c>
      <c r="BT4" s="48" t="inlineStr">
        <is>
          <t>f</t>
        </is>
      </c>
      <c r="BV4" s="48" t="inlineStr">
        <is>
          <t>x low</t>
        </is>
      </c>
      <c r="BW4" s="48" t="inlineStr">
        <is>
          <t>x high</t>
        </is>
      </c>
      <c r="BX4" s="48" t="inlineStr">
        <is>
          <t>x</t>
        </is>
      </c>
      <c r="BY4" s="48" t="inlineStr">
        <is>
          <t>web</t>
        </is>
      </c>
      <c r="BZ4" s="48" t="inlineStr">
        <is>
          <t>flange</t>
        </is>
      </c>
      <c r="CA4" s="48" t="inlineStr">
        <is>
          <t>Q</t>
        </is>
      </c>
      <c r="CB4" s="48" t="inlineStr">
        <is>
          <t>J</t>
        </is>
      </c>
      <c r="CC4" s="48" t="inlineStr">
        <is>
          <t>f</t>
        </is>
      </c>
    </row>
    <row r="5">
      <c r="B5" t="inlineStr">
        <is>
          <t>at h</t>
        </is>
      </c>
      <c r="D5">
        <f>h_sl</f>
        <v/>
      </c>
      <c r="E5">
        <f>MIN(MAX(D5,0),h_sl)</f>
        <v/>
      </c>
      <c r="F5">
        <f>MIN(MAX(D5-af_sl,0),hfe_sl)</f>
        <v/>
      </c>
      <c r="G5">
        <f>bw_sl*E5*(D5-E5/2)+ov_sl*F5*(D5-af_sl-F5/2)+(aeS_sl-(D5&gt;y1_sl))*A1_sl*(D5-y1_sl)+(aeS_sl-(D5&gt;y2_sl))*A2_sl*(D5-y2_sl)</f>
        <v/>
      </c>
      <c r="H5">
        <f>bw_sl*(D5*yc_sl*E5-(D5+yc_sl)*E5^2/2+E5^3/3)+ov_sl*((D5-af_sl)*(yc_sl-af_sl)*F5-(D5+yc_sl-2*af_sl)*F5^2/2+F5^3/3)+(aeS_sl-(D5&gt;y1_sl))*A1_sl*(D5-y1_sl)*(yc_sl-y1_sl)+(aeS_sl-(D5&gt;y2_sl))*A2_sl*(D5-y2_sl)*(yc_sl-y2_sl)</f>
        <v/>
      </c>
      <c r="I5">
        <f>-G5</f>
        <v/>
      </c>
      <c r="K5" t="inlineStr">
        <is>
          <t>at h</t>
        </is>
      </c>
      <c r="M5">
        <f>h_sl</f>
        <v/>
      </c>
      <c r="N5">
        <f>MIN(MAX(M5,0),h_sl)</f>
        <v/>
      </c>
      <c r="O5">
        <f>MIN(MAX(M5-af_sl,0),hfe_sl)</f>
        <v/>
      </c>
      <c r="P5">
        <f>bw_sl*N5*(M5-N5/2)+ov_sl*O5*(M5-af_sl-O5/2)+(aeL_sl-(M5&gt;y1_sl))*A1_sl*(M5-y1_sl)+(aeL_sl-(M5&gt;y2_sl))*A2_sl*(M5-y2_sl)</f>
        <v/>
      </c>
      <c r="Q5">
        <f>bw_sl*(M5*yc_sl*N5-(M5+yc_sl)*N5^2/2+N5^3/3)+ov_sl*((M5-af_sl)*(yc_sl-af_sl)*O5-(M5+yc_sl-2*af_sl)*O5^2/2+O5^3/3)+(aeL_sl-(M5&gt;y1_sl))*A1_sl*(M5-y1_sl)*(yc_sl-y1_sl)+(aeL_sl-(M5&gt;y2_sl))*A2_sl*(M5-y2_sl)*(yc_sl-y2_sl)</f>
        <v/>
      </c>
      <c r="R5">
        <f>-P5</f>
        <v/>
      </c>
      <c r="T5" t="inlineStr">
        <is>
          <t>at h</t>
        </is>
      </c>
      <c r="V5">
        <f>h_sl</f>
        <v/>
      </c>
      <c r="W5">
        <f>MIN(MAX(V5,0),h_sl)</f>
        <v/>
      </c>
      <c r="X5">
        <f>MIN(MAX(V5-af_sl,0),hfe_sl)</f>
        <v/>
      </c>
      <c r="Y5">
        <f>bw_sl*W5*(V5-W5/2)+ov_sl*X5*(V5-af_sl-X5/2)+(aeM_sl-(V5&gt;y1_sl))*A1_sl*(V5-y1_sl)+(aeM_sl-(V5&gt;y2_sl))*A2_sl*(V5-y2_sl)</f>
        <v/>
      </c>
      <c r="Z5">
        <f>bw_sl*(V5*yc_sl*W5-(V5+yc_sl)*W5^2/2+W5^3/3)+ov_sl*((V5-af_sl)*(yc_sl-af_sl)*X5-(V5+yc_sl-2*af_sl)*X5^2/2+X5^3/3)+(aeM_sl-(V5&gt;y1_sl))*A1_sl*(V5-y1_sl)*(yc_sl-y1_sl)+(aeM_sl-(V5&gt;y2_sl))*A2_sl*(V5-y2_sl)*(yc_sl-y2_sl)</f>
        <v/>
      </c>
      <c r="AA5">
        <f>-Y5</f>
        <v/>
      </c>
      <c r="AC5" t="inlineStr">
        <is>
          <t>at h</t>
        </is>
      </c>
      <c r="AE5">
        <f>h_sl</f>
        <v/>
      </c>
      <c r="AF5">
        <f>MIN(MAX(AE5,0),h_sl)</f>
        <v/>
      </c>
      <c r="AG5">
        <f>MIN(MAX(AE5-af_sl,0),hfe_sl)</f>
        <v/>
      </c>
      <c r="AH5">
        <f>bw_sl*AF5*(AE5-AF5/2)+ov_sl*AG5*(AE5-af_sl-AG5/2)+(aeS_sl-(AE5&gt;y1_sl))*A1_sl*(AE5-y1_sl)+(aeS_sl-(AE5&gt;y2_sl))*A2_sl*(AE5-y2_sl)</f>
        <v/>
      </c>
      <c r="AI5">
        <f>bw_sl*(AE5*yc_sl*AF5-(AE5+yc_sl)*AF5^2/2+AF5^3/3)+ov_sl*((AE5-af_sl)*(yc_sl-af_sl)*AG5-(AE5+yc_sl-2*af_sl)*AG5^2/2+AG5^3/3)+(aeS_sl-(AE5&gt;y1_sl))*A1_sl*(AE5-y1_sl)*(yc_sl-y1_sl)+(aeS_sl-(AE5&gt;y2_sl))*A2_sl*(AE5-y2_sl)*(yc_sl-y2_sl)</f>
        <v/>
      </c>
      <c r="AJ5">
        <f>Nk_sl*1000*AI5-Mk_sl*1E6*AH5</f>
        <v/>
      </c>
      <c r="AL5" t="inlineStr">
        <is>
          <t>at h</t>
        </is>
      </c>
      <c r="AN5">
        <f>h_sl</f>
        <v/>
      </c>
      <c r="AO5">
        <f>MIN(MAX(AN5,0),h_sl)</f>
        <v/>
      </c>
      <c r="AP5">
        <f>MIN(MAX(AN5-af_sl,0),hfe_sl)</f>
        <v/>
      </c>
      <c r="AQ5">
        <f>bw_sl*AO5*(AN5-AO5/2)+ov_sl*AP5*(AN5-af_sl-AP5/2)+(aeL_sl-(AN5&gt;y1_sl))*A1_sl*(AN5-y1_sl)+(aeL_sl-(AN5&gt;y2_sl))*A2_sl*(AN5-y2_sl)</f>
        <v/>
      </c>
      <c r="AR5">
        <f>bw_sl*(AN5*yc_sl*AO5-(AN5+yc_sl)*AO5^2/2+AO5^3/3)+ov_sl*((AN5-af_sl)*(yc_sl-af_sl)*AP5-(AN5+yc_sl-2*af_sl)*AP5^2/2+AP5^3/3)+(aeL_sl-(AN5&gt;y1_sl))*A1_sl*(AN5-y1_sl)*(yc_sl-y1_sl)+(aeL_sl-(AN5&gt;y2_sl))*A2_sl*(AN5-y2_sl)*(yc_sl-y2_sl)</f>
        <v/>
      </c>
      <c r="AS5">
        <f>Nk_sl*1000*AR5-Mk_sl*1E6*AQ5</f>
        <v/>
      </c>
      <c r="AU5" t="inlineStr">
        <is>
          <t>at h</t>
        </is>
      </c>
      <c r="AW5">
        <f>h_sl</f>
        <v/>
      </c>
      <c r="AX5">
        <f>MIN(MAX(AW5,0),h_sl)</f>
        <v/>
      </c>
      <c r="AY5">
        <f>MIN(MAX(AW5-af_sl,0),hfe_sl)</f>
        <v/>
      </c>
      <c r="AZ5">
        <f>bw_sl*AX5*(AW5-AX5/2)+ov_sl*AY5*(AW5-af_sl-AY5/2)+(aeS_sl-(AW5&gt;y1_sl))*A1_sl*(AW5-y1_sl)+(aeS_sl-(AW5&gt;y2_sl))*A2_sl*(AW5-y2_sl)</f>
        <v/>
      </c>
      <c r="BA5">
        <f>bw_sl*(AW5*yc_sl*AX5-(AW5+yc_sl)*AX5^2/2+AX5^3/3)+ov_sl*((AW5-af_sl)*(yc_sl-af_sl)*AY5-(AW5+yc_sl-2*af_sl)*AY5^2/2+AY5^3/3)+(aeS_sl-(AW5&gt;y1_sl))*A1_sl*(AW5-y1_sl)*(yc_sl-y1_sl)+(aeS_sl-(AW5&gt;y2_sl))*A2_sl*(AW5-y2_sl)*(yc_sl-y2_sl)</f>
        <v/>
      </c>
      <c r="BB5">
        <f>Nqp_sl*1000*BA5-Mqp_sl*1E6*AZ5</f>
        <v/>
      </c>
      <c r="BD5" t="inlineStr">
        <is>
          <t>at h</t>
        </is>
      </c>
      <c r="BF5">
        <f>h_sl</f>
        <v/>
      </c>
      <c r="BG5">
        <f>MIN(MAX(BF5,0),h_sl)</f>
        <v/>
      </c>
      <c r="BH5">
        <f>MIN(MAX(BF5-af_sl,0),hfe_sl)</f>
        <v/>
      </c>
      <c r="BI5">
        <f>bw_sl*BG5*(BF5-BG5/2)+ov_sl*BH5*(BF5-af_sl-BH5/2)+(aeL_sl-(BF5&gt;y1_sl))*A1_sl*(BF5-y1_sl)+(aeL_sl-(BF5&gt;y2_sl))*A2_sl*(BF5-y2_sl)</f>
        <v/>
      </c>
      <c r="BJ5">
        <f>bw_sl*(BF5*yc_sl*BG5-(BF5+yc_sl)*BG5^2/2+BG5^3/3)+ov_sl*((BF5-af_sl)*(yc_sl-af_sl)*BH5-(BF5+yc_sl-2*af_sl)*BH5^2/2+BH5^3/3)+(aeL_sl-(BF5&gt;y1_sl))*A1_sl*(BF5-y1_sl)*(yc_sl-y1_sl)+(aeL_sl-(BF5&gt;y2_sl))*A2_sl*(BF5-y2_sl)*(yc_sl-y2_sl)</f>
        <v/>
      </c>
      <c r="BK5">
        <f>Nqp_sl*1000*BJ5-Mqp_sl*1E6*BI5</f>
        <v/>
      </c>
      <c r="BM5" t="inlineStr">
        <is>
          <t>at h</t>
        </is>
      </c>
      <c r="BO5">
        <f>h_sl</f>
        <v/>
      </c>
      <c r="BP5">
        <f>MIN(MAX(BO5,0),h_sl)</f>
        <v/>
      </c>
      <c r="BQ5">
        <f>MIN(MAX(BO5-af_sl,0),hfe_sl)</f>
        <v/>
      </c>
      <c r="BR5">
        <f>bw_sl*BP5*(BO5-BP5/2)+ov_sl*BQ5*(BO5-af_sl-BQ5/2)+(aeS_sl-(BO5&gt;y1_sl))*A1_sl*(BO5-y1_sl)+(aeS_sl-(BO5&gt;y2_sl))*A2_sl*(BO5-y2_sl)</f>
        <v/>
      </c>
      <c r="BS5">
        <f>bw_sl*(BO5*yc_sl*BP5-(BO5+yc_sl)*BP5^2/2+BP5^3/3)+ov_sl*((BO5-af_sl)*(yc_sl-af_sl)*BQ5-(BO5+yc_sl-2*af_sl)*BQ5^2/2+BQ5^3/3)+(aeS_sl-(BO5&gt;y1_sl))*A1_sl*(BO5-y1_sl)*(yc_sl-y1_sl)+(aeS_sl-(BO5&gt;y2_sl))*A2_sl*(BO5-y2_sl)*(yc_sl-y2_sl)</f>
        <v/>
      </c>
      <c r="BT5">
        <f>dN_sl*1000*BS5-dM_sl*1E6*BR5</f>
        <v/>
      </c>
      <c r="BV5" t="inlineStr">
        <is>
          <t>at h</t>
        </is>
      </c>
      <c r="BX5">
        <f>h_sl</f>
        <v/>
      </c>
      <c r="BY5">
        <f>MIN(MAX(BX5,0),h_sl)</f>
        <v/>
      </c>
      <c r="BZ5">
        <f>MIN(MAX(BX5-af_sl,0),hfe_sl)</f>
        <v/>
      </c>
      <c r="CA5">
        <f>bw_sl*BY5*(BX5-BY5/2)+ov_sl*BZ5*(BX5-af_sl-BZ5/2)+(aeM_sl-(BX5&gt;y1_sl))*A1_sl*(BX5-y1_sl)+(aeM_sl-(BX5&gt;y2_sl))*A2_sl*(BX5-y2_sl)</f>
        <v/>
      </c>
      <c r="CB5">
        <f>bw_sl*(BX5*yc_sl*BY5-(BX5+yc_sl)*BY5^2/2+BY5^3/3)+ov_sl*((BX5-af_sl)*(yc_sl-af_sl)*BZ5-(BX5+yc_sl-2*af_sl)*BZ5^2/2+BZ5^3/3)+(aeM_sl-(BX5&gt;y1_sl))*A1_sl*(BX5-y1_sl)*(yc_sl-y1_sl)+(aeM_sl-(BX5&gt;y2_sl))*A2_sl*(BX5-y2_sl)*(yc_sl-y2_sl)</f>
        <v/>
      </c>
      <c r="CC5">
        <f>Nk_sl*1000*CB5-Mk_sl*1E6*CA5</f>
        <v/>
      </c>
    </row>
    <row r="6">
      <c r="B6">
        <f>0</f>
        <v/>
      </c>
      <c r="C6">
        <f>h_sl</f>
        <v/>
      </c>
      <c r="D6">
        <f>(B6+C6)/2</f>
        <v/>
      </c>
      <c r="E6">
        <f>MIN(MAX(D6,0),h_sl)</f>
        <v/>
      </c>
      <c r="F6">
        <f>MIN(MAX(D6-af_sl,0),hfe_sl)</f>
        <v/>
      </c>
      <c r="G6">
        <f>bw_sl*E6*(D6-E6/2)+ov_sl*F6*(D6-af_sl-F6/2)+(aeS_sl-(D6&gt;y1_sl))*A1_sl*(D6-y1_sl)+(aeS_sl-(D6&gt;y2_sl))*A2_sl*(D6-y2_sl)</f>
        <v/>
      </c>
      <c r="H6">
        <f>bw_sl*(D6*yc_sl*E6-(D6+yc_sl)*E6^2/2+E6^3/3)+ov_sl*((D6-af_sl)*(yc_sl-af_sl)*F6-(D6+yc_sl-2*af_sl)*F6^2/2+F6^3/3)+(aeS_sl-(D6&gt;y1_sl))*A1_sl*(D6-y1_sl)*(yc_sl-y1_sl)+(aeS_sl-(D6&gt;y2_sl))*A2_sl*(D6-y2_sl)*(yc_sl-y2_sl)</f>
        <v/>
      </c>
      <c r="I6">
        <f>-G6</f>
        <v/>
      </c>
      <c r="K6">
        <f>0</f>
        <v/>
      </c>
      <c r="L6">
        <f>h_sl</f>
        <v/>
      </c>
      <c r="M6">
        <f>(K6+L6)/2</f>
        <v/>
      </c>
      <c r="N6">
        <f>MIN(MAX(M6,0),h_sl)</f>
        <v/>
      </c>
      <c r="O6">
        <f>MIN(MAX(M6-af_sl,0),hfe_sl)</f>
        <v/>
      </c>
      <c r="P6">
        <f>bw_sl*N6*(M6-N6/2)+ov_sl*O6*(M6-af_sl-O6/2)+(aeL_sl-(M6&gt;y1_sl))*A1_sl*(M6-y1_sl)+(aeL_sl-(M6&gt;y2_sl))*A2_sl*(M6-y2_sl)</f>
        <v/>
      </c>
      <c r="Q6">
        <f>bw_sl*(M6*yc_sl*N6-(M6+yc_sl)*N6^2/2+N6^3/3)+ov_sl*((M6-af_sl)*(yc_sl-af_sl)*O6-(M6+yc_sl-2*af_sl)*O6^2/2+O6^3/3)+(aeL_sl-(M6&gt;y1_sl))*A1_sl*(M6-y1_sl)*(yc_sl-y1_sl)+(aeL_sl-(M6&gt;y2_sl))*A2_sl*(M6-y2_sl)*(yc_sl-y2_sl)</f>
        <v/>
      </c>
      <c r="R6">
        <f>-P6</f>
        <v/>
      </c>
      <c r="T6">
        <f>0</f>
        <v/>
      </c>
      <c r="U6">
        <f>h_sl</f>
        <v/>
      </c>
      <c r="V6">
        <f>(T6+U6)/2</f>
        <v/>
      </c>
      <c r="W6">
        <f>MIN(MAX(V6,0),h_sl)</f>
        <v/>
      </c>
      <c r="X6">
        <f>MIN(MAX(V6-af_sl,0),hfe_sl)</f>
        <v/>
      </c>
      <c r="Y6">
        <f>bw_sl*W6*(V6-W6/2)+ov_sl*X6*(V6-af_sl-X6/2)+(aeM_sl-(V6&gt;y1_sl))*A1_sl*(V6-y1_sl)+(aeM_sl-(V6&gt;y2_sl))*A2_sl*(V6-y2_sl)</f>
        <v/>
      </c>
      <c r="Z6">
        <f>bw_sl*(V6*yc_sl*W6-(V6+yc_sl)*W6^2/2+W6^3/3)+ov_sl*((V6-af_sl)*(yc_sl-af_sl)*X6-(V6+yc_sl-2*af_sl)*X6^2/2+X6^3/3)+(aeM_sl-(V6&gt;y1_sl))*A1_sl*(V6-y1_sl)*(yc_sl-y1_sl)+(aeM_sl-(V6&gt;y2_sl))*A2_sl*(V6-y2_sl)*(yc_sl-y2_sl)</f>
        <v/>
      </c>
      <c r="AA6">
        <f>-Y6</f>
        <v/>
      </c>
      <c r="AC6">
        <f>x0S_sl</f>
        <v/>
      </c>
      <c r="AD6">
        <f>h_sl</f>
        <v/>
      </c>
      <c r="AE6">
        <f>(AC6+AD6)/2</f>
        <v/>
      </c>
      <c r="AF6">
        <f>MIN(MAX(AE6,0),h_sl)</f>
        <v/>
      </c>
      <c r="AG6">
        <f>MIN(MAX(AE6-af_sl,0),hfe_sl)</f>
        <v/>
      </c>
      <c r="AH6">
        <f>bw_sl*AF6*(AE6-AF6/2)+ov_sl*AG6*(AE6-af_sl-AG6/2)+(aeS_sl-(AE6&gt;y1_sl))*A1_sl*(AE6-y1_sl)+(aeS_sl-(AE6&gt;y2_sl))*A2_sl*(AE6-y2_sl)</f>
        <v/>
      </c>
      <c r="AI6">
        <f>bw_sl*(AE6*yc_sl*AF6-(AE6+yc_sl)*AF6^2/2+AF6^3/3)+ov_sl*((AE6-af_sl)*(yc_sl-af_sl)*AG6-(AE6+yc_sl-2*af_sl)*AG6^2/2+AG6^3/3)+(aeS_sl-(AE6&gt;y1_sl))*A1_sl*(AE6-y1_sl)*(yc_sl-y1_sl)+(aeS_sl-(AE6&gt;y2_sl))*A2_sl*(AE6-y2_sl)*(yc_sl-y2_sl)</f>
        <v/>
      </c>
      <c r="AJ6">
        <f>Nk_sl*1000*AI6-Mk_sl*1E6*AH6</f>
        <v/>
      </c>
      <c r="AL6">
        <f>x0L_sl</f>
        <v/>
      </c>
      <c r="AM6">
        <f>h_sl</f>
        <v/>
      </c>
      <c r="AN6">
        <f>(AL6+AM6)/2</f>
        <v/>
      </c>
      <c r="AO6">
        <f>MIN(MAX(AN6,0),h_sl)</f>
        <v/>
      </c>
      <c r="AP6">
        <f>MIN(MAX(AN6-af_sl,0),hfe_sl)</f>
        <v/>
      </c>
      <c r="AQ6">
        <f>bw_sl*AO6*(AN6-AO6/2)+ov_sl*AP6*(AN6-af_sl-AP6/2)+(aeL_sl-(AN6&gt;y1_sl))*A1_sl*(AN6-y1_sl)+(aeL_sl-(AN6&gt;y2_sl))*A2_sl*(AN6-y2_sl)</f>
        <v/>
      </c>
      <c r="AR6">
        <f>bw_sl*(AN6*yc_sl*AO6-(AN6+yc_sl)*AO6^2/2+AO6^3/3)+ov_sl*((AN6-af_sl)*(yc_sl-af_sl)*AP6-(AN6+yc_sl-2*af_sl)*AP6^2/2+AP6^3/3)+(aeL_sl-(AN6&gt;y1_sl))*A1_sl*(AN6-y1_sl)*(yc_sl-y1_sl)+(aeL_sl-(AN6&gt;y2_sl))*A2_sl*(AN6-y2_sl)*(yc_sl-y2_sl)</f>
        <v/>
      </c>
      <c r="AS6">
        <f>Nk_sl*1000*AR6-Mk_sl*1E6*AQ6</f>
        <v/>
      </c>
      <c r="AU6">
        <f>x0S_sl</f>
        <v/>
      </c>
      <c r="AV6">
        <f>h_sl</f>
        <v/>
      </c>
      <c r="AW6">
        <f>(AU6+AV6)/2</f>
        <v/>
      </c>
      <c r="AX6">
        <f>MIN(MAX(AW6,0),h_sl)</f>
        <v/>
      </c>
      <c r="AY6">
        <f>MIN(MAX(AW6-af_sl,0),hfe_sl)</f>
        <v/>
      </c>
      <c r="AZ6">
        <f>bw_sl*AX6*(AW6-AX6/2)+ov_sl*AY6*(AW6-af_sl-AY6/2)+(aeS_sl-(AW6&gt;y1_sl))*A1_sl*(AW6-y1_sl)+(aeS_sl-(AW6&gt;y2_sl))*A2_sl*(AW6-y2_sl)</f>
        <v/>
      </c>
      <c r="BA6">
        <f>bw_sl*(AW6*yc_sl*AX6-(AW6+yc_sl)*AX6^2/2+AX6^3/3)+ov_sl*((AW6-af_sl)*(yc_sl-af_sl)*AY6-(AW6+yc_sl-2*af_sl)*AY6^2/2+AY6^3/3)+(aeS_sl-(AW6&gt;y1_sl))*A1_sl*(AW6-y1_sl)*(yc_sl-y1_sl)+(aeS_sl-(AW6&gt;y2_sl))*A2_sl*(AW6-y2_sl)*(yc_sl-y2_sl)</f>
        <v/>
      </c>
      <c r="BB6">
        <f>Nqp_sl*1000*BA6-Mqp_sl*1E6*AZ6</f>
        <v/>
      </c>
      <c r="BD6">
        <f>x0L_sl</f>
        <v/>
      </c>
      <c r="BE6">
        <f>h_sl</f>
        <v/>
      </c>
      <c r="BF6">
        <f>(BD6+BE6)/2</f>
        <v/>
      </c>
      <c r="BG6">
        <f>MIN(MAX(BF6,0),h_sl)</f>
        <v/>
      </c>
      <c r="BH6">
        <f>MIN(MAX(BF6-af_sl,0),hfe_sl)</f>
        <v/>
      </c>
      <c r="BI6">
        <f>bw_sl*BG6*(BF6-BG6/2)+ov_sl*BH6*(BF6-af_sl-BH6/2)+(aeL_sl-(BF6&gt;y1_sl))*A1_sl*(BF6-y1_sl)+(aeL_sl-(BF6&gt;y2_sl))*A2_sl*(BF6-y2_sl)</f>
        <v/>
      </c>
      <c r="BJ6">
        <f>bw_sl*(BF6*yc_sl*BG6-(BF6+yc_sl)*BG6^2/2+BG6^3/3)+ov_sl*((BF6-af_sl)*(yc_sl-af_sl)*BH6-(BF6+yc_sl-2*af_sl)*BH6^2/2+BH6^3/3)+(aeL_sl-(BF6&gt;y1_sl))*A1_sl*(BF6-y1_sl)*(yc_sl-y1_sl)+(aeL_sl-(BF6&gt;y2_sl))*A2_sl*(BF6-y2_sl)*(yc_sl-y2_sl)</f>
        <v/>
      </c>
      <c r="BK6">
        <f>Nqp_sl*1000*BJ6-Mqp_sl*1E6*BI6</f>
        <v/>
      </c>
      <c r="BM6">
        <f>x0S_sl</f>
        <v/>
      </c>
      <c r="BN6">
        <f>h_sl</f>
        <v/>
      </c>
      <c r="BO6">
        <f>(BM6+BN6)/2</f>
        <v/>
      </c>
      <c r="BP6">
        <f>MIN(MAX(BO6,0),h_sl)</f>
        <v/>
      </c>
      <c r="BQ6">
        <f>MIN(MAX(BO6-af_sl,0),hfe_sl)</f>
        <v/>
      </c>
      <c r="BR6">
        <f>bw_sl*BP6*(BO6-BP6/2)+ov_sl*BQ6*(BO6-af_sl-BQ6/2)+(aeS_sl-(BO6&gt;y1_sl))*A1_sl*(BO6-y1_sl)+(aeS_sl-(BO6&gt;y2_sl))*A2_sl*(BO6-y2_sl)</f>
        <v/>
      </c>
      <c r="BS6">
        <f>bw_sl*(BO6*yc_sl*BP6-(BO6+yc_sl)*BP6^2/2+BP6^3/3)+ov_sl*((BO6-af_sl)*(yc_sl-af_sl)*BQ6-(BO6+yc_sl-2*af_sl)*BQ6^2/2+BQ6^3/3)+(aeS_sl-(BO6&gt;y1_sl))*A1_sl*(BO6-y1_sl)*(yc_sl-y1_sl)+(aeS_sl-(BO6&gt;y2_sl))*A2_sl*(BO6-y2_sl)*(yc_sl-y2_sl)</f>
        <v/>
      </c>
      <c r="BT6">
        <f>dN_sl*1000*BS6-dM_sl*1E6*BR6</f>
        <v/>
      </c>
      <c r="BV6">
        <f>x0M_sl</f>
        <v/>
      </c>
      <c r="BW6">
        <f>h_sl</f>
        <v/>
      </c>
      <c r="BX6">
        <f>(BV6+BW6)/2</f>
        <v/>
      </c>
      <c r="BY6">
        <f>MIN(MAX(BX6,0),h_sl)</f>
        <v/>
      </c>
      <c r="BZ6">
        <f>MIN(MAX(BX6-af_sl,0),hfe_sl)</f>
        <v/>
      </c>
      <c r="CA6">
        <f>bw_sl*BY6*(BX6-BY6/2)+ov_sl*BZ6*(BX6-af_sl-BZ6/2)+(aeM_sl-(BX6&gt;y1_sl))*A1_sl*(BX6-y1_sl)+(aeM_sl-(BX6&gt;y2_sl))*A2_sl*(BX6-y2_sl)</f>
        <v/>
      </c>
      <c r="CB6">
        <f>bw_sl*(BX6*yc_sl*BY6-(BX6+yc_sl)*BY6^2/2+BY6^3/3)+ov_sl*((BX6-af_sl)*(yc_sl-af_sl)*BZ6-(BX6+yc_sl-2*af_sl)*BZ6^2/2+BZ6^3/3)+(aeM_sl-(BX6&gt;y1_sl))*A1_sl*(BX6-y1_sl)*(yc_sl-y1_sl)+(aeM_sl-(BX6&gt;y2_sl))*A2_sl*(BX6-y2_sl)*(yc_sl-y2_sl)</f>
        <v/>
      </c>
      <c r="CC6">
        <f>Nk_sl*1000*CB6-Mk_sl*1E6*CA6</f>
        <v/>
      </c>
    </row>
    <row r="7">
      <c r="B7">
        <f>IF(I6&gt;0,D6,B6)</f>
        <v/>
      </c>
      <c r="C7">
        <f>IF(I6&gt;0,C6,D6)</f>
        <v/>
      </c>
      <c r="D7">
        <f>(B7+C7)/2</f>
        <v/>
      </c>
      <c r="E7">
        <f>MIN(MAX(D7,0),h_sl)</f>
        <v/>
      </c>
      <c r="F7">
        <f>MIN(MAX(D7-af_sl,0),hfe_sl)</f>
        <v/>
      </c>
      <c r="G7">
        <f>bw_sl*E7*(D7-E7/2)+ov_sl*F7*(D7-af_sl-F7/2)+(aeS_sl-(D7&gt;y1_sl))*A1_sl*(D7-y1_sl)+(aeS_sl-(D7&gt;y2_sl))*A2_sl*(D7-y2_sl)</f>
        <v/>
      </c>
      <c r="H7">
        <f>bw_sl*(D7*yc_sl*E7-(D7+yc_sl)*E7^2/2+E7^3/3)+ov_sl*((D7-af_sl)*(yc_sl-af_sl)*F7-(D7+yc_sl-2*af_sl)*F7^2/2+F7^3/3)+(aeS_sl-(D7&gt;y1_sl))*A1_sl*(D7-y1_sl)*(yc_sl-y1_sl)+(aeS_sl-(D7&gt;y2_sl))*A2_sl*(D7-y2_sl)*(yc_sl-y2_sl)</f>
        <v/>
      </c>
      <c r="I7">
        <f>-G7</f>
        <v/>
      </c>
      <c r="K7">
        <f>IF(R6&gt;0,M6,K6)</f>
        <v/>
      </c>
      <c r="L7">
        <f>IF(R6&gt;0,L6,M6)</f>
        <v/>
      </c>
      <c r="M7">
        <f>(K7+L7)/2</f>
        <v/>
      </c>
      <c r="N7">
        <f>MIN(MAX(M7,0),h_sl)</f>
        <v/>
      </c>
      <c r="O7">
        <f>MIN(MAX(M7-af_sl,0),hfe_sl)</f>
        <v/>
      </c>
      <c r="P7">
        <f>bw_sl*N7*(M7-N7/2)+ov_sl*O7*(M7-af_sl-O7/2)+(aeL_sl-(M7&gt;y1_sl))*A1_sl*(M7-y1_sl)+(aeL_sl-(M7&gt;y2_sl))*A2_sl*(M7-y2_sl)</f>
        <v/>
      </c>
      <c r="Q7">
        <f>bw_sl*(M7*yc_sl*N7-(M7+yc_sl)*N7^2/2+N7^3/3)+ov_sl*((M7-af_sl)*(yc_sl-af_sl)*O7-(M7+yc_sl-2*af_sl)*O7^2/2+O7^3/3)+(aeL_sl-(M7&gt;y1_sl))*A1_sl*(M7-y1_sl)*(yc_sl-y1_sl)+(aeL_sl-(M7&gt;y2_sl))*A2_sl*(M7-y2_sl)*(yc_sl-y2_sl)</f>
        <v/>
      </c>
      <c r="R7">
        <f>-P7</f>
        <v/>
      </c>
      <c r="T7">
        <f>IF(AA6&gt;0,V6,T6)</f>
        <v/>
      </c>
      <c r="U7">
        <f>IF(AA6&gt;0,U6,V6)</f>
        <v/>
      </c>
      <c r="V7">
        <f>(T7+U7)/2</f>
        <v/>
      </c>
      <c r="W7">
        <f>MIN(MAX(V7,0),h_sl)</f>
        <v/>
      </c>
      <c r="X7">
        <f>MIN(MAX(V7-af_sl,0),hfe_sl)</f>
        <v/>
      </c>
      <c r="Y7">
        <f>bw_sl*W7*(V7-W7/2)+ov_sl*X7*(V7-af_sl-X7/2)+(aeM_sl-(V7&gt;y1_sl))*A1_sl*(V7-y1_sl)+(aeM_sl-(V7&gt;y2_sl))*A2_sl*(V7-y2_sl)</f>
        <v/>
      </c>
      <c r="Z7">
        <f>bw_sl*(V7*yc_sl*W7-(V7+yc_sl)*W7^2/2+W7^3/3)+ov_sl*((V7-af_sl)*(yc_sl-af_sl)*X7-(V7+yc_sl-2*af_sl)*X7^2/2+X7^3/3)+(aeM_sl-(V7&gt;y1_sl))*A1_sl*(V7-y1_sl)*(yc_sl-y1_sl)+(aeM_sl-(V7&gt;y2_sl))*A2_sl*(V7-y2_sl)*(yc_sl-y2_sl)</f>
        <v/>
      </c>
      <c r="AA7">
        <f>-Y7</f>
        <v/>
      </c>
      <c r="AC7">
        <f>IF(AJ6&gt;0,AE6,AC6)</f>
        <v/>
      </c>
      <c r="AD7">
        <f>IF(AJ6&gt;0,AD6,AE6)</f>
        <v/>
      </c>
      <c r="AE7">
        <f>(AC7+AD7)/2</f>
        <v/>
      </c>
      <c r="AF7">
        <f>MIN(MAX(AE7,0),h_sl)</f>
        <v/>
      </c>
      <c r="AG7">
        <f>MIN(MAX(AE7-af_sl,0),hfe_sl)</f>
        <v/>
      </c>
      <c r="AH7">
        <f>bw_sl*AF7*(AE7-AF7/2)+ov_sl*AG7*(AE7-af_sl-AG7/2)+(aeS_sl-(AE7&gt;y1_sl))*A1_sl*(AE7-y1_sl)+(aeS_sl-(AE7&gt;y2_sl))*A2_sl*(AE7-y2_sl)</f>
        <v/>
      </c>
      <c r="AI7">
        <f>bw_sl*(AE7*yc_sl*AF7-(AE7+yc_sl)*AF7^2/2+AF7^3/3)+ov_sl*((AE7-af_sl)*(yc_sl-af_sl)*AG7-(AE7+yc_sl-2*af_sl)*AG7^2/2+AG7^3/3)+(aeS_sl-(AE7&gt;y1_sl))*A1_sl*(AE7-y1_sl)*(yc_sl-y1_sl)+(aeS_sl-(AE7&gt;y2_sl))*A2_sl*(AE7-y2_sl)*(yc_sl-y2_sl)</f>
        <v/>
      </c>
      <c r="AJ7">
        <f>Nk_sl*1000*AI7-Mk_sl*1E6*AH7</f>
        <v/>
      </c>
      <c r="AL7">
        <f>IF(AS6&gt;0,AN6,AL6)</f>
        <v/>
      </c>
      <c r="AM7">
        <f>IF(AS6&gt;0,AM6,AN6)</f>
        <v/>
      </c>
      <c r="AN7">
        <f>(AL7+AM7)/2</f>
        <v/>
      </c>
      <c r="AO7">
        <f>MIN(MAX(AN7,0),h_sl)</f>
        <v/>
      </c>
      <c r="AP7">
        <f>MIN(MAX(AN7-af_sl,0),hfe_sl)</f>
        <v/>
      </c>
      <c r="AQ7">
        <f>bw_sl*AO7*(AN7-AO7/2)+ov_sl*AP7*(AN7-af_sl-AP7/2)+(aeL_sl-(AN7&gt;y1_sl))*A1_sl*(AN7-y1_sl)+(aeL_sl-(AN7&gt;y2_sl))*A2_sl*(AN7-y2_sl)</f>
        <v/>
      </c>
      <c r="AR7">
        <f>bw_sl*(AN7*yc_sl*AO7-(AN7+yc_sl)*AO7^2/2+AO7^3/3)+ov_sl*((AN7-af_sl)*(yc_sl-af_sl)*AP7-(AN7+yc_sl-2*af_sl)*AP7^2/2+AP7^3/3)+(aeL_sl-(AN7&gt;y1_sl))*A1_sl*(AN7-y1_sl)*(yc_sl-y1_sl)+(aeL_sl-(AN7&gt;y2_sl))*A2_sl*(AN7-y2_sl)*(yc_sl-y2_sl)</f>
        <v/>
      </c>
      <c r="AS7">
        <f>Nk_sl*1000*AR7-Mk_sl*1E6*AQ7</f>
        <v/>
      </c>
      <c r="AU7">
        <f>IF(BB6&gt;0,AW6,AU6)</f>
        <v/>
      </c>
      <c r="AV7">
        <f>IF(BB6&gt;0,AV6,AW6)</f>
        <v/>
      </c>
      <c r="AW7">
        <f>(AU7+AV7)/2</f>
        <v/>
      </c>
      <c r="AX7">
        <f>MIN(MAX(AW7,0),h_sl)</f>
        <v/>
      </c>
      <c r="AY7">
        <f>MIN(MAX(AW7-af_sl,0),hfe_sl)</f>
        <v/>
      </c>
      <c r="AZ7">
        <f>bw_sl*AX7*(AW7-AX7/2)+ov_sl*AY7*(AW7-af_sl-AY7/2)+(aeS_sl-(AW7&gt;y1_sl))*A1_sl*(AW7-y1_sl)+(aeS_sl-(AW7&gt;y2_sl))*A2_sl*(AW7-y2_sl)</f>
        <v/>
      </c>
      <c r="BA7">
        <f>bw_sl*(AW7*yc_sl*AX7-(AW7+yc_sl)*AX7^2/2+AX7^3/3)+ov_sl*((AW7-af_sl)*(yc_sl-af_sl)*AY7-(AW7+yc_sl-2*af_sl)*AY7^2/2+AY7^3/3)+(aeS_sl-(AW7&gt;y1_sl))*A1_sl*(AW7-y1_sl)*(yc_sl-y1_sl)+(aeS_sl-(AW7&gt;y2_sl))*A2_sl*(AW7-y2_sl)*(yc_sl-y2_sl)</f>
        <v/>
      </c>
      <c r="BB7">
        <f>Nqp_sl*1000*BA7-Mqp_sl*1E6*AZ7</f>
        <v/>
      </c>
      <c r="BD7">
        <f>IF(BK6&gt;0,BF6,BD6)</f>
        <v/>
      </c>
      <c r="BE7">
        <f>IF(BK6&gt;0,BE6,BF6)</f>
        <v/>
      </c>
      <c r="BF7">
        <f>(BD7+BE7)/2</f>
        <v/>
      </c>
      <c r="BG7">
        <f>MIN(MAX(BF7,0),h_sl)</f>
        <v/>
      </c>
      <c r="BH7">
        <f>MIN(MAX(BF7-af_sl,0),hfe_sl)</f>
        <v/>
      </c>
      <c r="BI7">
        <f>bw_sl*BG7*(BF7-BG7/2)+ov_sl*BH7*(BF7-af_sl-BH7/2)+(aeL_sl-(BF7&gt;y1_sl))*A1_sl*(BF7-y1_sl)+(aeL_sl-(BF7&gt;y2_sl))*A2_sl*(BF7-y2_sl)</f>
        <v/>
      </c>
      <c r="BJ7">
        <f>bw_sl*(BF7*yc_sl*BG7-(BF7+yc_sl)*BG7^2/2+BG7^3/3)+ov_sl*((BF7-af_sl)*(yc_sl-af_sl)*BH7-(BF7+yc_sl-2*af_sl)*BH7^2/2+BH7^3/3)+(aeL_sl-(BF7&gt;y1_sl))*A1_sl*(BF7-y1_sl)*(yc_sl-y1_sl)+(aeL_sl-(BF7&gt;y2_sl))*A2_sl*(BF7-y2_sl)*(yc_sl-y2_sl)</f>
        <v/>
      </c>
      <c r="BK7">
        <f>Nqp_sl*1000*BJ7-Mqp_sl*1E6*BI7</f>
        <v/>
      </c>
      <c r="BM7">
        <f>IF(BT6&gt;0,BO6,BM6)</f>
        <v/>
      </c>
      <c r="BN7">
        <f>IF(BT6&gt;0,BN6,BO6)</f>
        <v/>
      </c>
      <c r="BO7">
        <f>(BM7+BN7)/2</f>
        <v/>
      </c>
      <c r="BP7">
        <f>MIN(MAX(BO7,0),h_sl)</f>
        <v/>
      </c>
      <c r="BQ7">
        <f>MIN(MAX(BO7-af_sl,0),hfe_sl)</f>
        <v/>
      </c>
      <c r="BR7">
        <f>bw_sl*BP7*(BO7-BP7/2)+ov_sl*BQ7*(BO7-af_sl-BQ7/2)+(aeS_sl-(BO7&gt;y1_sl))*A1_sl*(BO7-y1_sl)+(aeS_sl-(BO7&gt;y2_sl))*A2_sl*(BO7-y2_sl)</f>
        <v/>
      </c>
      <c r="BS7">
        <f>bw_sl*(BO7*yc_sl*BP7-(BO7+yc_sl)*BP7^2/2+BP7^3/3)+ov_sl*((BO7-af_sl)*(yc_sl-af_sl)*BQ7-(BO7+yc_sl-2*af_sl)*BQ7^2/2+BQ7^3/3)+(aeS_sl-(BO7&gt;y1_sl))*A1_sl*(BO7-y1_sl)*(yc_sl-y1_sl)+(aeS_sl-(BO7&gt;y2_sl))*A2_sl*(BO7-y2_sl)*(yc_sl-y2_sl)</f>
        <v/>
      </c>
      <c r="BT7">
        <f>dN_sl*1000*BS7-dM_sl*1E6*BR7</f>
        <v/>
      </c>
      <c r="BV7">
        <f>IF(CC6&gt;0,BX6,BV6)</f>
        <v/>
      </c>
      <c r="BW7">
        <f>IF(CC6&gt;0,BW6,BX6)</f>
        <v/>
      </c>
      <c r="BX7">
        <f>(BV7+BW7)/2</f>
        <v/>
      </c>
      <c r="BY7">
        <f>MIN(MAX(BX7,0),h_sl)</f>
        <v/>
      </c>
      <c r="BZ7">
        <f>MIN(MAX(BX7-af_sl,0),hfe_sl)</f>
        <v/>
      </c>
      <c r="CA7">
        <f>bw_sl*BY7*(BX7-BY7/2)+ov_sl*BZ7*(BX7-af_sl-BZ7/2)+(aeM_sl-(BX7&gt;y1_sl))*A1_sl*(BX7-y1_sl)+(aeM_sl-(BX7&gt;y2_sl))*A2_sl*(BX7-y2_sl)</f>
        <v/>
      </c>
      <c r="CB7">
        <f>bw_sl*(BX7*yc_sl*BY7-(BX7+yc_sl)*BY7^2/2+BY7^3/3)+ov_sl*((BX7-af_sl)*(yc_sl-af_sl)*BZ7-(BX7+yc_sl-2*af_sl)*BZ7^2/2+BZ7^3/3)+(aeM_sl-(BX7&gt;y1_sl))*A1_sl*(BX7-y1_sl)*(yc_sl-y1_sl)+(aeM_sl-(BX7&gt;y2_sl))*A2_sl*(BX7-y2_sl)*(yc_sl-y2_sl)</f>
        <v/>
      </c>
      <c r="CC7">
        <f>Nk_sl*1000*CB7-Mk_sl*1E6*CA7</f>
        <v/>
      </c>
    </row>
    <row r="8">
      <c r="B8">
        <f>IF(I7&gt;0,D7,B7)</f>
        <v/>
      </c>
      <c r="C8">
        <f>IF(I7&gt;0,C7,D7)</f>
        <v/>
      </c>
      <c r="D8">
        <f>(B8+C8)/2</f>
        <v/>
      </c>
      <c r="E8">
        <f>MIN(MAX(D8,0),h_sl)</f>
        <v/>
      </c>
      <c r="F8">
        <f>MIN(MAX(D8-af_sl,0),hfe_sl)</f>
        <v/>
      </c>
      <c r="G8">
        <f>bw_sl*E8*(D8-E8/2)+ov_sl*F8*(D8-af_sl-F8/2)+(aeS_sl-(D8&gt;y1_sl))*A1_sl*(D8-y1_sl)+(aeS_sl-(D8&gt;y2_sl))*A2_sl*(D8-y2_sl)</f>
        <v/>
      </c>
      <c r="H8">
        <f>bw_sl*(D8*yc_sl*E8-(D8+yc_sl)*E8^2/2+E8^3/3)+ov_sl*((D8-af_sl)*(yc_sl-af_sl)*F8-(D8+yc_sl-2*af_sl)*F8^2/2+F8^3/3)+(aeS_sl-(D8&gt;y1_sl))*A1_sl*(D8-y1_sl)*(yc_sl-y1_sl)+(aeS_sl-(D8&gt;y2_sl))*A2_sl*(D8-y2_sl)*(yc_sl-y2_sl)</f>
        <v/>
      </c>
      <c r="I8">
        <f>-G8</f>
        <v/>
      </c>
      <c r="K8">
        <f>IF(R7&gt;0,M7,K7)</f>
        <v/>
      </c>
      <c r="L8">
        <f>IF(R7&gt;0,L7,M7)</f>
        <v/>
      </c>
      <c r="M8">
        <f>(K8+L8)/2</f>
        <v/>
      </c>
      <c r="N8">
        <f>MIN(MAX(M8,0),h_sl)</f>
        <v/>
      </c>
      <c r="O8">
        <f>MIN(MAX(M8-af_sl,0),hfe_sl)</f>
        <v/>
      </c>
      <c r="P8">
        <f>bw_sl*N8*(M8-N8/2)+ov_sl*O8*(M8-af_sl-O8/2)+(aeL_sl-(M8&gt;y1_sl))*A1_sl*(M8-y1_sl)+(aeL_sl-(M8&gt;y2_sl))*A2_sl*(M8-y2_sl)</f>
        <v/>
      </c>
      <c r="Q8">
        <f>bw_sl*(M8*yc_sl*N8-(M8+yc_sl)*N8^2/2+N8^3/3)+ov_sl*((M8-af_sl)*(yc_sl-af_sl)*O8-(M8+yc_sl-2*af_sl)*O8^2/2+O8^3/3)+(aeL_sl-(M8&gt;y1_sl))*A1_sl*(M8-y1_sl)*(yc_sl-y1_sl)+(aeL_sl-(M8&gt;y2_sl))*A2_sl*(M8-y2_sl)*(yc_sl-y2_sl)</f>
        <v/>
      </c>
      <c r="R8">
        <f>-P8</f>
        <v/>
      </c>
      <c r="T8">
        <f>IF(AA7&gt;0,V7,T7)</f>
        <v/>
      </c>
      <c r="U8">
        <f>IF(AA7&gt;0,U7,V7)</f>
        <v/>
      </c>
      <c r="V8">
        <f>(T8+U8)/2</f>
        <v/>
      </c>
      <c r="W8">
        <f>MIN(MAX(V8,0),h_sl)</f>
        <v/>
      </c>
      <c r="X8">
        <f>MIN(MAX(V8-af_sl,0),hfe_sl)</f>
        <v/>
      </c>
      <c r="Y8">
        <f>bw_sl*W8*(V8-W8/2)+ov_sl*X8*(V8-af_sl-X8/2)+(aeM_sl-(V8&gt;y1_sl))*A1_sl*(V8-y1_sl)+(aeM_sl-(V8&gt;y2_sl))*A2_sl*(V8-y2_sl)</f>
        <v/>
      </c>
      <c r="Z8">
        <f>bw_sl*(V8*yc_sl*W8-(V8+yc_sl)*W8^2/2+W8^3/3)+ov_sl*((V8-af_sl)*(yc_sl-af_sl)*X8-(V8+yc_sl-2*af_sl)*X8^2/2+X8^3/3)+(aeM_sl-(V8&gt;y1_sl))*A1_sl*(V8-y1_sl)*(yc_sl-y1_sl)+(aeM_sl-(V8&gt;y2_sl))*A2_sl*(V8-y2_sl)*(yc_sl-y2_sl)</f>
        <v/>
      </c>
      <c r="AA8">
        <f>-Y8</f>
        <v/>
      </c>
      <c r="AC8">
        <f>IF(AJ7&gt;0,AE7,AC7)</f>
        <v/>
      </c>
      <c r="AD8">
        <f>IF(AJ7&gt;0,AD7,AE7)</f>
        <v/>
      </c>
      <c r="AE8">
        <f>(AC8+AD8)/2</f>
        <v/>
      </c>
      <c r="AF8">
        <f>MIN(MAX(AE8,0),h_sl)</f>
        <v/>
      </c>
      <c r="AG8">
        <f>MIN(MAX(AE8-af_sl,0),hfe_sl)</f>
        <v/>
      </c>
      <c r="AH8">
        <f>bw_sl*AF8*(AE8-AF8/2)+ov_sl*AG8*(AE8-af_sl-AG8/2)+(aeS_sl-(AE8&gt;y1_sl))*A1_sl*(AE8-y1_sl)+(aeS_sl-(AE8&gt;y2_sl))*A2_sl*(AE8-y2_sl)</f>
        <v/>
      </c>
      <c r="AI8">
        <f>bw_sl*(AE8*yc_sl*AF8-(AE8+yc_sl)*AF8^2/2+AF8^3/3)+ov_sl*((AE8-af_sl)*(yc_sl-af_sl)*AG8-(AE8+yc_sl-2*af_sl)*AG8^2/2+AG8^3/3)+(aeS_sl-(AE8&gt;y1_sl))*A1_sl*(AE8-y1_sl)*(yc_sl-y1_sl)+(aeS_sl-(AE8&gt;y2_sl))*A2_sl*(AE8-y2_sl)*(yc_sl-y2_sl)</f>
        <v/>
      </c>
      <c r="AJ8">
        <f>Nk_sl*1000*AI8-Mk_sl*1E6*AH8</f>
        <v/>
      </c>
      <c r="AL8">
        <f>IF(AS7&gt;0,AN7,AL7)</f>
        <v/>
      </c>
      <c r="AM8">
        <f>IF(AS7&gt;0,AM7,AN7)</f>
        <v/>
      </c>
      <c r="AN8">
        <f>(AL8+AM8)/2</f>
        <v/>
      </c>
      <c r="AO8">
        <f>MIN(MAX(AN8,0),h_sl)</f>
        <v/>
      </c>
      <c r="AP8">
        <f>MIN(MAX(AN8-af_sl,0),hfe_sl)</f>
        <v/>
      </c>
      <c r="AQ8">
        <f>bw_sl*AO8*(AN8-AO8/2)+ov_sl*AP8*(AN8-af_sl-AP8/2)+(aeL_sl-(AN8&gt;y1_sl))*A1_sl*(AN8-y1_sl)+(aeL_sl-(AN8&gt;y2_sl))*A2_sl*(AN8-y2_sl)</f>
        <v/>
      </c>
      <c r="AR8">
        <f>bw_sl*(AN8*yc_sl*AO8-(AN8+yc_sl)*AO8^2/2+AO8^3/3)+ov_sl*((AN8-af_sl)*(yc_sl-af_sl)*AP8-(AN8+yc_sl-2*af_sl)*AP8^2/2+AP8^3/3)+(aeL_sl-(AN8&gt;y1_sl))*A1_sl*(AN8-y1_sl)*(yc_sl-y1_sl)+(aeL_sl-(AN8&gt;y2_sl))*A2_sl*(AN8-y2_sl)*(yc_sl-y2_sl)</f>
        <v/>
      </c>
      <c r="AS8">
        <f>Nk_sl*1000*AR8-Mk_sl*1E6*AQ8</f>
        <v/>
      </c>
      <c r="AU8">
        <f>IF(BB7&gt;0,AW7,AU7)</f>
        <v/>
      </c>
      <c r="AV8">
        <f>IF(BB7&gt;0,AV7,AW7)</f>
        <v/>
      </c>
      <c r="AW8">
        <f>(AU8+AV8)/2</f>
        <v/>
      </c>
      <c r="AX8">
        <f>MIN(MAX(AW8,0),h_sl)</f>
        <v/>
      </c>
      <c r="AY8">
        <f>MIN(MAX(AW8-af_sl,0),hfe_sl)</f>
        <v/>
      </c>
      <c r="AZ8">
        <f>bw_sl*AX8*(AW8-AX8/2)+ov_sl*AY8*(AW8-af_sl-AY8/2)+(aeS_sl-(AW8&gt;y1_sl))*A1_sl*(AW8-y1_sl)+(aeS_sl-(AW8&gt;y2_sl))*A2_sl*(AW8-y2_sl)</f>
        <v/>
      </c>
      <c r="BA8">
        <f>bw_sl*(AW8*yc_sl*AX8-(AW8+yc_sl)*AX8^2/2+AX8^3/3)+ov_sl*((AW8-af_sl)*(yc_sl-af_sl)*AY8-(AW8+yc_sl-2*af_sl)*AY8^2/2+AY8^3/3)+(aeS_sl-(AW8&gt;y1_sl))*A1_sl*(AW8-y1_sl)*(yc_sl-y1_sl)+(aeS_sl-(AW8&gt;y2_sl))*A2_sl*(AW8-y2_sl)*(yc_sl-y2_sl)</f>
        <v/>
      </c>
      <c r="BB8">
        <f>Nqp_sl*1000*BA8-Mqp_sl*1E6*AZ8</f>
        <v/>
      </c>
      <c r="BD8">
        <f>IF(BK7&gt;0,BF7,BD7)</f>
        <v/>
      </c>
      <c r="BE8">
        <f>IF(BK7&gt;0,BE7,BF7)</f>
        <v/>
      </c>
      <c r="BF8">
        <f>(BD8+BE8)/2</f>
        <v/>
      </c>
      <c r="BG8">
        <f>MIN(MAX(BF8,0),h_sl)</f>
        <v/>
      </c>
      <c r="BH8">
        <f>MIN(MAX(BF8-af_sl,0),hfe_sl)</f>
        <v/>
      </c>
      <c r="BI8">
        <f>bw_sl*BG8*(BF8-BG8/2)+ov_sl*BH8*(BF8-af_sl-BH8/2)+(aeL_sl-(BF8&gt;y1_sl))*A1_sl*(BF8-y1_sl)+(aeL_sl-(BF8&gt;y2_sl))*A2_sl*(BF8-y2_sl)</f>
        <v/>
      </c>
      <c r="BJ8">
        <f>bw_sl*(BF8*yc_sl*BG8-(BF8+yc_sl)*BG8^2/2+BG8^3/3)+ov_sl*((BF8-af_sl)*(yc_sl-af_sl)*BH8-(BF8+yc_sl-2*af_sl)*BH8^2/2+BH8^3/3)+(aeL_sl-(BF8&gt;y1_sl))*A1_sl*(BF8-y1_sl)*(yc_sl-y1_sl)+(aeL_sl-(BF8&gt;y2_sl))*A2_sl*(BF8-y2_sl)*(yc_sl-y2_sl)</f>
        <v/>
      </c>
      <c r="BK8">
        <f>Nqp_sl*1000*BJ8-Mqp_sl*1E6*BI8</f>
        <v/>
      </c>
      <c r="BM8">
        <f>IF(BT7&gt;0,BO7,BM7)</f>
        <v/>
      </c>
      <c r="BN8">
        <f>IF(BT7&gt;0,BN7,BO7)</f>
        <v/>
      </c>
      <c r="BO8">
        <f>(BM8+BN8)/2</f>
        <v/>
      </c>
      <c r="BP8">
        <f>MIN(MAX(BO8,0),h_sl)</f>
        <v/>
      </c>
      <c r="BQ8">
        <f>MIN(MAX(BO8-af_sl,0),hfe_sl)</f>
        <v/>
      </c>
      <c r="BR8">
        <f>bw_sl*BP8*(BO8-BP8/2)+ov_sl*BQ8*(BO8-af_sl-BQ8/2)+(aeS_sl-(BO8&gt;y1_sl))*A1_sl*(BO8-y1_sl)+(aeS_sl-(BO8&gt;y2_sl))*A2_sl*(BO8-y2_sl)</f>
        <v/>
      </c>
      <c r="BS8">
        <f>bw_sl*(BO8*yc_sl*BP8-(BO8+yc_sl)*BP8^2/2+BP8^3/3)+ov_sl*((BO8-af_sl)*(yc_sl-af_sl)*BQ8-(BO8+yc_sl-2*af_sl)*BQ8^2/2+BQ8^3/3)+(aeS_sl-(BO8&gt;y1_sl))*A1_sl*(BO8-y1_sl)*(yc_sl-y1_sl)+(aeS_sl-(BO8&gt;y2_sl))*A2_sl*(BO8-y2_sl)*(yc_sl-y2_sl)</f>
        <v/>
      </c>
      <c r="BT8">
        <f>dN_sl*1000*BS8-dM_sl*1E6*BR8</f>
        <v/>
      </c>
      <c r="BV8">
        <f>IF(CC7&gt;0,BX7,BV7)</f>
        <v/>
      </c>
      <c r="BW8">
        <f>IF(CC7&gt;0,BW7,BX7)</f>
        <v/>
      </c>
      <c r="BX8">
        <f>(BV8+BW8)/2</f>
        <v/>
      </c>
      <c r="BY8">
        <f>MIN(MAX(BX8,0),h_sl)</f>
        <v/>
      </c>
      <c r="BZ8">
        <f>MIN(MAX(BX8-af_sl,0),hfe_sl)</f>
        <v/>
      </c>
      <c r="CA8">
        <f>bw_sl*BY8*(BX8-BY8/2)+ov_sl*BZ8*(BX8-af_sl-BZ8/2)+(aeM_sl-(BX8&gt;y1_sl))*A1_sl*(BX8-y1_sl)+(aeM_sl-(BX8&gt;y2_sl))*A2_sl*(BX8-y2_sl)</f>
        <v/>
      </c>
      <c r="CB8">
        <f>bw_sl*(BX8*yc_sl*BY8-(BX8+yc_sl)*BY8^2/2+BY8^3/3)+ov_sl*((BX8-af_sl)*(yc_sl-af_sl)*BZ8-(BX8+yc_sl-2*af_sl)*BZ8^2/2+BZ8^3/3)+(aeM_sl-(BX8&gt;y1_sl))*A1_sl*(BX8-y1_sl)*(yc_sl-y1_sl)+(aeM_sl-(BX8&gt;y2_sl))*A2_sl*(BX8-y2_sl)*(yc_sl-y2_sl)</f>
        <v/>
      </c>
      <c r="CC8">
        <f>Nk_sl*1000*CB8-Mk_sl*1E6*CA8</f>
        <v/>
      </c>
    </row>
    <row r="9">
      <c r="B9">
        <f>IF(I8&gt;0,D8,B8)</f>
        <v/>
      </c>
      <c r="C9">
        <f>IF(I8&gt;0,C8,D8)</f>
        <v/>
      </c>
      <c r="D9">
        <f>(B9+C9)/2</f>
        <v/>
      </c>
      <c r="E9">
        <f>MIN(MAX(D9,0),h_sl)</f>
        <v/>
      </c>
      <c r="F9">
        <f>MIN(MAX(D9-af_sl,0),hfe_sl)</f>
        <v/>
      </c>
      <c r="G9">
        <f>bw_sl*E9*(D9-E9/2)+ov_sl*F9*(D9-af_sl-F9/2)+(aeS_sl-(D9&gt;y1_sl))*A1_sl*(D9-y1_sl)+(aeS_sl-(D9&gt;y2_sl))*A2_sl*(D9-y2_sl)</f>
        <v/>
      </c>
      <c r="H9">
        <f>bw_sl*(D9*yc_sl*E9-(D9+yc_sl)*E9^2/2+E9^3/3)+ov_sl*((D9-af_sl)*(yc_sl-af_sl)*F9-(D9+yc_sl-2*af_sl)*F9^2/2+F9^3/3)+(aeS_sl-(D9&gt;y1_sl))*A1_sl*(D9-y1_sl)*(yc_sl-y1_sl)+(aeS_sl-(D9&gt;y2_sl))*A2_sl*(D9-y2_sl)*(yc_sl-y2_sl)</f>
        <v/>
      </c>
      <c r="I9">
        <f>-G9</f>
        <v/>
      </c>
      <c r="K9">
        <f>IF(R8&gt;0,M8,K8)</f>
        <v/>
      </c>
      <c r="L9">
        <f>IF(R8&gt;0,L8,M8)</f>
        <v/>
      </c>
      <c r="M9">
        <f>(K9+L9)/2</f>
        <v/>
      </c>
      <c r="N9">
        <f>MIN(MAX(M9,0),h_sl)</f>
        <v/>
      </c>
      <c r="O9">
        <f>MIN(MAX(M9-af_sl,0),hfe_sl)</f>
        <v/>
      </c>
      <c r="P9">
        <f>bw_sl*N9*(M9-N9/2)+ov_sl*O9*(M9-af_sl-O9/2)+(aeL_sl-(M9&gt;y1_sl))*A1_sl*(M9-y1_sl)+(aeL_sl-(M9&gt;y2_sl))*A2_sl*(M9-y2_sl)</f>
        <v/>
      </c>
      <c r="Q9">
        <f>bw_sl*(M9*yc_sl*N9-(M9+yc_sl)*N9^2/2+N9^3/3)+ov_sl*((M9-af_sl)*(yc_sl-af_sl)*O9-(M9+yc_sl-2*af_sl)*O9^2/2+O9^3/3)+(aeL_sl-(M9&gt;y1_sl))*A1_sl*(M9-y1_sl)*(yc_sl-y1_sl)+(aeL_sl-(M9&gt;y2_sl))*A2_sl*(M9-y2_sl)*(yc_sl-y2_sl)</f>
        <v/>
      </c>
      <c r="R9">
        <f>-P9</f>
        <v/>
      </c>
      <c r="T9">
        <f>IF(AA8&gt;0,V8,T8)</f>
        <v/>
      </c>
      <c r="U9">
        <f>IF(AA8&gt;0,U8,V8)</f>
        <v/>
      </c>
      <c r="V9">
        <f>(T9+U9)/2</f>
        <v/>
      </c>
      <c r="W9">
        <f>MIN(MAX(V9,0),h_sl)</f>
        <v/>
      </c>
      <c r="X9">
        <f>MIN(MAX(V9-af_sl,0),hfe_sl)</f>
        <v/>
      </c>
      <c r="Y9">
        <f>bw_sl*W9*(V9-W9/2)+ov_sl*X9*(V9-af_sl-X9/2)+(aeM_sl-(V9&gt;y1_sl))*A1_sl*(V9-y1_sl)+(aeM_sl-(V9&gt;y2_sl))*A2_sl*(V9-y2_sl)</f>
        <v/>
      </c>
      <c r="Z9">
        <f>bw_sl*(V9*yc_sl*W9-(V9+yc_sl)*W9^2/2+W9^3/3)+ov_sl*((V9-af_sl)*(yc_sl-af_sl)*X9-(V9+yc_sl-2*af_sl)*X9^2/2+X9^3/3)+(aeM_sl-(V9&gt;y1_sl))*A1_sl*(V9-y1_sl)*(yc_sl-y1_sl)+(aeM_sl-(V9&gt;y2_sl))*A2_sl*(V9-y2_sl)*(yc_sl-y2_sl)</f>
        <v/>
      </c>
      <c r="AA9">
        <f>-Y9</f>
        <v/>
      </c>
      <c r="AC9">
        <f>IF(AJ8&gt;0,AE8,AC8)</f>
        <v/>
      </c>
      <c r="AD9">
        <f>IF(AJ8&gt;0,AD8,AE8)</f>
        <v/>
      </c>
      <c r="AE9">
        <f>(AC9+AD9)/2</f>
        <v/>
      </c>
      <c r="AF9">
        <f>MIN(MAX(AE9,0),h_sl)</f>
        <v/>
      </c>
      <c r="AG9">
        <f>MIN(MAX(AE9-af_sl,0),hfe_sl)</f>
        <v/>
      </c>
      <c r="AH9">
        <f>bw_sl*AF9*(AE9-AF9/2)+ov_sl*AG9*(AE9-af_sl-AG9/2)+(aeS_sl-(AE9&gt;y1_sl))*A1_sl*(AE9-y1_sl)+(aeS_sl-(AE9&gt;y2_sl))*A2_sl*(AE9-y2_sl)</f>
        <v/>
      </c>
      <c r="AI9">
        <f>bw_sl*(AE9*yc_sl*AF9-(AE9+yc_sl)*AF9^2/2+AF9^3/3)+ov_sl*((AE9-af_sl)*(yc_sl-af_sl)*AG9-(AE9+yc_sl-2*af_sl)*AG9^2/2+AG9^3/3)+(aeS_sl-(AE9&gt;y1_sl))*A1_sl*(AE9-y1_sl)*(yc_sl-y1_sl)+(aeS_sl-(AE9&gt;y2_sl))*A2_sl*(AE9-y2_sl)*(yc_sl-y2_sl)</f>
        <v/>
      </c>
      <c r="AJ9">
        <f>Nk_sl*1000*AI9-Mk_sl*1E6*AH9</f>
        <v/>
      </c>
      <c r="AL9">
        <f>IF(AS8&gt;0,AN8,AL8)</f>
        <v/>
      </c>
      <c r="AM9">
        <f>IF(AS8&gt;0,AM8,AN8)</f>
        <v/>
      </c>
      <c r="AN9">
        <f>(AL9+AM9)/2</f>
        <v/>
      </c>
      <c r="AO9">
        <f>MIN(MAX(AN9,0),h_sl)</f>
        <v/>
      </c>
      <c r="AP9">
        <f>MIN(MAX(AN9-af_sl,0),hfe_sl)</f>
        <v/>
      </c>
      <c r="AQ9">
        <f>bw_sl*AO9*(AN9-AO9/2)+ov_sl*AP9*(AN9-af_sl-AP9/2)+(aeL_sl-(AN9&gt;y1_sl))*A1_sl*(AN9-y1_sl)+(aeL_sl-(AN9&gt;y2_sl))*A2_sl*(AN9-y2_sl)</f>
        <v/>
      </c>
      <c r="AR9">
        <f>bw_sl*(AN9*yc_sl*AO9-(AN9+yc_sl)*AO9^2/2+AO9^3/3)+ov_sl*((AN9-af_sl)*(yc_sl-af_sl)*AP9-(AN9+yc_sl-2*af_sl)*AP9^2/2+AP9^3/3)+(aeL_sl-(AN9&gt;y1_sl))*A1_sl*(AN9-y1_sl)*(yc_sl-y1_sl)+(aeL_sl-(AN9&gt;y2_sl))*A2_sl*(AN9-y2_sl)*(yc_sl-y2_sl)</f>
        <v/>
      </c>
      <c r="AS9">
        <f>Nk_sl*1000*AR9-Mk_sl*1E6*AQ9</f>
        <v/>
      </c>
      <c r="AU9">
        <f>IF(BB8&gt;0,AW8,AU8)</f>
        <v/>
      </c>
      <c r="AV9">
        <f>IF(BB8&gt;0,AV8,AW8)</f>
        <v/>
      </c>
      <c r="AW9">
        <f>(AU9+AV9)/2</f>
        <v/>
      </c>
      <c r="AX9">
        <f>MIN(MAX(AW9,0),h_sl)</f>
        <v/>
      </c>
      <c r="AY9">
        <f>MIN(MAX(AW9-af_sl,0),hfe_sl)</f>
        <v/>
      </c>
      <c r="AZ9">
        <f>bw_sl*AX9*(AW9-AX9/2)+ov_sl*AY9*(AW9-af_sl-AY9/2)+(aeS_sl-(AW9&gt;y1_sl))*A1_sl*(AW9-y1_sl)+(aeS_sl-(AW9&gt;y2_sl))*A2_sl*(AW9-y2_sl)</f>
        <v/>
      </c>
      <c r="BA9">
        <f>bw_sl*(AW9*yc_sl*AX9-(AW9+yc_sl)*AX9^2/2+AX9^3/3)+ov_sl*((AW9-af_sl)*(yc_sl-af_sl)*AY9-(AW9+yc_sl-2*af_sl)*AY9^2/2+AY9^3/3)+(aeS_sl-(AW9&gt;y1_sl))*A1_sl*(AW9-y1_sl)*(yc_sl-y1_sl)+(aeS_sl-(AW9&gt;y2_sl))*A2_sl*(AW9-y2_sl)*(yc_sl-y2_sl)</f>
        <v/>
      </c>
      <c r="BB9">
        <f>Nqp_sl*1000*BA9-Mqp_sl*1E6*AZ9</f>
        <v/>
      </c>
      <c r="BD9">
        <f>IF(BK8&gt;0,BF8,BD8)</f>
        <v/>
      </c>
      <c r="BE9">
        <f>IF(BK8&gt;0,BE8,BF8)</f>
        <v/>
      </c>
      <c r="BF9">
        <f>(BD9+BE9)/2</f>
        <v/>
      </c>
      <c r="BG9">
        <f>MIN(MAX(BF9,0),h_sl)</f>
        <v/>
      </c>
      <c r="BH9">
        <f>MIN(MAX(BF9-af_sl,0),hfe_sl)</f>
        <v/>
      </c>
      <c r="BI9">
        <f>bw_sl*BG9*(BF9-BG9/2)+ov_sl*BH9*(BF9-af_sl-BH9/2)+(aeL_sl-(BF9&gt;y1_sl))*A1_sl*(BF9-y1_sl)+(aeL_sl-(BF9&gt;y2_sl))*A2_sl*(BF9-y2_sl)</f>
        <v/>
      </c>
      <c r="BJ9">
        <f>bw_sl*(BF9*yc_sl*BG9-(BF9+yc_sl)*BG9^2/2+BG9^3/3)+ov_sl*((BF9-af_sl)*(yc_sl-af_sl)*BH9-(BF9+yc_sl-2*af_sl)*BH9^2/2+BH9^3/3)+(aeL_sl-(BF9&gt;y1_sl))*A1_sl*(BF9-y1_sl)*(yc_sl-y1_sl)+(aeL_sl-(BF9&gt;y2_sl))*A2_sl*(BF9-y2_sl)*(yc_sl-y2_sl)</f>
        <v/>
      </c>
      <c r="BK9">
        <f>Nqp_sl*1000*BJ9-Mqp_sl*1E6*BI9</f>
        <v/>
      </c>
      <c r="BM9">
        <f>IF(BT8&gt;0,BO8,BM8)</f>
        <v/>
      </c>
      <c r="BN9">
        <f>IF(BT8&gt;0,BN8,BO8)</f>
        <v/>
      </c>
      <c r="BO9">
        <f>(BM9+BN9)/2</f>
        <v/>
      </c>
      <c r="BP9">
        <f>MIN(MAX(BO9,0),h_sl)</f>
        <v/>
      </c>
      <c r="BQ9">
        <f>MIN(MAX(BO9-af_sl,0),hfe_sl)</f>
        <v/>
      </c>
      <c r="BR9">
        <f>bw_sl*BP9*(BO9-BP9/2)+ov_sl*BQ9*(BO9-af_sl-BQ9/2)+(aeS_sl-(BO9&gt;y1_sl))*A1_sl*(BO9-y1_sl)+(aeS_sl-(BO9&gt;y2_sl))*A2_sl*(BO9-y2_sl)</f>
        <v/>
      </c>
      <c r="BS9">
        <f>bw_sl*(BO9*yc_sl*BP9-(BO9+yc_sl)*BP9^2/2+BP9^3/3)+ov_sl*((BO9-af_sl)*(yc_sl-af_sl)*BQ9-(BO9+yc_sl-2*af_sl)*BQ9^2/2+BQ9^3/3)+(aeS_sl-(BO9&gt;y1_sl))*A1_sl*(BO9-y1_sl)*(yc_sl-y1_sl)+(aeS_sl-(BO9&gt;y2_sl))*A2_sl*(BO9-y2_sl)*(yc_sl-y2_sl)</f>
        <v/>
      </c>
      <c r="BT9">
        <f>dN_sl*1000*BS9-dM_sl*1E6*BR9</f>
        <v/>
      </c>
      <c r="BV9">
        <f>IF(CC8&gt;0,BX8,BV8)</f>
        <v/>
      </c>
      <c r="BW9">
        <f>IF(CC8&gt;0,BW8,BX8)</f>
        <v/>
      </c>
      <c r="BX9">
        <f>(BV9+BW9)/2</f>
        <v/>
      </c>
      <c r="BY9">
        <f>MIN(MAX(BX9,0),h_sl)</f>
        <v/>
      </c>
      <c r="BZ9">
        <f>MIN(MAX(BX9-af_sl,0),hfe_sl)</f>
        <v/>
      </c>
      <c r="CA9">
        <f>bw_sl*BY9*(BX9-BY9/2)+ov_sl*BZ9*(BX9-af_sl-BZ9/2)+(aeM_sl-(BX9&gt;y1_sl))*A1_sl*(BX9-y1_sl)+(aeM_sl-(BX9&gt;y2_sl))*A2_sl*(BX9-y2_sl)</f>
        <v/>
      </c>
      <c r="CB9">
        <f>bw_sl*(BX9*yc_sl*BY9-(BX9+yc_sl)*BY9^2/2+BY9^3/3)+ov_sl*((BX9-af_sl)*(yc_sl-af_sl)*BZ9-(BX9+yc_sl-2*af_sl)*BZ9^2/2+BZ9^3/3)+(aeM_sl-(BX9&gt;y1_sl))*A1_sl*(BX9-y1_sl)*(yc_sl-y1_sl)+(aeM_sl-(BX9&gt;y2_sl))*A2_sl*(BX9-y2_sl)*(yc_sl-y2_sl)</f>
        <v/>
      </c>
      <c r="CC9">
        <f>Nk_sl*1000*CB9-Mk_sl*1E6*CA9</f>
        <v/>
      </c>
    </row>
    <row r="10">
      <c r="B10">
        <f>IF(I9&gt;0,D9,B9)</f>
        <v/>
      </c>
      <c r="C10">
        <f>IF(I9&gt;0,C9,D9)</f>
        <v/>
      </c>
      <c r="D10">
        <f>(B10+C10)/2</f>
        <v/>
      </c>
      <c r="E10">
        <f>MIN(MAX(D10,0),h_sl)</f>
        <v/>
      </c>
      <c r="F10">
        <f>MIN(MAX(D10-af_sl,0),hfe_sl)</f>
        <v/>
      </c>
      <c r="G10">
        <f>bw_sl*E10*(D10-E10/2)+ov_sl*F10*(D10-af_sl-F10/2)+(aeS_sl-(D10&gt;y1_sl))*A1_sl*(D10-y1_sl)+(aeS_sl-(D10&gt;y2_sl))*A2_sl*(D10-y2_sl)</f>
        <v/>
      </c>
      <c r="H10">
        <f>bw_sl*(D10*yc_sl*E10-(D10+yc_sl)*E10^2/2+E10^3/3)+ov_sl*((D10-af_sl)*(yc_sl-af_sl)*F10-(D10+yc_sl-2*af_sl)*F10^2/2+F10^3/3)+(aeS_sl-(D10&gt;y1_sl))*A1_sl*(D10-y1_sl)*(yc_sl-y1_sl)+(aeS_sl-(D10&gt;y2_sl))*A2_sl*(D10-y2_sl)*(yc_sl-y2_sl)</f>
        <v/>
      </c>
      <c r="I10">
        <f>-G10</f>
        <v/>
      </c>
      <c r="K10">
        <f>IF(R9&gt;0,M9,K9)</f>
        <v/>
      </c>
      <c r="L10">
        <f>IF(R9&gt;0,L9,M9)</f>
        <v/>
      </c>
      <c r="M10">
        <f>(K10+L10)/2</f>
        <v/>
      </c>
      <c r="N10">
        <f>MIN(MAX(M10,0),h_sl)</f>
        <v/>
      </c>
      <c r="O10">
        <f>MIN(MAX(M10-af_sl,0),hfe_sl)</f>
        <v/>
      </c>
      <c r="P10">
        <f>bw_sl*N10*(M10-N10/2)+ov_sl*O10*(M10-af_sl-O10/2)+(aeL_sl-(M10&gt;y1_sl))*A1_sl*(M10-y1_sl)+(aeL_sl-(M10&gt;y2_sl))*A2_sl*(M10-y2_sl)</f>
        <v/>
      </c>
      <c r="Q10">
        <f>bw_sl*(M10*yc_sl*N10-(M10+yc_sl)*N10^2/2+N10^3/3)+ov_sl*((M10-af_sl)*(yc_sl-af_sl)*O10-(M10+yc_sl-2*af_sl)*O10^2/2+O10^3/3)+(aeL_sl-(M10&gt;y1_sl))*A1_sl*(M10-y1_sl)*(yc_sl-y1_sl)+(aeL_sl-(M10&gt;y2_sl))*A2_sl*(M10-y2_sl)*(yc_sl-y2_sl)</f>
        <v/>
      </c>
      <c r="R10">
        <f>-P10</f>
        <v/>
      </c>
      <c r="T10">
        <f>IF(AA9&gt;0,V9,T9)</f>
        <v/>
      </c>
      <c r="U10">
        <f>IF(AA9&gt;0,U9,V9)</f>
        <v/>
      </c>
      <c r="V10">
        <f>(T10+U10)/2</f>
        <v/>
      </c>
      <c r="W10">
        <f>MIN(MAX(V10,0),h_sl)</f>
        <v/>
      </c>
      <c r="X10">
        <f>MIN(MAX(V10-af_sl,0),hfe_sl)</f>
        <v/>
      </c>
      <c r="Y10">
        <f>bw_sl*W10*(V10-W10/2)+ov_sl*X10*(V10-af_sl-X10/2)+(aeM_sl-(V10&gt;y1_sl))*A1_sl*(V10-y1_sl)+(aeM_sl-(V10&gt;y2_sl))*A2_sl*(V10-y2_sl)</f>
        <v/>
      </c>
      <c r="Z10">
        <f>bw_sl*(V10*yc_sl*W10-(V10+yc_sl)*W10^2/2+W10^3/3)+ov_sl*((V10-af_sl)*(yc_sl-af_sl)*X10-(V10+yc_sl-2*af_sl)*X10^2/2+X10^3/3)+(aeM_sl-(V10&gt;y1_sl))*A1_sl*(V10-y1_sl)*(yc_sl-y1_sl)+(aeM_sl-(V10&gt;y2_sl))*A2_sl*(V10-y2_sl)*(yc_sl-y2_sl)</f>
        <v/>
      </c>
      <c r="AA10">
        <f>-Y10</f>
        <v/>
      </c>
      <c r="AC10">
        <f>IF(AJ9&gt;0,AE9,AC9)</f>
        <v/>
      </c>
      <c r="AD10">
        <f>IF(AJ9&gt;0,AD9,AE9)</f>
        <v/>
      </c>
      <c r="AE10">
        <f>(AC10+AD10)/2</f>
        <v/>
      </c>
      <c r="AF10">
        <f>MIN(MAX(AE10,0),h_sl)</f>
        <v/>
      </c>
      <c r="AG10">
        <f>MIN(MAX(AE10-af_sl,0),hfe_sl)</f>
        <v/>
      </c>
      <c r="AH10">
        <f>bw_sl*AF10*(AE10-AF10/2)+ov_sl*AG10*(AE10-af_sl-AG10/2)+(aeS_sl-(AE10&gt;y1_sl))*A1_sl*(AE10-y1_sl)+(aeS_sl-(AE10&gt;y2_sl))*A2_sl*(AE10-y2_sl)</f>
        <v/>
      </c>
      <c r="AI10">
        <f>bw_sl*(AE10*yc_sl*AF10-(AE10+yc_sl)*AF10^2/2+AF10^3/3)+ov_sl*((AE10-af_sl)*(yc_sl-af_sl)*AG10-(AE10+yc_sl-2*af_sl)*AG10^2/2+AG10^3/3)+(aeS_sl-(AE10&gt;y1_sl))*A1_sl*(AE10-y1_sl)*(yc_sl-y1_sl)+(aeS_sl-(AE10&gt;y2_sl))*A2_sl*(AE10-y2_sl)*(yc_sl-y2_sl)</f>
        <v/>
      </c>
      <c r="AJ10">
        <f>Nk_sl*1000*AI10-Mk_sl*1E6*AH10</f>
        <v/>
      </c>
      <c r="AL10">
        <f>IF(AS9&gt;0,AN9,AL9)</f>
        <v/>
      </c>
      <c r="AM10">
        <f>IF(AS9&gt;0,AM9,AN9)</f>
        <v/>
      </c>
      <c r="AN10">
        <f>(AL10+AM10)/2</f>
        <v/>
      </c>
      <c r="AO10">
        <f>MIN(MAX(AN10,0),h_sl)</f>
        <v/>
      </c>
      <c r="AP10">
        <f>MIN(MAX(AN10-af_sl,0),hfe_sl)</f>
        <v/>
      </c>
      <c r="AQ10">
        <f>bw_sl*AO10*(AN10-AO10/2)+ov_sl*AP10*(AN10-af_sl-AP10/2)+(aeL_sl-(AN10&gt;y1_sl))*A1_sl*(AN10-y1_sl)+(aeL_sl-(AN10&gt;y2_sl))*A2_sl*(AN10-y2_sl)</f>
        <v/>
      </c>
      <c r="AR10">
        <f>bw_sl*(AN10*yc_sl*AO10-(AN10+yc_sl)*AO10^2/2+AO10^3/3)+ov_sl*((AN10-af_sl)*(yc_sl-af_sl)*AP10-(AN10+yc_sl-2*af_sl)*AP10^2/2+AP10^3/3)+(aeL_sl-(AN10&gt;y1_sl))*A1_sl*(AN10-y1_sl)*(yc_sl-y1_sl)+(aeL_sl-(AN10&gt;y2_sl))*A2_sl*(AN10-y2_sl)*(yc_sl-y2_sl)</f>
        <v/>
      </c>
      <c r="AS10">
        <f>Nk_sl*1000*AR10-Mk_sl*1E6*AQ10</f>
        <v/>
      </c>
      <c r="AU10">
        <f>IF(BB9&gt;0,AW9,AU9)</f>
        <v/>
      </c>
      <c r="AV10">
        <f>IF(BB9&gt;0,AV9,AW9)</f>
        <v/>
      </c>
      <c r="AW10">
        <f>(AU10+AV10)/2</f>
        <v/>
      </c>
      <c r="AX10">
        <f>MIN(MAX(AW10,0),h_sl)</f>
        <v/>
      </c>
      <c r="AY10">
        <f>MIN(MAX(AW10-af_sl,0),hfe_sl)</f>
        <v/>
      </c>
      <c r="AZ10">
        <f>bw_sl*AX10*(AW10-AX10/2)+ov_sl*AY10*(AW10-af_sl-AY10/2)+(aeS_sl-(AW10&gt;y1_sl))*A1_sl*(AW10-y1_sl)+(aeS_sl-(AW10&gt;y2_sl))*A2_sl*(AW10-y2_sl)</f>
        <v/>
      </c>
      <c r="BA10">
        <f>bw_sl*(AW10*yc_sl*AX10-(AW10+yc_sl)*AX10^2/2+AX10^3/3)+ov_sl*((AW10-af_sl)*(yc_sl-af_sl)*AY10-(AW10+yc_sl-2*af_sl)*AY10^2/2+AY10^3/3)+(aeS_sl-(AW10&gt;y1_sl))*A1_sl*(AW10-y1_sl)*(yc_sl-y1_sl)+(aeS_sl-(AW10&gt;y2_sl))*A2_sl*(AW10-y2_sl)*(yc_sl-y2_sl)</f>
        <v/>
      </c>
      <c r="BB10">
        <f>Nqp_sl*1000*BA10-Mqp_sl*1E6*AZ10</f>
        <v/>
      </c>
      <c r="BD10">
        <f>IF(BK9&gt;0,BF9,BD9)</f>
        <v/>
      </c>
      <c r="BE10">
        <f>IF(BK9&gt;0,BE9,BF9)</f>
        <v/>
      </c>
      <c r="BF10">
        <f>(BD10+BE10)/2</f>
        <v/>
      </c>
      <c r="BG10">
        <f>MIN(MAX(BF10,0),h_sl)</f>
        <v/>
      </c>
      <c r="BH10">
        <f>MIN(MAX(BF10-af_sl,0),hfe_sl)</f>
        <v/>
      </c>
      <c r="BI10">
        <f>bw_sl*BG10*(BF10-BG10/2)+ov_sl*BH10*(BF10-af_sl-BH10/2)+(aeL_sl-(BF10&gt;y1_sl))*A1_sl*(BF10-y1_sl)+(aeL_sl-(BF10&gt;y2_sl))*A2_sl*(BF10-y2_sl)</f>
        <v/>
      </c>
      <c r="BJ10">
        <f>bw_sl*(BF10*yc_sl*BG10-(BF10+yc_sl)*BG10^2/2+BG10^3/3)+ov_sl*((BF10-af_sl)*(yc_sl-af_sl)*BH10-(BF10+yc_sl-2*af_sl)*BH10^2/2+BH10^3/3)+(aeL_sl-(BF10&gt;y1_sl))*A1_sl*(BF10-y1_sl)*(yc_sl-y1_sl)+(aeL_sl-(BF10&gt;y2_sl))*A2_sl*(BF10-y2_sl)*(yc_sl-y2_sl)</f>
        <v/>
      </c>
      <c r="BK10">
        <f>Nqp_sl*1000*BJ10-Mqp_sl*1E6*BI10</f>
        <v/>
      </c>
      <c r="BM10">
        <f>IF(BT9&gt;0,BO9,BM9)</f>
        <v/>
      </c>
      <c r="BN10">
        <f>IF(BT9&gt;0,BN9,BO9)</f>
        <v/>
      </c>
      <c r="BO10">
        <f>(BM10+BN10)/2</f>
        <v/>
      </c>
      <c r="BP10">
        <f>MIN(MAX(BO10,0),h_sl)</f>
        <v/>
      </c>
      <c r="BQ10">
        <f>MIN(MAX(BO10-af_sl,0),hfe_sl)</f>
        <v/>
      </c>
      <c r="BR10">
        <f>bw_sl*BP10*(BO10-BP10/2)+ov_sl*BQ10*(BO10-af_sl-BQ10/2)+(aeS_sl-(BO10&gt;y1_sl))*A1_sl*(BO10-y1_sl)+(aeS_sl-(BO10&gt;y2_sl))*A2_sl*(BO10-y2_sl)</f>
        <v/>
      </c>
      <c r="BS10">
        <f>bw_sl*(BO10*yc_sl*BP10-(BO10+yc_sl)*BP10^2/2+BP10^3/3)+ov_sl*((BO10-af_sl)*(yc_sl-af_sl)*BQ10-(BO10+yc_sl-2*af_sl)*BQ10^2/2+BQ10^3/3)+(aeS_sl-(BO10&gt;y1_sl))*A1_sl*(BO10-y1_sl)*(yc_sl-y1_sl)+(aeS_sl-(BO10&gt;y2_sl))*A2_sl*(BO10-y2_sl)*(yc_sl-y2_sl)</f>
        <v/>
      </c>
      <c r="BT10">
        <f>dN_sl*1000*BS10-dM_sl*1E6*BR10</f>
        <v/>
      </c>
      <c r="BV10">
        <f>IF(CC9&gt;0,BX9,BV9)</f>
        <v/>
      </c>
      <c r="BW10">
        <f>IF(CC9&gt;0,BW9,BX9)</f>
        <v/>
      </c>
      <c r="BX10">
        <f>(BV10+BW10)/2</f>
        <v/>
      </c>
      <c r="BY10">
        <f>MIN(MAX(BX10,0),h_sl)</f>
        <v/>
      </c>
      <c r="BZ10">
        <f>MIN(MAX(BX10-af_sl,0),hfe_sl)</f>
        <v/>
      </c>
      <c r="CA10">
        <f>bw_sl*BY10*(BX10-BY10/2)+ov_sl*BZ10*(BX10-af_sl-BZ10/2)+(aeM_sl-(BX10&gt;y1_sl))*A1_sl*(BX10-y1_sl)+(aeM_sl-(BX10&gt;y2_sl))*A2_sl*(BX10-y2_sl)</f>
        <v/>
      </c>
      <c r="CB10">
        <f>bw_sl*(BX10*yc_sl*BY10-(BX10+yc_sl)*BY10^2/2+BY10^3/3)+ov_sl*((BX10-af_sl)*(yc_sl-af_sl)*BZ10-(BX10+yc_sl-2*af_sl)*BZ10^2/2+BZ10^3/3)+(aeM_sl-(BX10&gt;y1_sl))*A1_sl*(BX10-y1_sl)*(yc_sl-y1_sl)+(aeM_sl-(BX10&gt;y2_sl))*A2_sl*(BX10-y2_sl)*(yc_sl-y2_sl)</f>
        <v/>
      </c>
      <c r="CC10">
        <f>Nk_sl*1000*CB10-Mk_sl*1E6*CA10</f>
        <v/>
      </c>
    </row>
    <row r="11">
      <c r="B11">
        <f>IF(I10&gt;0,D10,B10)</f>
        <v/>
      </c>
      <c r="C11">
        <f>IF(I10&gt;0,C10,D10)</f>
        <v/>
      </c>
      <c r="D11">
        <f>(B11+C11)/2</f>
        <v/>
      </c>
      <c r="E11">
        <f>MIN(MAX(D11,0),h_sl)</f>
        <v/>
      </c>
      <c r="F11">
        <f>MIN(MAX(D11-af_sl,0),hfe_sl)</f>
        <v/>
      </c>
      <c r="G11">
        <f>bw_sl*E11*(D11-E11/2)+ov_sl*F11*(D11-af_sl-F11/2)+(aeS_sl-(D11&gt;y1_sl))*A1_sl*(D11-y1_sl)+(aeS_sl-(D11&gt;y2_sl))*A2_sl*(D11-y2_sl)</f>
        <v/>
      </c>
      <c r="H11">
        <f>bw_sl*(D11*yc_sl*E11-(D11+yc_sl)*E11^2/2+E11^3/3)+ov_sl*((D11-af_sl)*(yc_sl-af_sl)*F11-(D11+yc_sl-2*af_sl)*F11^2/2+F11^3/3)+(aeS_sl-(D11&gt;y1_sl))*A1_sl*(D11-y1_sl)*(yc_sl-y1_sl)+(aeS_sl-(D11&gt;y2_sl))*A2_sl*(D11-y2_sl)*(yc_sl-y2_sl)</f>
        <v/>
      </c>
      <c r="I11">
        <f>-G11</f>
        <v/>
      </c>
      <c r="K11">
        <f>IF(R10&gt;0,M10,K10)</f>
        <v/>
      </c>
      <c r="L11">
        <f>IF(R10&gt;0,L10,M10)</f>
        <v/>
      </c>
      <c r="M11">
        <f>(K11+L11)/2</f>
        <v/>
      </c>
      <c r="N11">
        <f>MIN(MAX(M11,0),h_sl)</f>
        <v/>
      </c>
      <c r="O11">
        <f>MIN(MAX(M11-af_sl,0),hfe_sl)</f>
        <v/>
      </c>
      <c r="P11">
        <f>bw_sl*N11*(M11-N11/2)+ov_sl*O11*(M11-af_sl-O11/2)+(aeL_sl-(M11&gt;y1_sl))*A1_sl*(M11-y1_sl)+(aeL_sl-(M11&gt;y2_sl))*A2_sl*(M11-y2_sl)</f>
        <v/>
      </c>
      <c r="Q11">
        <f>bw_sl*(M11*yc_sl*N11-(M11+yc_sl)*N11^2/2+N11^3/3)+ov_sl*((M11-af_sl)*(yc_sl-af_sl)*O11-(M11+yc_sl-2*af_sl)*O11^2/2+O11^3/3)+(aeL_sl-(M11&gt;y1_sl))*A1_sl*(M11-y1_sl)*(yc_sl-y1_sl)+(aeL_sl-(M11&gt;y2_sl))*A2_sl*(M11-y2_sl)*(yc_sl-y2_sl)</f>
        <v/>
      </c>
      <c r="R11">
        <f>-P11</f>
        <v/>
      </c>
      <c r="T11">
        <f>IF(AA10&gt;0,V10,T10)</f>
        <v/>
      </c>
      <c r="U11">
        <f>IF(AA10&gt;0,U10,V10)</f>
        <v/>
      </c>
      <c r="V11">
        <f>(T11+U11)/2</f>
        <v/>
      </c>
      <c r="W11">
        <f>MIN(MAX(V11,0),h_sl)</f>
        <v/>
      </c>
      <c r="X11">
        <f>MIN(MAX(V11-af_sl,0),hfe_sl)</f>
        <v/>
      </c>
      <c r="Y11">
        <f>bw_sl*W11*(V11-W11/2)+ov_sl*X11*(V11-af_sl-X11/2)+(aeM_sl-(V11&gt;y1_sl))*A1_sl*(V11-y1_sl)+(aeM_sl-(V11&gt;y2_sl))*A2_sl*(V11-y2_sl)</f>
        <v/>
      </c>
      <c r="Z11">
        <f>bw_sl*(V11*yc_sl*W11-(V11+yc_sl)*W11^2/2+W11^3/3)+ov_sl*((V11-af_sl)*(yc_sl-af_sl)*X11-(V11+yc_sl-2*af_sl)*X11^2/2+X11^3/3)+(aeM_sl-(V11&gt;y1_sl))*A1_sl*(V11-y1_sl)*(yc_sl-y1_sl)+(aeM_sl-(V11&gt;y2_sl))*A2_sl*(V11-y2_sl)*(yc_sl-y2_sl)</f>
        <v/>
      </c>
      <c r="AA11">
        <f>-Y11</f>
        <v/>
      </c>
      <c r="AC11">
        <f>IF(AJ10&gt;0,AE10,AC10)</f>
        <v/>
      </c>
      <c r="AD11">
        <f>IF(AJ10&gt;0,AD10,AE10)</f>
        <v/>
      </c>
      <c r="AE11">
        <f>(AC11+AD11)/2</f>
        <v/>
      </c>
      <c r="AF11">
        <f>MIN(MAX(AE11,0),h_sl)</f>
        <v/>
      </c>
      <c r="AG11">
        <f>MIN(MAX(AE11-af_sl,0),hfe_sl)</f>
        <v/>
      </c>
      <c r="AH11">
        <f>bw_sl*AF11*(AE11-AF11/2)+ov_sl*AG11*(AE11-af_sl-AG11/2)+(aeS_sl-(AE11&gt;y1_sl))*A1_sl*(AE11-y1_sl)+(aeS_sl-(AE11&gt;y2_sl))*A2_sl*(AE11-y2_sl)</f>
        <v/>
      </c>
      <c r="AI11">
        <f>bw_sl*(AE11*yc_sl*AF11-(AE11+yc_sl)*AF11^2/2+AF11^3/3)+ov_sl*((AE11-af_sl)*(yc_sl-af_sl)*AG11-(AE11+yc_sl-2*af_sl)*AG11^2/2+AG11^3/3)+(aeS_sl-(AE11&gt;y1_sl))*A1_sl*(AE11-y1_sl)*(yc_sl-y1_sl)+(aeS_sl-(AE11&gt;y2_sl))*A2_sl*(AE11-y2_sl)*(yc_sl-y2_sl)</f>
        <v/>
      </c>
      <c r="AJ11">
        <f>Nk_sl*1000*AI11-Mk_sl*1E6*AH11</f>
        <v/>
      </c>
      <c r="AL11">
        <f>IF(AS10&gt;0,AN10,AL10)</f>
        <v/>
      </c>
      <c r="AM11">
        <f>IF(AS10&gt;0,AM10,AN10)</f>
        <v/>
      </c>
      <c r="AN11">
        <f>(AL11+AM11)/2</f>
        <v/>
      </c>
      <c r="AO11">
        <f>MIN(MAX(AN11,0),h_sl)</f>
        <v/>
      </c>
      <c r="AP11">
        <f>MIN(MAX(AN11-af_sl,0),hfe_sl)</f>
        <v/>
      </c>
      <c r="AQ11">
        <f>bw_sl*AO11*(AN11-AO11/2)+ov_sl*AP11*(AN11-af_sl-AP11/2)+(aeL_sl-(AN11&gt;y1_sl))*A1_sl*(AN11-y1_sl)+(aeL_sl-(AN11&gt;y2_sl))*A2_sl*(AN11-y2_sl)</f>
        <v/>
      </c>
      <c r="AR11">
        <f>bw_sl*(AN11*yc_sl*AO11-(AN11+yc_sl)*AO11^2/2+AO11^3/3)+ov_sl*((AN11-af_sl)*(yc_sl-af_sl)*AP11-(AN11+yc_sl-2*af_sl)*AP11^2/2+AP11^3/3)+(aeL_sl-(AN11&gt;y1_sl))*A1_sl*(AN11-y1_sl)*(yc_sl-y1_sl)+(aeL_sl-(AN11&gt;y2_sl))*A2_sl*(AN11-y2_sl)*(yc_sl-y2_sl)</f>
        <v/>
      </c>
      <c r="AS11">
        <f>Nk_sl*1000*AR11-Mk_sl*1E6*AQ11</f>
        <v/>
      </c>
      <c r="AU11">
        <f>IF(BB10&gt;0,AW10,AU10)</f>
        <v/>
      </c>
      <c r="AV11">
        <f>IF(BB10&gt;0,AV10,AW10)</f>
        <v/>
      </c>
      <c r="AW11">
        <f>(AU11+AV11)/2</f>
        <v/>
      </c>
      <c r="AX11">
        <f>MIN(MAX(AW11,0),h_sl)</f>
        <v/>
      </c>
      <c r="AY11">
        <f>MIN(MAX(AW11-af_sl,0),hfe_sl)</f>
        <v/>
      </c>
      <c r="AZ11">
        <f>bw_sl*AX11*(AW11-AX11/2)+ov_sl*AY11*(AW11-af_sl-AY11/2)+(aeS_sl-(AW11&gt;y1_sl))*A1_sl*(AW11-y1_sl)+(aeS_sl-(AW11&gt;y2_sl))*A2_sl*(AW11-y2_sl)</f>
        <v/>
      </c>
      <c r="BA11">
        <f>bw_sl*(AW11*yc_sl*AX11-(AW11+yc_sl)*AX11^2/2+AX11^3/3)+ov_sl*((AW11-af_sl)*(yc_sl-af_sl)*AY11-(AW11+yc_sl-2*af_sl)*AY11^2/2+AY11^3/3)+(aeS_sl-(AW11&gt;y1_sl))*A1_sl*(AW11-y1_sl)*(yc_sl-y1_sl)+(aeS_sl-(AW11&gt;y2_sl))*A2_sl*(AW11-y2_sl)*(yc_sl-y2_sl)</f>
        <v/>
      </c>
      <c r="BB11">
        <f>Nqp_sl*1000*BA11-Mqp_sl*1E6*AZ11</f>
        <v/>
      </c>
      <c r="BD11">
        <f>IF(BK10&gt;0,BF10,BD10)</f>
        <v/>
      </c>
      <c r="BE11">
        <f>IF(BK10&gt;0,BE10,BF10)</f>
        <v/>
      </c>
      <c r="BF11">
        <f>(BD11+BE11)/2</f>
        <v/>
      </c>
      <c r="BG11">
        <f>MIN(MAX(BF11,0),h_sl)</f>
        <v/>
      </c>
      <c r="BH11">
        <f>MIN(MAX(BF11-af_sl,0),hfe_sl)</f>
        <v/>
      </c>
      <c r="BI11">
        <f>bw_sl*BG11*(BF11-BG11/2)+ov_sl*BH11*(BF11-af_sl-BH11/2)+(aeL_sl-(BF11&gt;y1_sl))*A1_sl*(BF11-y1_sl)+(aeL_sl-(BF11&gt;y2_sl))*A2_sl*(BF11-y2_sl)</f>
        <v/>
      </c>
      <c r="BJ11">
        <f>bw_sl*(BF11*yc_sl*BG11-(BF11+yc_sl)*BG11^2/2+BG11^3/3)+ov_sl*((BF11-af_sl)*(yc_sl-af_sl)*BH11-(BF11+yc_sl-2*af_sl)*BH11^2/2+BH11^3/3)+(aeL_sl-(BF11&gt;y1_sl))*A1_sl*(BF11-y1_sl)*(yc_sl-y1_sl)+(aeL_sl-(BF11&gt;y2_sl))*A2_sl*(BF11-y2_sl)*(yc_sl-y2_sl)</f>
        <v/>
      </c>
      <c r="BK11">
        <f>Nqp_sl*1000*BJ11-Mqp_sl*1E6*BI11</f>
        <v/>
      </c>
      <c r="BM11">
        <f>IF(BT10&gt;0,BO10,BM10)</f>
        <v/>
      </c>
      <c r="BN11">
        <f>IF(BT10&gt;0,BN10,BO10)</f>
        <v/>
      </c>
      <c r="BO11">
        <f>(BM11+BN11)/2</f>
        <v/>
      </c>
      <c r="BP11">
        <f>MIN(MAX(BO11,0),h_sl)</f>
        <v/>
      </c>
      <c r="BQ11">
        <f>MIN(MAX(BO11-af_sl,0),hfe_sl)</f>
        <v/>
      </c>
      <c r="BR11">
        <f>bw_sl*BP11*(BO11-BP11/2)+ov_sl*BQ11*(BO11-af_sl-BQ11/2)+(aeS_sl-(BO11&gt;y1_sl))*A1_sl*(BO11-y1_sl)+(aeS_sl-(BO11&gt;y2_sl))*A2_sl*(BO11-y2_sl)</f>
        <v/>
      </c>
      <c r="BS11">
        <f>bw_sl*(BO11*yc_sl*BP11-(BO11+yc_sl)*BP11^2/2+BP11^3/3)+ov_sl*((BO11-af_sl)*(yc_sl-af_sl)*BQ11-(BO11+yc_sl-2*af_sl)*BQ11^2/2+BQ11^3/3)+(aeS_sl-(BO11&gt;y1_sl))*A1_sl*(BO11-y1_sl)*(yc_sl-y1_sl)+(aeS_sl-(BO11&gt;y2_sl))*A2_sl*(BO11-y2_sl)*(yc_sl-y2_sl)</f>
        <v/>
      </c>
      <c r="BT11">
        <f>dN_sl*1000*BS11-dM_sl*1E6*BR11</f>
        <v/>
      </c>
      <c r="BV11">
        <f>IF(CC10&gt;0,BX10,BV10)</f>
        <v/>
      </c>
      <c r="BW11">
        <f>IF(CC10&gt;0,BW10,BX10)</f>
        <v/>
      </c>
      <c r="BX11">
        <f>(BV11+BW11)/2</f>
        <v/>
      </c>
      <c r="BY11">
        <f>MIN(MAX(BX11,0),h_sl)</f>
        <v/>
      </c>
      <c r="BZ11">
        <f>MIN(MAX(BX11-af_sl,0),hfe_sl)</f>
        <v/>
      </c>
      <c r="CA11">
        <f>bw_sl*BY11*(BX11-BY11/2)+ov_sl*BZ11*(BX11-af_sl-BZ11/2)+(aeM_sl-(BX11&gt;y1_sl))*A1_sl*(BX11-y1_sl)+(aeM_sl-(BX11&gt;y2_sl))*A2_sl*(BX11-y2_sl)</f>
        <v/>
      </c>
      <c r="CB11">
        <f>bw_sl*(BX11*yc_sl*BY11-(BX11+yc_sl)*BY11^2/2+BY11^3/3)+ov_sl*((BX11-af_sl)*(yc_sl-af_sl)*BZ11-(BX11+yc_sl-2*af_sl)*BZ11^2/2+BZ11^3/3)+(aeM_sl-(BX11&gt;y1_sl))*A1_sl*(BX11-y1_sl)*(yc_sl-y1_sl)+(aeM_sl-(BX11&gt;y2_sl))*A2_sl*(BX11-y2_sl)*(yc_sl-y2_sl)</f>
        <v/>
      </c>
      <c r="CC11">
        <f>Nk_sl*1000*CB11-Mk_sl*1E6*CA11</f>
        <v/>
      </c>
    </row>
    <row r="12">
      <c r="B12">
        <f>IF(I11&gt;0,D11,B11)</f>
        <v/>
      </c>
      <c r="C12">
        <f>IF(I11&gt;0,C11,D11)</f>
        <v/>
      </c>
      <c r="D12">
        <f>(B12+C12)/2</f>
        <v/>
      </c>
      <c r="E12">
        <f>MIN(MAX(D12,0),h_sl)</f>
        <v/>
      </c>
      <c r="F12">
        <f>MIN(MAX(D12-af_sl,0),hfe_sl)</f>
        <v/>
      </c>
      <c r="G12">
        <f>bw_sl*E12*(D12-E12/2)+ov_sl*F12*(D12-af_sl-F12/2)+(aeS_sl-(D12&gt;y1_sl))*A1_sl*(D12-y1_sl)+(aeS_sl-(D12&gt;y2_sl))*A2_sl*(D12-y2_sl)</f>
        <v/>
      </c>
      <c r="H12">
        <f>bw_sl*(D12*yc_sl*E12-(D12+yc_sl)*E12^2/2+E12^3/3)+ov_sl*((D12-af_sl)*(yc_sl-af_sl)*F12-(D12+yc_sl-2*af_sl)*F12^2/2+F12^3/3)+(aeS_sl-(D12&gt;y1_sl))*A1_sl*(D12-y1_sl)*(yc_sl-y1_sl)+(aeS_sl-(D12&gt;y2_sl))*A2_sl*(D12-y2_sl)*(yc_sl-y2_sl)</f>
        <v/>
      </c>
      <c r="I12">
        <f>-G12</f>
        <v/>
      </c>
      <c r="K12">
        <f>IF(R11&gt;0,M11,K11)</f>
        <v/>
      </c>
      <c r="L12">
        <f>IF(R11&gt;0,L11,M11)</f>
        <v/>
      </c>
      <c r="M12">
        <f>(K12+L12)/2</f>
        <v/>
      </c>
      <c r="N12">
        <f>MIN(MAX(M12,0),h_sl)</f>
        <v/>
      </c>
      <c r="O12">
        <f>MIN(MAX(M12-af_sl,0),hfe_sl)</f>
        <v/>
      </c>
      <c r="P12">
        <f>bw_sl*N12*(M12-N12/2)+ov_sl*O12*(M12-af_sl-O12/2)+(aeL_sl-(M12&gt;y1_sl))*A1_sl*(M12-y1_sl)+(aeL_sl-(M12&gt;y2_sl))*A2_sl*(M12-y2_sl)</f>
        <v/>
      </c>
      <c r="Q12">
        <f>bw_sl*(M12*yc_sl*N12-(M12+yc_sl)*N12^2/2+N12^3/3)+ov_sl*((M12-af_sl)*(yc_sl-af_sl)*O12-(M12+yc_sl-2*af_sl)*O12^2/2+O12^3/3)+(aeL_sl-(M12&gt;y1_sl))*A1_sl*(M12-y1_sl)*(yc_sl-y1_sl)+(aeL_sl-(M12&gt;y2_sl))*A2_sl*(M12-y2_sl)*(yc_sl-y2_sl)</f>
        <v/>
      </c>
      <c r="R12">
        <f>-P12</f>
        <v/>
      </c>
      <c r="T12">
        <f>IF(AA11&gt;0,V11,T11)</f>
        <v/>
      </c>
      <c r="U12">
        <f>IF(AA11&gt;0,U11,V11)</f>
        <v/>
      </c>
      <c r="V12">
        <f>(T12+U12)/2</f>
        <v/>
      </c>
      <c r="W12">
        <f>MIN(MAX(V12,0),h_sl)</f>
        <v/>
      </c>
      <c r="X12">
        <f>MIN(MAX(V12-af_sl,0),hfe_sl)</f>
        <v/>
      </c>
      <c r="Y12">
        <f>bw_sl*W12*(V12-W12/2)+ov_sl*X12*(V12-af_sl-X12/2)+(aeM_sl-(V12&gt;y1_sl))*A1_sl*(V12-y1_sl)+(aeM_sl-(V12&gt;y2_sl))*A2_sl*(V12-y2_sl)</f>
        <v/>
      </c>
      <c r="Z12">
        <f>bw_sl*(V12*yc_sl*W12-(V12+yc_sl)*W12^2/2+W12^3/3)+ov_sl*((V12-af_sl)*(yc_sl-af_sl)*X12-(V12+yc_sl-2*af_sl)*X12^2/2+X12^3/3)+(aeM_sl-(V12&gt;y1_sl))*A1_sl*(V12-y1_sl)*(yc_sl-y1_sl)+(aeM_sl-(V12&gt;y2_sl))*A2_sl*(V12-y2_sl)*(yc_sl-y2_sl)</f>
        <v/>
      </c>
      <c r="AA12">
        <f>-Y12</f>
        <v/>
      </c>
      <c r="AC12">
        <f>IF(AJ11&gt;0,AE11,AC11)</f>
        <v/>
      </c>
      <c r="AD12">
        <f>IF(AJ11&gt;0,AD11,AE11)</f>
        <v/>
      </c>
      <c r="AE12">
        <f>(AC12+AD12)/2</f>
        <v/>
      </c>
      <c r="AF12">
        <f>MIN(MAX(AE12,0),h_sl)</f>
        <v/>
      </c>
      <c r="AG12">
        <f>MIN(MAX(AE12-af_sl,0),hfe_sl)</f>
        <v/>
      </c>
      <c r="AH12">
        <f>bw_sl*AF12*(AE12-AF12/2)+ov_sl*AG12*(AE12-af_sl-AG12/2)+(aeS_sl-(AE12&gt;y1_sl))*A1_sl*(AE12-y1_sl)+(aeS_sl-(AE12&gt;y2_sl))*A2_sl*(AE12-y2_sl)</f>
        <v/>
      </c>
      <c r="AI12">
        <f>bw_sl*(AE12*yc_sl*AF12-(AE12+yc_sl)*AF12^2/2+AF12^3/3)+ov_sl*((AE12-af_sl)*(yc_sl-af_sl)*AG12-(AE12+yc_sl-2*af_sl)*AG12^2/2+AG12^3/3)+(aeS_sl-(AE12&gt;y1_sl))*A1_sl*(AE12-y1_sl)*(yc_sl-y1_sl)+(aeS_sl-(AE12&gt;y2_sl))*A2_sl*(AE12-y2_sl)*(yc_sl-y2_sl)</f>
        <v/>
      </c>
      <c r="AJ12">
        <f>Nk_sl*1000*AI12-Mk_sl*1E6*AH12</f>
        <v/>
      </c>
      <c r="AL12">
        <f>IF(AS11&gt;0,AN11,AL11)</f>
        <v/>
      </c>
      <c r="AM12">
        <f>IF(AS11&gt;0,AM11,AN11)</f>
        <v/>
      </c>
      <c r="AN12">
        <f>(AL12+AM12)/2</f>
        <v/>
      </c>
      <c r="AO12">
        <f>MIN(MAX(AN12,0),h_sl)</f>
        <v/>
      </c>
      <c r="AP12">
        <f>MIN(MAX(AN12-af_sl,0),hfe_sl)</f>
        <v/>
      </c>
      <c r="AQ12">
        <f>bw_sl*AO12*(AN12-AO12/2)+ov_sl*AP12*(AN12-af_sl-AP12/2)+(aeL_sl-(AN12&gt;y1_sl))*A1_sl*(AN12-y1_sl)+(aeL_sl-(AN12&gt;y2_sl))*A2_sl*(AN12-y2_sl)</f>
        <v/>
      </c>
      <c r="AR12">
        <f>bw_sl*(AN12*yc_sl*AO12-(AN12+yc_sl)*AO12^2/2+AO12^3/3)+ov_sl*((AN12-af_sl)*(yc_sl-af_sl)*AP12-(AN12+yc_sl-2*af_sl)*AP12^2/2+AP12^3/3)+(aeL_sl-(AN12&gt;y1_sl))*A1_sl*(AN12-y1_sl)*(yc_sl-y1_sl)+(aeL_sl-(AN12&gt;y2_sl))*A2_sl*(AN12-y2_sl)*(yc_sl-y2_sl)</f>
        <v/>
      </c>
      <c r="AS12">
        <f>Nk_sl*1000*AR12-Mk_sl*1E6*AQ12</f>
        <v/>
      </c>
      <c r="AU12">
        <f>IF(BB11&gt;0,AW11,AU11)</f>
        <v/>
      </c>
      <c r="AV12">
        <f>IF(BB11&gt;0,AV11,AW11)</f>
        <v/>
      </c>
      <c r="AW12">
        <f>(AU12+AV12)/2</f>
        <v/>
      </c>
      <c r="AX12">
        <f>MIN(MAX(AW12,0),h_sl)</f>
        <v/>
      </c>
      <c r="AY12">
        <f>MIN(MAX(AW12-af_sl,0),hfe_sl)</f>
        <v/>
      </c>
      <c r="AZ12">
        <f>bw_sl*AX12*(AW12-AX12/2)+ov_sl*AY12*(AW12-af_sl-AY12/2)+(aeS_sl-(AW12&gt;y1_sl))*A1_sl*(AW12-y1_sl)+(aeS_sl-(AW12&gt;y2_sl))*A2_sl*(AW12-y2_sl)</f>
        <v/>
      </c>
      <c r="BA12">
        <f>bw_sl*(AW12*yc_sl*AX12-(AW12+yc_sl)*AX12^2/2+AX12^3/3)+ov_sl*((AW12-af_sl)*(yc_sl-af_sl)*AY12-(AW12+yc_sl-2*af_sl)*AY12^2/2+AY12^3/3)+(aeS_sl-(AW12&gt;y1_sl))*A1_sl*(AW12-y1_sl)*(yc_sl-y1_sl)+(aeS_sl-(AW12&gt;y2_sl))*A2_sl*(AW12-y2_sl)*(yc_sl-y2_sl)</f>
        <v/>
      </c>
      <c r="BB12">
        <f>Nqp_sl*1000*BA12-Mqp_sl*1E6*AZ12</f>
        <v/>
      </c>
      <c r="BD12">
        <f>IF(BK11&gt;0,BF11,BD11)</f>
        <v/>
      </c>
      <c r="BE12">
        <f>IF(BK11&gt;0,BE11,BF11)</f>
        <v/>
      </c>
      <c r="BF12">
        <f>(BD12+BE12)/2</f>
        <v/>
      </c>
      <c r="BG12">
        <f>MIN(MAX(BF12,0),h_sl)</f>
        <v/>
      </c>
      <c r="BH12">
        <f>MIN(MAX(BF12-af_sl,0),hfe_sl)</f>
        <v/>
      </c>
      <c r="BI12">
        <f>bw_sl*BG12*(BF12-BG12/2)+ov_sl*BH12*(BF12-af_sl-BH12/2)+(aeL_sl-(BF12&gt;y1_sl))*A1_sl*(BF12-y1_sl)+(aeL_sl-(BF12&gt;y2_sl))*A2_sl*(BF12-y2_sl)</f>
        <v/>
      </c>
      <c r="BJ12">
        <f>bw_sl*(BF12*yc_sl*BG12-(BF12+yc_sl)*BG12^2/2+BG12^3/3)+ov_sl*((BF12-af_sl)*(yc_sl-af_sl)*BH12-(BF12+yc_sl-2*af_sl)*BH12^2/2+BH12^3/3)+(aeL_sl-(BF12&gt;y1_sl))*A1_sl*(BF12-y1_sl)*(yc_sl-y1_sl)+(aeL_sl-(BF12&gt;y2_sl))*A2_sl*(BF12-y2_sl)*(yc_sl-y2_sl)</f>
        <v/>
      </c>
      <c r="BK12">
        <f>Nqp_sl*1000*BJ12-Mqp_sl*1E6*BI12</f>
        <v/>
      </c>
      <c r="BM12">
        <f>IF(BT11&gt;0,BO11,BM11)</f>
        <v/>
      </c>
      <c r="BN12">
        <f>IF(BT11&gt;0,BN11,BO11)</f>
        <v/>
      </c>
      <c r="BO12">
        <f>(BM12+BN12)/2</f>
        <v/>
      </c>
      <c r="BP12">
        <f>MIN(MAX(BO12,0),h_sl)</f>
        <v/>
      </c>
      <c r="BQ12">
        <f>MIN(MAX(BO12-af_sl,0),hfe_sl)</f>
        <v/>
      </c>
      <c r="BR12">
        <f>bw_sl*BP12*(BO12-BP12/2)+ov_sl*BQ12*(BO12-af_sl-BQ12/2)+(aeS_sl-(BO12&gt;y1_sl))*A1_sl*(BO12-y1_sl)+(aeS_sl-(BO12&gt;y2_sl))*A2_sl*(BO12-y2_sl)</f>
        <v/>
      </c>
      <c r="BS12">
        <f>bw_sl*(BO12*yc_sl*BP12-(BO12+yc_sl)*BP12^2/2+BP12^3/3)+ov_sl*((BO12-af_sl)*(yc_sl-af_sl)*BQ12-(BO12+yc_sl-2*af_sl)*BQ12^2/2+BQ12^3/3)+(aeS_sl-(BO12&gt;y1_sl))*A1_sl*(BO12-y1_sl)*(yc_sl-y1_sl)+(aeS_sl-(BO12&gt;y2_sl))*A2_sl*(BO12-y2_sl)*(yc_sl-y2_sl)</f>
        <v/>
      </c>
      <c r="BT12">
        <f>dN_sl*1000*BS12-dM_sl*1E6*BR12</f>
        <v/>
      </c>
      <c r="BV12">
        <f>IF(CC11&gt;0,BX11,BV11)</f>
        <v/>
      </c>
      <c r="BW12">
        <f>IF(CC11&gt;0,BW11,BX11)</f>
        <v/>
      </c>
      <c r="BX12">
        <f>(BV12+BW12)/2</f>
        <v/>
      </c>
      <c r="BY12">
        <f>MIN(MAX(BX12,0),h_sl)</f>
        <v/>
      </c>
      <c r="BZ12">
        <f>MIN(MAX(BX12-af_sl,0),hfe_sl)</f>
        <v/>
      </c>
      <c r="CA12">
        <f>bw_sl*BY12*(BX12-BY12/2)+ov_sl*BZ12*(BX12-af_sl-BZ12/2)+(aeM_sl-(BX12&gt;y1_sl))*A1_sl*(BX12-y1_sl)+(aeM_sl-(BX12&gt;y2_sl))*A2_sl*(BX12-y2_sl)</f>
        <v/>
      </c>
      <c r="CB12">
        <f>bw_sl*(BX12*yc_sl*BY12-(BX12+yc_sl)*BY12^2/2+BY12^3/3)+ov_sl*((BX12-af_sl)*(yc_sl-af_sl)*BZ12-(BX12+yc_sl-2*af_sl)*BZ12^2/2+BZ12^3/3)+(aeM_sl-(BX12&gt;y1_sl))*A1_sl*(BX12-y1_sl)*(yc_sl-y1_sl)+(aeM_sl-(BX12&gt;y2_sl))*A2_sl*(BX12-y2_sl)*(yc_sl-y2_sl)</f>
        <v/>
      </c>
      <c r="CC12">
        <f>Nk_sl*1000*CB12-Mk_sl*1E6*CA12</f>
        <v/>
      </c>
    </row>
    <row r="13">
      <c r="B13">
        <f>IF(I12&gt;0,D12,B12)</f>
        <v/>
      </c>
      <c r="C13">
        <f>IF(I12&gt;0,C12,D12)</f>
        <v/>
      </c>
      <c r="D13">
        <f>(B13+C13)/2</f>
        <v/>
      </c>
      <c r="E13">
        <f>MIN(MAX(D13,0),h_sl)</f>
        <v/>
      </c>
      <c r="F13">
        <f>MIN(MAX(D13-af_sl,0),hfe_sl)</f>
        <v/>
      </c>
      <c r="G13">
        <f>bw_sl*E13*(D13-E13/2)+ov_sl*F13*(D13-af_sl-F13/2)+(aeS_sl-(D13&gt;y1_sl))*A1_sl*(D13-y1_sl)+(aeS_sl-(D13&gt;y2_sl))*A2_sl*(D13-y2_sl)</f>
        <v/>
      </c>
      <c r="H13">
        <f>bw_sl*(D13*yc_sl*E13-(D13+yc_sl)*E13^2/2+E13^3/3)+ov_sl*((D13-af_sl)*(yc_sl-af_sl)*F13-(D13+yc_sl-2*af_sl)*F13^2/2+F13^3/3)+(aeS_sl-(D13&gt;y1_sl))*A1_sl*(D13-y1_sl)*(yc_sl-y1_sl)+(aeS_sl-(D13&gt;y2_sl))*A2_sl*(D13-y2_sl)*(yc_sl-y2_sl)</f>
        <v/>
      </c>
      <c r="I13">
        <f>-G13</f>
        <v/>
      </c>
      <c r="K13">
        <f>IF(R12&gt;0,M12,K12)</f>
        <v/>
      </c>
      <c r="L13">
        <f>IF(R12&gt;0,L12,M12)</f>
        <v/>
      </c>
      <c r="M13">
        <f>(K13+L13)/2</f>
        <v/>
      </c>
      <c r="N13">
        <f>MIN(MAX(M13,0),h_sl)</f>
        <v/>
      </c>
      <c r="O13">
        <f>MIN(MAX(M13-af_sl,0),hfe_sl)</f>
        <v/>
      </c>
      <c r="P13">
        <f>bw_sl*N13*(M13-N13/2)+ov_sl*O13*(M13-af_sl-O13/2)+(aeL_sl-(M13&gt;y1_sl))*A1_sl*(M13-y1_sl)+(aeL_sl-(M13&gt;y2_sl))*A2_sl*(M13-y2_sl)</f>
        <v/>
      </c>
      <c r="Q13">
        <f>bw_sl*(M13*yc_sl*N13-(M13+yc_sl)*N13^2/2+N13^3/3)+ov_sl*((M13-af_sl)*(yc_sl-af_sl)*O13-(M13+yc_sl-2*af_sl)*O13^2/2+O13^3/3)+(aeL_sl-(M13&gt;y1_sl))*A1_sl*(M13-y1_sl)*(yc_sl-y1_sl)+(aeL_sl-(M13&gt;y2_sl))*A2_sl*(M13-y2_sl)*(yc_sl-y2_sl)</f>
        <v/>
      </c>
      <c r="R13">
        <f>-P13</f>
        <v/>
      </c>
      <c r="T13">
        <f>IF(AA12&gt;0,V12,T12)</f>
        <v/>
      </c>
      <c r="U13">
        <f>IF(AA12&gt;0,U12,V12)</f>
        <v/>
      </c>
      <c r="V13">
        <f>(T13+U13)/2</f>
        <v/>
      </c>
      <c r="W13">
        <f>MIN(MAX(V13,0),h_sl)</f>
        <v/>
      </c>
      <c r="X13">
        <f>MIN(MAX(V13-af_sl,0),hfe_sl)</f>
        <v/>
      </c>
      <c r="Y13">
        <f>bw_sl*W13*(V13-W13/2)+ov_sl*X13*(V13-af_sl-X13/2)+(aeM_sl-(V13&gt;y1_sl))*A1_sl*(V13-y1_sl)+(aeM_sl-(V13&gt;y2_sl))*A2_sl*(V13-y2_sl)</f>
        <v/>
      </c>
      <c r="Z13">
        <f>bw_sl*(V13*yc_sl*W13-(V13+yc_sl)*W13^2/2+W13^3/3)+ov_sl*((V13-af_sl)*(yc_sl-af_sl)*X13-(V13+yc_sl-2*af_sl)*X13^2/2+X13^3/3)+(aeM_sl-(V13&gt;y1_sl))*A1_sl*(V13-y1_sl)*(yc_sl-y1_sl)+(aeM_sl-(V13&gt;y2_sl))*A2_sl*(V13-y2_sl)*(yc_sl-y2_sl)</f>
        <v/>
      </c>
      <c r="AA13">
        <f>-Y13</f>
        <v/>
      </c>
      <c r="AC13">
        <f>IF(AJ12&gt;0,AE12,AC12)</f>
        <v/>
      </c>
      <c r="AD13">
        <f>IF(AJ12&gt;0,AD12,AE12)</f>
        <v/>
      </c>
      <c r="AE13">
        <f>(AC13+AD13)/2</f>
        <v/>
      </c>
      <c r="AF13">
        <f>MIN(MAX(AE13,0),h_sl)</f>
        <v/>
      </c>
      <c r="AG13">
        <f>MIN(MAX(AE13-af_sl,0),hfe_sl)</f>
        <v/>
      </c>
      <c r="AH13">
        <f>bw_sl*AF13*(AE13-AF13/2)+ov_sl*AG13*(AE13-af_sl-AG13/2)+(aeS_sl-(AE13&gt;y1_sl))*A1_sl*(AE13-y1_sl)+(aeS_sl-(AE13&gt;y2_sl))*A2_sl*(AE13-y2_sl)</f>
        <v/>
      </c>
      <c r="AI13">
        <f>bw_sl*(AE13*yc_sl*AF13-(AE13+yc_sl)*AF13^2/2+AF13^3/3)+ov_sl*((AE13-af_sl)*(yc_sl-af_sl)*AG13-(AE13+yc_sl-2*af_sl)*AG13^2/2+AG13^3/3)+(aeS_sl-(AE13&gt;y1_sl))*A1_sl*(AE13-y1_sl)*(yc_sl-y1_sl)+(aeS_sl-(AE13&gt;y2_sl))*A2_sl*(AE13-y2_sl)*(yc_sl-y2_sl)</f>
        <v/>
      </c>
      <c r="AJ13">
        <f>Nk_sl*1000*AI13-Mk_sl*1E6*AH13</f>
        <v/>
      </c>
      <c r="AL13">
        <f>IF(AS12&gt;0,AN12,AL12)</f>
        <v/>
      </c>
      <c r="AM13">
        <f>IF(AS12&gt;0,AM12,AN12)</f>
        <v/>
      </c>
      <c r="AN13">
        <f>(AL13+AM13)/2</f>
        <v/>
      </c>
      <c r="AO13">
        <f>MIN(MAX(AN13,0),h_sl)</f>
        <v/>
      </c>
      <c r="AP13">
        <f>MIN(MAX(AN13-af_sl,0),hfe_sl)</f>
        <v/>
      </c>
      <c r="AQ13">
        <f>bw_sl*AO13*(AN13-AO13/2)+ov_sl*AP13*(AN13-af_sl-AP13/2)+(aeL_sl-(AN13&gt;y1_sl))*A1_sl*(AN13-y1_sl)+(aeL_sl-(AN13&gt;y2_sl))*A2_sl*(AN13-y2_sl)</f>
        <v/>
      </c>
      <c r="AR13">
        <f>bw_sl*(AN13*yc_sl*AO13-(AN13+yc_sl)*AO13^2/2+AO13^3/3)+ov_sl*((AN13-af_sl)*(yc_sl-af_sl)*AP13-(AN13+yc_sl-2*af_sl)*AP13^2/2+AP13^3/3)+(aeL_sl-(AN13&gt;y1_sl))*A1_sl*(AN13-y1_sl)*(yc_sl-y1_sl)+(aeL_sl-(AN13&gt;y2_sl))*A2_sl*(AN13-y2_sl)*(yc_sl-y2_sl)</f>
        <v/>
      </c>
      <c r="AS13">
        <f>Nk_sl*1000*AR13-Mk_sl*1E6*AQ13</f>
        <v/>
      </c>
      <c r="AU13">
        <f>IF(BB12&gt;0,AW12,AU12)</f>
        <v/>
      </c>
      <c r="AV13">
        <f>IF(BB12&gt;0,AV12,AW12)</f>
        <v/>
      </c>
      <c r="AW13">
        <f>(AU13+AV13)/2</f>
        <v/>
      </c>
      <c r="AX13">
        <f>MIN(MAX(AW13,0),h_sl)</f>
        <v/>
      </c>
      <c r="AY13">
        <f>MIN(MAX(AW13-af_sl,0),hfe_sl)</f>
        <v/>
      </c>
      <c r="AZ13">
        <f>bw_sl*AX13*(AW13-AX13/2)+ov_sl*AY13*(AW13-af_sl-AY13/2)+(aeS_sl-(AW13&gt;y1_sl))*A1_sl*(AW13-y1_sl)+(aeS_sl-(AW13&gt;y2_sl))*A2_sl*(AW13-y2_sl)</f>
        <v/>
      </c>
      <c r="BA13">
        <f>bw_sl*(AW13*yc_sl*AX13-(AW13+yc_sl)*AX13^2/2+AX13^3/3)+ov_sl*((AW13-af_sl)*(yc_sl-af_sl)*AY13-(AW13+yc_sl-2*af_sl)*AY13^2/2+AY13^3/3)+(aeS_sl-(AW13&gt;y1_sl))*A1_sl*(AW13-y1_sl)*(yc_sl-y1_sl)+(aeS_sl-(AW13&gt;y2_sl))*A2_sl*(AW13-y2_sl)*(yc_sl-y2_sl)</f>
        <v/>
      </c>
      <c r="BB13">
        <f>Nqp_sl*1000*BA13-Mqp_sl*1E6*AZ13</f>
        <v/>
      </c>
      <c r="BD13">
        <f>IF(BK12&gt;0,BF12,BD12)</f>
        <v/>
      </c>
      <c r="BE13">
        <f>IF(BK12&gt;0,BE12,BF12)</f>
        <v/>
      </c>
      <c r="BF13">
        <f>(BD13+BE13)/2</f>
        <v/>
      </c>
      <c r="BG13">
        <f>MIN(MAX(BF13,0),h_sl)</f>
        <v/>
      </c>
      <c r="BH13">
        <f>MIN(MAX(BF13-af_sl,0),hfe_sl)</f>
        <v/>
      </c>
      <c r="BI13">
        <f>bw_sl*BG13*(BF13-BG13/2)+ov_sl*BH13*(BF13-af_sl-BH13/2)+(aeL_sl-(BF13&gt;y1_sl))*A1_sl*(BF13-y1_sl)+(aeL_sl-(BF13&gt;y2_sl))*A2_sl*(BF13-y2_sl)</f>
        <v/>
      </c>
      <c r="BJ13">
        <f>bw_sl*(BF13*yc_sl*BG13-(BF13+yc_sl)*BG13^2/2+BG13^3/3)+ov_sl*((BF13-af_sl)*(yc_sl-af_sl)*BH13-(BF13+yc_sl-2*af_sl)*BH13^2/2+BH13^3/3)+(aeL_sl-(BF13&gt;y1_sl))*A1_sl*(BF13-y1_sl)*(yc_sl-y1_sl)+(aeL_sl-(BF13&gt;y2_sl))*A2_sl*(BF13-y2_sl)*(yc_sl-y2_sl)</f>
        <v/>
      </c>
      <c r="BK13">
        <f>Nqp_sl*1000*BJ13-Mqp_sl*1E6*BI13</f>
        <v/>
      </c>
      <c r="BM13">
        <f>IF(BT12&gt;0,BO12,BM12)</f>
        <v/>
      </c>
      <c r="BN13">
        <f>IF(BT12&gt;0,BN12,BO12)</f>
        <v/>
      </c>
      <c r="BO13">
        <f>(BM13+BN13)/2</f>
        <v/>
      </c>
      <c r="BP13">
        <f>MIN(MAX(BO13,0),h_sl)</f>
        <v/>
      </c>
      <c r="BQ13">
        <f>MIN(MAX(BO13-af_sl,0),hfe_sl)</f>
        <v/>
      </c>
      <c r="BR13">
        <f>bw_sl*BP13*(BO13-BP13/2)+ov_sl*BQ13*(BO13-af_sl-BQ13/2)+(aeS_sl-(BO13&gt;y1_sl))*A1_sl*(BO13-y1_sl)+(aeS_sl-(BO13&gt;y2_sl))*A2_sl*(BO13-y2_sl)</f>
        <v/>
      </c>
      <c r="BS13">
        <f>bw_sl*(BO13*yc_sl*BP13-(BO13+yc_sl)*BP13^2/2+BP13^3/3)+ov_sl*((BO13-af_sl)*(yc_sl-af_sl)*BQ13-(BO13+yc_sl-2*af_sl)*BQ13^2/2+BQ13^3/3)+(aeS_sl-(BO13&gt;y1_sl))*A1_sl*(BO13-y1_sl)*(yc_sl-y1_sl)+(aeS_sl-(BO13&gt;y2_sl))*A2_sl*(BO13-y2_sl)*(yc_sl-y2_sl)</f>
        <v/>
      </c>
      <c r="BT13">
        <f>dN_sl*1000*BS13-dM_sl*1E6*BR13</f>
        <v/>
      </c>
      <c r="BV13">
        <f>IF(CC12&gt;0,BX12,BV12)</f>
        <v/>
      </c>
      <c r="BW13">
        <f>IF(CC12&gt;0,BW12,BX12)</f>
        <v/>
      </c>
      <c r="BX13">
        <f>(BV13+BW13)/2</f>
        <v/>
      </c>
      <c r="BY13">
        <f>MIN(MAX(BX13,0),h_sl)</f>
        <v/>
      </c>
      <c r="BZ13">
        <f>MIN(MAX(BX13-af_sl,0),hfe_sl)</f>
        <v/>
      </c>
      <c r="CA13">
        <f>bw_sl*BY13*(BX13-BY13/2)+ov_sl*BZ13*(BX13-af_sl-BZ13/2)+(aeM_sl-(BX13&gt;y1_sl))*A1_sl*(BX13-y1_sl)+(aeM_sl-(BX13&gt;y2_sl))*A2_sl*(BX13-y2_sl)</f>
        <v/>
      </c>
      <c r="CB13">
        <f>bw_sl*(BX13*yc_sl*BY13-(BX13+yc_sl)*BY13^2/2+BY13^3/3)+ov_sl*((BX13-af_sl)*(yc_sl-af_sl)*BZ13-(BX13+yc_sl-2*af_sl)*BZ13^2/2+BZ13^3/3)+(aeM_sl-(BX13&gt;y1_sl))*A1_sl*(BX13-y1_sl)*(yc_sl-y1_sl)+(aeM_sl-(BX13&gt;y2_sl))*A2_sl*(BX13-y2_sl)*(yc_sl-y2_sl)</f>
        <v/>
      </c>
      <c r="CC13">
        <f>Nk_sl*1000*CB13-Mk_sl*1E6*CA13</f>
        <v/>
      </c>
    </row>
    <row r="14">
      <c r="B14">
        <f>IF(I13&gt;0,D13,B13)</f>
        <v/>
      </c>
      <c r="C14">
        <f>IF(I13&gt;0,C13,D13)</f>
        <v/>
      </c>
      <c r="D14">
        <f>(B14+C14)/2</f>
        <v/>
      </c>
      <c r="E14">
        <f>MIN(MAX(D14,0),h_sl)</f>
        <v/>
      </c>
      <c r="F14">
        <f>MIN(MAX(D14-af_sl,0),hfe_sl)</f>
        <v/>
      </c>
      <c r="G14">
        <f>bw_sl*E14*(D14-E14/2)+ov_sl*F14*(D14-af_sl-F14/2)+(aeS_sl-(D14&gt;y1_sl))*A1_sl*(D14-y1_sl)+(aeS_sl-(D14&gt;y2_sl))*A2_sl*(D14-y2_sl)</f>
        <v/>
      </c>
      <c r="H14">
        <f>bw_sl*(D14*yc_sl*E14-(D14+yc_sl)*E14^2/2+E14^3/3)+ov_sl*((D14-af_sl)*(yc_sl-af_sl)*F14-(D14+yc_sl-2*af_sl)*F14^2/2+F14^3/3)+(aeS_sl-(D14&gt;y1_sl))*A1_sl*(D14-y1_sl)*(yc_sl-y1_sl)+(aeS_sl-(D14&gt;y2_sl))*A2_sl*(D14-y2_sl)*(yc_sl-y2_sl)</f>
        <v/>
      </c>
      <c r="I14">
        <f>-G14</f>
        <v/>
      </c>
      <c r="K14">
        <f>IF(R13&gt;0,M13,K13)</f>
        <v/>
      </c>
      <c r="L14">
        <f>IF(R13&gt;0,L13,M13)</f>
        <v/>
      </c>
      <c r="M14">
        <f>(K14+L14)/2</f>
        <v/>
      </c>
      <c r="N14">
        <f>MIN(MAX(M14,0),h_sl)</f>
        <v/>
      </c>
      <c r="O14">
        <f>MIN(MAX(M14-af_sl,0),hfe_sl)</f>
        <v/>
      </c>
      <c r="P14">
        <f>bw_sl*N14*(M14-N14/2)+ov_sl*O14*(M14-af_sl-O14/2)+(aeL_sl-(M14&gt;y1_sl))*A1_sl*(M14-y1_sl)+(aeL_sl-(M14&gt;y2_sl))*A2_sl*(M14-y2_sl)</f>
        <v/>
      </c>
      <c r="Q14">
        <f>bw_sl*(M14*yc_sl*N14-(M14+yc_sl)*N14^2/2+N14^3/3)+ov_sl*((M14-af_sl)*(yc_sl-af_sl)*O14-(M14+yc_sl-2*af_sl)*O14^2/2+O14^3/3)+(aeL_sl-(M14&gt;y1_sl))*A1_sl*(M14-y1_sl)*(yc_sl-y1_sl)+(aeL_sl-(M14&gt;y2_sl))*A2_sl*(M14-y2_sl)*(yc_sl-y2_sl)</f>
        <v/>
      </c>
      <c r="R14">
        <f>-P14</f>
        <v/>
      </c>
      <c r="T14">
        <f>IF(AA13&gt;0,V13,T13)</f>
        <v/>
      </c>
      <c r="U14">
        <f>IF(AA13&gt;0,U13,V13)</f>
        <v/>
      </c>
      <c r="V14">
        <f>(T14+U14)/2</f>
        <v/>
      </c>
      <c r="W14">
        <f>MIN(MAX(V14,0),h_sl)</f>
        <v/>
      </c>
      <c r="X14">
        <f>MIN(MAX(V14-af_sl,0),hfe_sl)</f>
        <v/>
      </c>
      <c r="Y14">
        <f>bw_sl*W14*(V14-W14/2)+ov_sl*X14*(V14-af_sl-X14/2)+(aeM_sl-(V14&gt;y1_sl))*A1_sl*(V14-y1_sl)+(aeM_sl-(V14&gt;y2_sl))*A2_sl*(V14-y2_sl)</f>
        <v/>
      </c>
      <c r="Z14">
        <f>bw_sl*(V14*yc_sl*W14-(V14+yc_sl)*W14^2/2+W14^3/3)+ov_sl*((V14-af_sl)*(yc_sl-af_sl)*X14-(V14+yc_sl-2*af_sl)*X14^2/2+X14^3/3)+(aeM_sl-(V14&gt;y1_sl))*A1_sl*(V14-y1_sl)*(yc_sl-y1_sl)+(aeM_sl-(V14&gt;y2_sl))*A2_sl*(V14-y2_sl)*(yc_sl-y2_sl)</f>
        <v/>
      </c>
      <c r="AA14">
        <f>-Y14</f>
        <v/>
      </c>
      <c r="AC14">
        <f>IF(AJ13&gt;0,AE13,AC13)</f>
        <v/>
      </c>
      <c r="AD14">
        <f>IF(AJ13&gt;0,AD13,AE13)</f>
        <v/>
      </c>
      <c r="AE14">
        <f>(AC14+AD14)/2</f>
        <v/>
      </c>
      <c r="AF14">
        <f>MIN(MAX(AE14,0),h_sl)</f>
        <v/>
      </c>
      <c r="AG14">
        <f>MIN(MAX(AE14-af_sl,0),hfe_sl)</f>
        <v/>
      </c>
      <c r="AH14">
        <f>bw_sl*AF14*(AE14-AF14/2)+ov_sl*AG14*(AE14-af_sl-AG14/2)+(aeS_sl-(AE14&gt;y1_sl))*A1_sl*(AE14-y1_sl)+(aeS_sl-(AE14&gt;y2_sl))*A2_sl*(AE14-y2_sl)</f>
        <v/>
      </c>
      <c r="AI14">
        <f>bw_sl*(AE14*yc_sl*AF14-(AE14+yc_sl)*AF14^2/2+AF14^3/3)+ov_sl*((AE14-af_sl)*(yc_sl-af_sl)*AG14-(AE14+yc_sl-2*af_sl)*AG14^2/2+AG14^3/3)+(aeS_sl-(AE14&gt;y1_sl))*A1_sl*(AE14-y1_sl)*(yc_sl-y1_sl)+(aeS_sl-(AE14&gt;y2_sl))*A2_sl*(AE14-y2_sl)*(yc_sl-y2_sl)</f>
        <v/>
      </c>
      <c r="AJ14">
        <f>Nk_sl*1000*AI14-Mk_sl*1E6*AH14</f>
        <v/>
      </c>
      <c r="AL14">
        <f>IF(AS13&gt;0,AN13,AL13)</f>
        <v/>
      </c>
      <c r="AM14">
        <f>IF(AS13&gt;0,AM13,AN13)</f>
        <v/>
      </c>
      <c r="AN14">
        <f>(AL14+AM14)/2</f>
        <v/>
      </c>
      <c r="AO14">
        <f>MIN(MAX(AN14,0),h_sl)</f>
        <v/>
      </c>
      <c r="AP14">
        <f>MIN(MAX(AN14-af_sl,0),hfe_sl)</f>
        <v/>
      </c>
      <c r="AQ14">
        <f>bw_sl*AO14*(AN14-AO14/2)+ov_sl*AP14*(AN14-af_sl-AP14/2)+(aeL_sl-(AN14&gt;y1_sl))*A1_sl*(AN14-y1_sl)+(aeL_sl-(AN14&gt;y2_sl))*A2_sl*(AN14-y2_sl)</f>
        <v/>
      </c>
      <c r="AR14">
        <f>bw_sl*(AN14*yc_sl*AO14-(AN14+yc_sl)*AO14^2/2+AO14^3/3)+ov_sl*((AN14-af_sl)*(yc_sl-af_sl)*AP14-(AN14+yc_sl-2*af_sl)*AP14^2/2+AP14^3/3)+(aeL_sl-(AN14&gt;y1_sl))*A1_sl*(AN14-y1_sl)*(yc_sl-y1_sl)+(aeL_sl-(AN14&gt;y2_sl))*A2_sl*(AN14-y2_sl)*(yc_sl-y2_sl)</f>
        <v/>
      </c>
      <c r="AS14">
        <f>Nk_sl*1000*AR14-Mk_sl*1E6*AQ14</f>
        <v/>
      </c>
      <c r="AU14">
        <f>IF(BB13&gt;0,AW13,AU13)</f>
        <v/>
      </c>
      <c r="AV14">
        <f>IF(BB13&gt;0,AV13,AW13)</f>
        <v/>
      </c>
      <c r="AW14">
        <f>(AU14+AV14)/2</f>
        <v/>
      </c>
      <c r="AX14">
        <f>MIN(MAX(AW14,0),h_sl)</f>
        <v/>
      </c>
      <c r="AY14">
        <f>MIN(MAX(AW14-af_sl,0),hfe_sl)</f>
        <v/>
      </c>
      <c r="AZ14">
        <f>bw_sl*AX14*(AW14-AX14/2)+ov_sl*AY14*(AW14-af_sl-AY14/2)+(aeS_sl-(AW14&gt;y1_sl))*A1_sl*(AW14-y1_sl)+(aeS_sl-(AW14&gt;y2_sl))*A2_sl*(AW14-y2_sl)</f>
        <v/>
      </c>
      <c r="BA14">
        <f>bw_sl*(AW14*yc_sl*AX14-(AW14+yc_sl)*AX14^2/2+AX14^3/3)+ov_sl*((AW14-af_sl)*(yc_sl-af_sl)*AY14-(AW14+yc_sl-2*af_sl)*AY14^2/2+AY14^3/3)+(aeS_sl-(AW14&gt;y1_sl))*A1_sl*(AW14-y1_sl)*(yc_sl-y1_sl)+(aeS_sl-(AW14&gt;y2_sl))*A2_sl*(AW14-y2_sl)*(yc_sl-y2_sl)</f>
        <v/>
      </c>
      <c r="BB14">
        <f>Nqp_sl*1000*BA14-Mqp_sl*1E6*AZ14</f>
        <v/>
      </c>
      <c r="BD14">
        <f>IF(BK13&gt;0,BF13,BD13)</f>
        <v/>
      </c>
      <c r="BE14">
        <f>IF(BK13&gt;0,BE13,BF13)</f>
        <v/>
      </c>
      <c r="BF14">
        <f>(BD14+BE14)/2</f>
        <v/>
      </c>
      <c r="BG14">
        <f>MIN(MAX(BF14,0),h_sl)</f>
        <v/>
      </c>
      <c r="BH14">
        <f>MIN(MAX(BF14-af_sl,0),hfe_sl)</f>
        <v/>
      </c>
      <c r="BI14">
        <f>bw_sl*BG14*(BF14-BG14/2)+ov_sl*BH14*(BF14-af_sl-BH14/2)+(aeL_sl-(BF14&gt;y1_sl))*A1_sl*(BF14-y1_sl)+(aeL_sl-(BF14&gt;y2_sl))*A2_sl*(BF14-y2_sl)</f>
        <v/>
      </c>
      <c r="BJ14">
        <f>bw_sl*(BF14*yc_sl*BG14-(BF14+yc_sl)*BG14^2/2+BG14^3/3)+ov_sl*((BF14-af_sl)*(yc_sl-af_sl)*BH14-(BF14+yc_sl-2*af_sl)*BH14^2/2+BH14^3/3)+(aeL_sl-(BF14&gt;y1_sl))*A1_sl*(BF14-y1_sl)*(yc_sl-y1_sl)+(aeL_sl-(BF14&gt;y2_sl))*A2_sl*(BF14-y2_sl)*(yc_sl-y2_sl)</f>
        <v/>
      </c>
      <c r="BK14">
        <f>Nqp_sl*1000*BJ14-Mqp_sl*1E6*BI14</f>
        <v/>
      </c>
      <c r="BM14">
        <f>IF(BT13&gt;0,BO13,BM13)</f>
        <v/>
      </c>
      <c r="BN14">
        <f>IF(BT13&gt;0,BN13,BO13)</f>
        <v/>
      </c>
      <c r="BO14">
        <f>(BM14+BN14)/2</f>
        <v/>
      </c>
      <c r="BP14">
        <f>MIN(MAX(BO14,0),h_sl)</f>
        <v/>
      </c>
      <c r="BQ14">
        <f>MIN(MAX(BO14-af_sl,0),hfe_sl)</f>
        <v/>
      </c>
      <c r="BR14">
        <f>bw_sl*BP14*(BO14-BP14/2)+ov_sl*BQ14*(BO14-af_sl-BQ14/2)+(aeS_sl-(BO14&gt;y1_sl))*A1_sl*(BO14-y1_sl)+(aeS_sl-(BO14&gt;y2_sl))*A2_sl*(BO14-y2_sl)</f>
        <v/>
      </c>
      <c r="BS14">
        <f>bw_sl*(BO14*yc_sl*BP14-(BO14+yc_sl)*BP14^2/2+BP14^3/3)+ov_sl*((BO14-af_sl)*(yc_sl-af_sl)*BQ14-(BO14+yc_sl-2*af_sl)*BQ14^2/2+BQ14^3/3)+(aeS_sl-(BO14&gt;y1_sl))*A1_sl*(BO14-y1_sl)*(yc_sl-y1_sl)+(aeS_sl-(BO14&gt;y2_sl))*A2_sl*(BO14-y2_sl)*(yc_sl-y2_sl)</f>
        <v/>
      </c>
      <c r="BT14">
        <f>dN_sl*1000*BS14-dM_sl*1E6*BR14</f>
        <v/>
      </c>
      <c r="BV14">
        <f>IF(CC13&gt;0,BX13,BV13)</f>
        <v/>
      </c>
      <c r="BW14">
        <f>IF(CC13&gt;0,BW13,BX13)</f>
        <v/>
      </c>
      <c r="BX14">
        <f>(BV14+BW14)/2</f>
        <v/>
      </c>
      <c r="BY14">
        <f>MIN(MAX(BX14,0),h_sl)</f>
        <v/>
      </c>
      <c r="BZ14">
        <f>MIN(MAX(BX14-af_sl,0),hfe_sl)</f>
        <v/>
      </c>
      <c r="CA14">
        <f>bw_sl*BY14*(BX14-BY14/2)+ov_sl*BZ14*(BX14-af_sl-BZ14/2)+(aeM_sl-(BX14&gt;y1_sl))*A1_sl*(BX14-y1_sl)+(aeM_sl-(BX14&gt;y2_sl))*A2_sl*(BX14-y2_sl)</f>
        <v/>
      </c>
      <c r="CB14">
        <f>bw_sl*(BX14*yc_sl*BY14-(BX14+yc_sl)*BY14^2/2+BY14^3/3)+ov_sl*((BX14-af_sl)*(yc_sl-af_sl)*BZ14-(BX14+yc_sl-2*af_sl)*BZ14^2/2+BZ14^3/3)+(aeM_sl-(BX14&gt;y1_sl))*A1_sl*(BX14-y1_sl)*(yc_sl-y1_sl)+(aeM_sl-(BX14&gt;y2_sl))*A2_sl*(BX14-y2_sl)*(yc_sl-y2_sl)</f>
        <v/>
      </c>
      <c r="CC14">
        <f>Nk_sl*1000*CB14-Mk_sl*1E6*CA14</f>
        <v/>
      </c>
    </row>
    <row r="15">
      <c r="B15">
        <f>IF(I14&gt;0,D14,B14)</f>
        <v/>
      </c>
      <c r="C15">
        <f>IF(I14&gt;0,C14,D14)</f>
        <v/>
      </c>
      <c r="D15">
        <f>(B15+C15)/2</f>
        <v/>
      </c>
      <c r="E15">
        <f>MIN(MAX(D15,0),h_sl)</f>
        <v/>
      </c>
      <c r="F15">
        <f>MIN(MAX(D15-af_sl,0),hfe_sl)</f>
        <v/>
      </c>
      <c r="G15">
        <f>bw_sl*E15*(D15-E15/2)+ov_sl*F15*(D15-af_sl-F15/2)+(aeS_sl-(D15&gt;y1_sl))*A1_sl*(D15-y1_sl)+(aeS_sl-(D15&gt;y2_sl))*A2_sl*(D15-y2_sl)</f>
        <v/>
      </c>
      <c r="H15">
        <f>bw_sl*(D15*yc_sl*E15-(D15+yc_sl)*E15^2/2+E15^3/3)+ov_sl*((D15-af_sl)*(yc_sl-af_sl)*F15-(D15+yc_sl-2*af_sl)*F15^2/2+F15^3/3)+(aeS_sl-(D15&gt;y1_sl))*A1_sl*(D15-y1_sl)*(yc_sl-y1_sl)+(aeS_sl-(D15&gt;y2_sl))*A2_sl*(D15-y2_sl)*(yc_sl-y2_sl)</f>
        <v/>
      </c>
      <c r="I15">
        <f>-G15</f>
        <v/>
      </c>
      <c r="K15">
        <f>IF(R14&gt;0,M14,K14)</f>
        <v/>
      </c>
      <c r="L15">
        <f>IF(R14&gt;0,L14,M14)</f>
        <v/>
      </c>
      <c r="M15">
        <f>(K15+L15)/2</f>
        <v/>
      </c>
      <c r="N15">
        <f>MIN(MAX(M15,0),h_sl)</f>
        <v/>
      </c>
      <c r="O15">
        <f>MIN(MAX(M15-af_sl,0),hfe_sl)</f>
        <v/>
      </c>
      <c r="P15">
        <f>bw_sl*N15*(M15-N15/2)+ov_sl*O15*(M15-af_sl-O15/2)+(aeL_sl-(M15&gt;y1_sl))*A1_sl*(M15-y1_sl)+(aeL_sl-(M15&gt;y2_sl))*A2_sl*(M15-y2_sl)</f>
        <v/>
      </c>
      <c r="Q15">
        <f>bw_sl*(M15*yc_sl*N15-(M15+yc_sl)*N15^2/2+N15^3/3)+ov_sl*((M15-af_sl)*(yc_sl-af_sl)*O15-(M15+yc_sl-2*af_sl)*O15^2/2+O15^3/3)+(aeL_sl-(M15&gt;y1_sl))*A1_sl*(M15-y1_sl)*(yc_sl-y1_sl)+(aeL_sl-(M15&gt;y2_sl))*A2_sl*(M15-y2_sl)*(yc_sl-y2_sl)</f>
        <v/>
      </c>
      <c r="R15">
        <f>-P15</f>
        <v/>
      </c>
      <c r="T15">
        <f>IF(AA14&gt;0,V14,T14)</f>
        <v/>
      </c>
      <c r="U15">
        <f>IF(AA14&gt;0,U14,V14)</f>
        <v/>
      </c>
      <c r="V15">
        <f>(T15+U15)/2</f>
        <v/>
      </c>
      <c r="W15">
        <f>MIN(MAX(V15,0),h_sl)</f>
        <v/>
      </c>
      <c r="X15">
        <f>MIN(MAX(V15-af_sl,0),hfe_sl)</f>
        <v/>
      </c>
      <c r="Y15">
        <f>bw_sl*W15*(V15-W15/2)+ov_sl*X15*(V15-af_sl-X15/2)+(aeM_sl-(V15&gt;y1_sl))*A1_sl*(V15-y1_sl)+(aeM_sl-(V15&gt;y2_sl))*A2_sl*(V15-y2_sl)</f>
        <v/>
      </c>
      <c r="Z15">
        <f>bw_sl*(V15*yc_sl*W15-(V15+yc_sl)*W15^2/2+W15^3/3)+ov_sl*((V15-af_sl)*(yc_sl-af_sl)*X15-(V15+yc_sl-2*af_sl)*X15^2/2+X15^3/3)+(aeM_sl-(V15&gt;y1_sl))*A1_sl*(V15-y1_sl)*(yc_sl-y1_sl)+(aeM_sl-(V15&gt;y2_sl))*A2_sl*(V15-y2_sl)*(yc_sl-y2_sl)</f>
        <v/>
      </c>
      <c r="AA15">
        <f>-Y15</f>
        <v/>
      </c>
      <c r="AC15">
        <f>IF(AJ14&gt;0,AE14,AC14)</f>
        <v/>
      </c>
      <c r="AD15">
        <f>IF(AJ14&gt;0,AD14,AE14)</f>
        <v/>
      </c>
      <c r="AE15">
        <f>(AC15+AD15)/2</f>
        <v/>
      </c>
      <c r="AF15">
        <f>MIN(MAX(AE15,0),h_sl)</f>
        <v/>
      </c>
      <c r="AG15">
        <f>MIN(MAX(AE15-af_sl,0),hfe_sl)</f>
        <v/>
      </c>
      <c r="AH15">
        <f>bw_sl*AF15*(AE15-AF15/2)+ov_sl*AG15*(AE15-af_sl-AG15/2)+(aeS_sl-(AE15&gt;y1_sl))*A1_sl*(AE15-y1_sl)+(aeS_sl-(AE15&gt;y2_sl))*A2_sl*(AE15-y2_sl)</f>
        <v/>
      </c>
      <c r="AI15">
        <f>bw_sl*(AE15*yc_sl*AF15-(AE15+yc_sl)*AF15^2/2+AF15^3/3)+ov_sl*((AE15-af_sl)*(yc_sl-af_sl)*AG15-(AE15+yc_sl-2*af_sl)*AG15^2/2+AG15^3/3)+(aeS_sl-(AE15&gt;y1_sl))*A1_sl*(AE15-y1_sl)*(yc_sl-y1_sl)+(aeS_sl-(AE15&gt;y2_sl))*A2_sl*(AE15-y2_sl)*(yc_sl-y2_sl)</f>
        <v/>
      </c>
      <c r="AJ15">
        <f>Nk_sl*1000*AI15-Mk_sl*1E6*AH15</f>
        <v/>
      </c>
      <c r="AL15">
        <f>IF(AS14&gt;0,AN14,AL14)</f>
        <v/>
      </c>
      <c r="AM15">
        <f>IF(AS14&gt;0,AM14,AN14)</f>
        <v/>
      </c>
      <c r="AN15">
        <f>(AL15+AM15)/2</f>
        <v/>
      </c>
      <c r="AO15">
        <f>MIN(MAX(AN15,0),h_sl)</f>
        <v/>
      </c>
      <c r="AP15">
        <f>MIN(MAX(AN15-af_sl,0),hfe_sl)</f>
        <v/>
      </c>
      <c r="AQ15">
        <f>bw_sl*AO15*(AN15-AO15/2)+ov_sl*AP15*(AN15-af_sl-AP15/2)+(aeL_sl-(AN15&gt;y1_sl))*A1_sl*(AN15-y1_sl)+(aeL_sl-(AN15&gt;y2_sl))*A2_sl*(AN15-y2_sl)</f>
        <v/>
      </c>
      <c r="AR15">
        <f>bw_sl*(AN15*yc_sl*AO15-(AN15+yc_sl)*AO15^2/2+AO15^3/3)+ov_sl*((AN15-af_sl)*(yc_sl-af_sl)*AP15-(AN15+yc_sl-2*af_sl)*AP15^2/2+AP15^3/3)+(aeL_sl-(AN15&gt;y1_sl))*A1_sl*(AN15-y1_sl)*(yc_sl-y1_sl)+(aeL_sl-(AN15&gt;y2_sl))*A2_sl*(AN15-y2_sl)*(yc_sl-y2_sl)</f>
        <v/>
      </c>
      <c r="AS15">
        <f>Nk_sl*1000*AR15-Mk_sl*1E6*AQ15</f>
        <v/>
      </c>
      <c r="AU15">
        <f>IF(BB14&gt;0,AW14,AU14)</f>
        <v/>
      </c>
      <c r="AV15">
        <f>IF(BB14&gt;0,AV14,AW14)</f>
        <v/>
      </c>
      <c r="AW15">
        <f>(AU15+AV15)/2</f>
        <v/>
      </c>
      <c r="AX15">
        <f>MIN(MAX(AW15,0),h_sl)</f>
        <v/>
      </c>
      <c r="AY15">
        <f>MIN(MAX(AW15-af_sl,0),hfe_sl)</f>
        <v/>
      </c>
      <c r="AZ15">
        <f>bw_sl*AX15*(AW15-AX15/2)+ov_sl*AY15*(AW15-af_sl-AY15/2)+(aeS_sl-(AW15&gt;y1_sl))*A1_sl*(AW15-y1_sl)+(aeS_sl-(AW15&gt;y2_sl))*A2_sl*(AW15-y2_sl)</f>
        <v/>
      </c>
      <c r="BA15">
        <f>bw_sl*(AW15*yc_sl*AX15-(AW15+yc_sl)*AX15^2/2+AX15^3/3)+ov_sl*((AW15-af_sl)*(yc_sl-af_sl)*AY15-(AW15+yc_sl-2*af_sl)*AY15^2/2+AY15^3/3)+(aeS_sl-(AW15&gt;y1_sl))*A1_sl*(AW15-y1_sl)*(yc_sl-y1_sl)+(aeS_sl-(AW15&gt;y2_sl))*A2_sl*(AW15-y2_sl)*(yc_sl-y2_sl)</f>
        <v/>
      </c>
      <c r="BB15">
        <f>Nqp_sl*1000*BA15-Mqp_sl*1E6*AZ15</f>
        <v/>
      </c>
      <c r="BD15">
        <f>IF(BK14&gt;0,BF14,BD14)</f>
        <v/>
      </c>
      <c r="BE15">
        <f>IF(BK14&gt;0,BE14,BF14)</f>
        <v/>
      </c>
      <c r="BF15">
        <f>(BD15+BE15)/2</f>
        <v/>
      </c>
      <c r="BG15">
        <f>MIN(MAX(BF15,0),h_sl)</f>
        <v/>
      </c>
      <c r="BH15">
        <f>MIN(MAX(BF15-af_sl,0),hfe_sl)</f>
        <v/>
      </c>
      <c r="BI15">
        <f>bw_sl*BG15*(BF15-BG15/2)+ov_sl*BH15*(BF15-af_sl-BH15/2)+(aeL_sl-(BF15&gt;y1_sl))*A1_sl*(BF15-y1_sl)+(aeL_sl-(BF15&gt;y2_sl))*A2_sl*(BF15-y2_sl)</f>
        <v/>
      </c>
      <c r="BJ15">
        <f>bw_sl*(BF15*yc_sl*BG15-(BF15+yc_sl)*BG15^2/2+BG15^3/3)+ov_sl*((BF15-af_sl)*(yc_sl-af_sl)*BH15-(BF15+yc_sl-2*af_sl)*BH15^2/2+BH15^3/3)+(aeL_sl-(BF15&gt;y1_sl))*A1_sl*(BF15-y1_sl)*(yc_sl-y1_sl)+(aeL_sl-(BF15&gt;y2_sl))*A2_sl*(BF15-y2_sl)*(yc_sl-y2_sl)</f>
        <v/>
      </c>
      <c r="BK15">
        <f>Nqp_sl*1000*BJ15-Mqp_sl*1E6*BI15</f>
        <v/>
      </c>
      <c r="BM15">
        <f>IF(BT14&gt;0,BO14,BM14)</f>
        <v/>
      </c>
      <c r="BN15">
        <f>IF(BT14&gt;0,BN14,BO14)</f>
        <v/>
      </c>
      <c r="BO15">
        <f>(BM15+BN15)/2</f>
        <v/>
      </c>
      <c r="BP15">
        <f>MIN(MAX(BO15,0),h_sl)</f>
        <v/>
      </c>
      <c r="BQ15">
        <f>MIN(MAX(BO15-af_sl,0),hfe_sl)</f>
        <v/>
      </c>
      <c r="BR15">
        <f>bw_sl*BP15*(BO15-BP15/2)+ov_sl*BQ15*(BO15-af_sl-BQ15/2)+(aeS_sl-(BO15&gt;y1_sl))*A1_sl*(BO15-y1_sl)+(aeS_sl-(BO15&gt;y2_sl))*A2_sl*(BO15-y2_sl)</f>
        <v/>
      </c>
      <c r="BS15">
        <f>bw_sl*(BO15*yc_sl*BP15-(BO15+yc_sl)*BP15^2/2+BP15^3/3)+ov_sl*((BO15-af_sl)*(yc_sl-af_sl)*BQ15-(BO15+yc_sl-2*af_sl)*BQ15^2/2+BQ15^3/3)+(aeS_sl-(BO15&gt;y1_sl))*A1_sl*(BO15-y1_sl)*(yc_sl-y1_sl)+(aeS_sl-(BO15&gt;y2_sl))*A2_sl*(BO15-y2_sl)*(yc_sl-y2_sl)</f>
        <v/>
      </c>
      <c r="BT15">
        <f>dN_sl*1000*BS15-dM_sl*1E6*BR15</f>
        <v/>
      </c>
      <c r="BV15">
        <f>IF(CC14&gt;0,BX14,BV14)</f>
        <v/>
      </c>
      <c r="BW15">
        <f>IF(CC14&gt;0,BW14,BX14)</f>
        <v/>
      </c>
      <c r="BX15">
        <f>(BV15+BW15)/2</f>
        <v/>
      </c>
      <c r="BY15">
        <f>MIN(MAX(BX15,0),h_sl)</f>
        <v/>
      </c>
      <c r="BZ15">
        <f>MIN(MAX(BX15-af_sl,0),hfe_sl)</f>
        <v/>
      </c>
      <c r="CA15">
        <f>bw_sl*BY15*(BX15-BY15/2)+ov_sl*BZ15*(BX15-af_sl-BZ15/2)+(aeM_sl-(BX15&gt;y1_sl))*A1_sl*(BX15-y1_sl)+(aeM_sl-(BX15&gt;y2_sl))*A2_sl*(BX15-y2_sl)</f>
        <v/>
      </c>
      <c r="CB15">
        <f>bw_sl*(BX15*yc_sl*BY15-(BX15+yc_sl)*BY15^2/2+BY15^3/3)+ov_sl*((BX15-af_sl)*(yc_sl-af_sl)*BZ15-(BX15+yc_sl-2*af_sl)*BZ15^2/2+BZ15^3/3)+(aeM_sl-(BX15&gt;y1_sl))*A1_sl*(BX15-y1_sl)*(yc_sl-y1_sl)+(aeM_sl-(BX15&gt;y2_sl))*A2_sl*(BX15-y2_sl)*(yc_sl-y2_sl)</f>
        <v/>
      </c>
      <c r="CC15">
        <f>Nk_sl*1000*CB15-Mk_sl*1E6*CA15</f>
        <v/>
      </c>
    </row>
    <row r="16">
      <c r="B16">
        <f>IF(I15&gt;0,D15,B15)</f>
        <v/>
      </c>
      <c r="C16">
        <f>IF(I15&gt;0,C15,D15)</f>
        <v/>
      </c>
      <c r="D16">
        <f>(B16+C16)/2</f>
        <v/>
      </c>
      <c r="E16">
        <f>MIN(MAX(D16,0),h_sl)</f>
        <v/>
      </c>
      <c r="F16">
        <f>MIN(MAX(D16-af_sl,0),hfe_sl)</f>
        <v/>
      </c>
      <c r="G16">
        <f>bw_sl*E16*(D16-E16/2)+ov_sl*F16*(D16-af_sl-F16/2)+(aeS_sl-(D16&gt;y1_sl))*A1_sl*(D16-y1_sl)+(aeS_sl-(D16&gt;y2_sl))*A2_sl*(D16-y2_sl)</f>
        <v/>
      </c>
      <c r="H16">
        <f>bw_sl*(D16*yc_sl*E16-(D16+yc_sl)*E16^2/2+E16^3/3)+ov_sl*((D16-af_sl)*(yc_sl-af_sl)*F16-(D16+yc_sl-2*af_sl)*F16^2/2+F16^3/3)+(aeS_sl-(D16&gt;y1_sl))*A1_sl*(D16-y1_sl)*(yc_sl-y1_sl)+(aeS_sl-(D16&gt;y2_sl))*A2_sl*(D16-y2_sl)*(yc_sl-y2_sl)</f>
        <v/>
      </c>
      <c r="I16">
        <f>-G16</f>
        <v/>
      </c>
      <c r="K16">
        <f>IF(R15&gt;0,M15,K15)</f>
        <v/>
      </c>
      <c r="L16">
        <f>IF(R15&gt;0,L15,M15)</f>
        <v/>
      </c>
      <c r="M16">
        <f>(K16+L16)/2</f>
        <v/>
      </c>
      <c r="N16">
        <f>MIN(MAX(M16,0),h_sl)</f>
        <v/>
      </c>
      <c r="O16">
        <f>MIN(MAX(M16-af_sl,0),hfe_sl)</f>
        <v/>
      </c>
      <c r="P16">
        <f>bw_sl*N16*(M16-N16/2)+ov_sl*O16*(M16-af_sl-O16/2)+(aeL_sl-(M16&gt;y1_sl))*A1_sl*(M16-y1_sl)+(aeL_sl-(M16&gt;y2_sl))*A2_sl*(M16-y2_sl)</f>
        <v/>
      </c>
      <c r="Q16">
        <f>bw_sl*(M16*yc_sl*N16-(M16+yc_sl)*N16^2/2+N16^3/3)+ov_sl*((M16-af_sl)*(yc_sl-af_sl)*O16-(M16+yc_sl-2*af_sl)*O16^2/2+O16^3/3)+(aeL_sl-(M16&gt;y1_sl))*A1_sl*(M16-y1_sl)*(yc_sl-y1_sl)+(aeL_sl-(M16&gt;y2_sl))*A2_sl*(M16-y2_sl)*(yc_sl-y2_sl)</f>
        <v/>
      </c>
      <c r="R16">
        <f>-P16</f>
        <v/>
      </c>
      <c r="T16">
        <f>IF(AA15&gt;0,V15,T15)</f>
        <v/>
      </c>
      <c r="U16">
        <f>IF(AA15&gt;0,U15,V15)</f>
        <v/>
      </c>
      <c r="V16">
        <f>(T16+U16)/2</f>
        <v/>
      </c>
      <c r="W16">
        <f>MIN(MAX(V16,0),h_sl)</f>
        <v/>
      </c>
      <c r="X16">
        <f>MIN(MAX(V16-af_sl,0),hfe_sl)</f>
        <v/>
      </c>
      <c r="Y16">
        <f>bw_sl*W16*(V16-W16/2)+ov_sl*X16*(V16-af_sl-X16/2)+(aeM_sl-(V16&gt;y1_sl))*A1_sl*(V16-y1_sl)+(aeM_sl-(V16&gt;y2_sl))*A2_sl*(V16-y2_sl)</f>
        <v/>
      </c>
      <c r="Z16">
        <f>bw_sl*(V16*yc_sl*W16-(V16+yc_sl)*W16^2/2+W16^3/3)+ov_sl*((V16-af_sl)*(yc_sl-af_sl)*X16-(V16+yc_sl-2*af_sl)*X16^2/2+X16^3/3)+(aeM_sl-(V16&gt;y1_sl))*A1_sl*(V16-y1_sl)*(yc_sl-y1_sl)+(aeM_sl-(V16&gt;y2_sl))*A2_sl*(V16-y2_sl)*(yc_sl-y2_sl)</f>
        <v/>
      </c>
      <c r="AA16">
        <f>-Y16</f>
        <v/>
      </c>
      <c r="AC16">
        <f>IF(AJ15&gt;0,AE15,AC15)</f>
        <v/>
      </c>
      <c r="AD16">
        <f>IF(AJ15&gt;0,AD15,AE15)</f>
        <v/>
      </c>
      <c r="AE16">
        <f>(AC16+AD16)/2</f>
        <v/>
      </c>
      <c r="AF16">
        <f>MIN(MAX(AE16,0),h_sl)</f>
        <v/>
      </c>
      <c r="AG16">
        <f>MIN(MAX(AE16-af_sl,0),hfe_sl)</f>
        <v/>
      </c>
      <c r="AH16">
        <f>bw_sl*AF16*(AE16-AF16/2)+ov_sl*AG16*(AE16-af_sl-AG16/2)+(aeS_sl-(AE16&gt;y1_sl))*A1_sl*(AE16-y1_sl)+(aeS_sl-(AE16&gt;y2_sl))*A2_sl*(AE16-y2_sl)</f>
        <v/>
      </c>
      <c r="AI16">
        <f>bw_sl*(AE16*yc_sl*AF16-(AE16+yc_sl)*AF16^2/2+AF16^3/3)+ov_sl*((AE16-af_sl)*(yc_sl-af_sl)*AG16-(AE16+yc_sl-2*af_sl)*AG16^2/2+AG16^3/3)+(aeS_sl-(AE16&gt;y1_sl))*A1_sl*(AE16-y1_sl)*(yc_sl-y1_sl)+(aeS_sl-(AE16&gt;y2_sl))*A2_sl*(AE16-y2_sl)*(yc_sl-y2_sl)</f>
        <v/>
      </c>
      <c r="AJ16">
        <f>Nk_sl*1000*AI16-Mk_sl*1E6*AH16</f>
        <v/>
      </c>
      <c r="AL16">
        <f>IF(AS15&gt;0,AN15,AL15)</f>
        <v/>
      </c>
      <c r="AM16">
        <f>IF(AS15&gt;0,AM15,AN15)</f>
        <v/>
      </c>
      <c r="AN16">
        <f>(AL16+AM16)/2</f>
        <v/>
      </c>
      <c r="AO16">
        <f>MIN(MAX(AN16,0),h_sl)</f>
        <v/>
      </c>
      <c r="AP16">
        <f>MIN(MAX(AN16-af_sl,0),hfe_sl)</f>
        <v/>
      </c>
      <c r="AQ16">
        <f>bw_sl*AO16*(AN16-AO16/2)+ov_sl*AP16*(AN16-af_sl-AP16/2)+(aeL_sl-(AN16&gt;y1_sl))*A1_sl*(AN16-y1_sl)+(aeL_sl-(AN16&gt;y2_sl))*A2_sl*(AN16-y2_sl)</f>
        <v/>
      </c>
      <c r="AR16">
        <f>bw_sl*(AN16*yc_sl*AO16-(AN16+yc_sl)*AO16^2/2+AO16^3/3)+ov_sl*((AN16-af_sl)*(yc_sl-af_sl)*AP16-(AN16+yc_sl-2*af_sl)*AP16^2/2+AP16^3/3)+(aeL_sl-(AN16&gt;y1_sl))*A1_sl*(AN16-y1_sl)*(yc_sl-y1_sl)+(aeL_sl-(AN16&gt;y2_sl))*A2_sl*(AN16-y2_sl)*(yc_sl-y2_sl)</f>
        <v/>
      </c>
      <c r="AS16">
        <f>Nk_sl*1000*AR16-Mk_sl*1E6*AQ16</f>
        <v/>
      </c>
      <c r="AU16">
        <f>IF(BB15&gt;0,AW15,AU15)</f>
        <v/>
      </c>
      <c r="AV16">
        <f>IF(BB15&gt;0,AV15,AW15)</f>
        <v/>
      </c>
      <c r="AW16">
        <f>(AU16+AV16)/2</f>
        <v/>
      </c>
      <c r="AX16">
        <f>MIN(MAX(AW16,0),h_sl)</f>
        <v/>
      </c>
      <c r="AY16">
        <f>MIN(MAX(AW16-af_sl,0),hfe_sl)</f>
        <v/>
      </c>
      <c r="AZ16">
        <f>bw_sl*AX16*(AW16-AX16/2)+ov_sl*AY16*(AW16-af_sl-AY16/2)+(aeS_sl-(AW16&gt;y1_sl))*A1_sl*(AW16-y1_sl)+(aeS_sl-(AW16&gt;y2_sl))*A2_sl*(AW16-y2_sl)</f>
        <v/>
      </c>
      <c r="BA16">
        <f>bw_sl*(AW16*yc_sl*AX16-(AW16+yc_sl)*AX16^2/2+AX16^3/3)+ov_sl*((AW16-af_sl)*(yc_sl-af_sl)*AY16-(AW16+yc_sl-2*af_sl)*AY16^2/2+AY16^3/3)+(aeS_sl-(AW16&gt;y1_sl))*A1_sl*(AW16-y1_sl)*(yc_sl-y1_sl)+(aeS_sl-(AW16&gt;y2_sl))*A2_sl*(AW16-y2_sl)*(yc_sl-y2_sl)</f>
        <v/>
      </c>
      <c r="BB16">
        <f>Nqp_sl*1000*BA16-Mqp_sl*1E6*AZ16</f>
        <v/>
      </c>
      <c r="BD16">
        <f>IF(BK15&gt;0,BF15,BD15)</f>
        <v/>
      </c>
      <c r="BE16">
        <f>IF(BK15&gt;0,BE15,BF15)</f>
        <v/>
      </c>
      <c r="BF16">
        <f>(BD16+BE16)/2</f>
        <v/>
      </c>
      <c r="BG16">
        <f>MIN(MAX(BF16,0),h_sl)</f>
        <v/>
      </c>
      <c r="BH16">
        <f>MIN(MAX(BF16-af_sl,0),hfe_sl)</f>
        <v/>
      </c>
      <c r="BI16">
        <f>bw_sl*BG16*(BF16-BG16/2)+ov_sl*BH16*(BF16-af_sl-BH16/2)+(aeL_sl-(BF16&gt;y1_sl))*A1_sl*(BF16-y1_sl)+(aeL_sl-(BF16&gt;y2_sl))*A2_sl*(BF16-y2_sl)</f>
        <v/>
      </c>
      <c r="BJ16">
        <f>bw_sl*(BF16*yc_sl*BG16-(BF16+yc_sl)*BG16^2/2+BG16^3/3)+ov_sl*((BF16-af_sl)*(yc_sl-af_sl)*BH16-(BF16+yc_sl-2*af_sl)*BH16^2/2+BH16^3/3)+(aeL_sl-(BF16&gt;y1_sl))*A1_sl*(BF16-y1_sl)*(yc_sl-y1_sl)+(aeL_sl-(BF16&gt;y2_sl))*A2_sl*(BF16-y2_sl)*(yc_sl-y2_sl)</f>
        <v/>
      </c>
      <c r="BK16">
        <f>Nqp_sl*1000*BJ16-Mqp_sl*1E6*BI16</f>
        <v/>
      </c>
      <c r="BM16">
        <f>IF(BT15&gt;0,BO15,BM15)</f>
        <v/>
      </c>
      <c r="BN16">
        <f>IF(BT15&gt;0,BN15,BO15)</f>
        <v/>
      </c>
      <c r="BO16">
        <f>(BM16+BN16)/2</f>
        <v/>
      </c>
      <c r="BP16">
        <f>MIN(MAX(BO16,0),h_sl)</f>
        <v/>
      </c>
      <c r="BQ16">
        <f>MIN(MAX(BO16-af_sl,0),hfe_sl)</f>
        <v/>
      </c>
      <c r="BR16">
        <f>bw_sl*BP16*(BO16-BP16/2)+ov_sl*BQ16*(BO16-af_sl-BQ16/2)+(aeS_sl-(BO16&gt;y1_sl))*A1_sl*(BO16-y1_sl)+(aeS_sl-(BO16&gt;y2_sl))*A2_sl*(BO16-y2_sl)</f>
        <v/>
      </c>
      <c r="BS16">
        <f>bw_sl*(BO16*yc_sl*BP16-(BO16+yc_sl)*BP16^2/2+BP16^3/3)+ov_sl*((BO16-af_sl)*(yc_sl-af_sl)*BQ16-(BO16+yc_sl-2*af_sl)*BQ16^2/2+BQ16^3/3)+(aeS_sl-(BO16&gt;y1_sl))*A1_sl*(BO16-y1_sl)*(yc_sl-y1_sl)+(aeS_sl-(BO16&gt;y2_sl))*A2_sl*(BO16-y2_sl)*(yc_sl-y2_sl)</f>
        <v/>
      </c>
      <c r="BT16">
        <f>dN_sl*1000*BS16-dM_sl*1E6*BR16</f>
        <v/>
      </c>
      <c r="BV16">
        <f>IF(CC15&gt;0,BX15,BV15)</f>
        <v/>
      </c>
      <c r="BW16">
        <f>IF(CC15&gt;0,BW15,BX15)</f>
        <v/>
      </c>
      <c r="BX16">
        <f>(BV16+BW16)/2</f>
        <v/>
      </c>
      <c r="BY16">
        <f>MIN(MAX(BX16,0),h_sl)</f>
        <v/>
      </c>
      <c r="BZ16">
        <f>MIN(MAX(BX16-af_sl,0),hfe_sl)</f>
        <v/>
      </c>
      <c r="CA16">
        <f>bw_sl*BY16*(BX16-BY16/2)+ov_sl*BZ16*(BX16-af_sl-BZ16/2)+(aeM_sl-(BX16&gt;y1_sl))*A1_sl*(BX16-y1_sl)+(aeM_sl-(BX16&gt;y2_sl))*A2_sl*(BX16-y2_sl)</f>
        <v/>
      </c>
      <c r="CB16">
        <f>bw_sl*(BX16*yc_sl*BY16-(BX16+yc_sl)*BY16^2/2+BY16^3/3)+ov_sl*((BX16-af_sl)*(yc_sl-af_sl)*BZ16-(BX16+yc_sl-2*af_sl)*BZ16^2/2+BZ16^3/3)+(aeM_sl-(BX16&gt;y1_sl))*A1_sl*(BX16-y1_sl)*(yc_sl-y1_sl)+(aeM_sl-(BX16&gt;y2_sl))*A2_sl*(BX16-y2_sl)*(yc_sl-y2_sl)</f>
        <v/>
      </c>
      <c r="CC16">
        <f>Nk_sl*1000*CB16-Mk_sl*1E6*CA16</f>
        <v/>
      </c>
    </row>
    <row r="17">
      <c r="B17">
        <f>IF(I16&gt;0,D16,B16)</f>
        <v/>
      </c>
      <c r="C17">
        <f>IF(I16&gt;0,C16,D16)</f>
        <v/>
      </c>
      <c r="D17">
        <f>(B17+C17)/2</f>
        <v/>
      </c>
      <c r="E17">
        <f>MIN(MAX(D17,0),h_sl)</f>
        <v/>
      </c>
      <c r="F17">
        <f>MIN(MAX(D17-af_sl,0),hfe_sl)</f>
        <v/>
      </c>
      <c r="G17">
        <f>bw_sl*E17*(D17-E17/2)+ov_sl*F17*(D17-af_sl-F17/2)+(aeS_sl-(D17&gt;y1_sl))*A1_sl*(D17-y1_sl)+(aeS_sl-(D17&gt;y2_sl))*A2_sl*(D17-y2_sl)</f>
        <v/>
      </c>
      <c r="H17">
        <f>bw_sl*(D17*yc_sl*E17-(D17+yc_sl)*E17^2/2+E17^3/3)+ov_sl*((D17-af_sl)*(yc_sl-af_sl)*F17-(D17+yc_sl-2*af_sl)*F17^2/2+F17^3/3)+(aeS_sl-(D17&gt;y1_sl))*A1_sl*(D17-y1_sl)*(yc_sl-y1_sl)+(aeS_sl-(D17&gt;y2_sl))*A2_sl*(D17-y2_sl)*(yc_sl-y2_sl)</f>
        <v/>
      </c>
      <c r="I17">
        <f>-G17</f>
        <v/>
      </c>
      <c r="K17">
        <f>IF(R16&gt;0,M16,K16)</f>
        <v/>
      </c>
      <c r="L17">
        <f>IF(R16&gt;0,L16,M16)</f>
        <v/>
      </c>
      <c r="M17">
        <f>(K17+L17)/2</f>
        <v/>
      </c>
      <c r="N17">
        <f>MIN(MAX(M17,0),h_sl)</f>
        <v/>
      </c>
      <c r="O17">
        <f>MIN(MAX(M17-af_sl,0),hfe_sl)</f>
        <v/>
      </c>
      <c r="P17">
        <f>bw_sl*N17*(M17-N17/2)+ov_sl*O17*(M17-af_sl-O17/2)+(aeL_sl-(M17&gt;y1_sl))*A1_sl*(M17-y1_sl)+(aeL_sl-(M17&gt;y2_sl))*A2_sl*(M17-y2_sl)</f>
        <v/>
      </c>
      <c r="Q17">
        <f>bw_sl*(M17*yc_sl*N17-(M17+yc_sl)*N17^2/2+N17^3/3)+ov_sl*((M17-af_sl)*(yc_sl-af_sl)*O17-(M17+yc_sl-2*af_sl)*O17^2/2+O17^3/3)+(aeL_sl-(M17&gt;y1_sl))*A1_sl*(M17-y1_sl)*(yc_sl-y1_sl)+(aeL_sl-(M17&gt;y2_sl))*A2_sl*(M17-y2_sl)*(yc_sl-y2_sl)</f>
        <v/>
      </c>
      <c r="R17">
        <f>-P17</f>
        <v/>
      </c>
      <c r="T17">
        <f>IF(AA16&gt;0,V16,T16)</f>
        <v/>
      </c>
      <c r="U17">
        <f>IF(AA16&gt;0,U16,V16)</f>
        <v/>
      </c>
      <c r="V17">
        <f>(T17+U17)/2</f>
        <v/>
      </c>
      <c r="W17">
        <f>MIN(MAX(V17,0),h_sl)</f>
        <v/>
      </c>
      <c r="X17">
        <f>MIN(MAX(V17-af_sl,0),hfe_sl)</f>
        <v/>
      </c>
      <c r="Y17">
        <f>bw_sl*W17*(V17-W17/2)+ov_sl*X17*(V17-af_sl-X17/2)+(aeM_sl-(V17&gt;y1_sl))*A1_sl*(V17-y1_sl)+(aeM_sl-(V17&gt;y2_sl))*A2_sl*(V17-y2_sl)</f>
        <v/>
      </c>
      <c r="Z17">
        <f>bw_sl*(V17*yc_sl*W17-(V17+yc_sl)*W17^2/2+W17^3/3)+ov_sl*((V17-af_sl)*(yc_sl-af_sl)*X17-(V17+yc_sl-2*af_sl)*X17^2/2+X17^3/3)+(aeM_sl-(V17&gt;y1_sl))*A1_sl*(V17-y1_sl)*(yc_sl-y1_sl)+(aeM_sl-(V17&gt;y2_sl))*A2_sl*(V17-y2_sl)*(yc_sl-y2_sl)</f>
        <v/>
      </c>
      <c r="AA17">
        <f>-Y17</f>
        <v/>
      </c>
      <c r="AC17">
        <f>IF(AJ16&gt;0,AE16,AC16)</f>
        <v/>
      </c>
      <c r="AD17">
        <f>IF(AJ16&gt;0,AD16,AE16)</f>
        <v/>
      </c>
      <c r="AE17">
        <f>(AC17+AD17)/2</f>
        <v/>
      </c>
      <c r="AF17">
        <f>MIN(MAX(AE17,0),h_sl)</f>
        <v/>
      </c>
      <c r="AG17">
        <f>MIN(MAX(AE17-af_sl,0),hfe_sl)</f>
        <v/>
      </c>
      <c r="AH17">
        <f>bw_sl*AF17*(AE17-AF17/2)+ov_sl*AG17*(AE17-af_sl-AG17/2)+(aeS_sl-(AE17&gt;y1_sl))*A1_sl*(AE17-y1_sl)+(aeS_sl-(AE17&gt;y2_sl))*A2_sl*(AE17-y2_sl)</f>
        <v/>
      </c>
      <c r="AI17">
        <f>bw_sl*(AE17*yc_sl*AF17-(AE17+yc_sl)*AF17^2/2+AF17^3/3)+ov_sl*((AE17-af_sl)*(yc_sl-af_sl)*AG17-(AE17+yc_sl-2*af_sl)*AG17^2/2+AG17^3/3)+(aeS_sl-(AE17&gt;y1_sl))*A1_sl*(AE17-y1_sl)*(yc_sl-y1_sl)+(aeS_sl-(AE17&gt;y2_sl))*A2_sl*(AE17-y2_sl)*(yc_sl-y2_sl)</f>
        <v/>
      </c>
      <c r="AJ17">
        <f>Nk_sl*1000*AI17-Mk_sl*1E6*AH17</f>
        <v/>
      </c>
      <c r="AL17">
        <f>IF(AS16&gt;0,AN16,AL16)</f>
        <v/>
      </c>
      <c r="AM17">
        <f>IF(AS16&gt;0,AM16,AN16)</f>
        <v/>
      </c>
      <c r="AN17">
        <f>(AL17+AM17)/2</f>
        <v/>
      </c>
      <c r="AO17">
        <f>MIN(MAX(AN17,0),h_sl)</f>
        <v/>
      </c>
      <c r="AP17">
        <f>MIN(MAX(AN17-af_sl,0),hfe_sl)</f>
        <v/>
      </c>
      <c r="AQ17">
        <f>bw_sl*AO17*(AN17-AO17/2)+ov_sl*AP17*(AN17-af_sl-AP17/2)+(aeL_sl-(AN17&gt;y1_sl))*A1_sl*(AN17-y1_sl)+(aeL_sl-(AN17&gt;y2_sl))*A2_sl*(AN17-y2_sl)</f>
        <v/>
      </c>
      <c r="AR17">
        <f>bw_sl*(AN17*yc_sl*AO17-(AN17+yc_sl)*AO17^2/2+AO17^3/3)+ov_sl*((AN17-af_sl)*(yc_sl-af_sl)*AP17-(AN17+yc_sl-2*af_sl)*AP17^2/2+AP17^3/3)+(aeL_sl-(AN17&gt;y1_sl))*A1_sl*(AN17-y1_sl)*(yc_sl-y1_sl)+(aeL_sl-(AN17&gt;y2_sl))*A2_sl*(AN17-y2_sl)*(yc_sl-y2_sl)</f>
        <v/>
      </c>
      <c r="AS17">
        <f>Nk_sl*1000*AR17-Mk_sl*1E6*AQ17</f>
        <v/>
      </c>
      <c r="AU17">
        <f>IF(BB16&gt;0,AW16,AU16)</f>
        <v/>
      </c>
      <c r="AV17">
        <f>IF(BB16&gt;0,AV16,AW16)</f>
        <v/>
      </c>
      <c r="AW17">
        <f>(AU17+AV17)/2</f>
        <v/>
      </c>
      <c r="AX17">
        <f>MIN(MAX(AW17,0),h_sl)</f>
        <v/>
      </c>
      <c r="AY17">
        <f>MIN(MAX(AW17-af_sl,0),hfe_sl)</f>
        <v/>
      </c>
      <c r="AZ17">
        <f>bw_sl*AX17*(AW17-AX17/2)+ov_sl*AY17*(AW17-af_sl-AY17/2)+(aeS_sl-(AW17&gt;y1_sl))*A1_sl*(AW17-y1_sl)+(aeS_sl-(AW17&gt;y2_sl))*A2_sl*(AW17-y2_sl)</f>
        <v/>
      </c>
      <c r="BA17">
        <f>bw_sl*(AW17*yc_sl*AX17-(AW17+yc_sl)*AX17^2/2+AX17^3/3)+ov_sl*((AW17-af_sl)*(yc_sl-af_sl)*AY17-(AW17+yc_sl-2*af_sl)*AY17^2/2+AY17^3/3)+(aeS_sl-(AW17&gt;y1_sl))*A1_sl*(AW17-y1_sl)*(yc_sl-y1_sl)+(aeS_sl-(AW17&gt;y2_sl))*A2_sl*(AW17-y2_sl)*(yc_sl-y2_sl)</f>
        <v/>
      </c>
      <c r="BB17">
        <f>Nqp_sl*1000*BA17-Mqp_sl*1E6*AZ17</f>
        <v/>
      </c>
      <c r="BD17">
        <f>IF(BK16&gt;0,BF16,BD16)</f>
        <v/>
      </c>
      <c r="BE17">
        <f>IF(BK16&gt;0,BE16,BF16)</f>
        <v/>
      </c>
      <c r="BF17">
        <f>(BD17+BE17)/2</f>
        <v/>
      </c>
      <c r="BG17">
        <f>MIN(MAX(BF17,0),h_sl)</f>
        <v/>
      </c>
      <c r="BH17">
        <f>MIN(MAX(BF17-af_sl,0),hfe_sl)</f>
        <v/>
      </c>
      <c r="BI17">
        <f>bw_sl*BG17*(BF17-BG17/2)+ov_sl*BH17*(BF17-af_sl-BH17/2)+(aeL_sl-(BF17&gt;y1_sl))*A1_sl*(BF17-y1_sl)+(aeL_sl-(BF17&gt;y2_sl))*A2_sl*(BF17-y2_sl)</f>
        <v/>
      </c>
      <c r="BJ17">
        <f>bw_sl*(BF17*yc_sl*BG17-(BF17+yc_sl)*BG17^2/2+BG17^3/3)+ov_sl*((BF17-af_sl)*(yc_sl-af_sl)*BH17-(BF17+yc_sl-2*af_sl)*BH17^2/2+BH17^3/3)+(aeL_sl-(BF17&gt;y1_sl))*A1_sl*(BF17-y1_sl)*(yc_sl-y1_sl)+(aeL_sl-(BF17&gt;y2_sl))*A2_sl*(BF17-y2_sl)*(yc_sl-y2_sl)</f>
        <v/>
      </c>
      <c r="BK17">
        <f>Nqp_sl*1000*BJ17-Mqp_sl*1E6*BI17</f>
        <v/>
      </c>
      <c r="BM17">
        <f>IF(BT16&gt;0,BO16,BM16)</f>
        <v/>
      </c>
      <c r="BN17">
        <f>IF(BT16&gt;0,BN16,BO16)</f>
        <v/>
      </c>
      <c r="BO17">
        <f>(BM17+BN17)/2</f>
        <v/>
      </c>
      <c r="BP17">
        <f>MIN(MAX(BO17,0),h_sl)</f>
        <v/>
      </c>
      <c r="BQ17">
        <f>MIN(MAX(BO17-af_sl,0),hfe_sl)</f>
        <v/>
      </c>
      <c r="BR17">
        <f>bw_sl*BP17*(BO17-BP17/2)+ov_sl*BQ17*(BO17-af_sl-BQ17/2)+(aeS_sl-(BO17&gt;y1_sl))*A1_sl*(BO17-y1_sl)+(aeS_sl-(BO17&gt;y2_sl))*A2_sl*(BO17-y2_sl)</f>
        <v/>
      </c>
      <c r="BS17">
        <f>bw_sl*(BO17*yc_sl*BP17-(BO17+yc_sl)*BP17^2/2+BP17^3/3)+ov_sl*((BO17-af_sl)*(yc_sl-af_sl)*BQ17-(BO17+yc_sl-2*af_sl)*BQ17^2/2+BQ17^3/3)+(aeS_sl-(BO17&gt;y1_sl))*A1_sl*(BO17-y1_sl)*(yc_sl-y1_sl)+(aeS_sl-(BO17&gt;y2_sl))*A2_sl*(BO17-y2_sl)*(yc_sl-y2_sl)</f>
        <v/>
      </c>
      <c r="BT17">
        <f>dN_sl*1000*BS17-dM_sl*1E6*BR17</f>
        <v/>
      </c>
      <c r="BV17">
        <f>IF(CC16&gt;0,BX16,BV16)</f>
        <v/>
      </c>
      <c r="BW17">
        <f>IF(CC16&gt;0,BW16,BX16)</f>
        <v/>
      </c>
      <c r="BX17">
        <f>(BV17+BW17)/2</f>
        <v/>
      </c>
      <c r="BY17">
        <f>MIN(MAX(BX17,0),h_sl)</f>
        <v/>
      </c>
      <c r="BZ17">
        <f>MIN(MAX(BX17-af_sl,0),hfe_sl)</f>
        <v/>
      </c>
      <c r="CA17">
        <f>bw_sl*BY17*(BX17-BY17/2)+ov_sl*BZ17*(BX17-af_sl-BZ17/2)+(aeM_sl-(BX17&gt;y1_sl))*A1_sl*(BX17-y1_sl)+(aeM_sl-(BX17&gt;y2_sl))*A2_sl*(BX17-y2_sl)</f>
        <v/>
      </c>
      <c r="CB17">
        <f>bw_sl*(BX17*yc_sl*BY17-(BX17+yc_sl)*BY17^2/2+BY17^3/3)+ov_sl*((BX17-af_sl)*(yc_sl-af_sl)*BZ17-(BX17+yc_sl-2*af_sl)*BZ17^2/2+BZ17^3/3)+(aeM_sl-(BX17&gt;y1_sl))*A1_sl*(BX17-y1_sl)*(yc_sl-y1_sl)+(aeM_sl-(BX17&gt;y2_sl))*A2_sl*(BX17-y2_sl)*(yc_sl-y2_sl)</f>
        <v/>
      </c>
      <c r="CC17">
        <f>Nk_sl*1000*CB17-Mk_sl*1E6*CA17</f>
        <v/>
      </c>
    </row>
    <row r="18">
      <c r="B18">
        <f>IF(I17&gt;0,D17,B17)</f>
        <v/>
      </c>
      <c r="C18">
        <f>IF(I17&gt;0,C17,D17)</f>
        <v/>
      </c>
      <c r="D18">
        <f>(B18+C18)/2</f>
        <v/>
      </c>
      <c r="E18">
        <f>MIN(MAX(D18,0),h_sl)</f>
        <v/>
      </c>
      <c r="F18">
        <f>MIN(MAX(D18-af_sl,0),hfe_sl)</f>
        <v/>
      </c>
      <c r="G18">
        <f>bw_sl*E18*(D18-E18/2)+ov_sl*F18*(D18-af_sl-F18/2)+(aeS_sl-(D18&gt;y1_sl))*A1_sl*(D18-y1_sl)+(aeS_sl-(D18&gt;y2_sl))*A2_sl*(D18-y2_sl)</f>
        <v/>
      </c>
      <c r="H18">
        <f>bw_sl*(D18*yc_sl*E18-(D18+yc_sl)*E18^2/2+E18^3/3)+ov_sl*((D18-af_sl)*(yc_sl-af_sl)*F18-(D18+yc_sl-2*af_sl)*F18^2/2+F18^3/3)+(aeS_sl-(D18&gt;y1_sl))*A1_sl*(D18-y1_sl)*(yc_sl-y1_sl)+(aeS_sl-(D18&gt;y2_sl))*A2_sl*(D18-y2_sl)*(yc_sl-y2_sl)</f>
        <v/>
      </c>
      <c r="I18">
        <f>-G18</f>
        <v/>
      </c>
      <c r="K18">
        <f>IF(R17&gt;0,M17,K17)</f>
        <v/>
      </c>
      <c r="L18">
        <f>IF(R17&gt;0,L17,M17)</f>
        <v/>
      </c>
      <c r="M18">
        <f>(K18+L18)/2</f>
        <v/>
      </c>
      <c r="N18">
        <f>MIN(MAX(M18,0),h_sl)</f>
        <v/>
      </c>
      <c r="O18">
        <f>MIN(MAX(M18-af_sl,0),hfe_sl)</f>
        <v/>
      </c>
      <c r="P18">
        <f>bw_sl*N18*(M18-N18/2)+ov_sl*O18*(M18-af_sl-O18/2)+(aeL_sl-(M18&gt;y1_sl))*A1_sl*(M18-y1_sl)+(aeL_sl-(M18&gt;y2_sl))*A2_sl*(M18-y2_sl)</f>
        <v/>
      </c>
      <c r="Q18">
        <f>bw_sl*(M18*yc_sl*N18-(M18+yc_sl)*N18^2/2+N18^3/3)+ov_sl*((M18-af_sl)*(yc_sl-af_sl)*O18-(M18+yc_sl-2*af_sl)*O18^2/2+O18^3/3)+(aeL_sl-(M18&gt;y1_sl))*A1_sl*(M18-y1_sl)*(yc_sl-y1_sl)+(aeL_sl-(M18&gt;y2_sl))*A2_sl*(M18-y2_sl)*(yc_sl-y2_sl)</f>
        <v/>
      </c>
      <c r="R18">
        <f>-P18</f>
        <v/>
      </c>
      <c r="T18">
        <f>IF(AA17&gt;0,V17,T17)</f>
        <v/>
      </c>
      <c r="U18">
        <f>IF(AA17&gt;0,U17,V17)</f>
        <v/>
      </c>
      <c r="V18">
        <f>(T18+U18)/2</f>
        <v/>
      </c>
      <c r="W18">
        <f>MIN(MAX(V18,0),h_sl)</f>
        <v/>
      </c>
      <c r="X18">
        <f>MIN(MAX(V18-af_sl,0),hfe_sl)</f>
        <v/>
      </c>
      <c r="Y18">
        <f>bw_sl*W18*(V18-W18/2)+ov_sl*X18*(V18-af_sl-X18/2)+(aeM_sl-(V18&gt;y1_sl))*A1_sl*(V18-y1_sl)+(aeM_sl-(V18&gt;y2_sl))*A2_sl*(V18-y2_sl)</f>
        <v/>
      </c>
      <c r="Z18">
        <f>bw_sl*(V18*yc_sl*W18-(V18+yc_sl)*W18^2/2+W18^3/3)+ov_sl*((V18-af_sl)*(yc_sl-af_sl)*X18-(V18+yc_sl-2*af_sl)*X18^2/2+X18^3/3)+(aeM_sl-(V18&gt;y1_sl))*A1_sl*(V18-y1_sl)*(yc_sl-y1_sl)+(aeM_sl-(V18&gt;y2_sl))*A2_sl*(V18-y2_sl)*(yc_sl-y2_sl)</f>
        <v/>
      </c>
      <c r="AA18">
        <f>-Y18</f>
        <v/>
      </c>
      <c r="AC18">
        <f>IF(AJ17&gt;0,AE17,AC17)</f>
        <v/>
      </c>
      <c r="AD18">
        <f>IF(AJ17&gt;0,AD17,AE17)</f>
        <v/>
      </c>
      <c r="AE18">
        <f>(AC18+AD18)/2</f>
        <v/>
      </c>
      <c r="AF18">
        <f>MIN(MAX(AE18,0),h_sl)</f>
        <v/>
      </c>
      <c r="AG18">
        <f>MIN(MAX(AE18-af_sl,0),hfe_sl)</f>
        <v/>
      </c>
      <c r="AH18">
        <f>bw_sl*AF18*(AE18-AF18/2)+ov_sl*AG18*(AE18-af_sl-AG18/2)+(aeS_sl-(AE18&gt;y1_sl))*A1_sl*(AE18-y1_sl)+(aeS_sl-(AE18&gt;y2_sl))*A2_sl*(AE18-y2_sl)</f>
        <v/>
      </c>
      <c r="AI18">
        <f>bw_sl*(AE18*yc_sl*AF18-(AE18+yc_sl)*AF18^2/2+AF18^3/3)+ov_sl*((AE18-af_sl)*(yc_sl-af_sl)*AG18-(AE18+yc_sl-2*af_sl)*AG18^2/2+AG18^3/3)+(aeS_sl-(AE18&gt;y1_sl))*A1_sl*(AE18-y1_sl)*(yc_sl-y1_sl)+(aeS_sl-(AE18&gt;y2_sl))*A2_sl*(AE18-y2_sl)*(yc_sl-y2_sl)</f>
        <v/>
      </c>
      <c r="AJ18">
        <f>Nk_sl*1000*AI18-Mk_sl*1E6*AH18</f>
        <v/>
      </c>
      <c r="AL18">
        <f>IF(AS17&gt;0,AN17,AL17)</f>
        <v/>
      </c>
      <c r="AM18">
        <f>IF(AS17&gt;0,AM17,AN17)</f>
        <v/>
      </c>
      <c r="AN18">
        <f>(AL18+AM18)/2</f>
        <v/>
      </c>
      <c r="AO18">
        <f>MIN(MAX(AN18,0),h_sl)</f>
        <v/>
      </c>
      <c r="AP18">
        <f>MIN(MAX(AN18-af_sl,0),hfe_sl)</f>
        <v/>
      </c>
      <c r="AQ18">
        <f>bw_sl*AO18*(AN18-AO18/2)+ov_sl*AP18*(AN18-af_sl-AP18/2)+(aeL_sl-(AN18&gt;y1_sl))*A1_sl*(AN18-y1_sl)+(aeL_sl-(AN18&gt;y2_sl))*A2_sl*(AN18-y2_sl)</f>
        <v/>
      </c>
      <c r="AR18">
        <f>bw_sl*(AN18*yc_sl*AO18-(AN18+yc_sl)*AO18^2/2+AO18^3/3)+ov_sl*((AN18-af_sl)*(yc_sl-af_sl)*AP18-(AN18+yc_sl-2*af_sl)*AP18^2/2+AP18^3/3)+(aeL_sl-(AN18&gt;y1_sl))*A1_sl*(AN18-y1_sl)*(yc_sl-y1_sl)+(aeL_sl-(AN18&gt;y2_sl))*A2_sl*(AN18-y2_sl)*(yc_sl-y2_sl)</f>
        <v/>
      </c>
      <c r="AS18">
        <f>Nk_sl*1000*AR18-Mk_sl*1E6*AQ18</f>
        <v/>
      </c>
      <c r="AU18">
        <f>IF(BB17&gt;0,AW17,AU17)</f>
        <v/>
      </c>
      <c r="AV18">
        <f>IF(BB17&gt;0,AV17,AW17)</f>
        <v/>
      </c>
      <c r="AW18">
        <f>(AU18+AV18)/2</f>
        <v/>
      </c>
      <c r="AX18">
        <f>MIN(MAX(AW18,0),h_sl)</f>
        <v/>
      </c>
      <c r="AY18">
        <f>MIN(MAX(AW18-af_sl,0),hfe_sl)</f>
        <v/>
      </c>
      <c r="AZ18">
        <f>bw_sl*AX18*(AW18-AX18/2)+ov_sl*AY18*(AW18-af_sl-AY18/2)+(aeS_sl-(AW18&gt;y1_sl))*A1_sl*(AW18-y1_sl)+(aeS_sl-(AW18&gt;y2_sl))*A2_sl*(AW18-y2_sl)</f>
        <v/>
      </c>
      <c r="BA18">
        <f>bw_sl*(AW18*yc_sl*AX18-(AW18+yc_sl)*AX18^2/2+AX18^3/3)+ov_sl*((AW18-af_sl)*(yc_sl-af_sl)*AY18-(AW18+yc_sl-2*af_sl)*AY18^2/2+AY18^3/3)+(aeS_sl-(AW18&gt;y1_sl))*A1_sl*(AW18-y1_sl)*(yc_sl-y1_sl)+(aeS_sl-(AW18&gt;y2_sl))*A2_sl*(AW18-y2_sl)*(yc_sl-y2_sl)</f>
        <v/>
      </c>
      <c r="BB18">
        <f>Nqp_sl*1000*BA18-Mqp_sl*1E6*AZ18</f>
        <v/>
      </c>
      <c r="BD18">
        <f>IF(BK17&gt;0,BF17,BD17)</f>
        <v/>
      </c>
      <c r="BE18">
        <f>IF(BK17&gt;0,BE17,BF17)</f>
        <v/>
      </c>
      <c r="BF18">
        <f>(BD18+BE18)/2</f>
        <v/>
      </c>
      <c r="BG18">
        <f>MIN(MAX(BF18,0),h_sl)</f>
        <v/>
      </c>
      <c r="BH18">
        <f>MIN(MAX(BF18-af_sl,0),hfe_sl)</f>
        <v/>
      </c>
      <c r="BI18">
        <f>bw_sl*BG18*(BF18-BG18/2)+ov_sl*BH18*(BF18-af_sl-BH18/2)+(aeL_sl-(BF18&gt;y1_sl))*A1_sl*(BF18-y1_sl)+(aeL_sl-(BF18&gt;y2_sl))*A2_sl*(BF18-y2_sl)</f>
        <v/>
      </c>
      <c r="BJ18">
        <f>bw_sl*(BF18*yc_sl*BG18-(BF18+yc_sl)*BG18^2/2+BG18^3/3)+ov_sl*((BF18-af_sl)*(yc_sl-af_sl)*BH18-(BF18+yc_sl-2*af_sl)*BH18^2/2+BH18^3/3)+(aeL_sl-(BF18&gt;y1_sl))*A1_sl*(BF18-y1_sl)*(yc_sl-y1_sl)+(aeL_sl-(BF18&gt;y2_sl))*A2_sl*(BF18-y2_sl)*(yc_sl-y2_sl)</f>
        <v/>
      </c>
      <c r="BK18">
        <f>Nqp_sl*1000*BJ18-Mqp_sl*1E6*BI18</f>
        <v/>
      </c>
      <c r="BM18">
        <f>IF(BT17&gt;0,BO17,BM17)</f>
        <v/>
      </c>
      <c r="BN18">
        <f>IF(BT17&gt;0,BN17,BO17)</f>
        <v/>
      </c>
      <c r="BO18">
        <f>(BM18+BN18)/2</f>
        <v/>
      </c>
      <c r="BP18">
        <f>MIN(MAX(BO18,0),h_sl)</f>
        <v/>
      </c>
      <c r="BQ18">
        <f>MIN(MAX(BO18-af_sl,0),hfe_sl)</f>
        <v/>
      </c>
      <c r="BR18">
        <f>bw_sl*BP18*(BO18-BP18/2)+ov_sl*BQ18*(BO18-af_sl-BQ18/2)+(aeS_sl-(BO18&gt;y1_sl))*A1_sl*(BO18-y1_sl)+(aeS_sl-(BO18&gt;y2_sl))*A2_sl*(BO18-y2_sl)</f>
        <v/>
      </c>
      <c r="BS18">
        <f>bw_sl*(BO18*yc_sl*BP18-(BO18+yc_sl)*BP18^2/2+BP18^3/3)+ov_sl*((BO18-af_sl)*(yc_sl-af_sl)*BQ18-(BO18+yc_sl-2*af_sl)*BQ18^2/2+BQ18^3/3)+(aeS_sl-(BO18&gt;y1_sl))*A1_sl*(BO18-y1_sl)*(yc_sl-y1_sl)+(aeS_sl-(BO18&gt;y2_sl))*A2_sl*(BO18-y2_sl)*(yc_sl-y2_sl)</f>
        <v/>
      </c>
      <c r="BT18">
        <f>dN_sl*1000*BS18-dM_sl*1E6*BR18</f>
        <v/>
      </c>
      <c r="BV18">
        <f>IF(CC17&gt;0,BX17,BV17)</f>
        <v/>
      </c>
      <c r="BW18">
        <f>IF(CC17&gt;0,BW17,BX17)</f>
        <v/>
      </c>
      <c r="BX18">
        <f>(BV18+BW18)/2</f>
        <v/>
      </c>
      <c r="BY18">
        <f>MIN(MAX(BX18,0),h_sl)</f>
        <v/>
      </c>
      <c r="BZ18">
        <f>MIN(MAX(BX18-af_sl,0),hfe_sl)</f>
        <v/>
      </c>
      <c r="CA18">
        <f>bw_sl*BY18*(BX18-BY18/2)+ov_sl*BZ18*(BX18-af_sl-BZ18/2)+(aeM_sl-(BX18&gt;y1_sl))*A1_sl*(BX18-y1_sl)+(aeM_sl-(BX18&gt;y2_sl))*A2_sl*(BX18-y2_sl)</f>
        <v/>
      </c>
      <c r="CB18">
        <f>bw_sl*(BX18*yc_sl*BY18-(BX18+yc_sl)*BY18^2/2+BY18^3/3)+ov_sl*((BX18-af_sl)*(yc_sl-af_sl)*BZ18-(BX18+yc_sl-2*af_sl)*BZ18^2/2+BZ18^3/3)+(aeM_sl-(BX18&gt;y1_sl))*A1_sl*(BX18-y1_sl)*(yc_sl-y1_sl)+(aeM_sl-(BX18&gt;y2_sl))*A2_sl*(BX18-y2_sl)*(yc_sl-y2_sl)</f>
        <v/>
      </c>
      <c r="CC18">
        <f>Nk_sl*1000*CB18-Mk_sl*1E6*CA18</f>
        <v/>
      </c>
    </row>
    <row r="19">
      <c r="B19">
        <f>IF(I18&gt;0,D18,B18)</f>
        <v/>
      </c>
      <c r="C19">
        <f>IF(I18&gt;0,C18,D18)</f>
        <v/>
      </c>
      <c r="D19">
        <f>(B19+C19)/2</f>
        <v/>
      </c>
      <c r="E19">
        <f>MIN(MAX(D19,0),h_sl)</f>
        <v/>
      </c>
      <c r="F19">
        <f>MIN(MAX(D19-af_sl,0),hfe_sl)</f>
        <v/>
      </c>
      <c r="G19">
        <f>bw_sl*E19*(D19-E19/2)+ov_sl*F19*(D19-af_sl-F19/2)+(aeS_sl-(D19&gt;y1_sl))*A1_sl*(D19-y1_sl)+(aeS_sl-(D19&gt;y2_sl))*A2_sl*(D19-y2_sl)</f>
        <v/>
      </c>
      <c r="H19">
        <f>bw_sl*(D19*yc_sl*E19-(D19+yc_sl)*E19^2/2+E19^3/3)+ov_sl*((D19-af_sl)*(yc_sl-af_sl)*F19-(D19+yc_sl-2*af_sl)*F19^2/2+F19^3/3)+(aeS_sl-(D19&gt;y1_sl))*A1_sl*(D19-y1_sl)*(yc_sl-y1_sl)+(aeS_sl-(D19&gt;y2_sl))*A2_sl*(D19-y2_sl)*(yc_sl-y2_sl)</f>
        <v/>
      </c>
      <c r="I19">
        <f>-G19</f>
        <v/>
      </c>
      <c r="K19">
        <f>IF(R18&gt;0,M18,K18)</f>
        <v/>
      </c>
      <c r="L19">
        <f>IF(R18&gt;0,L18,M18)</f>
        <v/>
      </c>
      <c r="M19">
        <f>(K19+L19)/2</f>
        <v/>
      </c>
      <c r="N19">
        <f>MIN(MAX(M19,0),h_sl)</f>
        <v/>
      </c>
      <c r="O19">
        <f>MIN(MAX(M19-af_sl,0),hfe_sl)</f>
        <v/>
      </c>
      <c r="P19">
        <f>bw_sl*N19*(M19-N19/2)+ov_sl*O19*(M19-af_sl-O19/2)+(aeL_sl-(M19&gt;y1_sl))*A1_sl*(M19-y1_sl)+(aeL_sl-(M19&gt;y2_sl))*A2_sl*(M19-y2_sl)</f>
        <v/>
      </c>
      <c r="Q19">
        <f>bw_sl*(M19*yc_sl*N19-(M19+yc_sl)*N19^2/2+N19^3/3)+ov_sl*((M19-af_sl)*(yc_sl-af_sl)*O19-(M19+yc_sl-2*af_sl)*O19^2/2+O19^3/3)+(aeL_sl-(M19&gt;y1_sl))*A1_sl*(M19-y1_sl)*(yc_sl-y1_sl)+(aeL_sl-(M19&gt;y2_sl))*A2_sl*(M19-y2_sl)*(yc_sl-y2_sl)</f>
        <v/>
      </c>
      <c r="R19">
        <f>-P19</f>
        <v/>
      </c>
      <c r="T19">
        <f>IF(AA18&gt;0,V18,T18)</f>
        <v/>
      </c>
      <c r="U19">
        <f>IF(AA18&gt;0,U18,V18)</f>
        <v/>
      </c>
      <c r="V19">
        <f>(T19+U19)/2</f>
        <v/>
      </c>
      <c r="W19">
        <f>MIN(MAX(V19,0),h_sl)</f>
        <v/>
      </c>
      <c r="X19">
        <f>MIN(MAX(V19-af_sl,0),hfe_sl)</f>
        <v/>
      </c>
      <c r="Y19">
        <f>bw_sl*W19*(V19-W19/2)+ov_sl*X19*(V19-af_sl-X19/2)+(aeM_sl-(V19&gt;y1_sl))*A1_sl*(V19-y1_sl)+(aeM_sl-(V19&gt;y2_sl))*A2_sl*(V19-y2_sl)</f>
        <v/>
      </c>
      <c r="Z19">
        <f>bw_sl*(V19*yc_sl*W19-(V19+yc_sl)*W19^2/2+W19^3/3)+ov_sl*((V19-af_sl)*(yc_sl-af_sl)*X19-(V19+yc_sl-2*af_sl)*X19^2/2+X19^3/3)+(aeM_sl-(V19&gt;y1_sl))*A1_sl*(V19-y1_sl)*(yc_sl-y1_sl)+(aeM_sl-(V19&gt;y2_sl))*A2_sl*(V19-y2_sl)*(yc_sl-y2_sl)</f>
        <v/>
      </c>
      <c r="AA19">
        <f>-Y19</f>
        <v/>
      </c>
      <c r="AC19">
        <f>IF(AJ18&gt;0,AE18,AC18)</f>
        <v/>
      </c>
      <c r="AD19">
        <f>IF(AJ18&gt;0,AD18,AE18)</f>
        <v/>
      </c>
      <c r="AE19">
        <f>(AC19+AD19)/2</f>
        <v/>
      </c>
      <c r="AF19">
        <f>MIN(MAX(AE19,0),h_sl)</f>
        <v/>
      </c>
      <c r="AG19">
        <f>MIN(MAX(AE19-af_sl,0),hfe_sl)</f>
        <v/>
      </c>
      <c r="AH19">
        <f>bw_sl*AF19*(AE19-AF19/2)+ov_sl*AG19*(AE19-af_sl-AG19/2)+(aeS_sl-(AE19&gt;y1_sl))*A1_sl*(AE19-y1_sl)+(aeS_sl-(AE19&gt;y2_sl))*A2_sl*(AE19-y2_sl)</f>
        <v/>
      </c>
      <c r="AI19">
        <f>bw_sl*(AE19*yc_sl*AF19-(AE19+yc_sl)*AF19^2/2+AF19^3/3)+ov_sl*((AE19-af_sl)*(yc_sl-af_sl)*AG19-(AE19+yc_sl-2*af_sl)*AG19^2/2+AG19^3/3)+(aeS_sl-(AE19&gt;y1_sl))*A1_sl*(AE19-y1_sl)*(yc_sl-y1_sl)+(aeS_sl-(AE19&gt;y2_sl))*A2_sl*(AE19-y2_sl)*(yc_sl-y2_sl)</f>
        <v/>
      </c>
      <c r="AJ19">
        <f>Nk_sl*1000*AI19-Mk_sl*1E6*AH19</f>
        <v/>
      </c>
      <c r="AL19">
        <f>IF(AS18&gt;0,AN18,AL18)</f>
        <v/>
      </c>
      <c r="AM19">
        <f>IF(AS18&gt;0,AM18,AN18)</f>
        <v/>
      </c>
      <c r="AN19">
        <f>(AL19+AM19)/2</f>
        <v/>
      </c>
      <c r="AO19">
        <f>MIN(MAX(AN19,0),h_sl)</f>
        <v/>
      </c>
      <c r="AP19">
        <f>MIN(MAX(AN19-af_sl,0),hfe_sl)</f>
        <v/>
      </c>
      <c r="AQ19">
        <f>bw_sl*AO19*(AN19-AO19/2)+ov_sl*AP19*(AN19-af_sl-AP19/2)+(aeL_sl-(AN19&gt;y1_sl))*A1_sl*(AN19-y1_sl)+(aeL_sl-(AN19&gt;y2_sl))*A2_sl*(AN19-y2_sl)</f>
        <v/>
      </c>
      <c r="AR19">
        <f>bw_sl*(AN19*yc_sl*AO19-(AN19+yc_sl)*AO19^2/2+AO19^3/3)+ov_sl*((AN19-af_sl)*(yc_sl-af_sl)*AP19-(AN19+yc_sl-2*af_sl)*AP19^2/2+AP19^3/3)+(aeL_sl-(AN19&gt;y1_sl))*A1_sl*(AN19-y1_sl)*(yc_sl-y1_sl)+(aeL_sl-(AN19&gt;y2_sl))*A2_sl*(AN19-y2_sl)*(yc_sl-y2_sl)</f>
        <v/>
      </c>
      <c r="AS19">
        <f>Nk_sl*1000*AR19-Mk_sl*1E6*AQ19</f>
        <v/>
      </c>
      <c r="AU19">
        <f>IF(BB18&gt;0,AW18,AU18)</f>
        <v/>
      </c>
      <c r="AV19">
        <f>IF(BB18&gt;0,AV18,AW18)</f>
        <v/>
      </c>
      <c r="AW19">
        <f>(AU19+AV19)/2</f>
        <v/>
      </c>
      <c r="AX19">
        <f>MIN(MAX(AW19,0),h_sl)</f>
        <v/>
      </c>
      <c r="AY19">
        <f>MIN(MAX(AW19-af_sl,0),hfe_sl)</f>
        <v/>
      </c>
      <c r="AZ19">
        <f>bw_sl*AX19*(AW19-AX19/2)+ov_sl*AY19*(AW19-af_sl-AY19/2)+(aeS_sl-(AW19&gt;y1_sl))*A1_sl*(AW19-y1_sl)+(aeS_sl-(AW19&gt;y2_sl))*A2_sl*(AW19-y2_sl)</f>
        <v/>
      </c>
      <c r="BA19">
        <f>bw_sl*(AW19*yc_sl*AX19-(AW19+yc_sl)*AX19^2/2+AX19^3/3)+ov_sl*((AW19-af_sl)*(yc_sl-af_sl)*AY19-(AW19+yc_sl-2*af_sl)*AY19^2/2+AY19^3/3)+(aeS_sl-(AW19&gt;y1_sl))*A1_sl*(AW19-y1_sl)*(yc_sl-y1_sl)+(aeS_sl-(AW19&gt;y2_sl))*A2_sl*(AW19-y2_sl)*(yc_sl-y2_sl)</f>
        <v/>
      </c>
      <c r="BB19">
        <f>Nqp_sl*1000*BA19-Mqp_sl*1E6*AZ19</f>
        <v/>
      </c>
      <c r="BD19">
        <f>IF(BK18&gt;0,BF18,BD18)</f>
        <v/>
      </c>
      <c r="BE19">
        <f>IF(BK18&gt;0,BE18,BF18)</f>
        <v/>
      </c>
      <c r="BF19">
        <f>(BD19+BE19)/2</f>
        <v/>
      </c>
      <c r="BG19">
        <f>MIN(MAX(BF19,0),h_sl)</f>
        <v/>
      </c>
      <c r="BH19">
        <f>MIN(MAX(BF19-af_sl,0),hfe_sl)</f>
        <v/>
      </c>
      <c r="BI19">
        <f>bw_sl*BG19*(BF19-BG19/2)+ov_sl*BH19*(BF19-af_sl-BH19/2)+(aeL_sl-(BF19&gt;y1_sl))*A1_sl*(BF19-y1_sl)+(aeL_sl-(BF19&gt;y2_sl))*A2_sl*(BF19-y2_sl)</f>
        <v/>
      </c>
      <c r="BJ19">
        <f>bw_sl*(BF19*yc_sl*BG19-(BF19+yc_sl)*BG19^2/2+BG19^3/3)+ov_sl*((BF19-af_sl)*(yc_sl-af_sl)*BH19-(BF19+yc_sl-2*af_sl)*BH19^2/2+BH19^3/3)+(aeL_sl-(BF19&gt;y1_sl))*A1_sl*(BF19-y1_sl)*(yc_sl-y1_sl)+(aeL_sl-(BF19&gt;y2_sl))*A2_sl*(BF19-y2_sl)*(yc_sl-y2_sl)</f>
        <v/>
      </c>
      <c r="BK19">
        <f>Nqp_sl*1000*BJ19-Mqp_sl*1E6*BI19</f>
        <v/>
      </c>
      <c r="BM19">
        <f>IF(BT18&gt;0,BO18,BM18)</f>
        <v/>
      </c>
      <c r="BN19">
        <f>IF(BT18&gt;0,BN18,BO18)</f>
        <v/>
      </c>
      <c r="BO19">
        <f>(BM19+BN19)/2</f>
        <v/>
      </c>
      <c r="BP19">
        <f>MIN(MAX(BO19,0),h_sl)</f>
        <v/>
      </c>
      <c r="BQ19">
        <f>MIN(MAX(BO19-af_sl,0),hfe_sl)</f>
        <v/>
      </c>
      <c r="BR19">
        <f>bw_sl*BP19*(BO19-BP19/2)+ov_sl*BQ19*(BO19-af_sl-BQ19/2)+(aeS_sl-(BO19&gt;y1_sl))*A1_sl*(BO19-y1_sl)+(aeS_sl-(BO19&gt;y2_sl))*A2_sl*(BO19-y2_sl)</f>
        <v/>
      </c>
      <c r="BS19">
        <f>bw_sl*(BO19*yc_sl*BP19-(BO19+yc_sl)*BP19^2/2+BP19^3/3)+ov_sl*((BO19-af_sl)*(yc_sl-af_sl)*BQ19-(BO19+yc_sl-2*af_sl)*BQ19^2/2+BQ19^3/3)+(aeS_sl-(BO19&gt;y1_sl))*A1_sl*(BO19-y1_sl)*(yc_sl-y1_sl)+(aeS_sl-(BO19&gt;y2_sl))*A2_sl*(BO19-y2_sl)*(yc_sl-y2_sl)</f>
        <v/>
      </c>
      <c r="BT19">
        <f>dN_sl*1000*BS19-dM_sl*1E6*BR19</f>
        <v/>
      </c>
      <c r="BV19">
        <f>IF(CC18&gt;0,BX18,BV18)</f>
        <v/>
      </c>
      <c r="BW19">
        <f>IF(CC18&gt;0,BW18,BX18)</f>
        <v/>
      </c>
      <c r="BX19">
        <f>(BV19+BW19)/2</f>
        <v/>
      </c>
      <c r="BY19">
        <f>MIN(MAX(BX19,0),h_sl)</f>
        <v/>
      </c>
      <c r="BZ19">
        <f>MIN(MAX(BX19-af_sl,0),hfe_sl)</f>
        <v/>
      </c>
      <c r="CA19">
        <f>bw_sl*BY19*(BX19-BY19/2)+ov_sl*BZ19*(BX19-af_sl-BZ19/2)+(aeM_sl-(BX19&gt;y1_sl))*A1_sl*(BX19-y1_sl)+(aeM_sl-(BX19&gt;y2_sl))*A2_sl*(BX19-y2_sl)</f>
        <v/>
      </c>
      <c r="CB19">
        <f>bw_sl*(BX19*yc_sl*BY19-(BX19+yc_sl)*BY19^2/2+BY19^3/3)+ov_sl*((BX19-af_sl)*(yc_sl-af_sl)*BZ19-(BX19+yc_sl-2*af_sl)*BZ19^2/2+BZ19^3/3)+(aeM_sl-(BX19&gt;y1_sl))*A1_sl*(BX19-y1_sl)*(yc_sl-y1_sl)+(aeM_sl-(BX19&gt;y2_sl))*A2_sl*(BX19-y2_sl)*(yc_sl-y2_sl)</f>
        <v/>
      </c>
      <c r="CC19">
        <f>Nk_sl*1000*CB19-Mk_sl*1E6*CA19</f>
        <v/>
      </c>
    </row>
    <row r="20">
      <c r="B20">
        <f>IF(I19&gt;0,D19,B19)</f>
        <v/>
      </c>
      <c r="C20">
        <f>IF(I19&gt;0,C19,D19)</f>
        <v/>
      </c>
      <c r="D20">
        <f>(B20+C20)/2</f>
        <v/>
      </c>
      <c r="E20">
        <f>MIN(MAX(D20,0),h_sl)</f>
        <v/>
      </c>
      <c r="F20">
        <f>MIN(MAX(D20-af_sl,0),hfe_sl)</f>
        <v/>
      </c>
      <c r="G20">
        <f>bw_sl*E20*(D20-E20/2)+ov_sl*F20*(D20-af_sl-F20/2)+(aeS_sl-(D20&gt;y1_sl))*A1_sl*(D20-y1_sl)+(aeS_sl-(D20&gt;y2_sl))*A2_sl*(D20-y2_sl)</f>
        <v/>
      </c>
      <c r="H20">
        <f>bw_sl*(D20*yc_sl*E20-(D20+yc_sl)*E20^2/2+E20^3/3)+ov_sl*((D20-af_sl)*(yc_sl-af_sl)*F20-(D20+yc_sl-2*af_sl)*F20^2/2+F20^3/3)+(aeS_sl-(D20&gt;y1_sl))*A1_sl*(D20-y1_sl)*(yc_sl-y1_sl)+(aeS_sl-(D20&gt;y2_sl))*A2_sl*(D20-y2_sl)*(yc_sl-y2_sl)</f>
        <v/>
      </c>
      <c r="I20">
        <f>-G20</f>
        <v/>
      </c>
      <c r="K20">
        <f>IF(R19&gt;0,M19,K19)</f>
        <v/>
      </c>
      <c r="L20">
        <f>IF(R19&gt;0,L19,M19)</f>
        <v/>
      </c>
      <c r="M20">
        <f>(K20+L20)/2</f>
        <v/>
      </c>
      <c r="N20">
        <f>MIN(MAX(M20,0),h_sl)</f>
        <v/>
      </c>
      <c r="O20">
        <f>MIN(MAX(M20-af_sl,0),hfe_sl)</f>
        <v/>
      </c>
      <c r="P20">
        <f>bw_sl*N20*(M20-N20/2)+ov_sl*O20*(M20-af_sl-O20/2)+(aeL_sl-(M20&gt;y1_sl))*A1_sl*(M20-y1_sl)+(aeL_sl-(M20&gt;y2_sl))*A2_sl*(M20-y2_sl)</f>
        <v/>
      </c>
      <c r="Q20">
        <f>bw_sl*(M20*yc_sl*N20-(M20+yc_sl)*N20^2/2+N20^3/3)+ov_sl*((M20-af_sl)*(yc_sl-af_sl)*O20-(M20+yc_sl-2*af_sl)*O20^2/2+O20^3/3)+(aeL_sl-(M20&gt;y1_sl))*A1_sl*(M20-y1_sl)*(yc_sl-y1_sl)+(aeL_sl-(M20&gt;y2_sl))*A2_sl*(M20-y2_sl)*(yc_sl-y2_sl)</f>
        <v/>
      </c>
      <c r="R20">
        <f>-P20</f>
        <v/>
      </c>
      <c r="T20">
        <f>IF(AA19&gt;0,V19,T19)</f>
        <v/>
      </c>
      <c r="U20">
        <f>IF(AA19&gt;0,U19,V19)</f>
        <v/>
      </c>
      <c r="V20">
        <f>(T20+U20)/2</f>
        <v/>
      </c>
      <c r="W20">
        <f>MIN(MAX(V20,0),h_sl)</f>
        <v/>
      </c>
      <c r="X20">
        <f>MIN(MAX(V20-af_sl,0),hfe_sl)</f>
        <v/>
      </c>
      <c r="Y20">
        <f>bw_sl*W20*(V20-W20/2)+ov_sl*X20*(V20-af_sl-X20/2)+(aeM_sl-(V20&gt;y1_sl))*A1_sl*(V20-y1_sl)+(aeM_sl-(V20&gt;y2_sl))*A2_sl*(V20-y2_sl)</f>
        <v/>
      </c>
      <c r="Z20">
        <f>bw_sl*(V20*yc_sl*W20-(V20+yc_sl)*W20^2/2+W20^3/3)+ov_sl*((V20-af_sl)*(yc_sl-af_sl)*X20-(V20+yc_sl-2*af_sl)*X20^2/2+X20^3/3)+(aeM_sl-(V20&gt;y1_sl))*A1_sl*(V20-y1_sl)*(yc_sl-y1_sl)+(aeM_sl-(V20&gt;y2_sl))*A2_sl*(V20-y2_sl)*(yc_sl-y2_sl)</f>
        <v/>
      </c>
      <c r="AA20">
        <f>-Y20</f>
        <v/>
      </c>
      <c r="AC20">
        <f>IF(AJ19&gt;0,AE19,AC19)</f>
        <v/>
      </c>
      <c r="AD20">
        <f>IF(AJ19&gt;0,AD19,AE19)</f>
        <v/>
      </c>
      <c r="AE20">
        <f>(AC20+AD20)/2</f>
        <v/>
      </c>
      <c r="AF20">
        <f>MIN(MAX(AE20,0),h_sl)</f>
        <v/>
      </c>
      <c r="AG20">
        <f>MIN(MAX(AE20-af_sl,0),hfe_sl)</f>
        <v/>
      </c>
      <c r="AH20">
        <f>bw_sl*AF20*(AE20-AF20/2)+ov_sl*AG20*(AE20-af_sl-AG20/2)+(aeS_sl-(AE20&gt;y1_sl))*A1_sl*(AE20-y1_sl)+(aeS_sl-(AE20&gt;y2_sl))*A2_sl*(AE20-y2_sl)</f>
        <v/>
      </c>
      <c r="AI20">
        <f>bw_sl*(AE20*yc_sl*AF20-(AE20+yc_sl)*AF20^2/2+AF20^3/3)+ov_sl*((AE20-af_sl)*(yc_sl-af_sl)*AG20-(AE20+yc_sl-2*af_sl)*AG20^2/2+AG20^3/3)+(aeS_sl-(AE20&gt;y1_sl))*A1_sl*(AE20-y1_sl)*(yc_sl-y1_sl)+(aeS_sl-(AE20&gt;y2_sl))*A2_sl*(AE20-y2_sl)*(yc_sl-y2_sl)</f>
        <v/>
      </c>
      <c r="AJ20">
        <f>Nk_sl*1000*AI20-Mk_sl*1E6*AH20</f>
        <v/>
      </c>
      <c r="AL20">
        <f>IF(AS19&gt;0,AN19,AL19)</f>
        <v/>
      </c>
      <c r="AM20">
        <f>IF(AS19&gt;0,AM19,AN19)</f>
        <v/>
      </c>
      <c r="AN20">
        <f>(AL20+AM20)/2</f>
        <v/>
      </c>
      <c r="AO20">
        <f>MIN(MAX(AN20,0),h_sl)</f>
        <v/>
      </c>
      <c r="AP20">
        <f>MIN(MAX(AN20-af_sl,0),hfe_sl)</f>
        <v/>
      </c>
      <c r="AQ20">
        <f>bw_sl*AO20*(AN20-AO20/2)+ov_sl*AP20*(AN20-af_sl-AP20/2)+(aeL_sl-(AN20&gt;y1_sl))*A1_sl*(AN20-y1_sl)+(aeL_sl-(AN20&gt;y2_sl))*A2_sl*(AN20-y2_sl)</f>
        <v/>
      </c>
      <c r="AR20">
        <f>bw_sl*(AN20*yc_sl*AO20-(AN20+yc_sl)*AO20^2/2+AO20^3/3)+ov_sl*((AN20-af_sl)*(yc_sl-af_sl)*AP20-(AN20+yc_sl-2*af_sl)*AP20^2/2+AP20^3/3)+(aeL_sl-(AN20&gt;y1_sl))*A1_sl*(AN20-y1_sl)*(yc_sl-y1_sl)+(aeL_sl-(AN20&gt;y2_sl))*A2_sl*(AN20-y2_sl)*(yc_sl-y2_sl)</f>
        <v/>
      </c>
      <c r="AS20">
        <f>Nk_sl*1000*AR20-Mk_sl*1E6*AQ20</f>
        <v/>
      </c>
      <c r="AU20">
        <f>IF(BB19&gt;0,AW19,AU19)</f>
        <v/>
      </c>
      <c r="AV20">
        <f>IF(BB19&gt;0,AV19,AW19)</f>
        <v/>
      </c>
      <c r="AW20">
        <f>(AU20+AV20)/2</f>
        <v/>
      </c>
      <c r="AX20">
        <f>MIN(MAX(AW20,0),h_sl)</f>
        <v/>
      </c>
      <c r="AY20">
        <f>MIN(MAX(AW20-af_sl,0),hfe_sl)</f>
        <v/>
      </c>
      <c r="AZ20">
        <f>bw_sl*AX20*(AW20-AX20/2)+ov_sl*AY20*(AW20-af_sl-AY20/2)+(aeS_sl-(AW20&gt;y1_sl))*A1_sl*(AW20-y1_sl)+(aeS_sl-(AW20&gt;y2_sl))*A2_sl*(AW20-y2_sl)</f>
        <v/>
      </c>
      <c r="BA20">
        <f>bw_sl*(AW20*yc_sl*AX20-(AW20+yc_sl)*AX20^2/2+AX20^3/3)+ov_sl*((AW20-af_sl)*(yc_sl-af_sl)*AY20-(AW20+yc_sl-2*af_sl)*AY20^2/2+AY20^3/3)+(aeS_sl-(AW20&gt;y1_sl))*A1_sl*(AW20-y1_sl)*(yc_sl-y1_sl)+(aeS_sl-(AW20&gt;y2_sl))*A2_sl*(AW20-y2_sl)*(yc_sl-y2_sl)</f>
        <v/>
      </c>
      <c r="BB20">
        <f>Nqp_sl*1000*BA20-Mqp_sl*1E6*AZ20</f>
        <v/>
      </c>
      <c r="BD20">
        <f>IF(BK19&gt;0,BF19,BD19)</f>
        <v/>
      </c>
      <c r="BE20">
        <f>IF(BK19&gt;0,BE19,BF19)</f>
        <v/>
      </c>
      <c r="BF20">
        <f>(BD20+BE20)/2</f>
        <v/>
      </c>
      <c r="BG20">
        <f>MIN(MAX(BF20,0),h_sl)</f>
        <v/>
      </c>
      <c r="BH20">
        <f>MIN(MAX(BF20-af_sl,0),hfe_sl)</f>
        <v/>
      </c>
      <c r="BI20">
        <f>bw_sl*BG20*(BF20-BG20/2)+ov_sl*BH20*(BF20-af_sl-BH20/2)+(aeL_sl-(BF20&gt;y1_sl))*A1_sl*(BF20-y1_sl)+(aeL_sl-(BF20&gt;y2_sl))*A2_sl*(BF20-y2_sl)</f>
        <v/>
      </c>
      <c r="BJ20">
        <f>bw_sl*(BF20*yc_sl*BG20-(BF20+yc_sl)*BG20^2/2+BG20^3/3)+ov_sl*((BF20-af_sl)*(yc_sl-af_sl)*BH20-(BF20+yc_sl-2*af_sl)*BH20^2/2+BH20^3/3)+(aeL_sl-(BF20&gt;y1_sl))*A1_sl*(BF20-y1_sl)*(yc_sl-y1_sl)+(aeL_sl-(BF20&gt;y2_sl))*A2_sl*(BF20-y2_sl)*(yc_sl-y2_sl)</f>
        <v/>
      </c>
      <c r="BK20">
        <f>Nqp_sl*1000*BJ20-Mqp_sl*1E6*BI20</f>
        <v/>
      </c>
      <c r="BM20">
        <f>IF(BT19&gt;0,BO19,BM19)</f>
        <v/>
      </c>
      <c r="BN20">
        <f>IF(BT19&gt;0,BN19,BO19)</f>
        <v/>
      </c>
      <c r="BO20">
        <f>(BM20+BN20)/2</f>
        <v/>
      </c>
      <c r="BP20">
        <f>MIN(MAX(BO20,0),h_sl)</f>
        <v/>
      </c>
      <c r="BQ20">
        <f>MIN(MAX(BO20-af_sl,0),hfe_sl)</f>
        <v/>
      </c>
      <c r="BR20">
        <f>bw_sl*BP20*(BO20-BP20/2)+ov_sl*BQ20*(BO20-af_sl-BQ20/2)+(aeS_sl-(BO20&gt;y1_sl))*A1_sl*(BO20-y1_sl)+(aeS_sl-(BO20&gt;y2_sl))*A2_sl*(BO20-y2_sl)</f>
        <v/>
      </c>
      <c r="BS20">
        <f>bw_sl*(BO20*yc_sl*BP20-(BO20+yc_sl)*BP20^2/2+BP20^3/3)+ov_sl*((BO20-af_sl)*(yc_sl-af_sl)*BQ20-(BO20+yc_sl-2*af_sl)*BQ20^2/2+BQ20^3/3)+(aeS_sl-(BO20&gt;y1_sl))*A1_sl*(BO20-y1_sl)*(yc_sl-y1_sl)+(aeS_sl-(BO20&gt;y2_sl))*A2_sl*(BO20-y2_sl)*(yc_sl-y2_sl)</f>
        <v/>
      </c>
      <c r="BT20">
        <f>dN_sl*1000*BS20-dM_sl*1E6*BR20</f>
        <v/>
      </c>
      <c r="BV20">
        <f>IF(CC19&gt;0,BX19,BV19)</f>
        <v/>
      </c>
      <c r="BW20">
        <f>IF(CC19&gt;0,BW19,BX19)</f>
        <v/>
      </c>
      <c r="BX20">
        <f>(BV20+BW20)/2</f>
        <v/>
      </c>
      <c r="BY20">
        <f>MIN(MAX(BX20,0),h_sl)</f>
        <v/>
      </c>
      <c r="BZ20">
        <f>MIN(MAX(BX20-af_sl,0),hfe_sl)</f>
        <v/>
      </c>
      <c r="CA20">
        <f>bw_sl*BY20*(BX20-BY20/2)+ov_sl*BZ20*(BX20-af_sl-BZ20/2)+(aeM_sl-(BX20&gt;y1_sl))*A1_sl*(BX20-y1_sl)+(aeM_sl-(BX20&gt;y2_sl))*A2_sl*(BX20-y2_sl)</f>
        <v/>
      </c>
      <c r="CB20">
        <f>bw_sl*(BX20*yc_sl*BY20-(BX20+yc_sl)*BY20^2/2+BY20^3/3)+ov_sl*((BX20-af_sl)*(yc_sl-af_sl)*BZ20-(BX20+yc_sl-2*af_sl)*BZ20^2/2+BZ20^3/3)+(aeM_sl-(BX20&gt;y1_sl))*A1_sl*(BX20-y1_sl)*(yc_sl-y1_sl)+(aeM_sl-(BX20&gt;y2_sl))*A2_sl*(BX20-y2_sl)*(yc_sl-y2_sl)</f>
        <v/>
      </c>
      <c r="CC20">
        <f>Nk_sl*1000*CB20-Mk_sl*1E6*CA20</f>
        <v/>
      </c>
    </row>
    <row r="21">
      <c r="B21">
        <f>IF(I20&gt;0,D20,B20)</f>
        <v/>
      </c>
      <c r="C21">
        <f>IF(I20&gt;0,C20,D20)</f>
        <v/>
      </c>
      <c r="D21">
        <f>(B21+C21)/2</f>
        <v/>
      </c>
      <c r="E21">
        <f>MIN(MAX(D21,0),h_sl)</f>
        <v/>
      </c>
      <c r="F21">
        <f>MIN(MAX(D21-af_sl,0),hfe_sl)</f>
        <v/>
      </c>
      <c r="G21">
        <f>bw_sl*E21*(D21-E21/2)+ov_sl*F21*(D21-af_sl-F21/2)+(aeS_sl-(D21&gt;y1_sl))*A1_sl*(D21-y1_sl)+(aeS_sl-(D21&gt;y2_sl))*A2_sl*(D21-y2_sl)</f>
        <v/>
      </c>
      <c r="H21">
        <f>bw_sl*(D21*yc_sl*E21-(D21+yc_sl)*E21^2/2+E21^3/3)+ov_sl*((D21-af_sl)*(yc_sl-af_sl)*F21-(D21+yc_sl-2*af_sl)*F21^2/2+F21^3/3)+(aeS_sl-(D21&gt;y1_sl))*A1_sl*(D21-y1_sl)*(yc_sl-y1_sl)+(aeS_sl-(D21&gt;y2_sl))*A2_sl*(D21-y2_sl)*(yc_sl-y2_sl)</f>
        <v/>
      </c>
      <c r="I21">
        <f>-G21</f>
        <v/>
      </c>
      <c r="K21">
        <f>IF(R20&gt;0,M20,K20)</f>
        <v/>
      </c>
      <c r="L21">
        <f>IF(R20&gt;0,L20,M20)</f>
        <v/>
      </c>
      <c r="M21">
        <f>(K21+L21)/2</f>
        <v/>
      </c>
      <c r="N21">
        <f>MIN(MAX(M21,0),h_sl)</f>
        <v/>
      </c>
      <c r="O21">
        <f>MIN(MAX(M21-af_sl,0),hfe_sl)</f>
        <v/>
      </c>
      <c r="P21">
        <f>bw_sl*N21*(M21-N21/2)+ov_sl*O21*(M21-af_sl-O21/2)+(aeL_sl-(M21&gt;y1_sl))*A1_sl*(M21-y1_sl)+(aeL_sl-(M21&gt;y2_sl))*A2_sl*(M21-y2_sl)</f>
        <v/>
      </c>
      <c r="Q21">
        <f>bw_sl*(M21*yc_sl*N21-(M21+yc_sl)*N21^2/2+N21^3/3)+ov_sl*((M21-af_sl)*(yc_sl-af_sl)*O21-(M21+yc_sl-2*af_sl)*O21^2/2+O21^3/3)+(aeL_sl-(M21&gt;y1_sl))*A1_sl*(M21-y1_sl)*(yc_sl-y1_sl)+(aeL_sl-(M21&gt;y2_sl))*A2_sl*(M21-y2_sl)*(yc_sl-y2_sl)</f>
        <v/>
      </c>
      <c r="R21">
        <f>-P21</f>
        <v/>
      </c>
      <c r="T21">
        <f>IF(AA20&gt;0,V20,T20)</f>
        <v/>
      </c>
      <c r="U21">
        <f>IF(AA20&gt;0,U20,V20)</f>
        <v/>
      </c>
      <c r="V21">
        <f>(T21+U21)/2</f>
        <v/>
      </c>
      <c r="W21">
        <f>MIN(MAX(V21,0),h_sl)</f>
        <v/>
      </c>
      <c r="X21">
        <f>MIN(MAX(V21-af_sl,0),hfe_sl)</f>
        <v/>
      </c>
      <c r="Y21">
        <f>bw_sl*W21*(V21-W21/2)+ov_sl*X21*(V21-af_sl-X21/2)+(aeM_sl-(V21&gt;y1_sl))*A1_sl*(V21-y1_sl)+(aeM_sl-(V21&gt;y2_sl))*A2_sl*(V21-y2_sl)</f>
        <v/>
      </c>
      <c r="Z21">
        <f>bw_sl*(V21*yc_sl*W21-(V21+yc_sl)*W21^2/2+W21^3/3)+ov_sl*((V21-af_sl)*(yc_sl-af_sl)*X21-(V21+yc_sl-2*af_sl)*X21^2/2+X21^3/3)+(aeM_sl-(V21&gt;y1_sl))*A1_sl*(V21-y1_sl)*(yc_sl-y1_sl)+(aeM_sl-(V21&gt;y2_sl))*A2_sl*(V21-y2_sl)*(yc_sl-y2_sl)</f>
        <v/>
      </c>
      <c r="AA21">
        <f>-Y21</f>
        <v/>
      </c>
      <c r="AC21">
        <f>IF(AJ20&gt;0,AE20,AC20)</f>
        <v/>
      </c>
      <c r="AD21">
        <f>IF(AJ20&gt;0,AD20,AE20)</f>
        <v/>
      </c>
      <c r="AE21">
        <f>(AC21+AD21)/2</f>
        <v/>
      </c>
      <c r="AF21">
        <f>MIN(MAX(AE21,0),h_sl)</f>
        <v/>
      </c>
      <c r="AG21">
        <f>MIN(MAX(AE21-af_sl,0),hfe_sl)</f>
        <v/>
      </c>
      <c r="AH21">
        <f>bw_sl*AF21*(AE21-AF21/2)+ov_sl*AG21*(AE21-af_sl-AG21/2)+(aeS_sl-(AE21&gt;y1_sl))*A1_sl*(AE21-y1_sl)+(aeS_sl-(AE21&gt;y2_sl))*A2_sl*(AE21-y2_sl)</f>
        <v/>
      </c>
      <c r="AI21">
        <f>bw_sl*(AE21*yc_sl*AF21-(AE21+yc_sl)*AF21^2/2+AF21^3/3)+ov_sl*((AE21-af_sl)*(yc_sl-af_sl)*AG21-(AE21+yc_sl-2*af_sl)*AG21^2/2+AG21^3/3)+(aeS_sl-(AE21&gt;y1_sl))*A1_sl*(AE21-y1_sl)*(yc_sl-y1_sl)+(aeS_sl-(AE21&gt;y2_sl))*A2_sl*(AE21-y2_sl)*(yc_sl-y2_sl)</f>
        <v/>
      </c>
      <c r="AJ21">
        <f>Nk_sl*1000*AI21-Mk_sl*1E6*AH21</f>
        <v/>
      </c>
      <c r="AL21">
        <f>IF(AS20&gt;0,AN20,AL20)</f>
        <v/>
      </c>
      <c r="AM21">
        <f>IF(AS20&gt;0,AM20,AN20)</f>
        <v/>
      </c>
      <c r="AN21">
        <f>(AL21+AM21)/2</f>
        <v/>
      </c>
      <c r="AO21">
        <f>MIN(MAX(AN21,0),h_sl)</f>
        <v/>
      </c>
      <c r="AP21">
        <f>MIN(MAX(AN21-af_sl,0),hfe_sl)</f>
        <v/>
      </c>
      <c r="AQ21">
        <f>bw_sl*AO21*(AN21-AO21/2)+ov_sl*AP21*(AN21-af_sl-AP21/2)+(aeL_sl-(AN21&gt;y1_sl))*A1_sl*(AN21-y1_sl)+(aeL_sl-(AN21&gt;y2_sl))*A2_sl*(AN21-y2_sl)</f>
        <v/>
      </c>
      <c r="AR21">
        <f>bw_sl*(AN21*yc_sl*AO21-(AN21+yc_sl)*AO21^2/2+AO21^3/3)+ov_sl*((AN21-af_sl)*(yc_sl-af_sl)*AP21-(AN21+yc_sl-2*af_sl)*AP21^2/2+AP21^3/3)+(aeL_sl-(AN21&gt;y1_sl))*A1_sl*(AN21-y1_sl)*(yc_sl-y1_sl)+(aeL_sl-(AN21&gt;y2_sl))*A2_sl*(AN21-y2_sl)*(yc_sl-y2_sl)</f>
        <v/>
      </c>
      <c r="AS21">
        <f>Nk_sl*1000*AR21-Mk_sl*1E6*AQ21</f>
        <v/>
      </c>
      <c r="AU21">
        <f>IF(BB20&gt;0,AW20,AU20)</f>
        <v/>
      </c>
      <c r="AV21">
        <f>IF(BB20&gt;0,AV20,AW20)</f>
        <v/>
      </c>
      <c r="AW21">
        <f>(AU21+AV21)/2</f>
        <v/>
      </c>
      <c r="AX21">
        <f>MIN(MAX(AW21,0),h_sl)</f>
        <v/>
      </c>
      <c r="AY21">
        <f>MIN(MAX(AW21-af_sl,0),hfe_sl)</f>
        <v/>
      </c>
      <c r="AZ21">
        <f>bw_sl*AX21*(AW21-AX21/2)+ov_sl*AY21*(AW21-af_sl-AY21/2)+(aeS_sl-(AW21&gt;y1_sl))*A1_sl*(AW21-y1_sl)+(aeS_sl-(AW21&gt;y2_sl))*A2_sl*(AW21-y2_sl)</f>
        <v/>
      </c>
      <c r="BA21">
        <f>bw_sl*(AW21*yc_sl*AX21-(AW21+yc_sl)*AX21^2/2+AX21^3/3)+ov_sl*((AW21-af_sl)*(yc_sl-af_sl)*AY21-(AW21+yc_sl-2*af_sl)*AY21^2/2+AY21^3/3)+(aeS_sl-(AW21&gt;y1_sl))*A1_sl*(AW21-y1_sl)*(yc_sl-y1_sl)+(aeS_sl-(AW21&gt;y2_sl))*A2_sl*(AW21-y2_sl)*(yc_sl-y2_sl)</f>
        <v/>
      </c>
      <c r="BB21">
        <f>Nqp_sl*1000*BA21-Mqp_sl*1E6*AZ21</f>
        <v/>
      </c>
      <c r="BD21">
        <f>IF(BK20&gt;0,BF20,BD20)</f>
        <v/>
      </c>
      <c r="BE21">
        <f>IF(BK20&gt;0,BE20,BF20)</f>
        <v/>
      </c>
      <c r="BF21">
        <f>(BD21+BE21)/2</f>
        <v/>
      </c>
      <c r="BG21">
        <f>MIN(MAX(BF21,0),h_sl)</f>
        <v/>
      </c>
      <c r="BH21">
        <f>MIN(MAX(BF21-af_sl,0),hfe_sl)</f>
        <v/>
      </c>
      <c r="BI21">
        <f>bw_sl*BG21*(BF21-BG21/2)+ov_sl*BH21*(BF21-af_sl-BH21/2)+(aeL_sl-(BF21&gt;y1_sl))*A1_sl*(BF21-y1_sl)+(aeL_sl-(BF21&gt;y2_sl))*A2_sl*(BF21-y2_sl)</f>
        <v/>
      </c>
      <c r="BJ21">
        <f>bw_sl*(BF21*yc_sl*BG21-(BF21+yc_sl)*BG21^2/2+BG21^3/3)+ov_sl*((BF21-af_sl)*(yc_sl-af_sl)*BH21-(BF21+yc_sl-2*af_sl)*BH21^2/2+BH21^3/3)+(aeL_sl-(BF21&gt;y1_sl))*A1_sl*(BF21-y1_sl)*(yc_sl-y1_sl)+(aeL_sl-(BF21&gt;y2_sl))*A2_sl*(BF21-y2_sl)*(yc_sl-y2_sl)</f>
        <v/>
      </c>
      <c r="BK21">
        <f>Nqp_sl*1000*BJ21-Mqp_sl*1E6*BI21</f>
        <v/>
      </c>
      <c r="BM21">
        <f>IF(BT20&gt;0,BO20,BM20)</f>
        <v/>
      </c>
      <c r="BN21">
        <f>IF(BT20&gt;0,BN20,BO20)</f>
        <v/>
      </c>
      <c r="BO21">
        <f>(BM21+BN21)/2</f>
        <v/>
      </c>
      <c r="BP21">
        <f>MIN(MAX(BO21,0),h_sl)</f>
        <v/>
      </c>
      <c r="BQ21">
        <f>MIN(MAX(BO21-af_sl,0),hfe_sl)</f>
        <v/>
      </c>
      <c r="BR21">
        <f>bw_sl*BP21*(BO21-BP21/2)+ov_sl*BQ21*(BO21-af_sl-BQ21/2)+(aeS_sl-(BO21&gt;y1_sl))*A1_sl*(BO21-y1_sl)+(aeS_sl-(BO21&gt;y2_sl))*A2_sl*(BO21-y2_sl)</f>
        <v/>
      </c>
      <c r="BS21">
        <f>bw_sl*(BO21*yc_sl*BP21-(BO21+yc_sl)*BP21^2/2+BP21^3/3)+ov_sl*((BO21-af_sl)*(yc_sl-af_sl)*BQ21-(BO21+yc_sl-2*af_sl)*BQ21^2/2+BQ21^3/3)+(aeS_sl-(BO21&gt;y1_sl))*A1_sl*(BO21-y1_sl)*(yc_sl-y1_sl)+(aeS_sl-(BO21&gt;y2_sl))*A2_sl*(BO21-y2_sl)*(yc_sl-y2_sl)</f>
        <v/>
      </c>
      <c r="BT21">
        <f>dN_sl*1000*BS21-dM_sl*1E6*BR21</f>
        <v/>
      </c>
      <c r="BV21">
        <f>IF(CC20&gt;0,BX20,BV20)</f>
        <v/>
      </c>
      <c r="BW21">
        <f>IF(CC20&gt;0,BW20,BX20)</f>
        <v/>
      </c>
      <c r="BX21">
        <f>(BV21+BW21)/2</f>
        <v/>
      </c>
      <c r="BY21">
        <f>MIN(MAX(BX21,0),h_sl)</f>
        <v/>
      </c>
      <c r="BZ21">
        <f>MIN(MAX(BX21-af_sl,0),hfe_sl)</f>
        <v/>
      </c>
      <c r="CA21">
        <f>bw_sl*BY21*(BX21-BY21/2)+ov_sl*BZ21*(BX21-af_sl-BZ21/2)+(aeM_sl-(BX21&gt;y1_sl))*A1_sl*(BX21-y1_sl)+(aeM_sl-(BX21&gt;y2_sl))*A2_sl*(BX21-y2_sl)</f>
        <v/>
      </c>
      <c r="CB21">
        <f>bw_sl*(BX21*yc_sl*BY21-(BX21+yc_sl)*BY21^2/2+BY21^3/3)+ov_sl*((BX21-af_sl)*(yc_sl-af_sl)*BZ21-(BX21+yc_sl-2*af_sl)*BZ21^2/2+BZ21^3/3)+(aeM_sl-(BX21&gt;y1_sl))*A1_sl*(BX21-y1_sl)*(yc_sl-y1_sl)+(aeM_sl-(BX21&gt;y2_sl))*A2_sl*(BX21-y2_sl)*(yc_sl-y2_sl)</f>
        <v/>
      </c>
      <c r="CC21">
        <f>Nk_sl*1000*CB21-Mk_sl*1E6*CA21</f>
        <v/>
      </c>
    </row>
    <row r="22">
      <c r="B22">
        <f>IF(I21&gt;0,D21,B21)</f>
        <v/>
      </c>
      <c r="C22">
        <f>IF(I21&gt;0,C21,D21)</f>
        <v/>
      </c>
      <c r="D22">
        <f>(B22+C22)/2</f>
        <v/>
      </c>
      <c r="E22">
        <f>MIN(MAX(D22,0),h_sl)</f>
        <v/>
      </c>
      <c r="F22">
        <f>MIN(MAX(D22-af_sl,0),hfe_sl)</f>
        <v/>
      </c>
      <c r="G22">
        <f>bw_sl*E22*(D22-E22/2)+ov_sl*F22*(D22-af_sl-F22/2)+(aeS_sl-(D22&gt;y1_sl))*A1_sl*(D22-y1_sl)+(aeS_sl-(D22&gt;y2_sl))*A2_sl*(D22-y2_sl)</f>
        <v/>
      </c>
      <c r="H22">
        <f>bw_sl*(D22*yc_sl*E22-(D22+yc_sl)*E22^2/2+E22^3/3)+ov_sl*((D22-af_sl)*(yc_sl-af_sl)*F22-(D22+yc_sl-2*af_sl)*F22^2/2+F22^3/3)+(aeS_sl-(D22&gt;y1_sl))*A1_sl*(D22-y1_sl)*(yc_sl-y1_sl)+(aeS_sl-(D22&gt;y2_sl))*A2_sl*(D22-y2_sl)*(yc_sl-y2_sl)</f>
        <v/>
      </c>
      <c r="I22">
        <f>-G22</f>
        <v/>
      </c>
      <c r="K22">
        <f>IF(R21&gt;0,M21,K21)</f>
        <v/>
      </c>
      <c r="L22">
        <f>IF(R21&gt;0,L21,M21)</f>
        <v/>
      </c>
      <c r="M22">
        <f>(K22+L22)/2</f>
        <v/>
      </c>
      <c r="N22">
        <f>MIN(MAX(M22,0),h_sl)</f>
        <v/>
      </c>
      <c r="O22">
        <f>MIN(MAX(M22-af_sl,0),hfe_sl)</f>
        <v/>
      </c>
      <c r="P22">
        <f>bw_sl*N22*(M22-N22/2)+ov_sl*O22*(M22-af_sl-O22/2)+(aeL_sl-(M22&gt;y1_sl))*A1_sl*(M22-y1_sl)+(aeL_sl-(M22&gt;y2_sl))*A2_sl*(M22-y2_sl)</f>
        <v/>
      </c>
      <c r="Q22">
        <f>bw_sl*(M22*yc_sl*N22-(M22+yc_sl)*N22^2/2+N22^3/3)+ov_sl*((M22-af_sl)*(yc_sl-af_sl)*O22-(M22+yc_sl-2*af_sl)*O22^2/2+O22^3/3)+(aeL_sl-(M22&gt;y1_sl))*A1_sl*(M22-y1_sl)*(yc_sl-y1_sl)+(aeL_sl-(M22&gt;y2_sl))*A2_sl*(M22-y2_sl)*(yc_sl-y2_sl)</f>
        <v/>
      </c>
      <c r="R22">
        <f>-P22</f>
        <v/>
      </c>
      <c r="T22">
        <f>IF(AA21&gt;0,V21,T21)</f>
        <v/>
      </c>
      <c r="U22">
        <f>IF(AA21&gt;0,U21,V21)</f>
        <v/>
      </c>
      <c r="V22">
        <f>(T22+U22)/2</f>
        <v/>
      </c>
      <c r="W22">
        <f>MIN(MAX(V22,0),h_sl)</f>
        <v/>
      </c>
      <c r="X22">
        <f>MIN(MAX(V22-af_sl,0),hfe_sl)</f>
        <v/>
      </c>
      <c r="Y22">
        <f>bw_sl*W22*(V22-W22/2)+ov_sl*X22*(V22-af_sl-X22/2)+(aeM_sl-(V22&gt;y1_sl))*A1_sl*(V22-y1_sl)+(aeM_sl-(V22&gt;y2_sl))*A2_sl*(V22-y2_sl)</f>
        <v/>
      </c>
      <c r="Z22">
        <f>bw_sl*(V22*yc_sl*W22-(V22+yc_sl)*W22^2/2+W22^3/3)+ov_sl*((V22-af_sl)*(yc_sl-af_sl)*X22-(V22+yc_sl-2*af_sl)*X22^2/2+X22^3/3)+(aeM_sl-(V22&gt;y1_sl))*A1_sl*(V22-y1_sl)*(yc_sl-y1_sl)+(aeM_sl-(V22&gt;y2_sl))*A2_sl*(V22-y2_sl)*(yc_sl-y2_sl)</f>
        <v/>
      </c>
      <c r="AA22">
        <f>-Y22</f>
        <v/>
      </c>
      <c r="AC22">
        <f>IF(AJ21&gt;0,AE21,AC21)</f>
        <v/>
      </c>
      <c r="AD22">
        <f>IF(AJ21&gt;0,AD21,AE21)</f>
        <v/>
      </c>
      <c r="AE22">
        <f>(AC22+AD22)/2</f>
        <v/>
      </c>
      <c r="AF22">
        <f>MIN(MAX(AE22,0),h_sl)</f>
        <v/>
      </c>
      <c r="AG22">
        <f>MIN(MAX(AE22-af_sl,0),hfe_sl)</f>
        <v/>
      </c>
      <c r="AH22">
        <f>bw_sl*AF22*(AE22-AF22/2)+ov_sl*AG22*(AE22-af_sl-AG22/2)+(aeS_sl-(AE22&gt;y1_sl))*A1_sl*(AE22-y1_sl)+(aeS_sl-(AE22&gt;y2_sl))*A2_sl*(AE22-y2_sl)</f>
        <v/>
      </c>
      <c r="AI22">
        <f>bw_sl*(AE22*yc_sl*AF22-(AE22+yc_sl)*AF22^2/2+AF22^3/3)+ov_sl*((AE22-af_sl)*(yc_sl-af_sl)*AG22-(AE22+yc_sl-2*af_sl)*AG22^2/2+AG22^3/3)+(aeS_sl-(AE22&gt;y1_sl))*A1_sl*(AE22-y1_sl)*(yc_sl-y1_sl)+(aeS_sl-(AE22&gt;y2_sl))*A2_sl*(AE22-y2_sl)*(yc_sl-y2_sl)</f>
        <v/>
      </c>
      <c r="AJ22">
        <f>Nk_sl*1000*AI22-Mk_sl*1E6*AH22</f>
        <v/>
      </c>
      <c r="AL22">
        <f>IF(AS21&gt;0,AN21,AL21)</f>
        <v/>
      </c>
      <c r="AM22">
        <f>IF(AS21&gt;0,AM21,AN21)</f>
        <v/>
      </c>
      <c r="AN22">
        <f>(AL22+AM22)/2</f>
        <v/>
      </c>
      <c r="AO22">
        <f>MIN(MAX(AN22,0),h_sl)</f>
        <v/>
      </c>
      <c r="AP22">
        <f>MIN(MAX(AN22-af_sl,0),hfe_sl)</f>
        <v/>
      </c>
      <c r="AQ22">
        <f>bw_sl*AO22*(AN22-AO22/2)+ov_sl*AP22*(AN22-af_sl-AP22/2)+(aeL_sl-(AN22&gt;y1_sl))*A1_sl*(AN22-y1_sl)+(aeL_sl-(AN22&gt;y2_sl))*A2_sl*(AN22-y2_sl)</f>
        <v/>
      </c>
      <c r="AR22">
        <f>bw_sl*(AN22*yc_sl*AO22-(AN22+yc_sl)*AO22^2/2+AO22^3/3)+ov_sl*((AN22-af_sl)*(yc_sl-af_sl)*AP22-(AN22+yc_sl-2*af_sl)*AP22^2/2+AP22^3/3)+(aeL_sl-(AN22&gt;y1_sl))*A1_sl*(AN22-y1_sl)*(yc_sl-y1_sl)+(aeL_sl-(AN22&gt;y2_sl))*A2_sl*(AN22-y2_sl)*(yc_sl-y2_sl)</f>
        <v/>
      </c>
      <c r="AS22">
        <f>Nk_sl*1000*AR22-Mk_sl*1E6*AQ22</f>
        <v/>
      </c>
      <c r="AU22">
        <f>IF(BB21&gt;0,AW21,AU21)</f>
        <v/>
      </c>
      <c r="AV22">
        <f>IF(BB21&gt;0,AV21,AW21)</f>
        <v/>
      </c>
      <c r="AW22">
        <f>(AU22+AV22)/2</f>
        <v/>
      </c>
      <c r="AX22">
        <f>MIN(MAX(AW22,0),h_sl)</f>
        <v/>
      </c>
      <c r="AY22">
        <f>MIN(MAX(AW22-af_sl,0),hfe_sl)</f>
        <v/>
      </c>
      <c r="AZ22">
        <f>bw_sl*AX22*(AW22-AX22/2)+ov_sl*AY22*(AW22-af_sl-AY22/2)+(aeS_sl-(AW22&gt;y1_sl))*A1_sl*(AW22-y1_sl)+(aeS_sl-(AW22&gt;y2_sl))*A2_sl*(AW22-y2_sl)</f>
        <v/>
      </c>
      <c r="BA22">
        <f>bw_sl*(AW22*yc_sl*AX22-(AW22+yc_sl)*AX22^2/2+AX22^3/3)+ov_sl*((AW22-af_sl)*(yc_sl-af_sl)*AY22-(AW22+yc_sl-2*af_sl)*AY22^2/2+AY22^3/3)+(aeS_sl-(AW22&gt;y1_sl))*A1_sl*(AW22-y1_sl)*(yc_sl-y1_sl)+(aeS_sl-(AW22&gt;y2_sl))*A2_sl*(AW22-y2_sl)*(yc_sl-y2_sl)</f>
        <v/>
      </c>
      <c r="BB22">
        <f>Nqp_sl*1000*BA22-Mqp_sl*1E6*AZ22</f>
        <v/>
      </c>
      <c r="BD22">
        <f>IF(BK21&gt;0,BF21,BD21)</f>
        <v/>
      </c>
      <c r="BE22">
        <f>IF(BK21&gt;0,BE21,BF21)</f>
        <v/>
      </c>
      <c r="BF22">
        <f>(BD22+BE22)/2</f>
        <v/>
      </c>
      <c r="BG22">
        <f>MIN(MAX(BF22,0),h_sl)</f>
        <v/>
      </c>
      <c r="BH22">
        <f>MIN(MAX(BF22-af_sl,0),hfe_sl)</f>
        <v/>
      </c>
      <c r="BI22">
        <f>bw_sl*BG22*(BF22-BG22/2)+ov_sl*BH22*(BF22-af_sl-BH22/2)+(aeL_sl-(BF22&gt;y1_sl))*A1_sl*(BF22-y1_sl)+(aeL_sl-(BF22&gt;y2_sl))*A2_sl*(BF22-y2_sl)</f>
        <v/>
      </c>
      <c r="BJ22">
        <f>bw_sl*(BF22*yc_sl*BG22-(BF22+yc_sl)*BG22^2/2+BG22^3/3)+ov_sl*((BF22-af_sl)*(yc_sl-af_sl)*BH22-(BF22+yc_sl-2*af_sl)*BH22^2/2+BH22^3/3)+(aeL_sl-(BF22&gt;y1_sl))*A1_sl*(BF22-y1_sl)*(yc_sl-y1_sl)+(aeL_sl-(BF22&gt;y2_sl))*A2_sl*(BF22-y2_sl)*(yc_sl-y2_sl)</f>
        <v/>
      </c>
      <c r="BK22">
        <f>Nqp_sl*1000*BJ22-Mqp_sl*1E6*BI22</f>
        <v/>
      </c>
      <c r="BM22">
        <f>IF(BT21&gt;0,BO21,BM21)</f>
        <v/>
      </c>
      <c r="BN22">
        <f>IF(BT21&gt;0,BN21,BO21)</f>
        <v/>
      </c>
      <c r="BO22">
        <f>(BM22+BN22)/2</f>
        <v/>
      </c>
      <c r="BP22">
        <f>MIN(MAX(BO22,0),h_sl)</f>
        <v/>
      </c>
      <c r="BQ22">
        <f>MIN(MAX(BO22-af_sl,0),hfe_sl)</f>
        <v/>
      </c>
      <c r="BR22">
        <f>bw_sl*BP22*(BO22-BP22/2)+ov_sl*BQ22*(BO22-af_sl-BQ22/2)+(aeS_sl-(BO22&gt;y1_sl))*A1_sl*(BO22-y1_sl)+(aeS_sl-(BO22&gt;y2_sl))*A2_sl*(BO22-y2_sl)</f>
        <v/>
      </c>
      <c r="BS22">
        <f>bw_sl*(BO22*yc_sl*BP22-(BO22+yc_sl)*BP22^2/2+BP22^3/3)+ov_sl*((BO22-af_sl)*(yc_sl-af_sl)*BQ22-(BO22+yc_sl-2*af_sl)*BQ22^2/2+BQ22^3/3)+(aeS_sl-(BO22&gt;y1_sl))*A1_sl*(BO22-y1_sl)*(yc_sl-y1_sl)+(aeS_sl-(BO22&gt;y2_sl))*A2_sl*(BO22-y2_sl)*(yc_sl-y2_sl)</f>
        <v/>
      </c>
      <c r="BT22">
        <f>dN_sl*1000*BS22-dM_sl*1E6*BR22</f>
        <v/>
      </c>
      <c r="BV22">
        <f>IF(CC21&gt;0,BX21,BV21)</f>
        <v/>
      </c>
      <c r="BW22">
        <f>IF(CC21&gt;0,BW21,BX21)</f>
        <v/>
      </c>
      <c r="BX22">
        <f>(BV22+BW22)/2</f>
        <v/>
      </c>
      <c r="BY22">
        <f>MIN(MAX(BX22,0),h_sl)</f>
        <v/>
      </c>
      <c r="BZ22">
        <f>MIN(MAX(BX22-af_sl,0),hfe_sl)</f>
        <v/>
      </c>
      <c r="CA22">
        <f>bw_sl*BY22*(BX22-BY22/2)+ov_sl*BZ22*(BX22-af_sl-BZ22/2)+(aeM_sl-(BX22&gt;y1_sl))*A1_sl*(BX22-y1_sl)+(aeM_sl-(BX22&gt;y2_sl))*A2_sl*(BX22-y2_sl)</f>
        <v/>
      </c>
      <c r="CB22">
        <f>bw_sl*(BX22*yc_sl*BY22-(BX22+yc_sl)*BY22^2/2+BY22^3/3)+ov_sl*((BX22-af_sl)*(yc_sl-af_sl)*BZ22-(BX22+yc_sl-2*af_sl)*BZ22^2/2+BZ22^3/3)+(aeM_sl-(BX22&gt;y1_sl))*A1_sl*(BX22-y1_sl)*(yc_sl-y1_sl)+(aeM_sl-(BX22&gt;y2_sl))*A2_sl*(BX22-y2_sl)*(yc_sl-y2_sl)</f>
        <v/>
      </c>
      <c r="CC22">
        <f>Nk_sl*1000*CB22-Mk_sl*1E6*CA22</f>
        <v/>
      </c>
    </row>
    <row r="23">
      <c r="B23">
        <f>IF(I22&gt;0,D22,B22)</f>
        <v/>
      </c>
      <c r="C23">
        <f>IF(I22&gt;0,C22,D22)</f>
        <v/>
      </c>
      <c r="D23">
        <f>(B23+C23)/2</f>
        <v/>
      </c>
      <c r="E23">
        <f>MIN(MAX(D23,0),h_sl)</f>
        <v/>
      </c>
      <c r="F23">
        <f>MIN(MAX(D23-af_sl,0),hfe_sl)</f>
        <v/>
      </c>
      <c r="G23">
        <f>bw_sl*E23*(D23-E23/2)+ov_sl*F23*(D23-af_sl-F23/2)+(aeS_sl-(D23&gt;y1_sl))*A1_sl*(D23-y1_sl)+(aeS_sl-(D23&gt;y2_sl))*A2_sl*(D23-y2_sl)</f>
        <v/>
      </c>
      <c r="H23">
        <f>bw_sl*(D23*yc_sl*E23-(D23+yc_sl)*E23^2/2+E23^3/3)+ov_sl*((D23-af_sl)*(yc_sl-af_sl)*F23-(D23+yc_sl-2*af_sl)*F23^2/2+F23^3/3)+(aeS_sl-(D23&gt;y1_sl))*A1_sl*(D23-y1_sl)*(yc_sl-y1_sl)+(aeS_sl-(D23&gt;y2_sl))*A2_sl*(D23-y2_sl)*(yc_sl-y2_sl)</f>
        <v/>
      </c>
      <c r="I23">
        <f>-G23</f>
        <v/>
      </c>
      <c r="K23">
        <f>IF(R22&gt;0,M22,K22)</f>
        <v/>
      </c>
      <c r="L23">
        <f>IF(R22&gt;0,L22,M22)</f>
        <v/>
      </c>
      <c r="M23">
        <f>(K23+L23)/2</f>
        <v/>
      </c>
      <c r="N23">
        <f>MIN(MAX(M23,0),h_sl)</f>
        <v/>
      </c>
      <c r="O23">
        <f>MIN(MAX(M23-af_sl,0),hfe_sl)</f>
        <v/>
      </c>
      <c r="P23">
        <f>bw_sl*N23*(M23-N23/2)+ov_sl*O23*(M23-af_sl-O23/2)+(aeL_sl-(M23&gt;y1_sl))*A1_sl*(M23-y1_sl)+(aeL_sl-(M23&gt;y2_sl))*A2_sl*(M23-y2_sl)</f>
        <v/>
      </c>
      <c r="Q23">
        <f>bw_sl*(M23*yc_sl*N23-(M23+yc_sl)*N23^2/2+N23^3/3)+ov_sl*((M23-af_sl)*(yc_sl-af_sl)*O23-(M23+yc_sl-2*af_sl)*O23^2/2+O23^3/3)+(aeL_sl-(M23&gt;y1_sl))*A1_sl*(M23-y1_sl)*(yc_sl-y1_sl)+(aeL_sl-(M23&gt;y2_sl))*A2_sl*(M23-y2_sl)*(yc_sl-y2_sl)</f>
        <v/>
      </c>
      <c r="R23">
        <f>-P23</f>
        <v/>
      </c>
      <c r="T23">
        <f>IF(AA22&gt;0,V22,T22)</f>
        <v/>
      </c>
      <c r="U23">
        <f>IF(AA22&gt;0,U22,V22)</f>
        <v/>
      </c>
      <c r="V23">
        <f>(T23+U23)/2</f>
        <v/>
      </c>
      <c r="W23">
        <f>MIN(MAX(V23,0),h_sl)</f>
        <v/>
      </c>
      <c r="X23">
        <f>MIN(MAX(V23-af_sl,0),hfe_sl)</f>
        <v/>
      </c>
      <c r="Y23">
        <f>bw_sl*W23*(V23-W23/2)+ov_sl*X23*(V23-af_sl-X23/2)+(aeM_sl-(V23&gt;y1_sl))*A1_sl*(V23-y1_sl)+(aeM_sl-(V23&gt;y2_sl))*A2_sl*(V23-y2_sl)</f>
        <v/>
      </c>
      <c r="Z23">
        <f>bw_sl*(V23*yc_sl*W23-(V23+yc_sl)*W23^2/2+W23^3/3)+ov_sl*((V23-af_sl)*(yc_sl-af_sl)*X23-(V23+yc_sl-2*af_sl)*X23^2/2+X23^3/3)+(aeM_sl-(V23&gt;y1_sl))*A1_sl*(V23-y1_sl)*(yc_sl-y1_sl)+(aeM_sl-(V23&gt;y2_sl))*A2_sl*(V23-y2_sl)*(yc_sl-y2_sl)</f>
        <v/>
      </c>
      <c r="AA23">
        <f>-Y23</f>
        <v/>
      </c>
      <c r="AC23">
        <f>IF(AJ22&gt;0,AE22,AC22)</f>
        <v/>
      </c>
      <c r="AD23">
        <f>IF(AJ22&gt;0,AD22,AE22)</f>
        <v/>
      </c>
      <c r="AE23">
        <f>(AC23+AD23)/2</f>
        <v/>
      </c>
      <c r="AF23">
        <f>MIN(MAX(AE23,0),h_sl)</f>
        <v/>
      </c>
      <c r="AG23">
        <f>MIN(MAX(AE23-af_sl,0),hfe_sl)</f>
        <v/>
      </c>
      <c r="AH23">
        <f>bw_sl*AF23*(AE23-AF23/2)+ov_sl*AG23*(AE23-af_sl-AG23/2)+(aeS_sl-(AE23&gt;y1_sl))*A1_sl*(AE23-y1_sl)+(aeS_sl-(AE23&gt;y2_sl))*A2_sl*(AE23-y2_sl)</f>
        <v/>
      </c>
      <c r="AI23">
        <f>bw_sl*(AE23*yc_sl*AF23-(AE23+yc_sl)*AF23^2/2+AF23^3/3)+ov_sl*((AE23-af_sl)*(yc_sl-af_sl)*AG23-(AE23+yc_sl-2*af_sl)*AG23^2/2+AG23^3/3)+(aeS_sl-(AE23&gt;y1_sl))*A1_sl*(AE23-y1_sl)*(yc_sl-y1_sl)+(aeS_sl-(AE23&gt;y2_sl))*A2_sl*(AE23-y2_sl)*(yc_sl-y2_sl)</f>
        <v/>
      </c>
      <c r="AJ23">
        <f>Nk_sl*1000*AI23-Mk_sl*1E6*AH23</f>
        <v/>
      </c>
      <c r="AL23">
        <f>IF(AS22&gt;0,AN22,AL22)</f>
        <v/>
      </c>
      <c r="AM23">
        <f>IF(AS22&gt;0,AM22,AN22)</f>
        <v/>
      </c>
      <c r="AN23">
        <f>(AL23+AM23)/2</f>
        <v/>
      </c>
      <c r="AO23">
        <f>MIN(MAX(AN23,0),h_sl)</f>
        <v/>
      </c>
      <c r="AP23">
        <f>MIN(MAX(AN23-af_sl,0),hfe_sl)</f>
        <v/>
      </c>
      <c r="AQ23">
        <f>bw_sl*AO23*(AN23-AO23/2)+ov_sl*AP23*(AN23-af_sl-AP23/2)+(aeL_sl-(AN23&gt;y1_sl))*A1_sl*(AN23-y1_sl)+(aeL_sl-(AN23&gt;y2_sl))*A2_sl*(AN23-y2_sl)</f>
        <v/>
      </c>
      <c r="AR23">
        <f>bw_sl*(AN23*yc_sl*AO23-(AN23+yc_sl)*AO23^2/2+AO23^3/3)+ov_sl*((AN23-af_sl)*(yc_sl-af_sl)*AP23-(AN23+yc_sl-2*af_sl)*AP23^2/2+AP23^3/3)+(aeL_sl-(AN23&gt;y1_sl))*A1_sl*(AN23-y1_sl)*(yc_sl-y1_sl)+(aeL_sl-(AN23&gt;y2_sl))*A2_sl*(AN23-y2_sl)*(yc_sl-y2_sl)</f>
        <v/>
      </c>
      <c r="AS23">
        <f>Nk_sl*1000*AR23-Mk_sl*1E6*AQ23</f>
        <v/>
      </c>
      <c r="AU23">
        <f>IF(BB22&gt;0,AW22,AU22)</f>
        <v/>
      </c>
      <c r="AV23">
        <f>IF(BB22&gt;0,AV22,AW22)</f>
        <v/>
      </c>
      <c r="AW23">
        <f>(AU23+AV23)/2</f>
        <v/>
      </c>
      <c r="AX23">
        <f>MIN(MAX(AW23,0),h_sl)</f>
        <v/>
      </c>
      <c r="AY23">
        <f>MIN(MAX(AW23-af_sl,0),hfe_sl)</f>
        <v/>
      </c>
      <c r="AZ23">
        <f>bw_sl*AX23*(AW23-AX23/2)+ov_sl*AY23*(AW23-af_sl-AY23/2)+(aeS_sl-(AW23&gt;y1_sl))*A1_sl*(AW23-y1_sl)+(aeS_sl-(AW23&gt;y2_sl))*A2_sl*(AW23-y2_sl)</f>
        <v/>
      </c>
      <c r="BA23">
        <f>bw_sl*(AW23*yc_sl*AX23-(AW23+yc_sl)*AX23^2/2+AX23^3/3)+ov_sl*((AW23-af_sl)*(yc_sl-af_sl)*AY23-(AW23+yc_sl-2*af_sl)*AY23^2/2+AY23^3/3)+(aeS_sl-(AW23&gt;y1_sl))*A1_sl*(AW23-y1_sl)*(yc_sl-y1_sl)+(aeS_sl-(AW23&gt;y2_sl))*A2_sl*(AW23-y2_sl)*(yc_sl-y2_sl)</f>
        <v/>
      </c>
      <c r="BB23">
        <f>Nqp_sl*1000*BA23-Mqp_sl*1E6*AZ23</f>
        <v/>
      </c>
      <c r="BD23">
        <f>IF(BK22&gt;0,BF22,BD22)</f>
        <v/>
      </c>
      <c r="BE23">
        <f>IF(BK22&gt;0,BE22,BF22)</f>
        <v/>
      </c>
      <c r="BF23">
        <f>(BD23+BE23)/2</f>
        <v/>
      </c>
      <c r="BG23">
        <f>MIN(MAX(BF23,0),h_sl)</f>
        <v/>
      </c>
      <c r="BH23">
        <f>MIN(MAX(BF23-af_sl,0),hfe_sl)</f>
        <v/>
      </c>
      <c r="BI23">
        <f>bw_sl*BG23*(BF23-BG23/2)+ov_sl*BH23*(BF23-af_sl-BH23/2)+(aeL_sl-(BF23&gt;y1_sl))*A1_sl*(BF23-y1_sl)+(aeL_sl-(BF23&gt;y2_sl))*A2_sl*(BF23-y2_sl)</f>
        <v/>
      </c>
      <c r="BJ23">
        <f>bw_sl*(BF23*yc_sl*BG23-(BF23+yc_sl)*BG23^2/2+BG23^3/3)+ov_sl*((BF23-af_sl)*(yc_sl-af_sl)*BH23-(BF23+yc_sl-2*af_sl)*BH23^2/2+BH23^3/3)+(aeL_sl-(BF23&gt;y1_sl))*A1_sl*(BF23-y1_sl)*(yc_sl-y1_sl)+(aeL_sl-(BF23&gt;y2_sl))*A2_sl*(BF23-y2_sl)*(yc_sl-y2_sl)</f>
        <v/>
      </c>
      <c r="BK23">
        <f>Nqp_sl*1000*BJ23-Mqp_sl*1E6*BI23</f>
        <v/>
      </c>
      <c r="BM23">
        <f>IF(BT22&gt;0,BO22,BM22)</f>
        <v/>
      </c>
      <c r="BN23">
        <f>IF(BT22&gt;0,BN22,BO22)</f>
        <v/>
      </c>
      <c r="BO23">
        <f>(BM23+BN23)/2</f>
        <v/>
      </c>
      <c r="BP23">
        <f>MIN(MAX(BO23,0),h_sl)</f>
        <v/>
      </c>
      <c r="BQ23">
        <f>MIN(MAX(BO23-af_sl,0),hfe_sl)</f>
        <v/>
      </c>
      <c r="BR23">
        <f>bw_sl*BP23*(BO23-BP23/2)+ov_sl*BQ23*(BO23-af_sl-BQ23/2)+(aeS_sl-(BO23&gt;y1_sl))*A1_sl*(BO23-y1_sl)+(aeS_sl-(BO23&gt;y2_sl))*A2_sl*(BO23-y2_sl)</f>
        <v/>
      </c>
      <c r="BS23">
        <f>bw_sl*(BO23*yc_sl*BP23-(BO23+yc_sl)*BP23^2/2+BP23^3/3)+ov_sl*((BO23-af_sl)*(yc_sl-af_sl)*BQ23-(BO23+yc_sl-2*af_sl)*BQ23^2/2+BQ23^3/3)+(aeS_sl-(BO23&gt;y1_sl))*A1_sl*(BO23-y1_sl)*(yc_sl-y1_sl)+(aeS_sl-(BO23&gt;y2_sl))*A2_sl*(BO23-y2_sl)*(yc_sl-y2_sl)</f>
        <v/>
      </c>
      <c r="BT23">
        <f>dN_sl*1000*BS23-dM_sl*1E6*BR23</f>
        <v/>
      </c>
      <c r="BV23">
        <f>IF(CC22&gt;0,BX22,BV22)</f>
        <v/>
      </c>
      <c r="BW23">
        <f>IF(CC22&gt;0,BW22,BX22)</f>
        <v/>
      </c>
      <c r="BX23">
        <f>(BV23+BW23)/2</f>
        <v/>
      </c>
      <c r="BY23">
        <f>MIN(MAX(BX23,0),h_sl)</f>
        <v/>
      </c>
      <c r="BZ23">
        <f>MIN(MAX(BX23-af_sl,0),hfe_sl)</f>
        <v/>
      </c>
      <c r="CA23">
        <f>bw_sl*BY23*(BX23-BY23/2)+ov_sl*BZ23*(BX23-af_sl-BZ23/2)+(aeM_sl-(BX23&gt;y1_sl))*A1_sl*(BX23-y1_sl)+(aeM_sl-(BX23&gt;y2_sl))*A2_sl*(BX23-y2_sl)</f>
        <v/>
      </c>
      <c r="CB23">
        <f>bw_sl*(BX23*yc_sl*BY23-(BX23+yc_sl)*BY23^2/2+BY23^3/3)+ov_sl*((BX23-af_sl)*(yc_sl-af_sl)*BZ23-(BX23+yc_sl-2*af_sl)*BZ23^2/2+BZ23^3/3)+(aeM_sl-(BX23&gt;y1_sl))*A1_sl*(BX23-y1_sl)*(yc_sl-y1_sl)+(aeM_sl-(BX23&gt;y2_sl))*A2_sl*(BX23-y2_sl)*(yc_sl-y2_sl)</f>
        <v/>
      </c>
      <c r="CC23">
        <f>Nk_sl*1000*CB23-Mk_sl*1E6*CA23</f>
        <v/>
      </c>
    </row>
    <row r="24">
      <c r="B24">
        <f>IF(I23&gt;0,D23,B23)</f>
        <v/>
      </c>
      <c r="C24">
        <f>IF(I23&gt;0,C23,D23)</f>
        <v/>
      </c>
      <c r="D24">
        <f>(B24+C24)/2</f>
        <v/>
      </c>
      <c r="E24">
        <f>MIN(MAX(D24,0),h_sl)</f>
        <v/>
      </c>
      <c r="F24">
        <f>MIN(MAX(D24-af_sl,0),hfe_sl)</f>
        <v/>
      </c>
      <c r="G24">
        <f>bw_sl*E24*(D24-E24/2)+ov_sl*F24*(D24-af_sl-F24/2)+(aeS_sl-(D24&gt;y1_sl))*A1_sl*(D24-y1_sl)+(aeS_sl-(D24&gt;y2_sl))*A2_sl*(D24-y2_sl)</f>
        <v/>
      </c>
      <c r="H24">
        <f>bw_sl*(D24*yc_sl*E24-(D24+yc_sl)*E24^2/2+E24^3/3)+ov_sl*((D24-af_sl)*(yc_sl-af_sl)*F24-(D24+yc_sl-2*af_sl)*F24^2/2+F24^3/3)+(aeS_sl-(D24&gt;y1_sl))*A1_sl*(D24-y1_sl)*(yc_sl-y1_sl)+(aeS_sl-(D24&gt;y2_sl))*A2_sl*(D24-y2_sl)*(yc_sl-y2_sl)</f>
        <v/>
      </c>
      <c r="I24">
        <f>-G24</f>
        <v/>
      </c>
      <c r="K24">
        <f>IF(R23&gt;0,M23,K23)</f>
        <v/>
      </c>
      <c r="L24">
        <f>IF(R23&gt;0,L23,M23)</f>
        <v/>
      </c>
      <c r="M24">
        <f>(K24+L24)/2</f>
        <v/>
      </c>
      <c r="N24">
        <f>MIN(MAX(M24,0),h_sl)</f>
        <v/>
      </c>
      <c r="O24">
        <f>MIN(MAX(M24-af_sl,0),hfe_sl)</f>
        <v/>
      </c>
      <c r="P24">
        <f>bw_sl*N24*(M24-N24/2)+ov_sl*O24*(M24-af_sl-O24/2)+(aeL_sl-(M24&gt;y1_sl))*A1_sl*(M24-y1_sl)+(aeL_sl-(M24&gt;y2_sl))*A2_sl*(M24-y2_sl)</f>
        <v/>
      </c>
      <c r="Q24">
        <f>bw_sl*(M24*yc_sl*N24-(M24+yc_sl)*N24^2/2+N24^3/3)+ov_sl*((M24-af_sl)*(yc_sl-af_sl)*O24-(M24+yc_sl-2*af_sl)*O24^2/2+O24^3/3)+(aeL_sl-(M24&gt;y1_sl))*A1_sl*(M24-y1_sl)*(yc_sl-y1_sl)+(aeL_sl-(M24&gt;y2_sl))*A2_sl*(M24-y2_sl)*(yc_sl-y2_sl)</f>
        <v/>
      </c>
      <c r="R24">
        <f>-P24</f>
        <v/>
      </c>
      <c r="T24">
        <f>IF(AA23&gt;0,V23,T23)</f>
        <v/>
      </c>
      <c r="U24">
        <f>IF(AA23&gt;0,U23,V23)</f>
        <v/>
      </c>
      <c r="V24">
        <f>(T24+U24)/2</f>
        <v/>
      </c>
      <c r="W24">
        <f>MIN(MAX(V24,0),h_sl)</f>
        <v/>
      </c>
      <c r="X24">
        <f>MIN(MAX(V24-af_sl,0),hfe_sl)</f>
        <v/>
      </c>
      <c r="Y24">
        <f>bw_sl*W24*(V24-W24/2)+ov_sl*X24*(V24-af_sl-X24/2)+(aeM_sl-(V24&gt;y1_sl))*A1_sl*(V24-y1_sl)+(aeM_sl-(V24&gt;y2_sl))*A2_sl*(V24-y2_sl)</f>
        <v/>
      </c>
      <c r="Z24">
        <f>bw_sl*(V24*yc_sl*W24-(V24+yc_sl)*W24^2/2+W24^3/3)+ov_sl*((V24-af_sl)*(yc_sl-af_sl)*X24-(V24+yc_sl-2*af_sl)*X24^2/2+X24^3/3)+(aeM_sl-(V24&gt;y1_sl))*A1_sl*(V24-y1_sl)*(yc_sl-y1_sl)+(aeM_sl-(V24&gt;y2_sl))*A2_sl*(V24-y2_sl)*(yc_sl-y2_sl)</f>
        <v/>
      </c>
      <c r="AA24">
        <f>-Y24</f>
        <v/>
      </c>
      <c r="AC24">
        <f>IF(AJ23&gt;0,AE23,AC23)</f>
        <v/>
      </c>
      <c r="AD24">
        <f>IF(AJ23&gt;0,AD23,AE23)</f>
        <v/>
      </c>
      <c r="AE24">
        <f>(AC24+AD24)/2</f>
        <v/>
      </c>
      <c r="AF24">
        <f>MIN(MAX(AE24,0),h_sl)</f>
        <v/>
      </c>
      <c r="AG24">
        <f>MIN(MAX(AE24-af_sl,0),hfe_sl)</f>
        <v/>
      </c>
      <c r="AH24">
        <f>bw_sl*AF24*(AE24-AF24/2)+ov_sl*AG24*(AE24-af_sl-AG24/2)+(aeS_sl-(AE24&gt;y1_sl))*A1_sl*(AE24-y1_sl)+(aeS_sl-(AE24&gt;y2_sl))*A2_sl*(AE24-y2_sl)</f>
        <v/>
      </c>
      <c r="AI24">
        <f>bw_sl*(AE24*yc_sl*AF24-(AE24+yc_sl)*AF24^2/2+AF24^3/3)+ov_sl*((AE24-af_sl)*(yc_sl-af_sl)*AG24-(AE24+yc_sl-2*af_sl)*AG24^2/2+AG24^3/3)+(aeS_sl-(AE24&gt;y1_sl))*A1_sl*(AE24-y1_sl)*(yc_sl-y1_sl)+(aeS_sl-(AE24&gt;y2_sl))*A2_sl*(AE24-y2_sl)*(yc_sl-y2_sl)</f>
        <v/>
      </c>
      <c r="AJ24">
        <f>Nk_sl*1000*AI24-Mk_sl*1E6*AH24</f>
        <v/>
      </c>
      <c r="AL24">
        <f>IF(AS23&gt;0,AN23,AL23)</f>
        <v/>
      </c>
      <c r="AM24">
        <f>IF(AS23&gt;0,AM23,AN23)</f>
        <v/>
      </c>
      <c r="AN24">
        <f>(AL24+AM24)/2</f>
        <v/>
      </c>
      <c r="AO24">
        <f>MIN(MAX(AN24,0),h_sl)</f>
        <v/>
      </c>
      <c r="AP24">
        <f>MIN(MAX(AN24-af_sl,0),hfe_sl)</f>
        <v/>
      </c>
      <c r="AQ24">
        <f>bw_sl*AO24*(AN24-AO24/2)+ov_sl*AP24*(AN24-af_sl-AP24/2)+(aeL_sl-(AN24&gt;y1_sl))*A1_sl*(AN24-y1_sl)+(aeL_sl-(AN24&gt;y2_sl))*A2_sl*(AN24-y2_sl)</f>
        <v/>
      </c>
      <c r="AR24">
        <f>bw_sl*(AN24*yc_sl*AO24-(AN24+yc_sl)*AO24^2/2+AO24^3/3)+ov_sl*((AN24-af_sl)*(yc_sl-af_sl)*AP24-(AN24+yc_sl-2*af_sl)*AP24^2/2+AP24^3/3)+(aeL_sl-(AN24&gt;y1_sl))*A1_sl*(AN24-y1_sl)*(yc_sl-y1_sl)+(aeL_sl-(AN24&gt;y2_sl))*A2_sl*(AN24-y2_sl)*(yc_sl-y2_sl)</f>
        <v/>
      </c>
      <c r="AS24">
        <f>Nk_sl*1000*AR24-Mk_sl*1E6*AQ24</f>
        <v/>
      </c>
      <c r="AU24">
        <f>IF(BB23&gt;0,AW23,AU23)</f>
        <v/>
      </c>
      <c r="AV24">
        <f>IF(BB23&gt;0,AV23,AW23)</f>
        <v/>
      </c>
      <c r="AW24">
        <f>(AU24+AV24)/2</f>
        <v/>
      </c>
      <c r="AX24">
        <f>MIN(MAX(AW24,0),h_sl)</f>
        <v/>
      </c>
      <c r="AY24">
        <f>MIN(MAX(AW24-af_sl,0),hfe_sl)</f>
        <v/>
      </c>
      <c r="AZ24">
        <f>bw_sl*AX24*(AW24-AX24/2)+ov_sl*AY24*(AW24-af_sl-AY24/2)+(aeS_sl-(AW24&gt;y1_sl))*A1_sl*(AW24-y1_sl)+(aeS_sl-(AW24&gt;y2_sl))*A2_sl*(AW24-y2_sl)</f>
        <v/>
      </c>
      <c r="BA24">
        <f>bw_sl*(AW24*yc_sl*AX24-(AW24+yc_sl)*AX24^2/2+AX24^3/3)+ov_sl*((AW24-af_sl)*(yc_sl-af_sl)*AY24-(AW24+yc_sl-2*af_sl)*AY24^2/2+AY24^3/3)+(aeS_sl-(AW24&gt;y1_sl))*A1_sl*(AW24-y1_sl)*(yc_sl-y1_sl)+(aeS_sl-(AW24&gt;y2_sl))*A2_sl*(AW24-y2_sl)*(yc_sl-y2_sl)</f>
        <v/>
      </c>
      <c r="BB24">
        <f>Nqp_sl*1000*BA24-Mqp_sl*1E6*AZ24</f>
        <v/>
      </c>
      <c r="BD24">
        <f>IF(BK23&gt;0,BF23,BD23)</f>
        <v/>
      </c>
      <c r="BE24">
        <f>IF(BK23&gt;0,BE23,BF23)</f>
        <v/>
      </c>
      <c r="BF24">
        <f>(BD24+BE24)/2</f>
        <v/>
      </c>
      <c r="BG24">
        <f>MIN(MAX(BF24,0),h_sl)</f>
        <v/>
      </c>
      <c r="BH24">
        <f>MIN(MAX(BF24-af_sl,0),hfe_sl)</f>
        <v/>
      </c>
      <c r="BI24">
        <f>bw_sl*BG24*(BF24-BG24/2)+ov_sl*BH24*(BF24-af_sl-BH24/2)+(aeL_sl-(BF24&gt;y1_sl))*A1_sl*(BF24-y1_sl)+(aeL_sl-(BF24&gt;y2_sl))*A2_sl*(BF24-y2_sl)</f>
        <v/>
      </c>
      <c r="BJ24">
        <f>bw_sl*(BF24*yc_sl*BG24-(BF24+yc_sl)*BG24^2/2+BG24^3/3)+ov_sl*((BF24-af_sl)*(yc_sl-af_sl)*BH24-(BF24+yc_sl-2*af_sl)*BH24^2/2+BH24^3/3)+(aeL_sl-(BF24&gt;y1_sl))*A1_sl*(BF24-y1_sl)*(yc_sl-y1_sl)+(aeL_sl-(BF24&gt;y2_sl))*A2_sl*(BF24-y2_sl)*(yc_sl-y2_sl)</f>
        <v/>
      </c>
      <c r="BK24">
        <f>Nqp_sl*1000*BJ24-Mqp_sl*1E6*BI24</f>
        <v/>
      </c>
      <c r="BM24">
        <f>IF(BT23&gt;0,BO23,BM23)</f>
        <v/>
      </c>
      <c r="BN24">
        <f>IF(BT23&gt;0,BN23,BO23)</f>
        <v/>
      </c>
      <c r="BO24">
        <f>(BM24+BN24)/2</f>
        <v/>
      </c>
      <c r="BP24">
        <f>MIN(MAX(BO24,0),h_sl)</f>
        <v/>
      </c>
      <c r="BQ24">
        <f>MIN(MAX(BO24-af_sl,0),hfe_sl)</f>
        <v/>
      </c>
      <c r="BR24">
        <f>bw_sl*BP24*(BO24-BP24/2)+ov_sl*BQ24*(BO24-af_sl-BQ24/2)+(aeS_sl-(BO24&gt;y1_sl))*A1_sl*(BO24-y1_sl)+(aeS_sl-(BO24&gt;y2_sl))*A2_sl*(BO24-y2_sl)</f>
        <v/>
      </c>
      <c r="BS24">
        <f>bw_sl*(BO24*yc_sl*BP24-(BO24+yc_sl)*BP24^2/2+BP24^3/3)+ov_sl*((BO24-af_sl)*(yc_sl-af_sl)*BQ24-(BO24+yc_sl-2*af_sl)*BQ24^2/2+BQ24^3/3)+(aeS_sl-(BO24&gt;y1_sl))*A1_sl*(BO24-y1_sl)*(yc_sl-y1_sl)+(aeS_sl-(BO24&gt;y2_sl))*A2_sl*(BO24-y2_sl)*(yc_sl-y2_sl)</f>
        <v/>
      </c>
      <c r="BT24">
        <f>dN_sl*1000*BS24-dM_sl*1E6*BR24</f>
        <v/>
      </c>
      <c r="BV24">
        <f>IF(CC23&gt;0,BX23,BV23)</f>
        <v/>
      </c>
      <c r="BW24">
        <f>IF(CC23&gt;0,BW23,BX23)</f>
        <v/>
      </c>
      <c r="BX24">
        <f>(BV24+BW24)/2</f>
        <v/>
      </c>
      <c r="BY24">
        <f>MIN(MAX(BX24,0),h_sl)</f>
        <v/>
      </c>
      <c r="BZ24">
        <f>MIN(MAX(BX24-af_sl,0),hfe_sl)</f>
        <v/>
      </c>
      <c r="CA24">
        <f>bw_sl*BY24*(BX24-BY24/2)+ov_sl*BZ24*(BX24-af_sl-BZ24/2)+(aeM_sl-(BX24&gt;y1_sl))*A1_sl*(BX24-y1_sl)+(aeM_sl-(BX24&gt;y2_sl))*A2_sl*(BX24-y2_sl)</f>
        <v/>
      </c>
      <c r="CB24">
        <f>bw_sl*(BX24*yc_sl*BY24-(BX24+yc_sl)*BY24^2/2+BY24^3/3)+ov_sl*((BX24-af_sl)*(yc_sl-af_sl)*BZ24-(BX24+yc_sl-2*af_sl)*BZ24^2/2+BZ24^3/3)+(aeM_sl-(BX24&gt;y1_sl))*A1_sl*(BX24-y1_sl)*(yc_sl-y1_sl)+(aeM_sl-(BX24&gt;y2_sl))*A2_sl*(BX24-y2_sl)*(yc_sl-y2_sl)</f>
        <v/>
      </c>
      <c r="CC24">
        <f>Nk_sl*1000*CB24-Mk_sl*1E6*CA24</f>
        <v/>
      </c>
    </row>
    <row r="25">
      <c r="B25">
        <f>IF(I24&gt;0,D24,B24)</f>
        <v/>
      </c>
      <c r="C25">
        <f>IF(I24&gt;0,C24,D24)</f>
        <v/>
      </c>
      <c r="D25">
        <f>(B25+C25)/2</f>
        <v/>
      </c>
      <c r="E25">
        <f>MIN(MAX(D25,0),h_sl)</f>
        <v/>
      </c>
      <c r="F25">
        <f>MIN(MAX(D25-af_sl,0),hfe_sl)</f>
        <v/>
      </c>
      <c r="G25">
        <f>bw_sl*E25*(D25-E25/2)+ov_sl*F25*(D25-af_sl-F25/2)+(aeS_sl-(D25&gt;y1_sl))*A1_sl*(D25-y1_sl)+(aeS_sl-(D25&gt;y2_sl))*A2_sl*(D25-y2_sl)</f>
        <v/>
      </c>
      <c r="H25">
        <f>bw_sl*(D25*yc_sl*E25-(D25+yc_sl)*E25^2/2+E25^3/3)+ov_sl*((D25-af_sl)*(yc_sl-af_sl)*F25-(D25+yc_sl-2*af_sl)*F25^2/2+F25^3/3)+(aeS_sl-(D25&gt;y1_sl))*A1_sl*(D25-y1_sl)*(yc_sl-y1_sl)+(aeS_sl-(D25&gt;y2_sl))*A2_sl*(D25-y2_sl)*(yc_sl-y2_sl)</f>
        <v/>
      </c>
      <c r="I25">
        <f>-G25</f>
        <v/>
      </c>
      <c r="K25">
        <f>IF(R24&gt;0,M24,K24)</f>
        <v/>
      </c>
      <c r="L25">
        <f>IF(R24&gt;0,L24,M24)</f>
        <v/>
      </c>
      <c r="M25">
        <f>(K25+L25)/2</f>
        <v/>
      </c>
      <c r="N25">
        <f>MIN(MAX(M25,0),h_sl)</f>
        <v/>
      </c>
      <c r="O25">
        <f>MIN(MAX(M25-af_sl,0),hfe_sl)</f>
        <v/>
      </c>
      <c r="P25">
        <f>bw_sl*N25*(M25-N25/2)+ov_sl*O25*(M25-af_sl-O25/2)+(aeL_sl-(M25&gt;y1_sl))*A1_sl*(M25-y1_sl)+(aeL_sl-(M25&gt;y2_sl))*A2_sl*(M25-y2_sl)</f>
        <v/>
      </c>
      <c r="Q25">
        <f>bw_sl*(M25*yc_sl*N25-(M25+yc_sl)*N25^2/2+N25^3/3)+ov_sl*((M25-af_sl)*(yc_sl-af_sl)*O25-(M25+yc_sl-2*af_sl)*O25^2/2+O25^3/3)+(aeL_sl-(M25&gt;y1_sl))*A1_sl*(M25-y1_sl)*(yc_sl-y1_sl)+(aeL_sl-(M25&gt;y2_sl))*A2_sl*(M25-y2_sl)*(yc_sl-y2_sl)</f>
        <v/>
      </c>
      <c r="R25">
        <f>-P25</f>
        <v/>
      </c>
      <c r="T25">
        <f>IF(AA24&gt;0,V24,T24)</f>
        <v/>
      </c>
      <c r="U25">
        <f>IF(AA24&gt;0,U24,V24)</f>
        <v/>
      </c>
      <c r="V25">
        <f>(T25+U25)/2</f>
        <v/>
      </c>
      <c r="W25">
        <f>MIN(MAX(V25,0),h_sl)</f>
        <v/>
      </c>
      <c r="X25">
        <f>MIN(MAX(V25-af_sl,0),hfe_sl)</f>
        <v/>
      </c>
      <c r="Y25">
        <f>bw_sl*W25*(V25-W25/2)+ov_sl*X25*(V25-af_sl-X25/2)+(aeM_sl-(V25&gt;y1_sl))*A1_sl*(V25-y1_sl)+(aeM_sl-(V25&gt;y2_sl))*A2_sl*(V25-y2_sl)</f>
        <v/>
      </c>
      <c r="Z25">
        <f>bw_sl*(V25*yc_sl*W25-(V25+yc_sl)*W25^2/2+W25^3/3)+ov_sl*((V25-af_sl)*(yc_sl-af_sl)*X25-(V25+yc_sl-2*af_sl)*X25^2/2+X25^3/3)+(aeM_sl-(V25&gt;y1_sl))*A1_sl*(V25-y1_sl)*(yc_sl-y1_sl)+(aeM_sl-(V25&gt;y2_sl))*A2_sl*(V25-y2_sl)*(yc_sl-y2_sl)</f>
        <v/>
      </c>
      <c r="AA25">
        <f>-Y25</f>
        <v/>
      </c>
      <c r="AC25">
        <f>IF(AJ24&gt;0,AE24,AC24)</f>
        <v/>
      </c>
      <c r="AD25">
        <f>IF(AJ24&gt;0,AD24,AE24)</f>
        <v/>
      </c>
      <c r="AE25">
        <f>(AC25+AD25)/2</f>
        <v/>
      </c>
      <c r="AF25">
        <f>MIN(MAX(AE25,0),h_sl)</f>
        <v/>
      </c>
      <c r="AG25">
        <f>MIN(MAX(AE25-af_sl,0),hfe_sl)</f>
        <v/>
      </c>
      <c r="AH25">
        <f>bw_sl*AF25*(AE25-AF25/2)+ov_sl*AG25*(AE25-af_sl-AG25/2)+(aeS_sl-(AE25&gt;y1_sl))*A1_sl*(AE25-y1_sl)+(aeS_sl-(AE25&gt;y2_sl))*A2_sl*(AE25-y2_sl)</f>
        <v/>
      </c>
      <c r="AI25">
        <f>bw_sl*(AE25*yc_sl*AF25-(AE25+yc_sl)*AF25^2/2+AF25^3/3)+ov_sl*((AE25-af_sl)*(yc_sl-af_sl)*AG25-(AE25+yc_sl-2*af_sl)*AG25^2/2+AG25^3/3)+(aeS_sl-(AE25&gt;y1_sl))*A1_sl*(AE25-y1_sl)*(yc_sl-y1_sl)+(aeS_sl-(AE25&gt;y2_sl))*A2_sl*(AE25-y2_sl)*(yc_sl-y2_sl)</f>
        <v/>
      </c>
      <c r="AJ25">
        <f>Nk_sl*1000*AI25-Mk_sl*1E6*AH25</f>
        <v/>
      </c>
      <c r="AL25">
        <f>IF(AS24&gt;0,AN24,AL24)</f>
        <v/>
      </c>
      <c r="AM25">
        <f>IF(AS24&gt;0,AM24,AN24)</f>
        <v/>
      </c>
      <c r="AN25">
        <f>(AL25+AM25)/2</f>
        <v/>
      </c>
      <c r="AO25">
        <f>MIN(MAX(AN25,0),h_sl)</f>
        <v/>
      </c>
      <c r="AP25">
        <f>MIN(MAX(AN25-af_sl,0),hfe_sl)</f>
        <v/>
      </c>
      <c r="AQ25">
        <f>bw_sl*AO25*(AN25-AO25/2)+ov_sl*AP25*(AN25-af_sl-AP25/2)+(aeL_sl-(AN25&gt;y1_sl))*A1_sl*(AN25-y1_sl)+(aeL_sl-(AN25&gt;y2_sl))*A2_sl*(AN25-y2_sl)</f>
        <v/>
      </c>
      <c r="AR25">
        <f>bw_sl*(AN25*yc_sl*AO25-(AN25+yc_sl)*AO25^2/2+AO25^3/3)+ov_sl*((AN25-af_sl)*(yc_sl-af_sl)*AP25-(AN25+yc_sl-2*af_sl)*AP25^2/2+AP25^3/3)+(aeL_sl-(AN25&gt;y1_sl))*A1_sl*(AN25-y1_sl)*(yc_sl-y1_sl)+(aeL_sl-(AN25&gt;y2_sl))*A2_sl*(AN25-y2_sl)*(yc_sl-y2_sl)</f>
        <v/>
      </c>
      <c r="AS25">
        <f>Nk_sl*1000*AR25-Mk_sl*1E6*AQ25</f>
        <v/>
      </c>
      <c r="AU25">
        <f>IF(BB24&gt;0,AW24,AU24)</f>
        <v/>
      </c>
      <c r="AV25">
        <f>IF(BB24&gt;0,AV24,AW24)</f>
        <v/>
      </c>
      <c r="AW25">
        <f>(AU25+AV25)/2</f>
        <v/>
      </c>
      <c r="AX25">
        <f>MIN(MAX(AW25,0),h_sl)</f>
        <v/>
      </c>
      <c r="AY25">
        <f>MIN(MAX(AW25-af_sl,0),hfe_sl)</f>
        <v/>
      </c>
      <c r="AZ25">
        <f>bw_sl*AX25*(AW25-AX25/2)+ov_sl*AY25*(AW25-af_sl-AY25/2)+(aeS_sl-(AW25&gt;y1_sl))*A1_sl*(AW25-y1_sl)+(aeS_sl-(AW25&gt;y2_sl))*A2_sl*(AW25-y2_sl)</f>
        <v/>
      </c>
      <c r="BA25">
        <f>bw_sl*(AW25*yc_sl*AX25-(AW25+yc_sl)*AX25^2/2+AX25^3/3)+ov_sl*((AW25-af_sl)*(yc_sl-af_sl)*AY25-(AW25+yc_sl-2*af_sl)*AY25^2/2+AY25^3/3)+(aeS_sl-(AW25&gt;y1_sl))*A1_sl*(AW25-y1_sl)*(yc_sl-y1_sl)+(aeS_sl-(AW25&gt;y2_sl))*A2_sl*(AW25-y2_sl)*(yc_sl-y2_sl)</f>
        <v/>
      </c>
      <c r="BB25">
        <f>Nqp_sl*1000*BA25-Mqp_sl*1E6*AZ25</f>
        <v/>
      </c>
      <c r="BD25">
        <f>IF(BK24&gt;0,BF24,BD24)</f>
        <v/>
      </c>
      <c r="BE25">
        <f>IF(BK24&gt;0,BE24,BF24)</f>
        <v/>
      </c>
      <c r="BF25">
        <f>(BD25+BE25)/2</f>
        <v/>
      </c>
      <c r="BG25">
        <f>MIN(MAX(BF25,0),h_sl)</f>
        <v/>
      </c>
      <c r="BH25">
        <f>MIN(MAX(BF25-af_sl,0),hfe_sl)</f>
        <v/>
      </c>
      <c r="BI25">
        <f>bw_sl*BG25*(BF25-BG25/2)+ov_sl*BH25*(BF25-af_sl-BH25/2)+(aeL_sl-(BF25&gt;y1_sl))*A1_sl*(BF25-y1_sl)+(aeL_sl-(BF25&gt;y2_sl))*A2_sl*(BF25-y2_sl)</f>
        <v/>
      </c>
      <c r="BJ25">
        <f>bw_sl*(BF25*yc_sl*BG25-(BF25+yc_sl)*BG25^2/2+BG25^3/3)+ov_sl*((BF25-af_sl)*(yc_sl-af_sl)*BH25-(BF25+yc_sl-2*af_sl)*BH25^2/2+BH25^3/3)+(aeL_sl-(BF25&gt;y1_sl))*A1_sl*(BF25-y1_sl)*(yc_sl-y1_sl)+(aeL_sl-(BF25&gt;y2_sl))*A2_sl*(BF25-y2_sl)*(yc_sl-y2_sl)</f>
        <v/>
      </c>
      <c r="BK25">
        <f>Nqp_sl*1000*BJ25-Mqp_sl*1E6*BI25</f>
        <v/>
      </c>
      <c r="BM25">
        <f>IF(BT24&gt;0,BO24,BM24)</f>
        <v/>
      </c>
      <c r="BN25">
        <f>IF(BT24&gt;0,BN24,BO24)</f>
        <v/>
      </c>
      <c r="BO25">
        <f>(BM25+BN25)/2</f>
        <v/>
      </c>
      <c r="BP25">
        <f>MIN(MAX(BO25,0),h_sl)</f>
        <v/>
      </c>
      <c r="BQ25">
        <f>MIN(MAX(BO25-af_sl,0),hfe_sl)</f>
        <v/>
      </c>
      <c r="BR25">
        <f>bw_sl*BP25*(BO25-BP25/2)+ov_sl*BQ25*(BO25-af_sl-BQ25/2)+(aeS_sl-(BO25&gt;y1_sl))*A1_sl*(BO25-y1_sl)+(aeS_sl-(BO25&gt;y2_sl))*A2_sl*(BO25-y2_sl)</f>
        <v/>
      </c>
      <c r="BS25">
        <f>bw_sl*(BO25*yc_sl*BP25-(BO25+yc_sl)*BP25^2/2+BP25^3/3)+ov_sl*((BO25-af_sl)*(yc_sl-af_sl)*BQ25-(BO25+yc_sl-2*af_sl)*BQ25^2/2+BQ25^3/3)+(aeS_sl-(BO25&gt;y1_sl))*A1_sl*(BO25-y1_sl)*(yc_sl-y1_sl)+(aeS_sl-(BO25&gt;y2_sl))*A2_sl*(BO25-y2_sl)*(yc_sl-y2_sl)</f>
        <v/>
      </c>
      <c r="BT25">
        <f>dN_sl*1000*BS25-dM_sl*1E6*BR25</f>
        <v/>
      </c>
      <c r="BV25">
        <f>IF(CC24&gt;0,BX24,BV24)</f>
        <v/>
      </c>
      <c r="BW25">
        <f>IF(CC24&gt;0,BW24,BX24)</f>
        <v/>
      </c>
      <c r="BX25">
        <f>(BV25+BW25)/2</f>
        <v/>
      </c>
      <c r="BY25">
        <f>MIN(MAX(BX25,0),h_sl)</f>
        <v/>
      </c>
      <c r="BZ25">
        <f>MIN(MAX(BX25-af_sl,0),hfe_sl)</f>
        <v/>
      </c>
      <c r="CA25">
        <f>bw_sl*BY25*(BX25-BY25/2)+ov_sl*BZ25*(BX25-af_sl-BZ25/2)+(aeM_sl-(BX25&gt;y1_sl))*A1_sl*(BX25-y1_sl)+(aeM_sl-(BX25&gt;y2_sl))*A2_sl*(BX25-y2_sl)</f>
        <v/>
      </c>
      <c r="CB25">
        <f>bw_sl*(BX25*yc_sl*BY25-(BX25+yc_sl)*BY25^2/2+BY25^3/3)+ov_sl*((BX25-af_sl)*(yc_sl-af_sl)*BZ25-(BX25+yc_sl-2*af_sl)*BZ25^2/2+BZ25^3/3)+(aeM_sl-(BX25&gt;y1_sl))*A1_sl*(BX25-y1_sl)*(yc_sl-y1_sl)+(aeM_sl-(BX25&gt;y2_sl))*A2_sl*(BX25-y2_sl)*(yc_sl-y2_sl)</f>
        <v/>
      </c>
      <c r="CC25">
        <f>Nk_sl*1000*CB25-Mk_sl*1E6*CA25</f>
        <v/>
      </c>
    </row>
    <row r="26">
      <c r="B26">
        <f>IF(I25&gt;0,D25,B25)</f>
        <v/>
      </c>
      <c r="C26">
        <f>IF(I25&gt;0,C25,D25)</f>
        <v/>
      </c>
      <c r="D26">
        <f>(B26+C26)/2</f>
        <v/>
      </c>
      <c r="E26">
        <f>MIN(MAX(D26,0),h_sl)</f>
        <v/>
      </c>
      <c r="F26">
        <f>MIN(MAX(D26-af_sl,0),hfe_sl)</f>
        <v/>
      </c>
      <c r="G26">
        <f>bw_sl*E26*(D26-E26/2)+ov_sl*F26*(D26-af_sl-F26/2)+(aeS_sl-(D26&gt;y1_sl))*A1_sl*(D26-y1_sl)+(aeS_sl-(D26&gt;y2_sl))*A2_sl*(D26-y2_sl)</f>
        <v/>
      </c>
      <c r="H26">
        <f>bw_sl*(D26*yc_sl*E26-(D26+yc_sl)*E26^2/2+E26^3/3)+ov_sl*((D26-af_sl)*(yc_sl-af_sl)*F26-(D26+yc_sl-2*af_sl)*F26^2/2+F26^3/3)+(aeS_sl-(D26&gt;y1_sl))*A1_sl*(D26-y1_sl)*(yc_sl-y1_sl)+(aeS_sl-(D26&gt;y2_sl))*A2_sl*(D26-y2_sl)*(yc_sl-y2_sl)</f>
        <v/>
      </c>
      <c r="I26">
        <f>-G26</f>
        <v/>
      </c>
      <c r="K26">
        <f>IF(R25&gt;0,M25,K25)</f>
        <v/>
      </c>
      <c r="L26">
        <f>IF(R25&gt;0,L25,M25)</f>
        <v/>
      </c>
      <c r="M26">
        <f>(K26+L26)/2</f>
        <v/>
      </c>
      <c r="N26">
        <f>MIN(MAX(M26,0),h_sl)</f>
        <v/>
      </c>
      <c r="O26">
        <f>MIN(MAX(M26-af_sl,0),hfe_sl)</f>
        <v/>
      </c>
      <c r="P26">
        <f>bw_sl*N26*(M26-N26/2)+ov_sl*O26*(M26-af_sl-O26/2)+(aeL_sl-(M26&gt;y1_sl))*A1_sl*(M26-y1_sl)+(aeL_sl-(M26&gt;y2_sl))*A2_sl*(M26-y2_sl)</f>
        <v/>
      </c>
      <c r="Q26">
        <f>bw_sl*(M26*yc_sl*N26-(M26+yc_sl)*N26^2/2+N26^3/3)+ov_sl*((M26-af_sl)*(yc_sl-af_sl)*O26-(M26+yc_sl-2*af_sl)*O26^2/2+O26^3/3)+(aeL_sl-(M26&gt;y1_sl))*A1_sl*(M26-y1_sl)*(yc_sl-y1_sl)+(aeL_sl-(M26&gt;y2_sl))*A2_sl*(M26-y2_sl)*(yc_sl-y2_sl)</f>
        <v/>
      </c>
      <c r="R26">
        <f>-P26</f>
        <v/>
      </c>
      <c r="T26">
        <f>IF(AA25&gt;0,V25,T25)</f>
        <v/>
      </c>
      <c r="U26">
        <f>IF(AA25&gt;0,U25,V25)</f>
        <v/>
      </c>
      <c r="V26">
        <f>(T26+U26)/2</f>
        <v/>
      </c>
      <c r="W26">
        <f>MIN(MAX(V26,0),h_sl)</f>
        <v/>
      </c>
      <c r="X26">
        <f>MIN(MAX(V26-af_sl,0),hfe_sl)</f>
        <v/>
      </c>
      <c r="Y26">
        <f>bw_sl*W26*(V26-W26/2)+ov_sl*X26*(V26-af_sl-X26/2)+(aeM_sl-(V26&gt;y1_sl))*A1_sl*(V26-y1_sl)+(aeM_sl-(V26&gt;y2_sl))*A2_sl*(V26-y2_sl)</f>
        <v/>
      </c>
      <c r="Z26">
        <f>bw_sl*(V26*yc_sl*W26-(V26+yc_sl)*W26^2/2+W26^3/3)+ov_sl*((V26-af_sl)*(yc_sl-af_sl)*X26-(V26+yc_sl-2*af_sl)*X26^2/2+X26^3/3)+(aeM_sl-(V26&gt;y1_sl))*A1_sl*(V26-y1_sl)*(yc_sl-y1_sl)+(aeM_sl-(V26&gt;y2_sl))*A2_sl*(V26-y2_sl)*(yc_sl-y2_sl)</f>
        <v/>
      </c>
      <c r="AA26">
        <f>-Y26</f>
        <v/>
      </c>
      <c r="AC26">
        <f>IF(AJ25&gt;0,AE25,AC25)</f>
        <v/>
      </c>
      <c r="AD26">
        <f>IF(AJ25&gt;0,AD25,AE25)</f>
        <v/>
      </c>
      <c r="AE26">
        <f>(AC26+AD26)/2</f>
        <v/>
      </c>
      <c r="AF26">
        <f>MIN(MAX(AE26,0),h_sl)</f>
        <v/>
      </c>
      <c r="AG26">
        <f>MIN(MAX(AE26-af_sl,0),hfe_sl)</f>
        <v/>
      </c>
      <c r="AH26">
        <f>bw_sl*AF26*(AE26-AF26/2)+ov_sl*AG26*(AE26-af_sl-AG26/2)+(aeS_sl-(AE26&gt;y1_sl))*A1_sl*(AE26-y1_sl)+(aeS_sl-(AE26&gt;y2_sl))*A2_sl*(AE26-y2_sl)</f>
        <v/>
      </c>
      <c r="AI26">
        <f>bw_sl*(AE26*yc_sl*AF26-(AE26+yc_sl)*AF26^2/2+AF26^3/3)+ov_sl*((AE26-af_sl)*(yc_sl-af_sl)*AG26-(AE26+yc_sl-2*af_sl)*AG26^2/2+AG26^3/3)+(aeS_sl-(AE26&gt;y1_sl))*A1_sl*(AE26-y1_sl)*(yc_sl-y1_sl)+(aeS_sl-(AE26&gt;y2_sl))*A2_sl*(AE26-y2_sl)*(yc_sl-y2_sl)</f>
        <v/>
      </c>
      <c r="AJ26">
        <f>Nk_sl*1000*AI26-Mk_sl*1E6*AH26</f>
        <v/>
      </c>
      <c r="AL26">
        <f>IF(AS25&gt;0,AN25,AL25)</f>
        <v/>
      </c>
      <c r="AM26">
        <f>IF(AS25&gt;0,AM25,AN25)</f>
        <v/>
      </c>
      <c r="AN26">
        <f>(AL26+AM26)/2</f>
        <v/>
      </c>
      <c r="AO26">
        <f>MIN(MAX(AN26,0),h_sl)</f>
        <v/>
      </c>
      <c r="AP26">
        <f>MIN(MAX(AN26-af_sl,0),hfe_sl)</f>
        <v/>
      </c>
      <c r="AQ26">
        <f>bw_sl*AO26*(AN26-AO26/2)+ov_sl*AP26*(AN26-af_sl-AP26/2)+(aeL_sl-(AN26&gt;y1_sl))*A1_sl*(AN26-y1_sl)+(aeL_sl-(AN26&gt;y2_sl))*A2_sl*(AN26-y2_sl)</f>
        <v/>
      </c>
      <c r="AR26">
        <f>bw_sl*(AN26*yc_sl*AO26-(AN26+yc_sl)*AO26^2/2+AO26^3/3)+ov_sl*((AN26-af_sl)*(yc_sl-af_sl)*AP26-(AN26+yc_sl-2*af_sl)*AP26^2/2+AP26^3/3)+(aeL_sl-(AN26&gt;y1_sl))*A1_sl*(AN26-y1_sl)*(yc_sl-y1_sl)+(aeL_sl-(AN26&gt;y2_sl))*A2_sl*(AN26-y2_sl)*(yc_sl-y2_sl)</f>
        <v/>
      </c>
      <c r="AS26">
        <f>Nk_sl*1000*AR26-Mk_sl*1E6*AQ26</f>
        <v/>
      </c>
      <c r="AU26">
        <f>IF(BB25&gt;0,AW25,AU25)</f>
        <v/>
      </c>
      <c r="AV26">
        <f>IF(BB25&gt;0,AV25,AW25)</f>
        <v/>
      </c>
      <c r="AW26">
        <f>(AU26+AV26)/2</f>
        <v/>
      </c>
      <c r="AX26">
        <f>MIN(MAX(AW26,0),h_sl)</f>
        <v/>
      </c>
      <c r="AY26">
        <f>MIN(MAX(AW26-af_sl,0),hfe_sl)</f>
        <v/>
      </c>
      <c r="AZ26">
        <f>bw_sl*AX26*(AW26-AX26/2)+ov_sl*AY26*(AW26-af_sl-AY26/2)+(aeS_sl-(AW26&gt;y1_sl))*A1_sl*(AW26-y1_sl)+(aeS_sl-(AW26&gt;y2_sl))*A2_sl*(AW26-y2_sl)</f>
        <v/>
      </c>
      <c r="BA26">
        <f>bw_sl*(AW26*yc_sl*AX26-(AW26+yc_sl)*AX26^2/2+AX26^3/3)+ov_sl*((AW26-af_sl)*(yc_sl-af_sl)*AY26-(AW26+yc_sl-2*af_sl)*AY26^2/2+AY26^3/3)+(aeS_sl-(AW26&gt;y1_sl))*A1_sl*(AW26-y1_sl)*(yc_sl-y1_sl)+(aeS_sl-(AW26&gt;y2_sl))*A2_sl*(AW26-y2_sl)*(yc_sl-y2_sl)</f>
        <v/>
      </c>
      <c r="BB26">
        <f>Nqp_sl*1000*BA26-Mqp_sl*1E6*AZ26</f>
        <v/>
      </c>
      <c r="BD26">
        <f>IF(BK25&gt;0,BF25,BD25)</f>
        <v/>
      </c>
      <c r="BE26">
        <f>IF(BK25&gt;0,BE25,BF25)</f>
        <v/>
      </c>
      <c r="BF26">
        <f>(BD26+BE26)/2</f>
        <v/>
      </c>
      <c r="BG26">
        <f>MIN(MAX(BF26,0),h_sl)</f>
        <v/>
      </c>
      <c r="BH26">
        <f>MIN(MAX(BF26-af_sl,0),hfe_sl)</f>
        <v/>
      </c>
      <c r="BI26">
        <f>bw_sl*BG26*(BF26-BG26/2)+ov_sl*BH26*(BF26-af_sl-BH26/2)+(aeL_sl-(BF26&gt;y1_sl))*A1_sl*(BF26-y1_sl)+(aeL_sl-(BF26&gt;y2_sl))*A2_sl*(BF26-y2_sl)</f>
        <v/>
      </c>
      <c r="BJ26">
        <f>bw_sl*(BF26*yc_sl*BG26-(BF26+yc_sl)*BG26^2/2+BG26^3/3)+ov_sl*((BF26-af_sl)*(yc_sl-af_sl)*BH26-(BF26+yc_sl-2*af_sl)*BH26^2/2+BH26^3/3)+(aeL_sl-(BF26&gt;y1_sl))*A1_sl*(BF26-y1_sl)*(yc_sl-y1_sl)+(aeL_sl-(BF26&gt;y2_sl))*A2_sl*(BF26-y2_sl)*(yc_sl-y2_sl)</f>
        <v/>
      </c>
      <c r="BK26">
        <f>Nqp_sl*1000*BJ26-Mqp_sl*1E6*BI26</f>
        <v/>
      </c>
      <c r="BM26">
        <f>IF(BT25&gt;0,BO25,BM25)</f>
        <v/>
      </c>
      <c r="BN26">
        <f>IF(BT25&gt;0,BN25,BO25)</f>
        <v/>
      </c>
      <c r="BO26">
        <f>(BM26+BN26)/2</f>
        <v/>
      </c>
      <c r="BP26">
        <f>MIN(MAX(BO26,0),h_sl)</f>
        <v/>
      </c>
      <c r="BQ26">
        <f>MIN(MAX(BO26-af_sl,0),hfe_sl)</f>
        <v/>
      </c>
      <c r="BR26">
        <f>bw_sl*BP26*(BO26-BP26/2)+ov_sl*BQ26*(BO26-af_sl-BQ26/2)+(aeS_sl-(BO26&gt;y1_sl))*A1_sl*(BO26-y1_sl)+(aeS_sl-(BO26&gt;y2_sl))*A2_sl*(BO26-y2_sl)</f>
        <v/>
      </c>
      <c r="BS26">
        <f>bw_sl*(BO26*yc_sl*BP26-(BO26+yc_sl)*BP26^2/2+BP26^3/3)+ov_sl*((BO26-af_sl)*(yc_sl-af_sl)*BQ26-(BO26+yc_sl-2*af_sl)*BQ26^2/2+BQ26^3/3)+(aeS_sl-(BO26&gt;y1_sl))*A1_sl*(BO26-y1_sl)*(yc_sl-y1_sl)+(aeS_sl-(BO26&gt;y2_sl))*A2_sl*(BO26-y2_sl)*(yc_sl-y2_sl)</f>
        <v/>
      </c>
      <c r="BT26">
        <f>dN_sl*1000*BS26-dM_sl*1E6*BR26</f>
        <v/>
      </c>
      <c r="BV26">
        <f>IF(CC25&gt;0,BX25,BV25)</f>
        <v/>
      </c>
      <c r="BW26">
        <f>IF(CC25&gt;0,BW25,BX25)</f>
        <v/>
      </c>
      <c r="BX26">
        <f>(BV26+BW26)/2</f>
        <v/>
      </c>
      <c r="BY26">
        <f>MIN(MAX(BX26,0),h_sl)</f>
        <v/>
      </c>
      <c r="BZ26">
        <f>MIN(MAX(BX26-af_sl,0),hfe_sl)</f>
        <v/>
      </c>
      <c r="CA26">
        <f>bw_sl*BY26*(BX26-BY26/2)+ov_sl*BZ26*(BX26-af_sl-BZ26/2)+(aeM_sl-(BX26&gt;y1_sl))*A1_sl*(BX26-y1_sl)+(aeM_sl-(BX26&gt;y2_sl))*A2_sl*(BX26-y2_sl)</f>
        <v/>
      </c>
      <c r="CB26">
        <f>bw_sl*(BX26*yc_sl*BY26-(BX26+yc_sl)*BY26^2/2+BY26^3/3)+ov_sl*((BX26-af_sl)*(yc_sl-af_sl)*BZ26-(BX26+yc_sl-2*af_sl)*BZ26^2/2+BZ26^3/3)+(aeM_sl-(BX26&gt;y1_sl))*A1_sl*(BX26-y1_sl)*(yc_sl-y1_sl)+(aeM_sl-(BX26&gt;y2_sl))*A2_sl*(BX26-y2_sl)*(yc_sl-y2_sl)</f>
        <v/>
      </c>
      <c r="CC26">
        <f>Nk_sl*1000*CB26-Mk_sl*1E6*CA26</f>
        <v/>
      </c>
    </row>
    <row r="27">
      <c r="B27">
        <f>IF(I26&gt;0,D26,B26)</f>
        <v/>
      </c>
      <c r="C27">
        <f>IF(I26&gt;0,C26,D26)</f>
        <v/>
      </c>
      <c r="D27">
        <f>(B27+C27)/2</f>
        <v/>
      </c>
      <c r="E27">
        <f>MIN(MAX(D27,0),h_sl)</f>
        <v/>
      </c>
      <c r="F27">
        <f>MIN(MAX(D27-af_sl,0),hfe_sl)</f>
        <v/>
      </c>
      <c r="G27">
        <f>bw_sl*E27*(D27-E27/2)+ov_sl*F27*(D27-af_sl-F27/2)+(aeS_sl-(D27&gt;y1_sl))*A1_sl*(D27-y1_sl)+(aeS_sl-(D27&gt;y2_sl))*A2_sl*(D27-y2_sl)</f>
        <v/>
      </c>
      <c r="H27">
        <f>bw_sl*(D27*yc_sl*E27-(D27+yc_sl)*E27^2/2+E27^3/3)+ov_sl*((D27-af_sl)*(yc_sl-af_sl)*F27-(D27+yc_sl-2*af_sl)*F27^2/2+F27^3/3)+(aeS_sl-(D27&gt;y1_sl))*A1_sl*(D27-y1_sl)*(yc_sl-y1_sl)+(aeS_sl-(D27&gt;y2_sl))*A2_sl*(D27-y2_sl)*(yc_sl-y2_sl)</f>
        <v/>
      </c>
      <c r="I27">
        <f>-G27</f>
        <v/>
      </c>
      <c r="K27">
        <f>IF(R26&gt;0,M26,K26)</f>
        <v/>
      </c>
      <c r="L27">
        <f>IF(R26&gt;0,L26,M26)</f>
        <v/>
      </c>
      <c r="M27">
        <f>(K27+L27)/2</f>
        <v/>
      </c>
      <c r="N27">
        <f>MIN(MAX(M27,0),h_sl)</f>
        <v/>
      </c>
      <c r="O27">
        <f>MIN(MAX(M27-af_sl,0),hfe_sl)</f>
        <v/>
      </c>
      <c r="P27">
        <f>bw_sl*N27*(M27-N27/2)+ov_sl*O27*(M27-af_sl-O27/2)+(aeL_sl-(M27&gt;y1_sl))*A1_sl*(M27-y1_sl)+(aeL_sl-(M27&gt;y2_sl))*A2_sl*(M27-y2_sl)</f>
        <v/>
      </c>
      <c r="Q27">
        <f>bw_sl*(M27*yc_sl*N27-(M27+yc_sl)*N27^2/2+N27^3/3)+ov_sl*((M27-af_sl)*(yc_sl-af_sl)*O27-(M27+yc_sl-2*af_sl)*O27^2/2+O27^3/3)+(aeL_sl-(M27&gt;y1_sl))*A1_sl*(M27-y1_sl)*(yc_sl-y1_sl)+(aeL_sl-(M27&gt;y2_sl))*A2_sl*(M27-y2_sl)*(yc_sl-y2_sl)</f>
        <v/>
      </c>
      <c r="R27">
        <f>-P27</f>
        <v/>
      </c>
      <c r="T27">
        <f>IF(AA26&gt;0,V26,T26)</f>
        <v/>
      </c>
      <c r="U27">
        <f>IF(AA26&gt;0,U26,V26)</f>
        <v/>
      </c>
      <c r="V27">
        <f>(T27+U27)/2</f>
        <v/>
      </c>
      <c r="W27">
        <f>MIN(MAX(V27,0),h_sl)</f>
        <v/>
      </c>
      <c r="X27">
        <f>MIN(MAX(V27-af_sl,0),hfe_sl)</f>
        <v/>
      </c>
      <c r="Y27">
        <f>bw_sl*W27*(V27-W27/2)+ov_sl*X27*(V27-af_sl-X27/2)+(aeM_sl-(V27&gt;y1_sl))*A1_sl*(V27-y1_sl)+(aeM_sl-(V27&gt;y2_sl))*A2_sl*(V27-y2_sl)</f>
        <v/>
      </c>
      <c r="Z27">
        <f>bw_sl*(V27*yc_sl*W27-(V27+yc_sl)*W27^2/2+W27^3/3)+ov_sl*((V27-af_sl)*(yc_sl-af_sl)*X27-(V27+yc_sl-2*af_sl)*X27^2/2+X27^3/3)+(aeM_sl-(V27&gt;y1_sl))*A1_sl*(V27-y1_sl)*(yc_sl-y1_sl)+(aeM_sl-(V27&gt;y2_sl))*A2_sl*(V27-y2_sl)*(yc_sl-y2_sl)</f>
        <v/>
      </c>
      <c r="AA27">
        <f>-Y27</f>
        <v/>
      </c>
      <c r="AC27">
        <f>IF(AJ26&gt;0,AE26,AC26)</f>
        <v/>
      </c>
      <c r="AD27">
        <f>IF(AJ26&gt;0,AD26,AE26)</f>
        <v/>
      </c>
      <c r="AE27">
        <f>(AC27+AD27)/2</f>
        <v/>
      </c>
      <c r="AF27">
        <f>MIN(MAX(AE27,0),h_sl)</f>
        <v/>
      </c>
      <c r="AG27">
        <f>MIN(MAX(AE27-af_sl,0),hfe_sl)</f>
        <v/>
      </c>
      <c r="AH27">
        <f>bw_sl*AF27*(AE27-AF27/2)+ov_sl*AG27*(AE27-af_sl-AG27/2)+(aeS_sl-(AE27&gt;y1_sl))*A1_sl*(AE27-y1_sl)+(aeS_sl-(AE27&gt;y2_sl))*A2_sl*(AE27-y2_sl)</f>
        <v/>
      </c>
      <c r="AI27">
        <f>bw_sl*(AE27*yc_sl*AF27-(AE27+yc_sl)*AF27^2/2+AF27^3/3)+ov_sl*((AE27-af_sl)*(yc_sl-af_sl)*AG27-(AE27+yc_sl-2*af_sl)*AG27^2/2+AG27^3/3)+(aeS_sl-(AE27&gt;y1_sl))*A1_sl*(AE27-y1_sl)*(yc_sl-y1_sl)+(aeS_sl-(AE27&gt;y2_sl))*A2_sl*(AE27-y2_sl)*(yc_sl-y2_sl)</f>
        <v/>
      </c>
      <c r="AJ27">
        <f>Nk_sl*1000*AI27-Mk_sl*1E6*AH27</f>
        <v/>
      </c>
      <c r="AL27">
        <f>IF(AS26&gt;0,AN26,AL26)</f>
        <v/>
      </c>
      <c r="AM27">
        <f>IF(AS26&gt;0,AM26,AN26)</f>
        <v/>
      </c>
      <c r="AN27">
        <f>(AL27+AM27)/2</f>
        <v/>
      </c>
      <c r="AO27">
        <f>MIN(MAX(AN27,0),h_sl)</f>
        <v/>
      </c>
      <c r="AP27">
        <f>MIN(MAX(AN27-af_sl,0),hfe_sl)</f>
        <v/>
      </c>
      <c r="AQ27">
        <f>bw_sl*AO27*(AN27-AO27/2)+ov_sl*AP27*(AN27-af_sl-AP27/2)+(aeL_sl-(AN27&gt;y1_sl))*A1_sl*(AN27-y1_sl)+(aeL_sl-(AN27&gt;y2_sl))*A2_sl*(AN27-y2_sl)</f>
        <v/>
      </c>
      <c r="AR27">
        <f>bw_sl*(AN27*yc_sl*AO27-(AN27+yc_sl)*AO27^2/2+AO27^3/3)+ov_sl*((AN27-af_sl)*(yc_sl-af_sl)*AP27-(AN27+yc_sl-2*af_sl)*AP27^2/2+AP27^3/3)+(aeL_sl-(AN27&gt;y1_sl))*A1_sl*(AN27-y1_sl)*(yc_sl-y1_sl)+(aeL_sl-(AN27&gt;y2_sl))*A2_sl*(AN27-y2_sl)*(yc_sl-y2_sl)</f>
        <v/>
      </c>
      <c r="AS27">
        <f>Nk_sl*1000*AR27-Mk_sl*1E6*AQ27</f>
        <v/>
      </c>
      <c r="AU27">
        <f>IF(BB26&gt;0,AW26,AU26)</f>
        <v/>
      </c>
      <c r="AV27">
        <f>IF(BB26&gt;0,AV26,AW26)</f>
        <v/>
      </c>
      <c r="AW27">
        <f>(AU27+AV27)/2</f>
        <v/>
      </c>
      <c r="AX27">
        <f>MIN(MAX(AW27,0),h_sl)</f>
        <v/>
      </c>
      <c r="AY27">
        <f>MIN(MAX(AW27-af_sl,0),hfe_sl)</f>
        <v/>
      </c>
      <c r="AZ27">
        <f>bw_sl*AX27*(AW27-AX27/2)+ov_sl*AY27*(AW27-af_sl-AY27/2)+(aeS_sl-(AW27&gt;y1_sl))*A1_sl*(AW27-y1_sl)+(aeS_sl-(AW27&gt;y2_sl))*A2_sl*(AW27-y2_sl)</f>
        <v/>
      </c>
      <c r="BA27">
        <f>bw_sl*(AW27*yc_sl*AX27-(AW27+yc_sl)*AX27^2/2+AX27^3/3)+ov_sl*((AW27-af_sl)*(yc_sl-af_sl)*AY27-(AW27+yc_sl-2*af_sl)*AY27^2/2+AY27^3/3)+(aeS_sl-(AW27&gt;y1_sl))*A1_sl*(AW27-y1_sl)*(yc_sl-y1_sl)+(aeS_sl-(AW27&gt;y2_sl))*A2_sl*(AW27-y2_sl)*(yc_sl-y2_sl)</f>
        <v/>
      </c>
      <c r="BB27">
        <f>Nqp_sl*1000*BA27-Mqp_sl*1E6*AZ27</f>
        <v/>
      </c>
      <c r="BD27">
        <f>IF(BK26&gt;0,BF26,BD26)</f>
        <v/>
      </c>
      <c r="BE27">
        <f>IF(BK26&gt;0,BE26,BF26)</f>
        <v/>
      </c>
      <c r="BF27">
        <f>(BD27+BE27)/2</f>
        <v/>
      </c>
      <c r="BG27">
        <f>MIN(MAX(BF27,0),h_sl)</f>
        <v/>
      </c>
      <c r="BH27">
        <f>MIN(MAX(BF27-af_sl,0),hfe_sl)</f>
        <v/>
      </c>
      <c r="BI27">
        <f>bw_sl*BG27*(BF27-BG27/2)+ov_sl*BH27*(BF27-af_sl-BH27/2)+(aeL_sl-(BF27&gt;y1_sl))*A1_sl*(BF27-y1_sl)+(aeL_sl-(BF27&gt;y2_sl))*A2_sl*(BF27-y2_sl)</f>
        <v/>
      </c>
      <c r="BJ27">
        <f>bw_sl*(BF27*yc_sl*BG27-(BF27+yc_sl)*BG27^2/2+BG27^3/3)+ov_sl*((BF27-af_sl)*(yc_sl-af_sl)*BH27-(BF27+yc_sl-2*af_sl)*BH27^2/2+BH27^3/3)+(aeL_sl-(BF27&gt;y1_sl))*A1_sl*(BF27-y1_sl)*(yc_sl-y1_sl)+(aeL_sl-(BF27&gt;y2_sl))*A2_sl*(BF27-y2_sl)*(yc_sl-y2_sl)</f>
        <v/>
      </c>
      <c r="BK27">
        <f>Nqp_sl*1000*BJ27-Mqp_sl*1E6*BI27</f>
        <v/>
      </c>
      <c r="BM27">
        <f>IF(BT26&gt;0,BO26,BM26)</f>
        <v/>
      </c>
      <c r="BN27">
        <f>IF(BT26&gt;0,BN26,BO26)</f>
        <v/>
      </c>
      <c r="BO27">
        <f>(BM27+BN27)/2</f>
        <v/>
      </c>
      <c r="BP27">
        <f>MIN(MAX(BO27,0),h_sl)</f>
        <v/>
      </c>
      <c r="BQ27">
        <f>MIN(MAX(BO27-af_sl,0),hfe_sl)</f>
        <v/>
      </c>
      <c r="BR27">
        <f>bw_sl*BP27*(BO27-BP27/2)+ov_sl*BQ27*(BO27-af_sl-BQ27/2)+(aeS_sl-(BO27&gt;y1_sl))*A1_sl*(BO27-y1_sl)+(aeS_sl-(BO27&gt;y2_sl))*A2_sl*(BO27-y2_sl)</f>
        <v/>
      </c>
      <c r="BS27">
        <f>bw_sl*(BO27*yc_sl*BP27-(BO27+yc_sl)*BP27^2/2+BP27^3/3)+ov_sl*((BO27-af_sl)*(yc_sl-af_sl)*BQ27-(BO27+yc_sl-2*af_sl)*BQ27^2/2+BQ27^3/3)+(aeS_sl-(BO27&gt;y1_sl))*A1_sl*(BO27-y1_sl)*(yc_sl-y1_sl)+(aeS_sl-(BO27&gt;y2_sl))*A2_sl*(BO27-y2_sl)*(yc_sl-y2_sl)</f>
        <v/>
      </c>
      <c r="BT27">
        <f>dN_sl*1000*BS27-dM_sl*1E6*BR27</f>
        <v/>
      </c>
      <c r="BV27">
        <f>IF(CC26&gt;0,BX26,BV26)</f>
        <v/>
      </c>
      <c r="BW27">
        <f>IF(CC26&gt;0,BW26,BX26)</f>
        <v/>
      </c>
      <c r="BX27">
        <f>(BV27+BW27)/2</f>
        <v/>
      </c>
      <c r="BY27">
        <f>MIN(MAX(BX27,0),h_sl)</f>
        <v/>
      </c>
      <c r="BZ27">
        <f>MIN(MAX(BX27-af_sl,0),hfe_sl)</f>
        <v/>
      </c>
      <c r="CA27">
        <f>bw_sl*BY27*(BX27-BY27/2)+ov_sl*BZ27*(BX27-af_sl-BZ27/2)+(aeM_sl-(BX27&gt;y1_sl))*A1_sl*(BX27-y1_sl)+(aeM_sl-(BX27&gt;y2_sl))*A2_sl*(BX27-y2_sl)</f>
        <v/>
      </c>
      <c r="CB27">
        <f>bw_sl*(BX27*yc_sl*BY27-(BX27+yc_sl)*BY27^2/2+BY27^3/3)+ov_sl*((BX27-af_sl)*(yc_sl-af_sl)*BZ27-(BX27+yc_sl-2*af_sl)*BZ27^2/2+BZ27^3/3)+(aeM_sl-(BX27&gt;y1_sl))*A1_sl*(BX27-y1_sl)*(yc_sl-y1_sl)+(aeM_sl-(BX27&gt;y2_sl))*A2_sl*(BX27-y2_sl)*(yc_sl-y2_sl)</f>
        <v/>
      </c>
      <c r="CC27">
        <f>Nk_sl*1000*CB27-Mk_sl*1E6*CA27</f>
        <v/>
      </c>
    </row>
    <row r="28">
      <c r="B28">
        <f>IF(I27&gt;0,D27,B27)</f>
        <v/>
      </c>
      <c r="C28">
        <f>IF(I27&gt;0,C27,D27)</f>
        <v/>
      </c>
      <c r="D28">
        <f>(B28+C28)/2</f>
        <v/>
      </c>
      <c r="E28">
        <f>MIN(MAX(D28,0),h_sl)</f>
        <v/>
      </c>
      <c r="F28">
        <f>MIN(MAX(D28-af_sl,0),hfe_sl)</f>
        <v/>
      </c>
      <c r="G28">
        <f>bw_sl*E28*(D28-E28/2)+ov_sl*F28*(D28-af_sl-F28/2)+(aeS_sl-(D28&gt;y1_sl))*A1_sl*(D28-y1_sl)+(aeS_sl-(D28&gt;y2_sl))*A2_sl*(D28-y2_sl)</f>
        <v/>
      </c>
      <c r="H28">
        <f>bw_sl*(D28*yc_sl*E28-(D28+yc_sl)*E28^2/2+E28^3/3)+ov_sl*((D28-af_sl)*(yc_sl-af_sl)*F28-(D28+yc_sl-2*af_sl)*F28^2/2+F28^3/3)+(aeS_sl-(D28&gt;y1_sl))*A1_sl*(D28-y1_sl)*(yc_sl-y1_sl)+(aeS_sl-(D28&gt;y2_sl))*A2_sl*(D28-y2_sl)*(yc_sl-y2_sl)</f>
        <v/>
      </c>
      <c r="I28">
        <f>-G28</f>
        <v/>
      </c>
      <c r="K28">
        <f>IF(R27&gt;0,M27,K27)</f>
        <v/>
      </c>
      <c r="L28">
        <f>IF(R27&gt;0,L27,M27)</f>
        <v/>
      </c>
      <c r="M28">
        <f>(K28+L28)/2</f>
        <v/>
      </c>
      <c r="N28">
        <f>MIN(MAX(M28,0),h_sl)</f>
        <v/>
      </c>
      <c r="O28">
        <f>MIN(MAX(M28-af_sl,0),hfe_sl)</f>
        <v/>
      </c>
      <c r="P28">
        <f>bw_sl*N28*(M28-N28/2)+ov_sl*O28*(M28-af_sl-O28/2)+(aeL_sl-(M28&gt;y1_sl))*A1_sl*(M28-y1_sl)+(aeL_sl-(M28&gt;y2_sl))*A2_sl*(M28-y2_sl)</f>
        <v/>
      </c>
      <c r="Q28">
        <f>bw_sl*(M28*yc_sl*N28-(M28+yc_sl)*N28^2/2+N28^3/3)+ov_sl*((M28-af_sl)*(yc_sl-af_sl)*O28-(M28+yc_sl-2*af_sl)*O28^2/2+O28^3/3)+(aeL_sl-(M28&gt;y1_sl))*A1_sl*(M28-y1_sl)*(yc_sl-y1_sl)+(aeL_sl-(M28&gt;y2_sl))*A2_sl*(M28-y2_sl)*(yc_sl-y2_sl)</f>
        <v/>
      </c>
      <c r="R28">
        <f>-P28</f>
        <v/>
      </c>
      <c r="T28">
        <f>IF(AA27&gt;0,V27,T27)</f>
        <v/>
      </c>
      <c r="U28">
        <f>IF(AA27&gt;0,U27,V27)</f>
        <v/>
      </c>
      <c r="V28">
        <f>(T28+U28)/2</f>
        <v/>
      </c>
      <c r="W28">
        <f>MIN(MAX(V28,0),h_sl)</f>
        <v/>
      </c>
      <c r="X28">
        <f>MIN(MAX(V28-af_sl,0),hfe_sl)</f>
        <v/>
      </c>
      <c r="Y28">
        <f>bw_sl*W28*(V28-W28/2)+ov_sl*X28*(V28-af_sl-X28/2)+(aeM_sl-(V28&gt;y1_sl))*A1_sl*(V28-y1_sl)+(aeM_sl-(V28&gt;y2_sl))*A2_sl*(V28-y2_sl)</f>
        <v/>
      </c>
      <c r="Z28">
        <f>bw_sl*(V28*yc_sl*W28-(V28+yc_sl)*W28^2/2+W28^3/3)+ov_sl*((V28-af_sl)*(yc_sl-af_sl)*X28-(V28+yc_sl-2*af_sl)*X28^2/2+X28^3/3)+(aeM_sl-(V28&gt;y1_sl))*A1_sl*(V28-y1_sl)*(yc_sl-y1_sl)+(aeM_sl-(V28&gt;y2_sl))*A2_sl*(V28-y2_sl)*(yc_sl-y2_sl)</f>
        <v/>
      </c>
      <c r="AA28">
        <f>-Y28</f>
        <v/>
      </c>
      <c r="AC28">
        <f>IF(AJ27&gt;0,AE27,AC27)</f>
        <v/>
      </c>
      <c r="AD28">
        <f>IF(AJ27&gt;0,AD27,AE27)</f>
        <v/>
      </c>
      <c r="AE28">
        <f>(AC28+AD28)/2</f>
        <v/>
      </c>
      <c r="AF28">
        <f>MIN(MAX(AE28,0),h_sl)</f>
        <v/>
      </c>
      <c r="AG28">
        <f>MIN(MAX(AE28-af_sl,0),hfe_sl)</f>
        <v/>
      </c>
      <c r="AH28">
        <f>bw_sl*AF28*(AE28-AF28/2)+ov_sl*AG28*(AE28-af_sl-AG28/2)+(aeS_sl-(AE28&gt;y1_sl))*A1_sl*(AE28-y1_sl)+(aeS_sl-(AE28&gt;y2_sl))*A2_sl*(AE28-y2_sl)</f>
        <v/>
      </c>
      <c r="AI28">
        <f>bw_sl*(AE28*yc_sl*AF28-(AE28+yc_sl)*AF28^2/2+AF28^3/3)+ov_sl*((AE28-af_sl)*(yc_sl-af_sl)*AG28-(AE28+yc_sl-2*af_sl)*AG28^2/2+AG28^3/3)+(aeS_sl-(AE28&gt;y1_sl))*A1_sl*(AE28-y1_sl)*(yc_sl-y1_sl)+(aeS_sl-(AE28&gt;y2_sl))*A2_sl*(AE28-y2_sl)*(yc_sl-y2_sl)</f>
        <v/>
      </c>
      <c r="AJ28">
        <f>Nk_sl*1000*AI28-Mk_sl*1E6*AH28</f>
        <v/>
      </c>
      <c r="AL28">
        <f>IF(AS27&gt;0,AN27,AL27)</f>
        <v/>
      </c>
      <c r="AM28">
        <f>IF(AS27&gt;0,AM27,AN27)</f>
        <v/>
      </c>
      <c r="AN28">
        <f>(AL28+AM28)/2</f>
        <v/>
      </c>
      <c r="AO28">
        <f>MIN(MAX(AN28,0),h_sl)</f>
        <v/>
      </c>
      <c r="AP28">
        <f>MIN(MAX(AN28-af_sl,0),hfe_sl)</f>
        <v/>
      </c>
      <c r="AQ28">
        <f>bw_sl*AO28*(AN28-AO28/2)+ov_sl*AP28*(AN28-af_sl-AP28/2)+(aeL_sl-(AN28&gt;y1_sl))*A1_sl*(AN28-y1_sl)+(aeL_sl-(AN28&gt;y2_sl))*A2_sl*(AN28-y2_sl)</f>
        <v/>
      </c>
      <c r="AR28">
        <f>bw_sl*(AN28*yc_sl*AO28-(AN28+yc_sl)*AO28^2/2+AO28^3/3)+ov_sl*((AN28-af_sl)*(yc_sl-af_sl)*AP28-(AN28+yc_sl-2*af_sl)*AP28^2/2+AP28^3/3)+(aeL_sl-(AN28&gt;y1_sl))*A1_sl*(AN28-y1_sl)*(yc_sl-y1_sl)+(aeL_sl-(AN28&gt;y2_sl))*A2_sl*(AN28-y2_sl)*(yc_sl-y2_sl)</f>
        <v/>
      </c>
      <c r="AS28">
        <f>Nk_sl*1000*AR28-Mk_sl*1E6*AQ28</f>
        <v/>
      </c>
      <c r="AU28">
        <f>IF(BB27&gt;0,AW27,AU27)</f>
        <v/>
      </c>
      <c r="AV28">
        <f>IF(BB27&gt;0,AV27,AW27)</f>
        <v/>
      </c>
      <c r="AW28">
        <f>(AU28+AV28)/2</f>
        <v/>
      </c>
      <c r="AX28">
        <f>MIN(MAX(AW28,0),h_sl)</f>
        <v/>
      </c>
      <c r="AY28">
        <f>MIN(MAX(AW28-af_sl,0),hfe_sl)</f>
        <v/>
      </c>
      <c r="AZ28">
        <f>bw_sl*AX28*(AW28-AX28/2)+ov_sl*AY28*(AW28-af_sl-AY28/2)+(aeS_sl-(AW28&gt;y1_sl))*A1_sl*(AW28-y1_sl)+(aeS_sl-(AW28&gt;y2_sl))*A2_sl*(AW28-y2_sl)</f>
        <v/>
      </c>
      <c r="BA28">
        <f>bw_sl*(AW28*yc_sl*AX28-(AW28+yc_sl)*AX28^2/2+AX28^3/3)+ov_sl*((AW28-af_sl)*(yc_sl-af_sl)*AY28-(AW28+yc_sl-2*af_sl)*AY28^2/2+AY28^3/3)+(aeS_sl-(AW28&gt;y1_sl))*A1_sl*(AW28-y1_sl)*(yc_sl-y1_sl)+(aeS_sl-(AW28&gt;y2_sl))*A2_sl*(AW28-y2_sl)*(yc_sl-y2_sl)</f>
        <v/>
      </c>
      <c r="BB28">
        <f>Nqp_sl*1000*BA28-Mqp_sl*1E6*AZ28</f>
        <v/>
      </c>
      <c r="BD28">
        <f>IF(BK27&gt;0,BF27,BD27)</f>
        <v/>
      </c>
      <c r="BE28">
        <f>IF(BK27&gt;0,BE27,BF27)</f>
        <v/>
      </c>
      <c r="BF28">
        <f>(BD28+BE28)/2</f>
        <v/>
      </c>
      <c r="BG28">
        <f>MIN(MAX(BF28,0),h_sl)</f>
        <v/>
      </c>
      <c r="BH28">
        <f>MIN(MAX(BF28-af_sl,0),hfe_sl)</f>
        <v/>
      </c>
      <c r="BI28">
        <f>bw_sl*BG28*(BF28-BG28/2)+ov_sl*BH28*(BF28-af_sl-BH28/2)+(aeL_sl-(BF28&gt;y1_sl))*A1_sl*(BF28-y1_sl)+(aeL_sl-(BF28&gt;y2_sl))*A2_sl*(BF28-y2_sl)</f>
        <v/>
      </c>
      <c r="BJ28">
        <f>bw_sl*(BF28*yc_sl*BG28-(BF28+yc_sl)*BG28^2/2+BG28^3/3)+ov_sl*((BF28-af_sl)*(yc_sl-af_sl)*BH28-(BF28+yc_sl-2*af_sl)*BH28^2/2+BH28^3/3)+(aeL_sl-(BF28&gt;y1_sl))*A1_sl*(BF28-y1_sl)*(yc_sl-y1_sl)+(aeL_sl-(BF28&gt;y2_sl))*A2_sl*(BF28-y2_sl)*(yc_sl-y2_sl)</f>
        <v/>
      </c>
      <c r="BK28">
        <f>Nqp_sl*1000*BJ28-Mqp_sl*1E6*BI28</f>
        <v/>
      </c>
      <c r="BM28">
        <f>IF(BT27&gt;0,BO27,BM27)</f>
        <v/>
      </c>
      <c r="BN28">
        <f>IF(BT27&gt;0,BN27,BO27)</f>
        <v/>
      </c>
      <c r="BO28">
        <f>(BM28+BN28)/2</f>
        <v/>
      </c>
      <c r="BP28">
        <f>MIN(MAX(BO28,0),h_sl)</f>
        <v/>
      </c>
      <c r="BQ28">
        <f>MIN(MAX(BO28-af_sl,0),hfe_sl)</f>
        <v/>
      </c>
      <c r="BR28">
        <f>bw_sl*BP28*(BO28-BP28/2)+ov_sl*BQ28*(BO28-af_sl-BQ28/2)+(aeS_sl-(BO28&gt;y1_sl))*A1_sl*(BO28-y1_sl)+(aeS_sl-(BO28&gt;y2_sl))*A2_sl*(BO28-y2_sl)</f>
        <v/>
      </c>
      <c r="BS28">
        <f>bw_sl*(BO28*yc_sl*BP28-(BO28+yc_sl)*BP28^2/2+BP28^3/3)+ov_sl*((BO28-af_sl)*(yc_sl-af_sl)*BQ28-(BO28+yc_sl-2*af_sl)*BQ28^2/2+BQ28^3/3)+(aeS_sl-(BO28&gt;y1_sl))*A1_sl*(BO28-y1_sl)*(yc_sl-y1_sl)+(aeS_sl-(BO28&gt;y2_sl))*A2_sl*(BO28-y2_sl)*(yc_sl-y2_sl)</f>
        <v/>
      </c>
      <c r="BT28">
        <f>dN_sl*1000*BS28-dM_sl*1E6*BR28</f>
        <v/>
      </c>
      <c r="BV28">
        <f>IF(CC27&gt;0,BX27,BV27)</f>
        <v/>
      </c>
      <c r="BW28">
        <f>IF(CC27&gt;0,BW27,BX27)</f>
        <v/>
      </c>
      <c r="BX28">
        <f>(BV28+BW28)/2</f>
        <v/>
      </c>
      <c r="BY28">
        <f>MIN(MAX(BX28,0),h_sl)</f>
        <v/>
      </c>
      <c r="BZ28">
        <f>MIN(MAX(BX28-af_sl,0),hfe_sl)</f>
        <v/>
      </c>
      <c r="CA28">
        <f>bw_sl*BY28*(BX28-BY28/2)+ov_sl*BZ28*(BX28-af_sl-BZ28/2)+(aeM_sl-(BX28&gt;y1_sl))*A1_sl*(BX28-y1_sl)+(aeM_sl-(BX28&gt;y2_sl))*A2_sl*(BX28-y2_sl)</f>
        <v/>
      </c>
      <c r="CB28">
        <f>bw_sl*(BX28*yc_sl*BY28-(BX28+yc_sl)*BY28^2/2+BY28^3/3)+ov_sl*((BX28-af_sl)*(yc_sl-af_sl)*BZ28-(BX28+yc_sl-2*af_sl)*BZ28^2/2+BZ28^3/3)+(aeM_sl-(BX28&gt;y1_sl))*A1_sl*(BX28-y1_sl)*(yc_sl-y1_sl)+(aeM_sl-(BX28&gt;y2_sl))*A2_sl*(BX28-y2_sl)*(yc_sl-y2_sl)</f>
        <v/>
      </c>
      <c r="CC28">
        <f>Nk_sl*1000*CB28-Mk_sl*1E6*CA28</f>
        <v/>
      </c>
    </row>
    <row r="29">
      <c r="B29">
        <f>IF(I28&gt;0,D28,B28)</f>
        <v/>
      </c>
      <c r="C29">
        <f>IF(I28&gt;0,C28,D28)</f>
        <v/>
      </c>
      <c r="D29">
        <f>(B29+C29)/2</f>
        <v/>
      </c>
      <c r="E29">
        <f>MIN(MAX(D29,0),h_sl)</f>
        <v/>
      </c>
      <c r="F29">
        <f>MIN(MAX(D29-af_sl,0),hfe_sl)</f>
        <v/>
      </c>
      <c r="G29">
        <f>bw_sl*E29*(D29-E29/2)+ov_sl*F29*(D29-af_sl-F29/2)+(aeS_sl-(D29&gt;y1_sl))*A1_sl*(D29-y1_sl)+(aeS_sl-(D29&gt;y2_sl))*A2_sl*(D29-y2_sl)</f>
        <v/>
      </c>
      <c r="H29">
        <f>bw_sl*(D29*yc_sl*E29-(D29+yc_sl)*E29^2/2+E29^3/3)+ov_sl*((D29-af_sl)*(yc_sl-af_sl)*F29-(D29+yc_sl-2*af_sl)*F29^2/2+F29^3/3)+(aeS_sl-(D29&gt;y1_sl))*A1_sl*(D29-y1_sl)*(yc_sl-y1_sl)+(aeS_sl-(D29&gt;y2_sl))*A2_sl*(D29-y2_sl)*(yc_sl-y2_sl)</f>
        <v/>
      </c>
      <c r="I29">
        <f>-G29</f>
        <v/>
      </c>
      <c r="K29">
        <f>IF(R28&gt;0,M28,K28)</f>
        <v/>
      </c>
      <c r="L29">
        <f>IF(R28&gt;0,L28,M28)</f>
        <v/>
      </c>
      <c r="M29">
        <f>(K29+L29)/2</f>
        <v/>
      </c>
      <c r="N29">
        <f>MIN(MAX(M29,0),h_sl)</f>
        <v/>
      </c>
      <c r="O29">
        <f>MIN(MAX(M29-af_sl,0),hfe_sl)</f>
        <v/>
      </c>
      <c r="P29">
        <f>bw_sl*N29*(M29-N29/2)+ov_sl*O29*(M29-af_sl-O29/2)+(aeL_sl-(M29&gt;y1_sl))*A1_sl*(M29-y1_sl)+(aeL_sl-(M29&gt;y2_sl))*A2_sl*(M29-y2_sl)</f>
        <v/>
      </c>
      <c r="Q29">
        <f>bw_sl*(M29*yc_sl*N29-(M29+yc_sl)*N29^2/2+N29^3/3)+ov_sl*((M29-af_sl)*(yc_sl-af_sl)*O29-(M29+yc_sl-2*af_sl)*O29^2/2+O29^3/3)+(aeL_sl-(M29&gt;y1_sl))*A1_sl*(M29-y1_sl)*(yc_sl-y1_sl)+(aeL_sl-(M29&gt;y2_sl))*A2_sl*(M29-y2_sl)*(yc_sl-y2_sl)</f>
        <v/>
      </c>
      <c r="R29">
        <f>-P29</f>
        <v/>
      </c>
      <c r="T29">
        <f>IF(AA28&gt;0,V28,T28)</f>
        <v/>
      </c>
      <c r="U29">
        <f>IF(AA28&gt;0,U28,V28)</f>
        <v/>
      </c>
      <c r="V29">
        <f>(T29+U29)/2</f>
        <v/>
      </c>
      <c r="W29">
        <f>MIN(MAX(V29,0),h_sl)</f>
        <v/>
      </c>
      <c r="X29">
        <f>MIN(MAX(V29-af_sl,0),hfe_sl)</f>
        <v/>
      </c>
      <c r="Y29">
        <f>bw_sl*W29*(V29-W29/2)+ov_sl*X29*(V29-af_sl-X29/2)+(aeM_sl-(V29&gt;y1_sl))*A1_sl*(V29-y1_sl)+(aeM_sl-(V29&gt;y2_sl))*A2_sl*(V29-y2_sl)</f>
        <v/>
      </c>
      <c r="Z29">
        <f>bw_sl*(V29*yc_sl*W29-(V29+yc_sl)*W29^2/2+W29^3/3)+ov_sl*((V29-af_sl)*(yc_sl-af_sl)*X29-(V29+yc_sl-2*af_sl)*X29^2/2+X29^3/3)+(aeM_sl-(V29&gt;y1_sl))*A1_sl*(V29-y1_sl)*(yc_sl-y1_sl)+(aeM_sl-(V29&gt;y2_sl))*A2_sl*(V29-y2_sl)*(yc_sl-y2_sl)</f>
        <v/>
      </c>
      <c r="AA29">
        <f>-Y29</f>
        <v/>
      </c>
      <c r="AC29">
        <f>IF(AJ28&gt;0,AE28,AC28)</f>
        <v/>
      </c>
      <c r="AD29">
        <f>IF(AJ28&gt;0,AD28,AE28)</f>
        <v/>
      </c>
      <c r="AE29">
        <f>(AC29+AD29)/2</f>
        <v/>
      </c>
      <c r="AF29">
        <f>MIN(MAX(AE29,0),h_sl)</f>
        <v/>
      </c>
      <c r="AG29">
        <f>MIN(MAX(AE29-af_sl,0),hfe_sl)</f>
        <v/>
      </c>
      <c r="AH29">
        <f>bw_sl*AF29*(AE29-AF29/2)+ov_sl*AG29*(AE29-af_sl-AG29/2)+(aeS_sl-(AE29&gt;y1_sl))*A1_sl*(AE29-y1_sl)+(aeS_sl-(AE29&gt;y2_sl))*A2_sl*(AE29-y2_sl)</f>
        <v/>
      </c>
      <c r="AI29">
        <f>bw_sl*(AE29*yc_sl*AF29-(AE29+yc_sl)*AF29^2/2+AF29^3/3)+ov_sl*((AE29-af_sl)*(yc_sl-af_sl)*AG29-(AE29+yc_sl-2*af_sl)*AG29^2/2+AG29^3/3)+(aeS_sl-(AE29&gt;y1_sl))*A1_sl*(AE29-y1_sl)*(yc_sl-y1_sl)+(aeS_sl-(AE29&gt;y2_sl))*A2_sl*(AE29-y2_sl)*(yc_sl-y2_sl)</f>
        <v/>
      </c>
      <c r="AJ29">
        <f>Nk_sl*1000*AI29-Mk_sl*1E6*AH29</f>
        <v/>
      </c>
      <c r="AL29">
        <f>IF(AS28&gt;0,AN28,AL28)</f>
        <v/>
      </c>
      <c r="AM29">
        <f>IF(AS28&gt;0,AM28,AN28)</f>
        <v/>
      </c>
      <c r="AN29">
        <f>(AL29+AM29)/2</f>
        <v/>
      </c>
      <c r="AO29">
        <f>MIN(MAX(AN29,0),h_sl)</f>
        <v/>
      </c>
      <c r="AP29">
        <f>MIN(MAX(AN29-af_sl,0),hfe_sl)</f>
        <v/>
      </c>
      <c r="AQ29">
        <f>bw_sl*AO29*(AN29-AO29/2)+ov_sl*AP29*(AN29-af_sl-AP29/2)+(aeL_sl-(AN29&gt;y1_sl))*A1_sl*(AN29-y1_sl)+(aeL_sl-(AN29&gt;y2_sl))*A2_sl*(AN29-y2_sl)</f>
        <v/>
      </c>
      <c r="AR29">
        <f>bw_sl*(AN29*yc_sl*AO29-(AN29+yc_sl)*AO29^2/2+AO29^3/3)+ov_sl*((AN29-af_sl)*(yc_sl-af_sl)*AP29-(AN29+yc_sl-2*af_sl)*AP29^2/2+AP29^3/3)+(aeL_sl-(AN29&gt;y1_sl))*A1_sl*(AN29-y1_sl)*(yc_sl-y1_sl)+(aeL_sl-(AN29&gt;y2_sl))*A2_sl*(AN29-y2_sl)*(yc_sl-y2_sl)</f>
        <v/>
      </c>
      <c r="AS29">
        <f>Nk_sl*1000*AR29-Mk_sl*1E6*AQ29</f>
        <v/>
      </c>
      <c r="AU29">
        <f>IF(BB28&gt;0,AW28,AU28)</f>
        <v/>
      </c>
      <c r="AV29">
        <f>IF(BB28&gt;0,AV28,AW28)</f>
        <v/>
      </c>
      <c r="AW29">
        <f>(AU29+AV29)/2</f>
        <v/>
      </c>
      <c r="AX29">
        <f>MIN(MAX(AW29,0),h_sl)</f>
        <v/>
      </c>
      <c r="AY29">
        <f>MIN(MAX(AW29-af_sl,0),hfe_sl)</f>
        <v/>
      </c>
      <c r="AZ29">
        <f>bw_sl*AX29*(AW29-AX29/2)+ov_sl*AY29*(AW29-af_sl-AY29/2)+(aeS_sl-(AW29&gt;y1_sl))*A1_sl*(AW29-y1_sl)+(aeS_sl-(AW29&gt;y2_sl))*A2_sl*(AW29-y2_sl)</f>
        <v/>
      </c>
      <c r="BA29">
        <f>bw_sl*(AW29*yc_sl*AX29-(AW29+yc_sl)*AX29^2/2+AX29^3/3)+ov_sl*((AW29-af_sl)*(yc_sl-af_sl)*AY29-(AW29+yc_sl-2*af_sl)*AY29^2/2+AY29^3/3)+(aeS_sl-(AW29&gt;y1_sl))*A1_sl*(AW29-y1_sl)*(yc_sl-y1_sl)+(aeS_sl-(AW29&gt;y2_sl))*A2_sl*(AW29-y2_sl)*(yc_sl-y2_sl)</f>
        <v/>
      </c>
      <c r="BB29">
        <f>Nqp_sl*1000*BA29-Mqp_sl*1E6*AZ29</f>
        <v/>
      </c>
      <c r="BD29">
        <f>IF(BK28&gt;0,BF28,BD28)</f>
        <v/>
      </c>
      <c r="BE29">
        <f>IF(BK28&gt;0,BE28,BF28)</f>
        <v/>
      </c>
      <c r="BF29">
        <f>(BD29+BE29)/2</f>
        <v/>
      </c>
      <c r="BG29">
        <f>MIN(MAX(BF29,0),h_sl)</f>
        <v/>
      </c>
      <c r="BH29">
        <f>MIN(MAX(BF29-af_sl,0),hfe_sl)</f>
        <v/>
      </c>
      <c r="BI29">
        <f>bw_sl*BG29*(BF29-BG29/2)+ov_sl*BH29*(BF29-af_sl-BH29/2)+(aeL_sl-(BF29&gt;y1_sl))*A1_sl*(BF29-y1_sl)+(aeL_sl-(BF29&gt;y2_sl))*A2_sl*(BF29-y2_sl)</f>
        <v/>
      </c>
      <c r="BJ29">
        <f>bw_sl*(BF29*yc_sl*BG29-(BF29+yc_sl)*BG29^2/2+BG29^3/3)+ov_sl*((BF29-af_sl)*(yc_sl-af_sl)*BH29-(BF29+yc_sl-2*af_sl)*BH29^2/2+BH29^3/3)+(aeL_sl-(BF29&gt;y1_sl))*A1_sl*(BF29-y1_sl)*(yc_sl-y1_sl)+(aeL_sl-(BF29&gt;y2_sl))*A2_sl*(BF29-y2_sl)*(yc_sl-y2_sl)</f>
        <v/>
      </c>
      <c r="BK29">
        <f>Nqp_sl*1000*BJ29-Mqp_sl*1E6*BI29</f>
        <v/>
      </c>
      <c r="BM29">
        <f>IF(BT28&gt;0,BO28,BM28)</f>
        <v/>
      </c>
      <c r="BN29">
        <f>IF(BT28&gt;0,BN28,BO28)</f>
        <v/>
      </c>
      <c r="BO29">
        <f>(BM29+BN29)/2</f>
        <v/>
      </c>
      <c r="BP29">
        <f>MIN(MAX(BO29,0),h_sl)</f>
        <v/>
      </c>
      <c r="BQ29">
        <f>MIN(MAX(BO29-af_sl,0),hfe_sl)</f>
        <v/>
      </c>
      <c r="BR29">
        <f>bw_sl*BP29*(BO29-BP29/2)+ov_sl*BQ29*(BO29-af_sl-BQ29/2)+(aeS_sl-(BO29&gt;y1_sl))*A1_sl*(BO29-y1_sl)+(aeS_sl-(BO29&gt;y2_sl))*A2_sl*(BO29-y2_sl)</f>
        <v/>
      </c>
      <c r="BS29">
        <f>bw_sl*(BO29*yc_sl*BP29-(BO29+yc_sl)*BP29^2/2+BP29^3/3)+ov_sl*((BO29-af_sl)*(yc_sl-af_sl)*BQ29-(BO29+yc_sl-2*af_sl)*BQ29^2/2+BQ29^3/3)+(aeS_sl-(BO29&gt;y1_sl))*A1_sl*(BO29-y1_sl)*(yc_sl-y1_sl)+(aeS_sl-(BO29&gt;y2_sl))*A2_sl*(BO29-y2_sl)*(yc_sl-y2_sl)</f>
        <v/>
      </c>
      <c r="BT29">
        <f>dN_sl*1000*BS29-dM_sl*1E6*BR29</f>
        <v/>
      </c>
      <c r="BV29">
        <f>IF(CC28&gt;0,BX28,BV28)</f>
        <v/>
      </c>
      <c r="BW29">
        <f>IF(CC28&gt;0,BW28,BX28)</f>
        <v/>
      </c>
      <c r="BX29">
        <f>(BV29+BW29)/2</f>
        <v/>
      </c>
      <c r="BY29">
        <f>MIN(MAX(BX29,0),h_sl)</f>
        <v/>
      </c>
      <c r="BZ29">
        <f>MIN(MAX(BX29-af_sl,0),hfe_sl)</f>
        <v/>
      </c>
      <c r="CA29">
        <f>bw_sl*BY29*(BX29-BY29/2)+ov_sl*BZ29*(BX29-af_sl-BZ29/2)+(aeM_sl-(BX29&gt;y1_sl))*A1_sl*(BX29-y1_sl)+(aeM_sl-(BX29&gt;y2_sl))*A2_sl*(BX29-y2_sl)</f>
        <v/>
      </c>
      <c r="CB29">
        <f>bw_sl*(BX29*yc_sl*BY29-(BX29+yc_sl)*BY29^2/2+BY29^3/3)+ov_sl*((BX29-af_sl)*(yc_sl-af_sl)*BZ29-(BX29+yc_sl-2*af_sl)*BZ29^2/2+BZ29^3/3)+(aeM_sl-(BX29&gt;y1_sl))*A1_sl*(BX29-y1_sl)*(yc_sl-y1_sl)+(aeM_sl-(BX29&gt;y2_sl))*A2_sl*(BX29-y2_sl)*(yc_sl-y2_sl)</f>
        <v/>
      </c>
      <c r="CC29">
        <f>Nk_sl*1000*CB29-Mk_sl*1E6*CA29</f>
        <v/>
      </c>
    </row>
    <row r="30">
      <c r="B30">
        <f>IF(I29&gt;0,D29,B29)</f>
        <v/>
      </c>
      <c r="C30">
        <f>IF(I29&gt;0,C29,D29)</f>
        <v/>
      </c>
      <c r="D30">
        <f>(B30+C30)/2</f>
        <v/>
      </c>
      <c r="E30">
        <f>MIN(MAX(D30,0),h_sl)</f>
        <v/>
      </c>
      <c r="F30">
        <f>MIN(MAX(D30-af_sl,0),hfe_sl)</f>
        <v/>
      </c>
      <c r="G30">
        <f>bw_sl*E30*(D30-E30/2)+ov_sl*F30*(D30-af_sl-F30/2)+(aeS_sl-(D30&gt;y1_sl))*A1_sl*(D30-y1_sl)+(aeS_sl-(D30&gt;y2_sl))*A2_sl*(D30-y2_sl)</f>
        <v/>
      </c>
      <c r="H30">
        <f>bw_sl*(D30*yc_sl*E30-(D30+yc_sl)*E30^2/2+E30^3/3)+ov_sl*((D30-af_sl)*(yc_sl-af_sl)*F30-(D30+yc_sl-2*af_sl)*F30^2/2+F30^3/3)+(aeS_sl-(D30&gt;y1_sl))*A1_sl*(D30-y1_sl)*(yc_sl-y1_sl)+(aeS_sl-(D30&gt;y2_sl))*A2_sl*(D30-y2_sl)*(yc_sl-y2_sl)</f>
        <v/>
      </c>
      <c r="I30">
        <f>-G30</f>
        <v/>
      </c>
      <c r="K30">
        <f>IF(R29&gt;0,M29,K29)</f>
        <v/>
      </c>
      <c r="L30">
        <f>IF(R29&gt;0,L29,M29)</f>
        <v/>
      </c>
      <c r="M30">
        <f>(K30+L30)/2</f>
        <v/>
      </c>
      <c r="N30">
        <f>MIN(MAX(M30,0),h_sl)</f>
        <v/>
      </c>
      <c r="O30">
        <f>MIN(MAX(M30-af_sl,0),hfe_sl)</f>
        <v/>
      </c>
      <c r="P30">
        <f>bw_sl*N30*(M30-N30/2)+ov_sl*O30*(M30-af_sl-O30/2)+(aeL_sl-(M30&gt;y1_sl))*A1_sl*(M30-y1_sl)+(aeL_sl-(M30&gt;y2_sl))*A2_sl*(M30-y2_sl)</f>
        <v/>
      </c>
      <c r="Q30">
        <f>bw_sl*(M30*yc_sl*N30-(M30+yc_sl)*N30^2/2+N30^3/3)+ov_sl*((M30-af_sl)*(yc_sl-af_sl)*O30-(M30+yc_sl-2*af_sl)*O30^2/2+O30^3/3)+(aeL_sl-(M30&gt;y1_sl))*A1_sl*(M30-y1_sl)*(yc_sl-y1_sl)+(aeL_sl-(M30&gt;y2_sl))*A2_sl*(M30-y2_sl)*(yc_sl-y2_sl)</f>
        <v/>
      </c>
      <c r="R30">
        <f>-P30</f>
        <v/>
      </c>
      <c r="T30">
        <f>IF(AA29&gt;0,V29,T29)</f>
        <v/>
      </c>
      <c r="U30">
        <f>IF(AA29&gt;0,U29,V29)</f>
        <v/>
      </c>
      <c r="V30">
        <f>(T30+U30)/2</f>
        <v/>
      </c>
      <c r="W30">
        <f>MIN(MAX(V30,0),h_sl)</f>
        <v/>
      </c>
      <c r="X30">
        <f>MIN(MAX(V30-af_sl,0),hfe_sl)</f>
        <v/>
      </c>
      <c r="Y30">
        <f>bw_sl*W30*(V30-W30/2)+ov_sl*X30*(V30-af_sl-X30/2)+(aeM_sl-(V30&gt;y1_sl))*A1_sl*(V30-y1_sl)+(aeM_sl-(V30&gt;y2_sl))*A2_sl*(V30-y2_sl)</f>
        <v/>
      </c>
      <c r="Z30">
        <f>bw_sl*(V30*yc_sl*W30-(V30+yc_sl)*W30^2/2+W30^3/3)+ov_sl*((V30-af_sl)*(yc_sl-af_sl)*X30-(V30+yc_sl-2*af_sl)*X30^2/2+X30^3/3)+(aeM_sl-(V30&gt;y1_sl))*A1_sl*(V30-y1_sl)*(yc_sl-y1_sl)+(aeM_sl-(V30&gt;y2_sl))*A2_sl*(V30-y2_sl)*(yc_sl-y2_sl)</f>
        <v/>
      </c>
      <c r="AA30">
        <f>-Y30</f>
        <v/>
      </c>
      <c r="AC30">
        <f>IF(AJ29&gt;0,AE29,AC29)</f>
        <v/>
      </c>
      <c r="AD30">
        <f>IF(AJ29&gt;0,AD29,AE29)</f>
        <v/>
      </c>
      <c r="AE30">
        <f>(AC30+AD30)/2</f>
        <v/>
      </c>
      <c r="AF30">
        <f>MIN(MAX(AE30,0),h_sl)</f>
        <v/>
      </c>
      <c r="AG30">
        <f>MIN(MAX(AE30-af_sl,0),hfe_sl)</f>
        <v/>
      </c>
      <c r="AH30">
        <f>bw_sl*AF30*(AE30-AF30/2)+ov_sl*AG30*(AE30-af_sl-AG30/2)+(aeS_sl-(AE30&gt;y1_sl))*A1_sl*(AE30-y1_sl)+(aeS_sl-(AE30&gt;y2_sl))*A2_sl*(AE30-y2_sl)</f>
        <v/>
      </c>
      <c r="AI30">
        <f>bw_sl*(AE30*yc_sl*AF30-(AE30+yc_sl)*AF30^2/2+AF30^3/3)+ov_sl*((AE30-af_sl)*(yc_sl-af_sl)*AG30-(AE30+yc_sl-2*af_sl)*AG30^2/2+AG30^3/3)+(aeS_sl-(AE30&gt;y1_sl))*A1_sl*(AE30-y1_sl)*(yc_sl-y1_sl)+(aeS_sl-(AE30&gt;y2_sl))*A2_sl*(AE30-y2_sl)*(yc_sl-y2_sl)</f>
        <v/>
      </c>
      <c r="AJ30">
        <f>Nk_sl*1000*AI30-Mk_sl*1E6*AH30</f>
        <v/>
      </c>
      <c r="AL30">
        <f>IF(AS29&gt;0,AN29,AL29)</f>
        <v/>
      </c>
      <c r="AM30">
        <f>IF(AS29&gt;0,AM29,AN29)</f>
        <v/>
      </c>
      <c r="AN30">
        <f>(AL30+AM30)/2</f>
        <v/>
      </c>
      <c r="AO30">
        <f>MIN(MAX(AN30,0),h_sl)</f>
        <v/>
      </c>
      <c r="AP30">
        <f>MIN(MAX(AN30-af_sl,0),hfe_sl)</f>
        <v/>
      </c>
      <c r="AQ30">
        <f>bw_sl*AO30*(AN30-AO30/2)+ov_sl*AP30*(AN30-af_sl-AP30/2)+(aeL_sl-(AN30&gt;y1_sl))*A1_sl*(AN30-y1_sl)+(aeL_sl-(AN30&gt;y2_sl))*A2_sl*(AN30-y2_sl)</f>
        <v/>
      </c>
      <c r="AR30">
        <f>bw_sl*(AN30*yc_sl*AO30-(AN30+yc_sl)*AO30^2/2+AO30^3/3)+ov_sl*((AN30-af_sl)*(yc_sl-af_sl)*AP30-(AN30+yc_sl-2*af_sl)*AP30^2/2+AP30^3/3)+(aeL_sl-(AN30&gt;y1_sl))*A1_sl*(AN30-y1_sl)*(yc_sl-y1_sl)+(aeL_sl-(AN30&gt;y2_sl))*A2_sl*(AN30-y2_sl)*(yc_sl-y2_sl)</f>
        <v/>
      </c>
      <c r="AS30">
        <f>Nk_sl*1000*AR30-Mk_sl*1E6*AQ30</f>
        <v/>
      </c>
      <c r="AU30">
        <f>IF(BB29&gt;0,AW29,AU29)</f>
        <v/>
      </c>
      <c r="AV30">
        <f>IF(BB29&gt;0,AV29,AW29)</f>
        <v/>
      </c>
      <c r="AW30">
        <f>(AU30+AV30)/2</f>
        <v/>
      </c>
      <c r="AX30">
        <f>MIN(MAX(AW30,0),h_sl)</f>
        <v/>
      </c>
      <c r="AY30">
        <f>MIN(MAX(AW30-af_sl,0),hfe_sl)</f>
        <v/>
      </c>
      <c r="AZ30">
        <f>bw_sl*AX30*(AW30-AX30/2)+ov_sl*AY30*(AW30-af_sl-AY30/2)+(aeS_sl-(AW30&gt;y1_sl))*A1_sl*(AW30-y1_sl)+(aeS_sl-(AW30&gt;y2_sl))*A2_sl*(AW30-y2_sl)</f>
        <v/>
      </c>
      <c r="BA30">
        <f>bw_sl*(AW30*yc_sl*AX30-(AW30+yc_sl)*AX30^2/2+AX30^3/3)+ov_sl*((AW30-af_sl)*(yc_sl-af_sl)*AY30-(AW30+yc_sl-2*af_sl)*AY30^2/2+AY30^3/3)+(aeS_sl-(AW30&gt;y1_sl))*A1_sl*(AW30-y1_sl)*(yc_sl-y1_sl)+(aeS_sl-(AW30&gt;y2_sl))*A2_sl*(AW30-y2_sl)*(yc_sl-y2_sl)</f>
        <v/>
      </c>
      <c r="BB30">
        <f>Nqp_sl*1000*BA30-Mqp_sl*1E6*AZ30</f>
        <v/>
      </c>
      <c r="BD30">
        <f>IF(BK29&gt;0,BF29,BD29)</f>
        <v/>
      </c>
      <c r="BE30">
        <f>IF(BK29&gt;0,BE29,BF29)</f>
        <v/>
      </c>
      <c r="BF30">
        <f>(BD30+BE30)/2</f>
        <v/>
      </c>
      <c r="BG30">
        <f>MIN(MAX(BF30,0),h_sl)</f>
        <v/>
      </c>
      <c r="BH30">
        <f>MIN(MAX(BF30-af_sl,0),hfe_sl)</f>
        <v/>
      </c>
      <c r="BI30">
        <f>bw_sl*BG30*(BF30-BG30/2)+ov_sl*BH30*(BF30-af_sl-BH30/2)+(aeL_sl-(BF30&gt;y1_sl))*A1_sl*(BF30-y1_sl)+(aeL_sl-(BF30&gt;y2_sl))*A2_sl*(BF30-y2_sl)</f>
        <v/>
      </c>
      <c r="BJ30">
        <f>bw_sl*(BF30*yc_sl*BG30-(BF30+yc_sl)*BG30^2/2+BG30^3/3)+ov_sl*((BF30-af_sl)*(yc_sl-af_sl)*BH30-(BF30+yc_sl-2*af_sl)*BH30^2/2+BH30^3/3)+(aeL_sl-(BF30&gt;y1_sl))*A1_sl*(BF30-y1_sl)*(yc_sl-y1_sl)+(aeL_sl-(BF30&gt;y2_sl))*A2_sl*(BF30-y2_sl)*(yc_sl-y2_sl)</f>
        <v/>
      </c>
      <c r="BK30">
        <f>Nqp_sl*1000*BJ30-Mqp_sl*1E6*BI30</f>
        <v/>
      </c>
      <c r="BM30">
        <f>IF(BT29&gt;0,BO29,BM29)</f>
        <v/>
      </c>
      <c r="BN30">
        <f>IF(BT29&gt;0,BN29,BO29)</f>
        <v/>
      </c>
      <c r="BO30">
        <f>(BM30+BN30)/2</f>
        <v/>
      </c>
      <c r="BP30">
        <f>MIN(MAX(BO30,0),h_sl)</f>
        <v/>
      </c>
      <c r="BQ30">
        <f>MIN(MAX(BO30-af_sl,0),hfe_sl)</f>
        <v/>
      </c>
      <c r="BR30">
        <f>bw_sl*BP30*(BO30-BP30/2)+ov_sl*BQ30*(BO30-af_sl-BQ30/2)+(aeS_sl-(BO30&gt;y1_sl))*A1_sl*(BO30-y1_sl)+(aeS_sl-(BO30&gt;y2_sl))*A2_sl*(BO30-y2_sl)</f>
        <v/>
      </c>
      <c r="BS30">
        <f>bw_sl*(BO30*yc_sl*BP30-(BO30+yc_sl)*BP30^2/2+BP30^3/3)+ov_sl*((BO30-af_sl)*(yc_sl-af_sl)*BQ30-(BO30+yc_sl-2*af_sl)*BQ30^2/2+BQ30^3/3)+(aeS_sl-(BO30&gt;y1_sl))*A1_sl*(BO30-y1_sl)*(yc_sl-y1_sl)+(aeS_sl-(BO30&gt;y2_sl))*A2_sl*(BO30-y2_sl)*(yc_sl-y2_sl)</f>
        <v/>
      </c>
      <c r="BT30">
        <f>dN_sl*1000*BS30-dM_sl*1E6*BR30</f>
        <v/>
      </c>
      <c r="BV30">
        <f>IF(CC29&gt;0,BX29,BV29)</f>
        <v/>
      </c>
      <c r="BW30">
        <f>IF(CC29&gt;0,BW29,BX29)</f>
        <v/>
      </c>
      <c r="BX30">
        <f>(BV30+BW30)/2</f>
        <v/>
      </c>
      <c r="BY30">
        <f>MIN(MAX(BX30,0),h_sl)</f>
        <v/>
      </c>
      <c r="BZ30">
        <f>MIN(MAX(BX30-af_sl,0),hfe_sl)</f>
        <v/>
      </c>
      <c r="CA30">
        <f>bw_sl*BY30*(BX30-BY30/2)+ov_sl*BZ30*(BX30-af_sl-BZ30/2)+(aeM_sl-(BX30&gt;y1_sl))*A1_sl*(BX30-y1_sl)+(aeM_sl-(BX30&gt;y2_sl))*A2_sl*(BX30-y2_sl)</f>
        <v/>
      </c>
      <c r="CB30">
        <f>bw_sl*(BX30*yc_sl*BY30-(BX30+yc_sl)*BY30^2/2+BY30^3/3)+ov_sl*((BX30-af_sl)*(yc_sl-af_sl)*BZ30-(BX30+yc_sl-2*af_sl)*BZ30^2/2+BZ30^3/3)+(aeM_sl-(BX30&gt;y1_sl))*A1_sl*(BX30-y1_sl)*(yc_sl-y1_sl)+(aeM_sl-(BX30&gt;y2_sl))*A2_sl*(BX30-y2_sl)*(yc_sl-y2_sl)</f>
        <v/>
      </c>
      <c r="CC30">
        <f>Nk_sl*1000*CB30-Mk_sl*1E6*CA30</f>
        <v/>
      </c>
    </row>
    <row r="31">
      <c r="B31">
        <f>IF(I30&gt;0,D30,B30)</f>
        <v/>
      </c>
      <c r="C31">
        <f>IF(I30&gt;0,C30,D30)</f>
        <v/>
      </c>
      <c r="D31">
        <f>(B31+C31)/2</f>
        <v/>
      </c>
      <c r="E31">
        <f>MIN(MAX(D31,0),h_sl)</f>
        <v/>
      </c>
      <c r="F31">
        <f>MIN(MAX(D31-af_sl,0),hfe_sl)</f>
        <v/>
      </c>
      <c r="G31">
        <f>bw_sl*E31*(D31-E31/2)+ov_sl*F31*(D31-af_sl-F31/2)+(aeS_sl-(D31&gt;y1_sl))*A1_sl*(D31-y1_sl)+(aeS_sl-(D31&gt;y2_sl))*A2_sl*(D31-y2_sl)</f>
        <v/>
      </c>
      <c r="H31">
        <f>bw_sl*(D31*yc_sl*E31-(D31+yc_sl)*E31^2/2+E31^3/3)+ov_sl*((D31-af_sl)*(yc_sl-af_sl)*F31-(D31+yc_sl-2*af_sl)*F31^2/2+F31^3/3)+(aeS_sl-(D31&gt;y1_sl))*A1_sl*(D31-y1_sl)*(yc_sl-y1_sl)+(aeS_sl-(D31&gt;y2_sl))*A2_sl*(D31-y2_sl)*(yc_sl-y2_sl)</f>
        <v/>
      </c>
      <c r="I31">
        <f>-G31</f>
        <v/>
      </c>
      <c r="K31">
        <f>IF(R30&gt;0,M30,K30)</f>
        <v/>
      </c>
      <c r="L31">
        <f>IF(R30&gt;0,L30,M30)</f>
        <v/>
      </c>
      <c r="M31">
        <f>(K31+L31)/2</f>
        <v/>
      </c>
      <c r="N31">
        <f>MIN(MAX(M31,0),h_sl)</f>
        <v/>
      </c>
      <c r="O31">
        <f>MIN(MAX(M31-af_sl,0),hfe_sl)</f>
        <v/>
      </c>
      <c r="P31">
        <f>bw_sl*N31*(M31-N31/2)+ov_sl*O31*(M31-af_sl-O31/2)+(aeL_sl-(M31&gt;y1_sl))*A1_sl*(M31-y1_sl)+(aeL_sl-(M31&gt;y2_sl))*A2_sl*(M31-y2_sl)</f>
        <v/>
      </c>
      <c r="Q31">
        <f>bw_sl*(M31*yc_sl*N31-(M31+yc_sl)*N31^2/2+N31^3/3)+ov_sl*((M31-af_sl)*(yc_sl-af_sl)*O31-(M31+yc_sl-2*af_sl)*O31^2/2+O31^3/3)+(aeL_sl-(M31&gt;y1_sl))*A1_sl*(M31-y1_sl)*(yc_sl-y1_sl)+(aeL_sl-(M31&gt;y2_sl))*A2_sl*(M31-y2_sl)*(yc_sl-y2_sl)</f>
        <v/>
      </c>
      <c r="R31">
        <f>-P31</f>
        <v/>
      </c>
      <c r="T31">
        <f>IF(AA30&gt;0,V30,T30)</f>
        <v/>
      </c>
      <c r="U31">
        <f>IF(AA30&gt;0,U30,V30)</f>
        <v/>
      </c>
      <c r="V31">
        <f>(T31+U31)/2</f>
        <v/>
      </c>
      <c r="W31">
        <f>MIN(MAX(V31,0),h_sl)</f>
        <v/>
      </c>
      <c r="X31">
        <f>MIN(MAX(V31-af_sl,0),hfe_sl)</f>
        <v/>
      </c>
      <c r="Y31">
        <f>bw_sl*W31*(V31-W31/2)+ov_sl*X31*(V31-af_sl-X31/2)+(aeM_sl-(V31&gt;y1_sl))*A1_sl*(V31-y1_sl)+(aeM_sl-(V31&gt;y2_sl))*A2_sl*(V31-y2_sl)</f>
        <v/>
      </c>
      <c r="Z31">
        <f>bw_sl*(V31*yc_sl*W31-(V31+yc_sl)*W31^2/2+W31^3/3)+ov_sl*((V31-af_sl)*(yc_sl-af_sl)*X31-(V31+yc_sl-2*af_sl)*X31^2/2+X31^3/3)+(aeM_sl-(V31&gt;y1_sl))*A1_sl*(V31-y1_sl)*(yc_sl-y1_sl)+(aeM_sl-(V31&gt;y2_sl))*A2_sl*(V31-y2_sl)*(yc_sl-y2_sl)</f>
        <v/>
      </c>
      <c r="AA31">
        <f>-Y31</f>
        <v/>
      </c>
      <c r="AC31">
        <f>IF(AJ30&gt;0,AE30,AC30)</f>
        <v/>
      </c>
      <c r="AD31">
        <f>IF(AJ30&gt;0,AD30,AE30)</f>
        <v/>
      </c>
      <c r="AE31">
        <f>(AC31+AD31)/2</f>
        <v/>
      </c>
      <c r="AF31">
        <f>MIN(MAX(AE31,0),h_sl)</f>
        <v/>
      </c>
      <c r="AG31">
        <f>MIN(MAX(AE31-af_sl,0),hfe_sl)</f>
        <v/>
      </c>
      <c r="AH31">
        <f>bw_sl*AF31*(AE31-AF31/2)+ov_sl*AG31*(AE31-af_sl-AG31/2)+(aeS_sl-(AE31&gt;y1_sl))*A1_sl*(AE31-y1_sl)+(aeS_sl-(AE31&gt;y2_sl))*A2_sl*(AE31-y2_sl)</f>
        <v/>
      </c>
      <c r="AI31">
        <f>bw_sl*(AE31*yc_sl*AF31-(AE31+yc_sl)*AF31^2/2+AF31^3/3)+ov_sl*((AE31-af_sl)*(yc_sl-af_sl)*AG31-(AE31+yc_sl-2*af_sl)*AG31^2/2+AG31^3/3)+(aeS_sl-(AE31&gt;y1_sl))*A1_sl*(AE31-y1_sl)*(yc_sl-y1_sl)+(aeS_sl-(AE31&gt;y2_sl))*A2_sl*(AE31-y2_sl)*(yc_sl-y2_sl)</f>
        <v/>
      </c>
      <c r="AJ31">
        <f>Nk_sl*1000*AI31-Mk_sl*1E6*AH31</f>
        <v/>
      </c>
      <c r="AL31">
        <f>IF(AS30&gt;0,AN30,AL30)</f>
        <v/>
      </c>
      <c r="AM31">
        <f>IF(AS30&gt;0,AM30,AN30)</f>
        <v/>
      </c>
      <c r="AN31">
        <f>(AL31+AM31)/2</f>
        <v/>
      </c>
      <c r="AO31">
        <f>MIN(MAX(AN31,0),h_sl)</f>
        <v/>
      </c>
      <c r="AP31">
        <f>MIN(MAX(AN31-af_sl,0),hfe_sl)</f>
        <v/>
      </c>
      <c r="AQ31">
        <f>bw_sl*AO31*(AN31-AO31/2)+ov_sl*AP31*(AN31-af_sl-AP31/2)+(aeL_sl-(AN31&gt;y1_sl))*A1_sl*(AN31-y1_sl)+(aeL_sl-(AN31&gt;y2_sl))*A2_sl*(AN31-y2_sl)</f>
        <v/>
      </c>
      <c r="AR31">
        <f>bw_sl*(AN31*yc_sl*AO31-(AN31+yc_sl)*AO31^2/2+AO31^3/3)+ov_sl*((AN31-af_sl)*(yc_sl-af_sl)*AP31-(AN31+yc_sl-2*af_sl)*AP31^2/2+AP31^3/3)+(aeL_sl-(AN31&gt;y1_sl))*A1_sl*(AN31-y1_sl)*(yc_sl-y1_sl)+(aeL_sl-(AN31&gt;y2_sl))*A2_sl*(AN31-y2_sl)*(yc_sl-y2_sl)</f>
        <v/>
      </c>
      <c r="AS31">
        <f>Nk_sl*1000*AR31-Mk_sl*1E6*AQ31</f>
        <v/>
      </c>
      <c r="AU31">
        <f>IF(BB30&gt;0,AW30,AU30)</f>
        <v/>
      </c>
      <c r="AV31">
        <f>IF(BB30&gt;0,AV30,AW30)</f>
        <v/>
      </c>
      <c r="AW31">
        <f>(AU31+AV31)/2</f>
        <v/>
      </c>
      <c r="AX31">
        <f>MIN(MAX(AW31,0),h_sl)</f>
        <v/>
      </c>
      <c r="AY31">
        <f>MIN(MAX(AW31-af_sl,0),hfe_sl)</f>
        <v/>
      </c>
      <c r="AZ31">
        <f>bw_sl*AX31*(AW31-AX31/2)+ov_sl*AY31*(AW31-af_sl-AY31/2)+(aeS_sl-(AW31&gt;y1_sl))*A1_sl*(AW31-y1_sl)+(aeS_sl-(AW31&gt;y2_sl))*A2_sl*(AW31-y2_sl)</f>
        <v/>
      </c>
      <c r="BA31">
        <f>bw_sl*(AW31*yc_sl*AX31-(AW31+yc_sl)*AX31^2/2+AX31^3/3)+ov_sl*((AW31-af_sl)*(yc_sl-af_sl)*AY31-(AW31+yc_sl-2*af_sl)*AY31^2/2+AY31^3/3)+(aeS_sl-(AW31&gt;y1_sl))*A1_sl*(AW31-y1_sl)*(yc_sl-y1_sl)+(aeS_sl-(AW31&gt;y2_sl))*A2_sl*(AW31-y2_sl)*(yc_sl-y2_sl)</f>
        <v/>
      </c>
      <c r="BB31">
        <f>Nqp_sl*1000*BA31-Mqp_sl*1E6*AZ31</f>
        <v/>
      </c>
      <c r="BD31">
        <f>IF(BK30&gt;0,BF30,BD30)</f>
        <v/>
      </c>
      <c r="BE31">
        <f>IF(BK30&gt;0,BE30,BF30)</f>
        <v/>
      </c>
      <c r="BF31">
        <f>(BD31+BE31)/2</f>
        <v/>
      </c>
      <c r="BG31">
        <f>MIN(MAX(BF31,0),h_sl)</f>
        <v/>
      </c>
      <c r="BH31">
        <f>MIN(MAX(BF31-af_sl,0),hfe_sl)</f>
        <v/>
      </c>
      <c r="BI31">
        <f>bw_sl*BG31*(BF31-BG31/2)+ov_sl*BH31*(BF31-af_sl-BH31/2)+(aeL_sl-(BF31&gt;y1_sl))*A1_sl*(BF31-y1_sl)+(aeL_sl-(BF31&gt;y2_sl))*A2_sl*(BF31-y2_sl)</f>
        <v/>
      </c>
      <c r="BJ31">
        <f>bw_sl*(BF31*yc_sl*BG31-(BF31+yc_sl)*BG31^2/2+BG31^3/3)+ov_sl*((BF31-af_sl)*(yc_sl-af_sl)*BH31-(BF31+yc_sl-2*af_sl)*BH31^2/2+BH31^3/3)+(aeL_sl-(BF31&gt;y1_sl))*A1_sl*(BF31-y1_sl)*(yc_sl-y1_sl)+(aeL_sl-(BF31&gt;y2_sl))*A2_sl*(BF31-y2_sl)*(yc_sl-y2_sl)</f>
        <v/>
      </c>
      <c r="BK31">
        <f>Nqp_sl*1000*BJ31-Mqp_sl*1E6*BI31</f>
        <v/>
      </c>
      <c r="BM31">
        <f>IF(BT30&gt;0,BO30,BM30)</f>
        <v/>
      </c>
      <c r="BN31">
        <f>IF(BT30&gt;0,BN30,BO30)</f>
        <v/>
      </c>
      <c r="BO31">
        <f>(BM31+BN31)/2</f>
        <v/>
      </c>
      <c r="BP31">
        <f>MIN(MAX(BO31,0),h_sl)</f>
        <v/>
      </c>
      <c r="BQ31">
        <f>MIN(MAX(BO31-af_sl,0),hfe_sl)</f>
        <v/>
      </c>
      <c r="BR31">
        <f>bw_sl*BP31*(BO31-BP31/2)+ov_sl*BQ31*(BO31-af_sl-BQ31/2)+(aeS_sl-(BO31&gt;y1_sl))*A1_sl*(BO31-y1_sl)+(aeS_sl-(BO31&gt;y2_sl))*A2_sl*(BO31-y2_sl)</f>
        <v/>
      </c>
      <c r="BS31">
        <f>bw_sl*(BO31*yc_sl*BP31-(BO31+yc_sl)*BP31^2/2+BP31^3/3)+ov_sl*((BO31-af_sl)*(yc_sl-af_sl)*BQ31-(BO31+yc_sl-2*af_sl)*BQ31^2/2+BQ31^3/3)+(aeS_sl-(BO31&gt;y1_sl))*A1_sl*(BO31-y1_sl)*(yc_sl-y1_sl)+(aeS_sl-(BO31&gt;y2_sl))*A2_sl*(BO31-y2_sl)*(yc_sl-y2_sl)</f>
        <v/>
      </c>
      <c r="BT31">
        <f>dN_sl*1000*BS31-dM_sl*1E6*BR31</f>
        <v/>
      </c>
      <c r="BV31">
        <f>IF(CC30&gt;0,BX30,BV30)</f>
        <v/>
      </c>
      <c r="BW31">
        <f>IF(CC30&gt;0,BW30,BX30)</f>
        <v/>
      </c>
      <c r="BX31">
        <f>(BV31+BW31)/2</f>
        <v/>
      </c>
      <c r="BY31">
        <f>MIN(MAX(BX31,0),h_sl)</f>
        <v/>
      </c>
      <c r="BZ31">
        <f>MIN(MAX(BX31-af_sl,0),hfe_sl)</f>
        <v/>
      </c>
      <c r="CA31">
        <f>bw_sl*BY31*(BX31-BY31/2)+ov_sl*BZ31*(BX31-af_sl-BZ31/2)+(aeM_sl-(BX31&gt;y1_sl))*A1_sl*(BX31-y1_sl)+(aeM_sl-(BX31&gt;y2_sl))*A2_sl*(BX31-y2_sl)</f>
        <v/>
      </c>
      <c r="CB31">
        <f>bw_sl*(BX31*yc_sl*BY31-(BX31+yc_sl)*BY31^2/2+BY31^3/3)+ov_sl*((BX31-af_sl)*(yc_sl-af_sl)*BZ31-(BX31+yc_sl-2*af_sl)*BZ31^2/2+BZ31^3/3)+(aeM_sl-(BX31&gt;y1_sl))*A1_sl*(BX31-y1_sl)*(yc_sl-y1_sl)+(aeM_sl-(BX31&gt;y2_sl))*A2_sl*(BX31-y2_sl)*(yc_sl-y2_sl)</f>
        <v/>
      </c>
      <c r="CC31">
        <f>Nk_sl*1000*CB31-Mk_sl*1E6*CA31</f>
        <v/>
      </c>
    </row>
    <row r="32">
      <c r="B32">
        <f>IF(I31&gt;0,D31,B31)</f>
        <v/>
      </c>
      <c r="C32">
        <f>IF(I31&gt;0,C31,D31)</f>
        <v/>
      </c>
      <c r="D32">
        <f>(B32+C32)/2</f>
        <v/>
      </c>
      <c r="E32">
        <f>MIN(MAX(D32,0),h_sl)</f>
        <v/>
      </c>
      <c r="F32">
        <f>MIN(MAX(D32-af_sl,0),hfe_sl)</f>
        <v/>
      </c>
      <c r="G32">
        <f>bw_sl*E32*(D32-E32/2)+ov_sl*F32*(D32-af_sl-F32/2)+(aeS_sl-(D32&gt;y1_sl))*A1_sl*(D32-y1_sl)+(aeS_sl-(D32&gt;y2_sl))*A2_sl*(D32-y2_sl)</f>
        <v/>
      </c>
      <c r="H32">
        <f>bw_sl*(D32*yc_sl*E32-(D32+yc_sl)*E32^2/2+E32^3/3)+ov_sl*((D32-af_sl)*(yc_sl-af_sl)*F32-(D32+yc_sl-2*af_sl)*F32^2/2+F32^3/3)+(aeS_sl-(D32&gt;y1_sl))*A1_sl*(D32-y1_sl)*(yc_sl-y1_sl)+(aeS_sl-(D32&gt;y2_sl))*A2_sl*(D32-y2_sl)*(yc_sl-y2_sl)</f>
        <v/>
      </c>
      <c r="I32">
        <f>-G32</f>
        <v/>
      </c>
      <c r="K32">
        <f>IF(R31&gt;0,M31,K31)</f>
        <v/>
      </c>
      <c r="L32">
        <f>IF(R31&gt;0,L31,M31)</f>
        <v/>
      </c>
      <c r="M32">
        <f>(K32+L32)/2</f>
        <v/>
      </c>
      <c r="N32">
        <f>MIN(MAX(M32,0),h_sl)</f>
        <v/>
      </c>
      <c r="O32">
        <f>MIN(MAX(M32-af_sl,0),hfe_sl)</f>
        <v/>
      </c>
      <c r="P32">
        <f>bw_sl*N32*(M32-N32/2)+ov_sl*O32*(M32-af_sl-O32/2)+(aeL_sl-(M32&gt;y1_sl))*A1_sl*(M32-y1_sl)+(aeL_sl-(M32&gt;y2_sl))*A2_sl*(M32-y2_sl)</f>
        <v/>
      </c>
      <c r="Q32">
        <f>bw_sl*(M32*yc_sl*N32-(M32+yc_sl)*N32^2/2+N32^3/3)+ov_sl*((M32-af_sl)*(yc_sl-af_sl)*O32-(M32+yc_sl-2*af_sl)*O32^2/2+O32^3/3)+(aeL_sl-(M32&gt;y1_sl))*A1_sl*(M32-y1_sl)*(yc_sl-y1_sl)+(aeL_sl-(M32&gt;y2_sl))*A2_sl*(M32-y2_sl)*(yc_sl-y2_sl)</f>
        <v/>
      </c>
      <c r="R32">
        <f>-P32</f>
        <v/>
      </c>
      <c r="T32">
        <f>IF(AA31&gt;0,V31,T31)</f>
        <v/>
      </c>
      <c r="U32">
        <f>IF(AA31&gt;0,U31,V31)</f>
        <v/>
      </c>
      <c r="V32">
        <f>(T32+U32)/2</f>
        <v/>
      </c>
      <c r="W32">
        <f>MIN(MAX(V32,0),h_sl)</f>
        <v/>
      </c>
      <c r="X32">
        <f>MIN(MAX(V32-af_sl,0),hfe_sl)</f>
        <v/>
      </c>
      <c r="Y32">
        <f>bw_sl*W32*(V32-W32/2)+ov_sl*X32*(V32-af_sl-X32/2)+(aeM_sl-(V32&gt;y1_sl))*A1_sl*(V32-y1_sl)+(aeM_sl-(V32&gt;y2_sl))*A2_sl*(V32-y2_sl)</f>
        <v/>
      </c>
      <c r="Z32">
        <f>bw_sl*(V32*yc_sl*W32-(V32+yc_sl)*W32^2/2+W32^3/3)+ov_sl*((V32-af_sl)*(yc_sl-af_sl)*X32-(V32+yc_sl-2*af_sl)*X32^2/2+X32^3/3)+(aeM_sl-(V32&gt;y1_sl))*A1_sl*(V32-y1_sl)*(yc_sl-y1_sl)+(aeM_sl-(V32&gt;y2_sl))*A2_sl*(V32-y2_sl)*(yc_sl-y2_sl)</f>
        <v/>
      </c>
      <c r="AA32">
        <f>-Y32</f>
        <v/>
      </c>
      <c r="AC32">
        <f>IF(AJ31&gt;0,AE31,AC31)</f>
        <v/>
      </c>
      <c r="AD32">
        <f>IF(AJ31&gt;0,AD31,AE31)</f>
        <v/>
      </c>
      <c r="AE32">
        <f>(AC32+AD32)/2</f>
        <v/>
      </c>
      <c r="AF32">
        <f>MIN(MAX(AE32,0),h_sl)</f>
        <v/>
      </c>
      <c r="AG32">
        <f>MIN(MAX(AE32-af_sl,0),hfe_sl)</f>
        <v/>
      </c>
      <c r="AH32">
        <f>bw_sl*AF32*(AE32-AF32/2)+ov_sl*AG32*(AE32-af_sl-AG32/2)+(aeS_sl-(AE32&gt;y1_sl))*A1_sl*(AE32-y1_sl)+(aeS_sl-(AE32&gt;y2_sl))*A2_sl*(AE32-y2_sl)</f>
        <v/>
      </c>
      <c r="AI32">
        <f>bw_sl*(AE32*yc_sl*AF32-(AE32+yc_sl)*AF32^2/2+AF32^3/3)+ov_sl*((AE32-af_sl)*(yc_sl-af_sl)*AG32-(AE32+yc_sl-2*af_sl)*AG32^2/2+AG32^3/3)+(aeS_sl-(AE32&gt;y1_sl))*A1_sl*(AE32-y1_sl)*(yc_sl-y1_sl)+(aeS_sl-(AE32&gt;y2_sl))*A2_sl*(AE32-y2_sl)*(yc_sl-y2_sl)</f>
        <v/>
      </c>
      <c r="AJ32">
        <f>Nk_sl*1000*AI32-Mk_sl*1E6*AH32</f>
        <v/>
      </c>
      <c r="AL32">
        <f>IF(AS31&gt;0,AN31,AL31)</f>
        <v/>
      </c>
      <c r="AM32">
        <f>IF(AS31&gt;0,AM31,AN31)</f>
        <v/>
      </c>
      <c r="AN32">
        <f>(AL32+AM32)/2</f>
        <v/>
      </c>
      <c r="AO32">
        <f>MIN(MAX(AN32,0),h_sl)</f>
        <v/>
      </c>
      <c r="AP32">
        <f>MIN(MAX(AN32-af_sl,0),hfe_sl)</f>
        <v/>
      </c>
      <c r="AQ32">
        <f>bw_sl*AO32*(AN32-AO32/2)+ov_sl*AP32*(AN32-af_sl-AP32/2)+(aeL_sl-(AN32&gt;y1_sl))*A1_sl*(AN32-y1_sl)+(aeL_sl-(AN32&gt;y2_sl))*A2_sl*(AN32-y2_sl)</f>
        <v/>
      </c>
      <c r="AR32">
        <f>bw_sl*(AN32*yc_sl*AO32-(AN32+yc_sl)*AO32^2/2+AO32^3/3)+ov_sl*((AN32-af_sl)*(yc_sl-af_sl)*AP32-(AN32+yc_sl-2*af_sl)*AP32^2/2+AP32^3/3)+(aeL_sl-(AN32&gt;y1_sl))*A1_sl*(AN32-y1_sl)*(yc_sl-y1_sl)+(aeL_sl-(AN32&gt;y2_sl))*A2_sl*(AN32-y2_sl)*(yc_sl-y2_sl)</f>
        <v/>
      </c>
      <c r="AS32">
        <f>Nk_sl*1000*AR32-Mk_sl*1E6*AQ32</f>
        <v/>
      </c>
      <c r="AU32">
        <f>IF(BB31&gt;0,AW31,AU31)</f>
        <v/>
      </c>
      <c r="AV32">
        <f>IF(BB31&gt;0,AV31,AW31)</f>
        <v/>
      </c>
      <c r="AW32">
        <f>(AU32+AV32)/2</f>
        <v/>
      </c>
      <c r="AX32">
        <f>MIN(MAX(AW32,0),h_sl)</f>
        <v/>
      </c>
      <c r="AY32">
        <f>MIN(MAX(AW32-af_sl,0),hfe_sl)</f>
        <v/>
      </c>
      <c r="AZ32">
        <f>bw_sl*AX32*(AW32-AX32/2)+ov_sl*AY32*(AW32-af_sl-AY32/2)+(aeS_sl-(AW32&gt;y1_sl))*A1_sl*(AW32-y1_sl)+(aeS_sl-(AW32&gt;y2_sl))*A2_sl*(AW32-y2_sl)</f>
        <v/>
      </c>
      <c r="BA32">
        <f>bw_sl*(AW32*yc_sl*AX32-(AW32+yc_sl)*AX32^2/2+AX32^3/3)+ov_sl*((AW32-af_sl)*(yc_sl-af_sl)*AY32-(AW32+yc_sl-2*af_sl)*AY32^2/2+AY32^3/3)+(aeS_sl-(AW32&gt;y1_sl))*A1_sl*(AW32-y1_sl)*(yc_sl-y1_sl)+(aeS_sl-(AW32&gt;y2_sl))*A2_sl*(AW32-y2_sl)*(yc_sl-y2_sl)</f>
        <v/>
      </c>
      <c r="BB32">
        <f>Nqp_sl*1000*BA32-Mqp_sl*1E6*AZ32</f>
        <v/>
      </c>
      <c r="BD32">
        <f>IF(BK31&gt;0,BF31,BD31)</f>
        <v/>
      </c>
      <c r="BE32">
        <f>IF(BK31&gt;0,BE31,BF31)</f>
        <v/>
      </c>
      <c r="BF32">
        <f>(BD32+BE32)/2</f>
        <v/>
      </c>
      <c r="BG32">
        <f>MIN(MAX(BF32,0),h_sl)</f>
        <v/>
      </c>
      <c r="BH32">
        <f>MIN(MAX(BF32-af_sl,0),hfe_sl)</f>
        <v/>
      </c>
      <c r="BI32">
        <f>bw_sl*BG32*(BF32-BG32/2)+ov_sl*BH32*(BF32-af_sl-BH32/2)+(aeL_sl-(BF32&gt;y1_sl))*A1_sl*(BF32-y1_sl)+(aeL_sl-(BF32&gt;y2_sl))*A2_sl*(BF32-y2_sl)</f>
        <v/>
      </c>
      <c r="BJ32">
        <f>bw_sl*(BF32*yc_sl*BG32-(BF32+yc_sl)*BG32^2/2+BG32^3/3)+ov_sl*((BF32-af_sl)*(yc_sl-af_sl)*BH32-(BF32+yc_sl-2*af_sl)*BH32^2/2+BH32^3/3)+(aeL_sl-(BF32&gt;y1_sl))*A1_sl*(BF32-y1_sl)*(yc_sl-y1_sl)+(aeL_sl-(BF32&gt;y2_sl))*A2_sl*(BF32-y2_sl)*(yc_sl-y2_sl)</f>
        <v/>
      </c>
      <c r="BK32">
        <f>Nqp_sl*1000*BJ32-Mqp_sl*1E6*BI32</f>
        <v/>
      </c>
      <c r="BM32">
        <f>IF(BT31&gt;0,BO31,BM31)</f>
        <v/>
      </c>
      <c r="BN32">
        <f>IF(BT31&gt;0,BN31,BO31)</f>
        <v/>
      </c>
      <c r="BO32">
        <f>(BM32+BN32)/2</f>
        <v/>
      </c>
      <c r="BP32">
        <f>MIN(MAX(BO32,0),h_sl)</f>
        <v/>
      </c>
      <c r="BQ32">
        <f>MIN(MAX(BO32-af_sl,0),hfe_sl)</f>
        <v/>
      </c>
      <c r="BR32">
        <f>bw_sl*BP32*(BO32-BP32/2)+ov_sl*BQ32*(BO32-af_sl-BQ32/2)+(aeS_sl-(BO32&gt;y1_sl))*A1_sl*(BO32-y1_sl)+(aeS_sl-(BO32&gt;y2_sl))*A2_sl*(BO32-y2_sl)</f>
        <v/>
      </c>
      <c r="BS32">
        <f>bw_sl*(BO32*yc_sl*BP32-(BO32+yc_sl)*BP32^2/2+BP32^3/3)+ov_sl*((BO32-af_sl)*(yc_sl-af_sl)*BQ32-(BO32+yc_sl-2*af_sl)*BQ32^2/2+BQ32^3/3)+(aeS_sl-(BO32&gt;y1_sl))*A1_sl*(BO32-y1_sl)*(yc_sl-y1_sl)+(aeS_sl-(BO32&gt;y2_sl))*A2_sl*(BO32-y2_sl)*(yc_sl-y2_sl)</f>
        <v/>
      </c>
      <c r="BT32">
        <f>dN_sl*1000*BS32-dM_sl*1E6*BR32</f>
        <v/>
      </c>
      <c r="BV32">
        <f>IF(CC31&gt;0,BX31,BV31)</f>
        <v/>
      </c>
      <c r="BW32">
        <f>IF(CC31&gt;0,BW31,BX31)</f>
        <v/>
      </c>
      <c r="BX32">
        <f>(BV32+BW32)/2</f>
        <v/>
      </c>
      <c r="BY32">
        <f>MIN(MAX(BX32,0),h_sl)</f>
        <v/>
      </c>
      <c r="BZ32">
        <f>MIN(MAX(BX32-af_sl,0),hfe_sl)</f>
        <v/>
      </c>
      <c r="CA32">
        <f>bw_sl*BY32*(BX32-BY32/2)+ov_sl*BZ32*(BX32-af_sl-BZ32/2)+(aeM_sl-(BX32&gt;y1_sl))*A1_sl*(BX32-y1_sl)+(aeM_sl-(BX32&gt;y2_sl))*A2_sl*(BX32-y2_sl)</f>
        <v/>
      </c>
      <c r="CB32">
        <f>bw_sl*(BX32*yc_sl*BY32-(BX32+yc_sl)*BY32^2/2+BY32^3/3)+ov_sl*((BX32-af_sl)*(yc_sl-af_sl)*BZ32-(BX32+yc_sl-2*af_sl)*BZ32^2/2+BZ32^3/3)+(aeM_sl-(BX32&gt;y1_sl))*A1_sl*(BX32-y1_sl)*(yc_sl-y1_sl)+(aeM_sl-(BX32&gt;y2_sl))*A2_sl*(BX32-y2_sl)*(yc_sl-y2_sl)</f>
        <v/>
      </c>
      <c r="CC32">
        <f>Nk_sl*1000*CB32-Mk_sl*1E6*CA32</f>
        <v/>
      </c>
    </row>
    <row r="33">
      <c r="B33">
        <f>IF(I32&gt;0,D32,B32)</f>
        <v/>
      </c>
      <c r="C33">
        <f>IF(I32&gt;0,C32,D32)</f>
        <v/>
      </c>
      <c r="D33">
        <f>(B33+C33)/2</f>
        <v/>
      </c>
      <c r="E33">
        <f>MIN(MAX(D33,0),h_sl)</f>
        <v/>
      </c>
      <c r="F33">
        <f>MIN(MAX(D33-af_sl,0),hfe_sl)</f>
        <v/>
      </c>
      <c r="G33">
        <f>bw_sl*E33*(D33-E33/2)+ov_sl*F33*(D33-af_sl-F33/2)+(aeS_sl-(D33&gt;y1_sl))*A1_sl*(D33-y1_sl)+(aeS_sl-(D33&gt;y2_sl))*A2_sl*(D33-y2_sl)</f>
        <v/>
      </c>
      <c r="H33">
        <f>bw_sl*(D33*yc_sl*E33-(D33+yc_sl)*E33^2/2+E33^3/3)+ov_sl*((D33-af_sl)*(yc_sl-af_sl)*F33-(D33+yc_sl-2*af_sl)*F33^2/2+F33^3/3)+(aeS_sl-(D33&gt;y1_sl))*A1_sl*(D33-y1_sl)*(yc_sl-y1_sl)+(aeS_sl-(D33&gt;y2_sl))*A2_sl*(D33-y2_sl)*(yc_sl-y2_sl)</f>
        <v/>
      </c>
      <c r="I33">
        <f>-G33</f>
        <v/>
      </c>
      <c r="K33">
        <f>IF(R32&gt;0,M32,K32)</f>
        <v/>
      </c>
      <c r="L33">
        <f>IF(R32&gt;0,L32,M32)</f>
        <v/>
      </c>
      <c r="M33">
        <f>(K33+L33)/2</f>
        <v/>
      </c>
      <c r="N33">
        <f>MIN(MAX(M33,0),h_sl)</f>
        <v/>
      </c>
      <c r="O33">
        <f>MIN(MAX(M33-af_sl,0),hfe_sl)</f>
        <v/>
      </c>
      <c r="P33">
        <f>bw_sl*N33*(M33-N33/2)+ov_sl*O33*(M33-af_sl-O33/2)+(aeL_sl-(M33&gt;y1_sl))*A1_sl*(M33-y1_sl)+(aeL_sl-(M33&gt;y2_sl))*A2_sl*(M33-y2_sl)</f>
        <v/>
      </c>
      <c r="Q33">
        <f>bw_sl*(M33*yc_sl*N33-(M33+yc_sl)*N33^2/2+N33^3/3)+ov_sl*((M33-af_sl)*(yc_sl-af_sl)*O33-(M33+yc_sl-2*af_sl)*O33^2/2+O33^3/3)+(aeL_sl-(M33&gt;y1_sl))*A1_sl*(M33-y1_sl)*(yc_sl-y1_sl)+(aeL_sl-(M33&gt;y2_sl))*A2_sl*(M33-y2_sl)*(yc_sl-y2_sl)</f>
        <v/>
      </c>
      <c r="R33">
        <f>-P33</f>
        <v/>
      </c>
      <c r="T33">
        <f>IF(AA32&gt;0,V32,T32)</f>
        <v/>
      </c>
      <c r="U33">
        <f>IF(AA32&gt;0,U32,V32)</f>
        <v/>
      </c>
      <c r="V33">
        <f>(T33+U33)/2</f>
        <v/>
      </c>
      <c r="W33">
        <f>MIN(MAX(V33,0),h_sl)</f>
        <v/>
      </c>
      <c r="X33">
        <f>MIN(MAX(V33-af_sl,0),hfe_sl)</f>
        <v/>
      </c>
      <c r="Y33">
        <f>bw_sl*W33*(V33-W33/2)+ov_sl*X33*(V33-af_sl-X33/2)+(aeM_sl-(V33&gt;y1_sl))*A1_sl*(V33-y1_sl)+(aeM_sl-(V33&gt;y2_sl))*A2_sl*(V33-y2_sl)</f>
        <v/>
      </c>
      <c r="Z33">
        <f>bw_sl*(V33*yc_sl*W33-(V33+yc_sl)*W33^2/2+W33^3/3)+ov_sl*((V33-af_sl)*(yc_sl-af_sl)*X33-(V33+yc_sl-2*af_sl)*X33^2/2+X33^3/3)+(aeM_sl-(V33&gt;y1_sl))*A1_sl*(V33-y1_sl)*(yc_sl-y1_sl)+(aeM_sl-(V33&gt;y2_sl))*A2_sl*(V33-y2_sl)*(yc_sl-y2_sl)</f>
        <v/>
      </c>
      <c r="AA33">
        <f>-Y33</f>
        <v/>
      </c>
      <c r="AC33">
        <f>IF(AJ32&gt;0,AE32,AC32)</f>
        <v/>
      </c>
      <c r="AD33">
        <f>IF(AJ32&gt;0,AD32,AE32)</f>
        <v/>
      </c>
      <c r="AE33">
        <f>(AC33+AD33)/2</f>
        <v/>
      </c>
      <c r="AF33">
        <f>MIN(MAX(AE33,0),h_sl)</f>
        <v/>
      </c>
      <c r="AG33">
        <f>MIN(MAX(AE33-af_sl,0),hfe_sl)</f>
        <v/>
      </c>
      <c r="AH33">
        <f>bw_sl*AF33*(AE33-AF33/2)+ov_sl*AG33*(AE33-af_sl-AG33/2)+(aeS_sl-(AE33&gt;y1_sl))*A1_sl*(AE33-y1_sl)+(aeS_sl-(AE33&gt;y2_sl))*A2_sl*(AE33-y2_sl)</f>
        <v/>
      </c>
      <c r="AI33">
        <f>bw_sl*(AE33*yc_sl*AF33-(AE33+yc_sl)*AF33^2/2+AF33^3/3)+ov_sl*((AE33-af_sl)*(yc_sl-af_sl)*AG33-(AE33+yc_sl-2*af_sl)*AG33^2/2+AG33^3/3)+(aeS_sl-(AE33&gt;y1_sl))*A1_sl*(AE33-y1_sl)*(yc_sl-y1_sl)+(aeS_sl-(AE33&gt;y2_sl))*A2_sl*(AE33-y2_sl)*(yc_sl-y2_sl)</f>
        <v/>
      </c>
      <c r="AJ33">
        <f>Nk_sl*1000*AI33-Mk_sl*1E6*AH33</f>
        <v/>
      </c>
      <c r="AL33">
        <f>IF(AS32&gt;0,AN32,AL32)</f>
        <v/>
      </c>
      <c r="AM33">
        <f>IF(AS32&gt;0,AM32,AN32)</f>
        <v/>
      </c>
      <c r="AN33">
        <f>(AL33+AM33)/2</f>
        <v/>
      </c>
      <c r="AO33">
        <f>MIN(MAX(AN33,0),h_sl)</f>
        <v/>
      </c>
      <c r="AP33">
        <f>MIN(MAX(AN33-af_sl,0),hfe_sl)</f>
        <v/>
      </c>
      <c r="AQ33">
        <f>bw_sl*AO33*(AN33-AO33/2)+ov_sl*AP33*(AN33-af_sl-AP33/2)+(aeL_sl-(AN33&gt;y1_sl))*A1_sl*(AN33-y1_sl)+(aeL_sl-(AN33&gt;y2_sl))*A2_sl*(AN33-y2_sl)</f>
        <v/>
      </c>
      <c r="AR33">
        <f>bw_sl*(AN33*yc_sl*AO33-(AN33+yc_sl)*AO33^2/2+AO33^3/3)+ov_sl*((AN33-af_sl)*(yc_sl-af_sl)*AP33-(AN33+yc_sl-2*af_sl)*AP33^2/2+AP33^3/3)+(aeL_sl-(AN33&gt;y1_sl))*A1_sl*(AN33-y1_sl)*(yc_sl-y1_sl)+(aeL_sl-(AN33&gt;y2_sl))*A2_sl*(AN33-y2_sl)*(yc_sl-y2_sl)</f>
        <v/>
      </c>
      <c r="AS33">
        <f>Nk_sl*1000*AR33-Mk_sl*1E6*AQ33</f>
        <v/>
      </c>
      <c r="AU33">
        <f>IF(BB32&gt;0,AW32,AU32)</f>
        <v/>
      </c>
      <c r="AV33">
        <f>IF(BB32&gt;0,AV32,AW32)</f>
        <v/>
      </c>
      <c r="AW33">
        <f>(AU33+AV33)/2</f>
        <v/>
      </c>
      <c r="AX33">
        <f>MIN(MAX(AW33,0),h_sl)</f>
        <v/>
      </c>
      <c r="AY33">
        <f>MIN(MAX(AW33-af_sl,0),hfe_sl)</f>
        <v/>
      </c>
      <c r="AZ33">
        <f>bw_sl*AX33*(AW33-AX33/2)+ov_sl*AY33*(AW33-af_sl-AY33/2)+(aeS_sl-(AW33&gt;y1_sl))*A1_sl*(AW33-y1_sl)+(aeS_sl-(AW33&gt;y2_sl))*A2_sl*(AW33-y2_sl)</f>
        <v/>
      </c>
      <c r="BA33">
        <f>bw_sl*(AW33*yc_sl*AX33-(AW33+yc_sl)*AX33^2/2+AX33^3/3)+ov_sl*((AW33-af_sl)*(yc_sl-af_sl)*AY33-(AW33+yc_sl-2*af_sl)*AY33^2/2+AY33^3/3)+(aeS_sl-(AW33&gt;y1_sl))*A1_sl*(AW33-y1_sl)*(yc_sl-y1_sl)+(aeS_sl-(AW33&gt;y2_sl))*A2_sl*(AW33-y2_sl)*(yc_sl-y2_sl)</f>
        <v/>
      </c>
      <c r="BB33">
        <f>Nqp_sl*1000*BA33-Mqp_sl*1E6*AZ33</f>
        <v/>
      </c>
      <c r="BD33">
        <f>IF(BK32&gt;0,BF32,BD32)</f>
        <v/>
      </c>
      <c r="BE33">
        <f>IF(BK32&gt;0,BE32,BF32)</f>
        <v/>
      </c>
      <c r="BF33">
        <f>(BD33+BE33)/2</f>
        <v/>
      </c>
      <c r="BG33">
        <f>MIN(MAX(BF33,0),h_sl)</f>
        <v/>
      </c>
      <c r="BH33">
        <f>MIN(MAX(BF33-af_sl,0),hfe_sl)</f>
        <v/>
      </c>
      <c r="BI33">
        <f>bw_sl*BG33*(BF33-BG33/2)+ov_sl*BH33*(BF33-af_sl-BH33/2)+(aeL_sl-(BF33&gt;y1_sl))*A1_sl*(BF33-y1_sl)+(aeL_sl-(BF33&gt;y2_sl))*A2_sl*(BF33-y2_sl)</f>
        <v/>
      </c>
      <c r="BJ33">
        <f>bw_sl*(BF33*yc_sl*BG33-(BF33+yc_sl)*BG33^2/2+BG33^3/3)+ov_sl*((BF33-af_sl)*(yc_sl-af_sl)*BH33-(BF33+yc_sl-2*af_sl)*BH33^2/2+BH33^3/3)+(aeL_sl-(BF33&gt;y1_sl))*A1_sl*(BF33-y1_sl)*(yc_sl-y1_sl)+(aeL_sl-(BF33&gt;y2_sl))*A2_sl*(BF33-y2_sl)*(yc_sl-y2_sl)</f>
        <v/>
      </c>
      <c r="BK33">
        <f>Nqp_sl*1000*BJ33-Mqp_sl*1E6*BI33</f>
        <v/>
      </c>
      <c r="BM33">
        <f>IF(BT32&gt;0,BO32,BM32)</f>
        <v/>
      </c>
      <c r="BN33">
        <f>IF(BT32&gt;0,BN32,BO32)</f>
        <v/>
      </c>
      <c r="BO33">
        <f>(BM33+BN33)/2</f>
        <v/>
      </c>
      <c r="BP33">
        <f>MIN(MAX(BO33,0),h_sl)</f>
        <v/>
      </c>
      <c r="BQ33">
        <f>MIN(MAX(BO33-af_sl,0),hfe_sl)</f>
        <v/>
      </c>
      <c r="BR33">
        <f>bw_sl*BP33*(BO33-BP33/2)+ov_sl*BQ33*(BO33-af_sl-BQ33/2)+(aeS_sl-(BO33&gt;y1_sl))*A1_sl*(BO33-y1_sl)+(aeS_sl-(BO33&gt;y2_sl))*A2_sl*(BO33-y2_sl)</f>
        <v/>
      </c>
      <c r="BS33">
        <f>bw_sl*(BO33*yc_sl*BP33-(BO33+yc_sl)*BP33^2/2+BP33^3/3)+ov_sl*((BO33-af_sl)*(yc_sl-af_sl)*BQ33-(BO33+yc_sl-2*af_sl)*BQ33^2/2+BQ33^3/3)+(aeS_sl-(BO33&gt;y1_sl))*A1_sl*(BO33-y1_sl)*(yc_sl-y1_sl)+(aeS_sl-(BO33&gt;y2_sl))*A2_sl*(BO33-y2_sl)*(yc_sl-y2_sl)</f>
        <v/>
      </c>
      <c r="BT33">
        <f>dN_sl*1000*BS33-dM_sl*1E6*BR33</f>
        <v/>
      </c>
      <c r="BV33">
        <f>IF(CC32&gt;0,BX32,BV32)</f>
        <v/>
      </c>
      <c r="BW33">
        <f>IF(CC32&gt;0,BW32,BX32)</f>
        <v/>
      </c>
      <c r="BX33">
        <f>(BV33+BW33)/2</f>
        <v/>
      </c>
      <c r="BY33">
        <f>MIN(MAX(BX33,0),h_sl)</f>
        <v/>
      </c>
      <c r="BZ33">
        <f>MIN(MAX(BX33-af_sl,0),hfe_sl)</f>
        <v/>
      </c>
      <c r="CA33">
        <f>bw_sl*BY33*(BX33-BY33/2)+ov_sl*BZ33*(BX33-af_sl-BZ33/2)+(aeM_sl-(BX33&gt;y1_sl))*A1_sl*(BX33-y1_sl)+(aeM_sl-(BX33&gt;y2_sl))*A2_sl*(BX33-y2_sl)</f>
        <v/>
      </c>
      <c r="CB33">
        <f>bw_sl*(BX33*yc_sl*BY33-(BX33+yc_sl)*BY33^2/2+BY33^3/3)+ov_sl*((BX33-af_sl)*(yc_sl-af_sl)*BZ33-(BX33+yc_sl-2*af_sl)*BZ33^2/2+BZ33^3/3)+(aeM_sl-(BX33&gt;y1_sl))*A1_sl*(BX33-y1_sl)*(yc_sl-y1_sl)+(aeM_sl-(BX33&gt;y2_sl))*A2_sl*(BX33-y2_sl)*(yc_sl-y2_sl)</f>
        <v/>
      </c>
      <c r="CC33">
        <f>Nk_sl*1000*CB33-Mk_sl*1E6*CA33</f>
        <v/>
      </c>
    </row>
    <row r="34">
      <c r="B34">
        <f>IF(I33&gt;0,D33,B33)</f>
        <v/>
      </c>
      <c r="C34">
        <f>IF(I33&gt;0,C33,D33)</f>
        <v/>
      </c>
      <c r="D34">
        <f>(B34+C34)/2</f>
        <v/>
      </c>
      <c r="E34">
        <f>MIN(MAX(D34,0),h_sl)</f>
        <v/>
      </c>
      <c r="F34">
        <f>MIN(MAX(D34-af_sl,0),hfe_sl)</f>
        <v/>
      </c>
      <c r="G34">
        <f>bw_sl*E34*(D34-E34/2)+ov_sl*F34*(D34-af_sl-F34/2)+(aeS_sl-(D34&gt;y1_sl))*A1_sl*(D34-y1_sl)+(aeS_sl-(D34&gt;y2_sl))*A2_sl*(D34-y2_sl)</f>
        <v/>
      </c>
      <c r="H34">
        <f>bw_sl*(D34*yc_sl*E34-(D34+yc_sl)*E34^2/2+E34^3/3)+ov_sl*((D34-af_sl)*(yc_sl-af_sl)*F34-(D34+yc_sl-2*af_sl)*F34^2/2+F34^3/3)+(aeS_sl-(D34&gt;y1_sl))*A1_sl*(D34-y1_sl)*(yc_sl-y1_sl)+(aeS_sl-(D34&gt;y2_sl))*A2_sl*(D34-y2_sl)*(yc_sl-y2_sl)</f>
        <v/>
      </c>
      <c r="I34">
        <f>-G34</f>
        <v/>
      </c>
      <c r="K34">
        <f>IF(R33&gt;0,M33,K33)</f>
        <v/>
      </c>
      <c r="L34">
        <f>IF(R33&gt;0,L33,M33)</f>
        <v/>
      </c>
      <c r="M34">
        <f>(K34+L34)/2</f>
        <v/>
      </c>
      <c r="N34">
        <f>MIN(MAX(M34,0),h_sl)</f>
        <v/>
      </c>
      <c r="O34">
        <f>MIN(MAX(M34-af_sl,0),hfe_sl)</f>
        <v/>
      </c>
      <c r="P34">
        <f>bw_sl*N34*(M34-N34/2)+ov_sl*O34*(M34-af_sl-O34/2)+(aeL_sl-(M34&gt;y1_sl))*A1_sl*(M34-y1_sl)+(aeL_sl-(M34&gt;y2_sl))*A2_sl*(M34-y2_sl)</f>
        <v/>
      </c>
      <c r="Q34">
        <f>bw_sl*(M34*yc_sl*N34-(M34+yc_sl)*N34^2/2+N34^3/3)+ov_sl*((M34-af_sl)*(yc_sl-af_sl)*O34-(M34+yc_sl-2*af_sl)*O34^2/2+O34^3/3)+(aeL_sl-(M34&gt;y1_sl))*A1_sl*(M34-y1_sl)*(yc_sl-y1_sl)+(aeL_sl-(M34&gt;y2_sl))*A2_sl*(M34-y2_sl)*(yc_sl-y2_sl)</f>
        <v/>
      </c>
      <c r="R34">
        <f>-P34</f>
        <v/>
      </c>
      <c r="T34">
        <f>IF(AA33&gt;0,V33,T33)</f>
        <v/>
      </c>
      <c r="U34">
        <f>IF(AA33&gt;0,U33,V33)</f>
        <v/>
      </c>
      <c r="V34">
        <f>(T34+U34)/2</f>
        <v/>
      </c>
      <c r="W34">
        <f>MIN(MAX(V34,0),h_sl)</f>
        <v/>
      </c>
      <c r="X34">
        <f>MIN(MAX(V34-af_sl,0),hfe_sl)</f>
        <v/>
      </c>
      <c r="Y34">
        <f>bw_sl*W34*(V34-W34/2)+ov_sl*X34*(V34-af_sl-X34/2)+(aeM_sl-(V34&gt;y1_sl))*A1_sl*(V34-y1_sl)+(aeM_sl-(V34&gt;y2_sl))*A2_sl*(V34-y2_sl)</f>
        <v/>
      </c>
      <c r="Z34">
        <f>bw_sl*(V34*yc_sl*W34-(V34+yc_sl)*W34^2/2+W34^3/3)+ov_sl*((V34-af_sl)*(yc_sl-af_sl)*X34-(V34+yc_sl-2*af_sl)*X34^2/2+X34^3/3)+(aeM_sl-(V34&gt;y1_sl))*A1_sl*(V34-y1_sl)*(yc_sl-y1_sl)+(aeM_sl-(V34&gt;y2_sl))*A2_sl*(V34-y2_sl)*(yc_sl-y2_sl)</f>
        <v/>
      </c>
      <c r="AA34">
        <f>-Y34</f>
        <v/>
      </c>
      <c r="AC34">
        <f>IF(AJ33&gt;0,AE33,AC33)</f>
        <v/>
      </c>
      <c r="AD34">
        <f>IF(AJ33&gt;0,AD33,AE33)</f>
        <v/>
      </c>
      <c r="AE34">
        <f>(AC34+AD34)/2</f>
        <v/>
      </c>
      <c r="AF34">
        <f>MIN(MAX(AE34,0),h_sl)</f>
        <v/>
      </c>
      <c r="AG34">
        <f>MIN(MAX(AE34-af_sl,0),hfe_sl)</f>
        <v/>
      </c>
      <c r="AH34">
        <f>bw_sl*AF34*(AE34-AF34/2)+ov_sl*AG34*(AE34-af_sl-AG34/2)+(aeS_sl-(AE34&gt;y1_sl))*A1_sl*(AE34-y1_sl)+(aeS_sl-(AE34&gt;y2_sl))*A2_sl*(AE34-y2_sl)</f>
        <v/>
      </c>
      <c r="AI34">
        <f>bw_sl*(AE34*yc_sl*AF34-(AE34+yc_sl)*AF34^2/2+AF34^3/3)+ov_sl*((AE34-af_sl)*(yc_sl-af_sl)*AG34-(AE34+yc_sl-2*af_sl)*AG34^2/2+AG34^3/3)+(aeS_sl-(AE34&gt;y1_sl))*A1_sl*(AE34-y1_sl)*(yc_sl-y1_sl)+(aeS_sl-(AE34&gt;y2_sl))*A2_sl*(AE34-y2_sl)*(yc_sl-y2_sl)</f>
        <v/>
      </c>
      <c r="AJ34">
        <f>Nk_sl*1000*AI34-Mk_sl*1E6*AH34</f>
        <v/>
      </c>
      <c r="AL34">
        <f>IF(AS33&gt;0,AN33,AL33)</f>
        <v/>
      </c>
      <c r="AM34">
        <f>IF(AS33&gt;0,AM33,AN33)</f>
        <v/>
      </c>
      <c r="AN34">
        <f>(AL34+AM34)/2</f>
        <v/>
      </c>
      <c r="AO34">
        <f>MIN(MAX(AN34,0),h_sl)</f>
        <v/>
      </c>
      <c r="AP34">
        <f>MIN(MAX(AN34-af_sl,0),hfe_sl)</f>
        <v/>
      </c>
      <c r="AQ34">
        <f>bw_sl*AO34*(AN34-AO34/2)+ov_sl*AP34*(AN34-af_sl-AP34/2)+(aeL_sl-(AN34&gt;y1_sl))*A1_sl*(AN34-y1_sl)+(aeL_sl-(AN34&gt;y2_sl))*A2_sl*(AN34-y2_sl)</f>
        <v/>
      </c>
      <c r="AR34">
        <f>bw_sl*(AN34*yc_sl*AO34-(AN34+yc_sl)*AO34^2/2+AO34^3/3)+ov_sl*((AN34-af_sl)*(yc_sl-af_sl)*AP34-(AN34+yc_sl-2*af_sl)*AP34^2/2+AP34^3/3)+(aeL_sl-(AN34&gt;y1_sl))*A1_sl*(AN34-y1_sl)*(yc_sl-y1_sl)+(aeL_sl-(AN34&gt;y2_sl))*A2_sl*(AN34-y2_sl)*(yc_sl-y2_sl)</f>
        <v/>
      </c>
      <c r="AS34">
        <f>Nk_sl*1000*AR34-Mk_sl*1E6*AQ34</f>
        <v/>
      </c>
      <c r="AU34">
        <f>IF(BB33&gt;0,AW33,AU33)</f>
        <v/>
      </c>
      <c r="AV34">
        <f>IF(BB33&gt;0,AV33,AW33)</f>
        <v/>
      </c>
      <c r="AW34">
        <f>(AU34+AV34)/2</f>
        <v/>
      </c>
      <c r="AX34">
        <f>MIN(MAX(AW34,0),h_sl)</f>
        <v/>
      </c>
      <c r="AY34">
        <f>MIN(MAX(AW34-af_sl,0),hfe_sl)</f>
        <v/>
      </c>
      <c r="AZ34">
        <f>bw_sl*AX34*(AW34-AX34/2)+ov_sl*AY34*(AW34-af_sl-AY34/2)+(aeS_sl-(AW34&gt;y1_sl))*A1_sl*(AW34-y1_sl)+(aeS_sl-(AW34&gt;y2_sl))*A2_sl*(AW34-y2_sl)</f>
        <v/>
      </c>
      <c r="BA34">
        <f>bw_sl*(AW34*yc_sl*AX34-(AW34+yc_sl)*AX34^2/2+AX34^3/3)+ov_sl*((AW34-af_sl)*(yc_sl-af_sl)*AY34-(AW34+yc_sl-2*af_sl)*AY34^2/2+AY34^3/3)+(aeS_sl-(AW34&gt;y1_sl))*A1_sl*(AW34-y1_sl)*(yc_sl-y1_sl)+(aeS_sl-(AW34&gt;y2_sl))*A2_sl*(AW34-y2_sl)*(yc_sl-y2_sl)</f>
        <v/>
      </c>
      <c r="BB34">
        <f>Nqp_sl*1000*BA34-Mqp_sl*1E6*AZ34</f>
        <v/>
      </c>
      <c r="BD34">
        <f>IF(BK33&gt;0,BF33,BD33)</f>
        <v/>
      </c>
      <c r="BE34">
        <f>IF(BK33&gt;0,BE33,BF33)</f>
        <v/>
      </c>
      <c r="BF34">
        <f>(BD34+BE34)/2</f>
        <v/>
      </c>
      <c r="BG34">
        <f>MIN(MAX(BF34,0),h_sl)</f>
        <v/>
      </c>
      <c r="BH34">
        <f>MIN(MAX(BF34-af_sl,0),hfe_sl)</f>
        <v/>
      </c>
      <c r="BI34">
        <f>bw_sl*BG34*(BF34-BG34/2)+ov_sl*BH34*(BF34-af_sl-BH34/2)+(aeL_sl-(BF34&gt;y1_sl))*A1_sl*(BF34-y1_sl)+(aeL_sl-(BF34&gt;y2_sl))*A2_sl*(BF34-y2_sl)</f>
        <v/>
      </c>
      <c r="BJ34">
        <f>bw_sl*(BF34*yc_sl*BG34-(BF34+yc_sl)*BG34^2/2+BG34^3/3)+ov_sl*((BF34-af_sl)*(yc_sl-af_sl)*BH34-(BF34+yc_sl-2*af_sl)*BH34^2/2+BH34^3/3)+(aeL_sl-(BF34&gt;y1_sl))*A1_sl*(BF34-y1_sl)*(yc_sl-y1_sl)+(aeL_sl-(BF34&gt;y2_sl))*A2_sl*(BF34-y2_sl)*(yc_sl-y2_sl)</f>
        <v/>
      </c>
      <c r="BK34">
        <f>Nqp_sl*1000*BJ34-Mqp_sl*1E6*BI34</f>
        <v/>
      </c>
      <c r="BM34">
        <f>IF(BT33&gt;0,BO33,BM33)</f>
        <v/>
      </c>
      <c r="BN34">
        <f>IF(BT33&gt;0,BN33,BO33)</f>
        <v/>
      </c>
      <c r="BO34">
        <f>(BM34+BN34)/2</f>
        <v/>
      </c>
      <c r="BP34">
        <f>MIN(MAX(BO34,0),h_sl)</f>
        <v/>
      </c>
      <c r="BQ34">
        <f>MIN(MAX(BO34-af_sl,0),hfe_sl)</f>
        <v/>
      </c>
      <c r="BR34">
        <f>bw_sl*BP34*(BO34-BP34/2)+ov_sl*BQ34*(BO34-af_sl-BQ34/2)+(aeS_sl-(BO34&gt;y1_sl))*A1_sl*(BO34-y1_sl)+(aeS_sl-(BO34&gt;y2_sl))*A2_sl*(BO34-y2_sl)</f>
        <v/>
      </c>
      <c r="BS34">
        <f>bw_sl*(BO34*yc_sl*BP34-(BO34+yc_sl)*BP34^2/2+BP34^3/3)+ov_sl*((BO34-af_sl)*(yc_sl-af_sl)*BQ34-(BO34+yc_sl-2*af_sl)*BQ34^2/2+BQ34^3/3)+(aeS_sl-(BO34&gt;y1_sl))*A1_sl*(BO34-y1_sl)*(yc_sl-y1_sl)+(aeS_sl-(BO34&gt;y2_sl))*A2_sl*(BO34-y2_sl)*(yc_sl-y2_sl)</f>
        <v/>
      </c>
      <c r="BT34">
        <f>dN_sl*1000*BS34-dM_sl*1E6*BR34</f>
        <v/>
      </c>
      <c r="BV34">
        <f>IF(CC33&gt;0,BX33,BV33)</f>
        <v/>
      </c>
      <c r="BW34">
        <f>IF(CC33&gt;0,BW33,BX33)</f>
        <v/>
      </c>
      <c r="BX34">
        <f>(BV34+BW34)/2</f>
        <v/>
      </c>
      <c r="BY34">
        <f>MIN(MAX(BX34,0),h_sl)</f>
        <v/>
      </c>
      <c r="BZ34">
        <f>MIN(MAX(BX34-af_sl,0),hfe_sl)</f>
        <v/>
      </c>
      <c r="CA34">
        <f>bw_sl*BY34*(BX34-BY34/2)+ov_sl*BZ34*(BX34-af_sl-BZ34/2)+(aeM_sl-(BX34&gt;y1_sl))*A1_sl*(BX34-y1_sl)+(aeM_sl-(BX34&gt;y2_sl))*A2_sl*(BX34-y2_sl)</f>
        <v/>
      </c>
      <c r="CB34">
        <f>bw_sl*(BX34*yc_sl*BY34-(BX34+yc_sl)*BY34^2/2+BY34^3/3)+ov_sl*((BX34-af_sl)*(yc_sl-af_sl)*BZ34-(BX34+yc_sl-2*af_sl)*BZ34^2/2+BZ34^3/3)+(aeM_sl-(BX34&gt;y1_sl))*A1_sl*(BX34-y1_sl)*(yc_sl-y1_sl)+(aeM_sl-(BX34&gt;y2_sl))*A2_sl*(BX34-y2_sl)*(yc_sl-y2_sl)</f>
        <v/>
      </c>
      <c r="CC34">
        <f>Nk_sl*1000*CB34-Mk_sl*1E6*CA34</f>
        <v/>
      </c>
    </row>
    <row r="35">
      <c r="B35">
        <f>IF(I34&gt;0,D34,B34)</f>
        <v/>
      </c>
      <c r="C35">
        <f>IF(I34&gt;0,C34,D34)</f>
        <v/>
      </c>
      <c r="D35">
        <f>(B35+C35)/2</f>
        <v/>
      </c>
      <c r="E35">
        <f>MIN(MAX(D35,0),h_sl)</f>
        <v/>
      </c>
      <c r="F35">
        <f>MIN(MAX(D35-af_sl,0),hfe_sl)</f>
        <v/>
      </c>
      <c r="G35">
        <f>bw_sl*E35*(D35-E35/2)+ov_sl*F35*(D35-af_sl-F35/2)+(aeS_sl-(D35&gt;y1_sl))*A1_sl*(D35-y1_sl)+(aeS_sl-(D35&gt;y2_sl))*A2_sl*(D35-y2_sl)</f>
        <v/>
      </c>
      <c r="H35">
        <f>bw_sl*(D35*yc_sl*E35-(D35+yc_sl)*E35^2/2+E35^3/3)+ov_sl*((D35-af_sl)*(yc_sl-af_sl)*F35-(D35+yc_sl-2*af_sl)*F35^2/2+F35^3/3)+(aeS_sl-(D35&gt;y1_sl))*A1_sl*(D35-y1_sl)*(yc_sl-y1_sl)+(aeS_sl-(D35&gt;y2_sl))*A2_sl*(D35-y2_sl)*(yc_sl-y2_sl)</f>
        <v/>
      </c>
      <c r="I35">
        <f>-G35</f>
        <v/>
      </c>
      <c r="K35">
        <f>IF(R34&gt;0,M34,K34)</f>
        <v/>
      </c>
      <c r="L35">
        <f>IF(R34&gt;0,L34,M34)</f>
        <v/>
      </c>
      <c r="M35">
        <f>(K35+L35)/2</f>
        <v/>
      </c>
      <c r="N35">
        <f>MIN(MAX(M35,0),h_sl)</f>
        <v/>
      </c>
      <c r="O35">
        <f>MIN(MAX(M35-af_sl,0),hfe_sl)</f>
        <v/>
      </c>
      <c r="P35">
        <f>bw_sl*N35*(M35-N35/2)+ov_sl*O35*(M35-af_sl-O35/2)+(aeL_sl-(M35&gt;y1_sl))*A1_sl*(M35-y1_sl)+(aeL_sl-(M35&gt;y2_sl))*A2_sl*(M35-y2_sl)</f>
        <v/>
      </c>
      <c r="Q35">
        <f>bw_sl*(M35*yc_sl*N35-(M35+yc_sl)*N35^2/2+N35^3/3)+ov_sl*((M35-af_sl)*(yc_sl-af_sl)*O35-(M35+yc_sl-2*af_sl)*O35^2/2+O35^3/3)+(aeL_sl-(M35&gt;y1_sl))*A1_sl*(M35-y1_sl)*(yc_sl-y1_sl)+(aeL_sl-(M35&gt;y2_sl))*A2_sl*(M35-y2_sl)*(yc_sl-y2_sl)</f>
        <v/>
      </c>
      <c r="R35">
        <f>-P35</f>
        <v/>
      </c>
      <c r="T35">
        <f>IF(AA34&gt;0,V34,T34)</f>
        <v/>
      </c>
      <c r="U35">
        <f>IF(AA34&gt;0,U34,V34)</f>
        <v/>
      </c>
      <c r="V35">
        <f>(T35+U35)/2</f>
        <v/>
      </c>
      <c r="W35">
        <f>MIN(MAX(V35,0),h_sl)</f>
        <v/>
      </c>
      <c r="X35">
        <f>MIN(MAX(V35-af_sl,0),hfe_sl)</f>
        <v/>
      </c>
      <c r="Y35">
        <f>bw_sl*W35*(V35-W35/2)+ov_sl*X35*(V35-af_sl-X35/2)+(aeM_sl-(V35&gt;y1_sl))*A1_sl*(V35-y1_sl)+(aeM_sl-(V35&gt;y2_sl))*A2_sl*(V35-y2_sl)</f>
        <v/>
      </c>
      <c r="Z35">
        <f>bw_sl*(V35*yc_sl*W35-(V35+yc_sl)*W35^2/2+W35^3/3)+ov_sl*((V35-af_sl)*(yc_sl-af_sl)*X35-(V35+yc_sl-2*af_sl)*X35^2/2+X35^3/3)+(aeM_sl-(V35&gt;y1_sl))*A1_sl*(V35-y1_sl)*(yc_sl-y1_sl)+(aeM_sl-(V35&gt;y2_sl))*A2_sl*(V35-y2_sl)*(yc_sl-y2_sl)</f>
        <v/>
      </c>
      <c r="AA35">
        <f>-Y35</f>
        <v/>
      </c>
      <c r="AC35">
        <f>IF(AJ34&gt;0,AE34,AC34)</f>
        <v/>
      </c>
      <c r="AD35">
        <f>IF(AJ34&gt;0,AD34,AE34)</f>
        <v/>
      </c>
      <c r="AE35">
        <f>(AC35+AD35)/2</f>
        <v/>
      </c>
      <c r="AF35">
        <f>MIN(MAX(AE35,0),h_sl)</f>
        <v/>
      </c>
      <c r="AG35">
        <f>MIN(MAX(AE35-af_sl,0),hfe_sl)</f>
        <v/>
      </c>
      <c r="AH35">
        <f>bw_sl*AF35*(AE35-AF35/2)+ov_sl*AG35*(AE35-af_sl-AG35/2)+(aeS_sl-(AE35&gt;y1_sl))*A1_sl*(AE35-y1_sl)+(aeS_sl-(AE35&gt;y2_sl))*A2_sl*(AE35-y2_sl)</f>
        <v/>
      </c>
      <c r="AI35">
        <f>bw_sl*(AE35*yc_sl*AF35-(AE35+yc_sl)*AF35^2/2+AF35^3/3)+ov_sl*((AE35-af_sl)*(yc_sl-af_sl)*AG35-(AE35+yc_sl-2*af_sl)*AG35^2/2+AG35^3/3)+(aeS_sl-(AE35&gt;y1_sl))*A1_sl*(AE35-y1_sl)*(yc_sl-y1_sl)+(aeS_sl-(AE35&gt;y2_sl))*A2_sl*(AE35-y2_sl)*(yc_sl-y2_sl)</f>
        <v/>
      </c>
      <c r="AJ35">
        <f>Nk_sl*1000*AI35-Mk_sl*1E6*AH35</f>
        <v/>
      </c>
      <c r="AL35">
        <f>IF(AS34&gt;0,AN34,AL34)</f>
        <v/>
      </c>
      <c r="AM35">
        <f>IF(AS34&gt;0,AM34,AN34)</f>
        <v/>
      </c>
      <c r="AN35">
        <f>(AL35+AM35)/2</f>
        <v/>
      </c>
      <c r="AO35">
        <f>MIN(MAX(AN35,0),h_sl)</f>
        <v/>
      </c>
      <c r="AP35">
        <f>MIN(MAX(AN35-af_sl,0),hfe_sl)</f>
        <v/>
      </c>
      <c r="AQ35">
        <f>bw_sl*AO35*(AN35-AO35/2)+ov_sl*AP35*(AN35-af_sl-AP35/2)+(aeL_sl-(AN35&gt;y1_sl))*A1_sl*(AN35-y1_sl)+(aeL_sl-(AN35&gt;y2_sl))*A2_sl*(AN35-y2_sl)</f>
        <v/>
      </c>
      <c r="AR35">
        <f>bw_sl*(AN35*yc_sl*AO35-(AN35+yc_sl)*AO35^2/2+AO35^3/3)+ov_sl*((AN35-af_sl)*(yc_sl-af_sl)*AP35-(AN35+yc_sl-2*af_sl)*AP35^2/2+AP35^3/3)+(aeL_sl-(AN35&gt;y1_sl))*A1_sl*(AN35-y1_sl)*(yc_sl-y1_sl)+(aeL_sl-(AN35&gt;y2_sl))*A2_sl*(AN35-y2_sl)*(yc_sl-y2_sl)</f>
        <v/>
      </c>
      <c r="AS35">
        <f>Nk_sl*1000*AR35-Mk_sl*1E6*AQ35</f>
        <v/>
      </c>
      <c r="AU35">
        <f>IF(BB34&gt;0,AW34,AU34)</f>
        <v/>
      </c>
      <c r="AV35">
        <f>IF(BB34&gt;0,AV34,AW34)</f>
        <v/>
      </c>
      <c r="AW35">
        <f>(AU35+AV35)/2</f>
        <v/>
      </c>
      <c r="AX35">
        <f>MIN(MAX(AW35,0),h_sl)</f>
        <v/>
      </c>
      <c r="AY35">
        <f>MIN(MAX(AW35-af_sl,0),hfe_sl)</f>
        <v/>
      </c>
      <c r="AZ35">
        <f>bw_sl*AX35*(AW35-AX35/2)+ov_sl*AY35*(AW35-af_sl-AY35/2)+(aeS_sl-(AW35&gt;y1_sl))*A1_sl*(AW35-y1_sl)+(aeS_sl-(AW35&gt;y2_sl))*A2_sl*(AW35-y2_sl)</f>
        <v/>
      </c>
      <c r="BA35">
        <f>bw_sl*(AW35*yc_sl*AX35-(AW35+yc_sl)*AX35^2/2+AX35^3/3)+ov_sl*((AW35-af_sl)*(yc_sl-af_sl)*AY35-(AW35+yc_sl-2*af_sl)*AY35^2/2+AY35^3/3)+(aeS_sl-(AW35&gt;y1_sl))*A1_sl*(AW35-y1_sl)*(yc_sl-y1_sl)+(aeS_sl-(AW35&gt;y2_sl))*A2_sl*(AW35-y2_sl)*(yc_sl-y2_sl)</f>
        <v/>
      </c>
      <c r="BB35">
        <f>Nqp_sl*1000*BA35-Mqp_sl*1E6*AZ35</f>
        <v/>
      </c>
      <c r="BD35">
        <f>IF(BK34&gt;0,BF34,BD34)</f>
        <v/>
      </c>
      <c r="BE35">
        <f>IF(BK34&gt;0,BE34,BF34)</f>
        <v/>
      </c>
      <c r="BF35">
        <f>(BD35+BE35)/2</f>
        <v/>
      </c>
      <c r="BG35">
        <f>MIN(MAX(BF35,0),h_sl)</f>
        <v/>
      </c>
      <c r="BH35">
        <f>MIN(MAX(BF35-af_sl,0),hfe_sl)</f>
        <v/>
      </c>
      <c r="BI35">
        <f>bw_sl*BG35*(BF35-BG35/2)+ov_sl*BH35*(BF35-af_sl-BH35/2)+(aeL_sl-(BF35&gt;y1_sl))*A1_sl*(BF35-y1_sl)+(aeL_sl-(BF35&gt;y2_sl))*A2_sl*(BF35-y2_sl)</f>
        <v/>
      </c>
      <c r="BJ35">
        <f>bw_sl*(BF35*yc_sl*BG35-(BF35+yc_sl)*BG35^2/2+BG35^3/3)+ov_sl*((BF35-af_sl)*(yc_sl-af_sl)*BH35-(BF35+yc_sl-2*af_sl)*BH35^2/2+BH35^3/3)+(aeL_sl-(BF35&gt;y1_sl))*A1_sl*(BF35-y1_sl)*(yc_sl-y1_sl)+(aeL_sl-(BF35&gt;y2_sl))*A2_sl*(BF35-y2_sl)*(yc_sl-y2_sl)</f>
        <v/>
      </c>
      <c r="BK35">
        <f>Nqp_sl*1000*BJ35-Mqp_sl*1E6*BI35</f>
        <v/>
      </c>
      <c r="BM35">
        <f>IF(BT34&gt;0,BO34,BM34)</f>
        <v/>
      </c>
      <c r="BN35">
        <f>IF(BT34&gt;0,BN34,BO34)</f>
        <v/>
      </c>
      <c r="BO35">
        <f>(BM35+BN35)/2</f>
        <v/>
      </c>
      <c r="BP35">
        <f>MIN(MAX(BO35,0),h_sl)</f>
        <v/>
      </c>
      <c r="BQ35">
        <f>MIN(MAX(BO35-af_sl,0),hfe_sl)</f>
        <v/>
      </c>
      <c r="BR35">
        <f>bw_sl*BP35*(BO35-BP35/2)+ov_sl*BQ35*(BO35-af_sl-BQ35/2)+(aeS_sl-(BO35&gt;y1_sl))*A1_sl*(BO35-y1_sl)+(aeS_sl-(BO35&gt;y2_sl))*A2_sl*(BO35-y2_sl)</f>
        <v/>
      </c>
      <c r="BS35">
        <f>bw_sl*(BO35*yc_sl*BP35-(BO35+yc_sl)*BP35^2/2+BP35^3/3)+ov_sl*((BO35-af_sl)*(yc_sl-af_sl)*BQ35-(BO35+yc_sl-2*af_sl)*BQ35^2/2+BQ35^3/3)+(aeS_sl-(BO35&gt;y1_sl))*A1_sl*(BO35-y1_sl)*(yc_sl-y1_sl)+(aeS_sl-(BO35&gt;y2_sl))*A2_sl*(BO35-y2_sl)*(yc_sl-y2_sl)</f>
        <v/>
      </c>
      <c r="BT35">
        <f>dN_sl*1000*BS35-dM_sl*1E6*BR35</f>
        <v/>
      </c>
      <c r="BV35">
        <f>IF(CC34&gt;0,BX34,BV34)</f>
        <v/>
      </c>
      <c r="BW35">
        <f>IF(CC34&gt;0,BW34,BX34)</f>
        <v/>
      </c>
      <c r="BX35">
        <f>(BV35+BW35)/2</f>
        <v/>
      </c>
      <c r="BY35">
        <f>MIN(MAX(BX35,0),h_sl)</f>
        <v/>
      </c>
      <c r="BZ35">
        <f>MIN(MAX(BX35-af_sl,0),hfe_sl)</f>
        <v/>
      </c>
      <c r="CA35">
        <f>bw_sl*BY35*(BX35-BY35/2)+ov_sl*BZ35*(BX35-af_sl-BZ35/2)+(aeM_sl-(BX35&gt;y1_sl))*A1_sl*(BX35-y1_sl)+(aeM_sl-(BX35&gt;y2_sl))*A2_sl*(BX35-y2_sl)</f>
        <v/>
      </c>
      <c r="CB35">
        <f>bw_sl*(BX35*yc_sl*BY35-(BX35+yc_sl)*BY35^2/2+BY35^3/3)+ov_sl*((BX35-af_sl)*(yc_sl-af_sl)*BZ35-(BX35+yc_sl-2*af_sl)*BZ35^2/2+BZ35^3/3)+(aeM_sl-(BX35&gt;y1_sl))*A1_sl*(BX35-y1_sl)*(yc_sl-y1_sl)+(aeM_sl-(BX35&gt;y2_sl))*A2_sl*(BX35-y2_sl)*(yc_sl-y2_sl)</f>
        <v/>
      </c>
      <c r="CC35">
        <f>Nk_sl*1000*CB35-Mk_sl*1E6*CA35</f>
        <v/>
      </c>
    </row>
    <row r="36">
      <c r="B36">
        <f>IF(I35&gt;0,D35,B35)</f>
        <v/>
      </c>
      <c r="C36">
        <f>IF(I35&gt;0,C35,D35)</f>
        <v/>
      </c>
      <c r="D36">
        <f>(B36+C36)/2</f>
        <v/>
      </c>
      <c r="E36">
        <f>MIN(MAX(D36,0),h_sl)</f>
        <v/>
      </c>
      <c r="F36">
        <f>MIN(MAX(D36-af_sl,0),hfe_sl)</f>
        <v/>
      </c>
      <c r="G36">
        <f>bw_sl*E36*(D36-E36/2)+ov_sl*F36*(D36-af_sl-F36/2)+(aeS_sl-(D36&gt;y1_sl))*A1_sl*(D36-y1_sl)+(aeS_sl-(D36&gt;y2_sl))*A2_sl*(D36-y2_sl)</f>
        <v/>
      </c>
      <c r="H36">
        <f>bw_sl*(D36*yc_sl*E36-(D36+yc_sl)*E36^2/2+E36^3/3)+ov_sl*((D36-af_sl)*(yc_sl-af_sl)*F36-(D36+yc_sl-2*af_sl)*F36^2/2+F36^3/3)+(aeS_sl-(D36&gt;y1_sl))*A1_sl*(D36-y1_sl)*(yc_sl-y1_sl)+(aeS_sl-(D36&gt;y2_sl))*A2_sl*(D36-y2_sl)*(yc_sl-y2_sl)</f>
        <v/>
      </c>
      <c r="I36">
        <f>-G36</f>
        <v/>
      </c>
      <c r="K36">
        <f>IF(R35&gt;0,M35,K35)</f>
        <v/>
      </c>
      <c r="L36">
        <f>IF(R35&gt;0,L35,M35)</f>
        <v/>
      </c>
      <c r="M36">
        <f>(K36+L36)/2</f>
        <v/>
      </c>
      <c r="N36">
        <f>MIN(MAX(M36,0),h_sl)</f>
        <v/>
      </c>
      <c r="O36">
        <f>MIN(MAX(M36-af_sl,0),hfe_sl)</f>
        <v/>
      </c>
      <c r="P36">
        <f>bw_sl*N36*(M36-N36/2)+ov_sl*O36*(M36-af_sl-O36/2)+(aeL_sl-(M36&gt;y1_sl))*A1_sl*(M36-y1_sl)+(aeL_sl-(M36&gt;y2_sl))*A2_sl*(M36-y2_sl)</f>
        <v/>
      </c>
      <c r="Q36">
        <f>bw_sl*(M36*yc_sl*N36-(M36+yc_sl)*N36^2/2+N36^3/3)+ov_sl*((M36-af_sl)*(yc_sl-af_sl)*O36-(M36+yc_sl-2*af_sl)*O36^2/2+O36^3/3)+(aeL_sl-(M36&gt;y1_sl))*A1_sl*(M36-y1_sl)*(yc_sl-y1_sl)+(aeL_sl-(M36&gt;y2_sl))*A2_sl*(M36-y2_sl)*(yc_sl-y2_sl)</f>
        <v/>
      </c>
      <c r="R36">
        <f>-P36</f>
        <v/>
      </c>
      <c r="T36">
        <f>IF(AA35&gt;0,V35,T35)</f>
        <v/>
      </c>
      <c r="U36">
        <f>IF(AA35&gt;0,U35,V35)</f>
        <v/>
      </c>
      <c r="V36">
        <f>(T36+U36)/2</f>
        <v/>
      </c>
      <c r="W36">
        <f>MIN(MAX(V36,0),h_sl)</f>
        <v/>
      </c>
      <c r="X36">
        <f>MIN(MAX(V36-af_sl,0),hfe_sl)</f>
        <v/>
      </c>
      <c r="Y36">
        <f>bw_sl*W36*(V36-W36/2)+ov_sl*X36*(V36-af_sl-X36/2)+(aeM_sl-(V36&gt;y1_sl))*A1_sl*(V36-y1_sl)+(aeM_sl-(V36&gt;y2_sl))*A2_sl*(V36-y2_sl)</f>
        <v/>
      </c>
      <c r="Z36">
        <f>bw_sl*(V36*yc_sl*W36-(V36+yc_sl)*W36^2/2+W36^3/3)+ov_sl*((V36-af_sl)*(yc_sl-af_sl)*X36-(V36+yc_sl-2*af_sl)*X36^2/2+X36^3/3)+(aeM_sl-(V36&gt;y1_sl))*A1_sl*(V36-y1_sl)*(yc_sl-y1_sl)+(aeM_sl-(V36&gt;y2_sl))*A2_sl*(V36-y2_sl)*(yc_sl-y2_sl)</f>
        <v/>
      </c>
      <c r="AA36">
        <f>-Y36</f>
        <v/>
      </c>
      <c r="AC36">
        <f>IF(AJ35&gt;0,AE35,AC35)</f>
        <v/>
      </c>
      <c r="AD36">
        <f>IF(AJ35&gt;0,AD35,AE35)</f>
        <v/>
      </c>
      <c r="AE36">
        <f>(AC36+AD36)/2</f>
        <v/>
      </c>
      <c r="AF36">
        <f>MIN(MAX(AE36,0),h_sl)</f>
        <v/>
      </c>
      <c r="AG36">
        <f>MIN(MAX(AE36-af_sl,0),hfe_sl)</f>
        <v/>
      </c>
      <c r="AH36">
        <f>bw_sl*AF36*(AE36-AF36/2)+ov_sl*AG36*(AE36-af_sl-AG36/2)+(aeS_sl-(AE36&gt;y1_sl))*A1_sl*(AE36-y1_sl)+(aeS_sl-(AE36&gt;y2_sl))*A2_sl*(AE36-y2_sl)</f>
        <v/>
      </c>
      <c r="AI36">
        <f>bw_sl*(AE36*yc_sl*AF36-(AE36+yc_sl)*AF36^2/2+AF36^3/3)+ov_sl*((AE36-af_sl)*(yc_sl-af_sl)*AG36-(AE36+yc_sl-2*af_sl)*AG36^2/2+AG36^3/3)+(aeS_sl-(AE36&gt;y1_sl))*A1_sl*(AE36-y1_sl)*(yc_sl-y1_sl)+(aeS_sl-(AE36&gt;y2_sl))*A2_sl*(AE36-y2_sl)*(yc_sl-y2_sl)</f>
        <v/>
      </c>
      <c r="AJ36">
        <f>Nk_sl*1000*AI36-Mk_sl*1E6*AH36</f>
        <v/>
      </c>
      <c r="AL36">
        <f>IF(AS35&gt;0,AN35,AL35)</f>
        <v/>
      </c>
      <c r="AM36">
        <f>IF(AS35&gt;0,AM35,AN35)</f>
        <v/>
      </c>
      <c r="AN36">
        <f>(AL36+AM36)/2</f>
        <v/>
      </c>
      <c r="AO36">
        <f>MIN(MAX(AN36,0),h_sl)</f>
        <v/>
      </c>
      <c r="AP36">
        <f>MIN(MAX(AN36-af_sl,0),hfe_sl)</f>
        <v/>
      </c>
      <c r="AQ36">
        <f>bw_sl*AO36*(AN36-AO36/2)+ov_sl*AP36*(AN36-af_sl-AP36/2)+(aeL_sl-(AN36&gt;y1_sl))*A1_sl*(AN36-y1_sl)+(aeL_sl-(AN36&gt;y2_sl))*A2_sl*(AN36-y2_sl)</f>
        <v/>
      </c>
      <c r="AR36">
        <f>bw_sl*(AN36*yc_sl*AO36-(AN36+yc_sl)*AO36^2/2+AO36^3/3)+ov_sl*((AN36-af_sl)*(yc_sl-af_sl)*AP36-(AN36+yc_sl-2*af_sl)*AP36^2/2+AP36^3/3)+(aeL_sl-(AN36&gt;y1_sl))*A1_sl*(AN36-y1_sl)*(yc_sl-y1_sl)+(aeL_sl-(AN36&gt;y2_sl))*A2_sl*(AN36-y2_sl)*(yc_sl-y2_sl)</f>
        <v/>
      </c>
      <c r="AS36">
        <f>Nk_sl*1000*AR36-Mk_sl*1E6*AQ36</f>
        <v/>
      </c>
      <c r="AU36">
        <f>IF(BB35&gt;0,AW35,AU35)</f>
        <v/>
      </c>
      <c r="AV36">
        <f>IF(BB35&gt;0,AV35,AW35)</f>
        <v/>
      </c>
      <c r="AW36">
        <f>(AU36+AV36)/2</f>
        <v/>
      </c>
      <c r="AX36">
        <f>MIN(MAX(AW36,0),h_sl)</f>
        <v/>
      </c>
      <c r="AY36">
        <f>MIN(MAX(AW36-af_sl,0),hfe_sl)</f>
        <v/>
      </c>
      <c r="AZ36">
        <f>bw_sl*AX36*(AW36-AX36/2)+ov_sl*AY36*(AW36-af_sl-AY36/2)+(aeS_sl-(AW36&gt;y1_sl))*A1_sl*(AW36-y1_sl)+(aeS_sl-(AW36&gt;y2_sl))*A2_sl*(AW36-y2_sl)</f>
        <v/>
      </c>
      <c r="BA36">
        <f>bw_sl*(AW36*yc_sl*AX36-(AW36+yc_sl)*AX36^2/2+AX36^3/3)+ov_sl*((AW36-af_sl)*(yc_sl-af_sl)*AY36-(AW36+yc_sl-2*af_sl)*AY36^2/2+AY36^3/3)+(aeS_sl-(AW36&gt;y1_sl))*A1_sl*(AW36-y1_sl)*(yc_sl-y1_sl)+(aeS_sl-(AW36&gt;y2_sl))*A2_sl*(AW36-y2_sl)*(yc_sl-y2_sl)</f>
        <v/>
      </c>
      <c r="BB36">
        <f>Nqp_sl*1000*BA36-Mqp_sl*1E6*AZ36</f>
        <v/>
      </c>
      <c r="BD36">
        <f>IF(BK35&gt;0,BF35,BD35)</f>
        <v/>
      </c>
      <c r="BE36">
        <f>IF(BK35&gt;0,BE35,BF35)</f>
        <v/>
      </c>
      <c r="BF36">
        <f>(BD36+BE36)/2</f>
        <v/>
      </c>
      <c r="BG36">
        <f>MIN(MAX(BF36,0),h_sl)</f>
        <v/>
      </c>
      <c r="BH36">
        <f>MIN(MAX(BF36-af_sl,0),hfe_sl)</f>
        <v/>
      </c>
      <c r="BI36">
        <f>bw_sl*BG36*(BF36-BG36/2)+ov_sl*BH36*(BF36-af_sl-BH36/2)+(aeL_sl-(BF36&gt;y1_sl))*A1_sl*(BF36-y1_sl)+(aeL_sl-(BF36&gt;y2_sl))*A2_sl*(BF36-y2_sl)</f>
        <v/>
      </c>
      <c r="BJ36">
        <f>bw_sl*(BF36*yc_sl*BG36-(BF36+yc_sl)*BG36^2/2+BG36^3/3)+ov_sl*((BF36-af_sl)*(yc_sl-af_sl)*BH36-(BF36+yc_sl-2*af_sl)*BH36^2/2+BH36^3/3)+(aeL_sl-(BF36&gt;y1_sl))*A1_sl*(BF36-y1_sl)*(yc_sl-y1_sl)+(aeL_sl-(BF36&gt;y2_sl))*A2_sl*(BF36-y2_sl)*(yc_sl-y2_sl)</f>
        <v/>
      </c>
      <c r="BK36">
        <f>Nqp_sl*1000*BJ36-Mqp_sl*1E6*BI36</f>
        <v/>
      </c>
      <c r="BM36">
        <f>IF(BT35&gt;0,BO35,BM35)</f>
        <v/>
      </c>
      <c r="BN36">
        <f>IF(BT35&gt;0,BN35,BO35)</f>
        <v/>
      </c>
      <c r="BO36">
        <f>(BM36+BN36)/2</f>
        <v/>
      </c>
      <c r="BP36">
        <f>MIN(MAX(BO36,0),h_sl)</f>
        <v/>
      </c>
      <c r="BQ36">
        <f>MIN(MAX(BO36-af_sl,0),hfe_sl)</f>
        <v/>
      </c>
      <c r="BR36">
        <f>bw_sl*BP36*(BO36-BP36/2)+ov_sl*BQ36*(BO36-af_sl-BQ36/2)+(aeS_sl-(BO36&gt;y1_sl))*A1_sl*(BO36-y1_sl)+(aeS_sl-(BO36&gt;y2_sl))*A2_sl*(BO36-y2_sl)</f>
        <v/>
      </c>
      <c r="BS36">
        <f>bw_sl*(BO36*yc_sl*BP36-(BO36+yc_sl)*BP36^2/2+BP36^3/3)+ov_sl*((BO36-af_sl)*(yc_sl-af_sl)*BQ36-(BO36+yc_sl-2*af_sl)*BQ36^2/2+BQ36^3/3)+(aeS_sl-(BO36&gt;y1_sl))*A1_sl*(BO36-y1_sl)*(yc_sl-y1_sl)+(aeS_sl-(BO36&gt;y2_sl))*A2_sl*(BO36-y2_sl)*(yc_sl-y2_sl)</f>
        <v/>
      </c>
      <c r="BT36">
        <f>dN_sl*1000*BS36-dM_sl*1E6*BR36</f>
        <v/>
      </c>
      <c r="BV36">
        <f>IF(CC35&gt;0,BX35,BV35)</f>
        <v/>
      </c>
      <c r="BW36">
        <f>IF(CC35&gt;0,BW35,BX35)</f>
        <v/>
      </c>
      <c r="BX36">
        <f>(BV36+BW36)/2</f>
        <v/>
      </c>
      <c r="BY36">
        <f>MIN(MAX(BX36,0),h_sl)</f>
        <v/>
      </c>
      <c r="BZ36">
        <f>MIN(MAX(BX36-af_sl,0),hfe_sl)</f>
        <v/>
      </c>
      <c r="CA36">
        <f>bw_sl*BY36*(BX36-BY36/2)+ov_sl*BZ36*(BX36-af_sl-BZ36/2)+(aeM_sl-(BX36&gt;y1_sl))*A1_sl*(BX36-y1_sl)+(aeM_sl-(BX36&gt;y2_sl))*A2_sl*(BX36-y2_sl)</f>
        <v/>
      </c>
      <c r="CB36">
        <f>bw_sl*(BX36*yc_sl*BY36-(BX36+yc_sl)*BY36^2/2+BY36^3/3)+ov_sl*((BX36-af_sl)*(yc_sl-af_sl)*BZ36-(BX36+yc_sl-2*af_sl)*BZ36^2/2+BZ36^3/3)+(aeM_sl-(BX36&gt;y1_sl))*A1_sl*(BX36-y1_sl)*(yc_sl-y1_sl)+(aeM_sl-(BX36&gt;y2_sl))*A2_sl*(BX36-y2_sl)*(yc_sl-y2_sl)</f>
        <v/>
      </c>
      <c r="CC36">
        <f>Nk_sl*1000*CB36-Mk_sl*1E6*CA36</f>
        <v/>
      </c>
    </row>
    <row r="37">
      <c r="B37">
        <f>IF(I36&gt;0,D36,B36)</f>
        <v/>
      </c>
      <c r="C37">
        <f>IF(I36&gt;0,C36,D36)</f>
        <v/>
      </c>
      <c r="D37">
        <f>(B37+C37)/2</f>
        <v/>
      </c>
      <c r="E37">
        <f>MIN(MAX(D37,0),h_sl)</f>
        <v/>
      </c>
      <c r="F37">
        <f>MIN(MAX(D37-af_sl,0),hfe_sl)</f>
        <v/>
      </c>
      <c r="G37">
        <f>bw_sl*E37*(D37-E37/2)+ov_sl*F37*(D37-af_sl-F37/2)+(aeS_sl-(D37&gt;y1_sl))*A1_sl*(D37-y1_sl)+(aeS_sl-(D37&gt;y2_sl))*A2_sl*(D37-y2_sl)</f>
        <v/>
      </c>
      <c r="H37">
        <f>bw_sl*(D37*yc_sl*E37-(D37+yc_sl)*E37^2/2+E37^3/3)+ov_sl*((D37-af_sl)*(yc_sl-af_sl)*F37-(D37+yc_sl-2*af_sl)*F37^2/2+F37^3/3)+(aeS_sl-(D37&gt;y1_sl))*A1_sl*(D37-y1_sl)*(yc_sl-y1_sl)+(aeS_sl-(D37&gt;y2_sl))*A2_sl*(D37-y2_sl)*(yc_sl-y2_sl)</f>
        <v/>
      </c>
      <c r="I37">
        <f>-G37</f>
        <v/>
      </c>
      <c r="K37">
        <f>IF(R36&gt;0,M36,K36)</f>
        <v/>
      </c>
      <c r="L37">
        <f>IF(R36&gt;0,L36,M36)</f>
        <v/>
      </c>
      <c r="M37">
        <f>(K37+L37)/2</f>
        <v/>
      </c>
      <c r="N37">
        <f>MIN(MAX(M37,0),h_sl)</f>
        <v/>
      </c>
      <c r="O37">
        <f>MIN(MAX(M37-af_sl,0),hfe_sl)</f>
        <v/>
      </c>
      <c r="P37">
        <f>bw_sl*N37*(M37-N37/2)+ov_sl*O37*(M37-af_sl-O37/2)+(aeL_sl-(M37&gt;y1_sl))*A1_sl*(M37-y1_sl)+(aeL_sl-(M37&gt;y2_sl))*A2_sl*(M37-y2_sl)</f>
        <v/>
      </c>
      <c r="Q37">
        <f>bw_sl*(M37*yc_sl*N37-(M37+yc_sl)*N37^2/2+N37^3/3)+ov_sl*((M37-af_sl)*(yc_sl-af_sl)*O37-(M37+yc_sl-2*af_sl)*O37^2/2+O37^3/3)+(aeL_sl-(M37&gt;y1_sl))*A1_sl*(M37-y1_sl)*(yc_sl-y1_sl)+(aeL_sl-(M37&gt;y2_sl))*A2_sl*(M37-y2_sl)*(yc_sl-y2_sl)</f>
        <v/>
      </c>
      <c r="R37">
        <f>-P37</f>
        <v/>
      </c>
      <c r="T37">
        <f>IF(AA36&gt;0,V36,T36)</f>
        <v/>
      </c>
      <c r="U37">
        <f>IF(AA36&gt;0,U36,V36)</f>
        <v/>
      </c>
      <c r="V37">
        <f>(T37+U37)/2</f>
        <v/>
      </c>
      <c r="W37">
        <f>MIN(MAX(V37,0),h_sl)</f>
        <v/>
      </c>
      <c r="X37">
        <f>MIN(MAX(V37-af_sl,0),hfe_sl)</f>
        <v/>
      </c>
      <c r="Y37">
        <f>bw_sl*W37*(V37-W37/2)+ov_sl*X37*(V37-af_sl-X37/2)+(aeM_sl-(V37&gt;y1_sl))*A1_sl*(V37-y1_sl)+(aeM_sl-(V37&gt;y2_sl))*A2_sl*(V37-y2_sl)</f>
        <v/>
      </c>
      <c r="Z37">
        <f>bw_sl*(V37*yc_sl*W37-(V37+yc_sl)*W37^2/2+W37^3/3)+ov_sl*((V37-af_sl)*(yc_sl-af_sl)*X37-(V37+yc_sl-2*af_sl)*X37^2/2+X37^3/3)+(aeM_sl-(V37&gt;y1_sl))*A1_sl*(V37-y1_sl)*(yc_sl-y1_sl)+(aeM_sl-(V37&gt;y2_sl))*A2_sl*(V37-y2_sl)*(yc_sl-y2_sl)</f>
        <v/>
      </c>
      <c r="AA37">
        <f>-Y37</f>
        <v/>
      </c>
      <c r="AC37">
        <f>IF(AJ36&gt;0,AE36,AC36)</f>
        <v/>
      </c>
      <c r="AD37">
        <f>IF(AJ36&gt;0,AD36,AE36)</f>
        <v/>
      </c>
      <c r="AE37">
        <f>(AC37+AD37)/2</f>
        <v/>
      </c>
      <c r="AF37">
        <f>MIN(MAX(AE37,0),h_sl)</f>
        <v/>
      </c>
      <c r="AG37">
        <f>MIN(MAX(AE37-af_sl,0),hfe_sl)</f>
        <v/>
      </c>
      <c r="AH37">
        <f>bw_sl*AF37*(AE37-AF37/2)+ov_sl*AG37*(AE37-af_sl-AG37/2)+(aeS_sl-(AE37&gt;y1_sl))*A1_sl*(AE37-y1_sl)+(aeS_sl-(AE37&gt;y2_sl))*A2_sl*(AE37-y2_sl)</f>
        <v/>
      </c>
      <c r="AI37">
        <f>bw_sl*(AE37*yc_sl*AF37-(AE37+yc_sl)*AF37^2/2+AF37^3/3)+ov_sl*((AE37-af_sl)*(yc_sl-af_sl)*AG37-(AE37+yc_sl-2*af_sl)*AG37^2/2+AG37^3/3)+(aeS_sl-(AE37&gt;y1_sl))*A1_sl*(AE37-y1_sl)*(yc_sl-y1_sl)+(aeS_sl-(AE37&gt;y2_sl))*A2_sl*(AE37-y2_sl)*(yc_sl-y2_sl)</f>
        <v/>
      </c>
      <c r="AJ37">
        <f>Nk_sl*1000*AI37-Mk_sl*1E6*AH37</f>
        <v/>
      </c>
      <c r="AL37">
        <f>IF(AS36&gt;0,AN36,AL36)</f>
        <v/>
      </c>
      <c r="AM37">
        <f>IF(AS36&gt;0,AM36,AN36)</f>
        <v/>
      </c>
      <c r="AN37">
        <f>(AL37+AM37)/2</f>
        <v/>
      </c>
      <c r="AO37">
        <f>MIN(MAX(AN37,0),h_sl)</f>
        <v/>
      </c>
      <c r="AP37">
        <f>MIN(MAX(AN37-af_sl,0),hfe_sl)</f>
        <v/>
      </c>
      <c r="AQ37">
        <f>bw_sl*AO37*(AN37-AO37/2)+ov_sl*AP37*(AN37-af_sl-AP37/2)+(aeL_sl-(AN37&gt;y1_sl))*A1_sl*(AN37-y1_sl)+(aeL_sl-(AN37&gt;y2_sl))*A2_sl*(AN37-y2_sl)</f>
        <v/>
      </c>
      <c r="AR37">
        <f>bw_sl*(AN37*yc_sl*AO37-(AN37+yc_sl)*AO37^2/2+AO37^3/3)+ov_sl*((AN37-af_sl)*(yc_sl-af_sl)*AP37-(AN37+yc_sl-2*af_sl)*AP37^2/2+AP37^3/3)+(aeL_sl-(AN37&gt;y1_sl))*A1_sl*(AN37-y1_sl)*(yc_sl-y1_sl)+(aeL_sl-(AN37&gt;y2_sl))*A2_sl*(AN37-y2_sl)*(yc_sl-y2_sl)</f>
        <v/>
      </c>
      <c r="AS37">
        <f>Nk_sl*1000*AR37-Mk_sl*1E6*AQ37</f>
        <v/>
      </c>
      <c r="AU37">
        <f>IF(BB36&gt;0,AW36,AU36)</f>
        <v/>
      </c>
      <c r="AV37">
        <f>IF(BB36&gt;0,AV36,AW36)</f>
        <v/>
      </c>
      <c r="AW37">
        <f>(AU37+AV37)/2</f>
        <v/>
      </c>
      <c r="AX37">
        <f>MIN(MAX(AW37,0),h_sl)</f>
        <v/>
      </c>
      <c r="AY37">
        <f>MIN(MAX(AW37-af_sl,0),hfe_sl)</f>
        <v/>
      </c>
      <c r="AZ37">
        <f>bw_sl*AX37*(AW37-AX37/2)+ov_sl*AY37*(AW37-af_sl-AY37/2)+(aeS_sl-(AW37&gt;y1_sl))*A1_sl*(AW37-y1_sl)+(aeS_sl-(AW37&gt;y2_sl))*A2_sl*(AW37-y2_sl)</f>
        <v/>
      </c>
      <c r="BA37">
        <f>bw_sl*(AW37*yc_sl*AX37-(AW37+yc_sl)*AX37^2/2+AX37^3/3)+ov_sl*((AW37-af_sl)*(yc_sl-af_sl)*AY37-(AW37+yc_sl-2*af_sl)*AY37^2/2+AY37^3/3)+(aeS_sl-(AW37&gt;y1_sl))*A1_sl*(AW37-y1_sl)*(yc_sl-y1_sl)+(aeS_sl-(AW37&gt;y2_sl))*A2_sl*(AW37-y2_sl)*(yc_sl-y2_sl)</f>
        <v/>
      </c>
      <c r="BB37">
        <f>Nqp_sl*1000*BA37-Mqp_sl*1E6*AZ37</f>
        <v/>
      </c>
      <c r="BD37">
        <f>IF(BK36&gt;0,BF36,BD36)</f>
        <v/>
      </c>
      <c r="BE37">
        <f>IF(BK36&gt;0,BE36,BF36)</f>
        <v/>
      </c>
      <c r="BF37">
        <f>(BD37+BE37)/2</f>
        <v/>
      </c>
      <c r="BG37">
        <f>MIN(MAX(BF37,0),h_sl)</f>
        <v/>
      </c>
      <c r="BH37">
        <f>MIN(MAX(BF37-af_sl,0),hfe_sl)</f>
        <v/>
      </c>
      <c r="BI37">
        <f>bw_sl*BG37*(BF37-BG37/2)+ov_sl*BH37*(BF37-af_sl-BH37/2)+(aeL_sl-(BF37&gt;y1_sl))*A1_sl*(BF37-y1_sl)+(aeL_sl-(BF37&gt;y2_sl))*A2_sl*(BF37-y2_sl)</f>
        <v/>
      </c>
      <c r="BJ37">
        <f>bw_sl*(BF37*yc_sl*BG37-(BF37+yc_sl)*BG37^2/2+BG37^3/3)+ov_sl*((BF37-af_sl)*(yc_sl-af_sl)*BH37-(BF37+yc_sl-2*af_sl)*BH37^2/2+BH37^3/3)+(aeL_sl-(BF37&gt;y1_sl))*A1_sl*(BF37-y1_sl)*(yc_sl-y1_sl)+(aeL_sl-(BF37&gt;y2_sl))*A2_sl*(BF37-y2_sl)*(yc_sl-y2_sl)</f>
        <v/>
      </c>
      <c r="BK37">
        <f>Nqp_sl*1000*BJ37-Mqp_sl*1E6*BI37</f>
        <v/>
      </c>
      <c r="BM37">
        <f>IF(BT36&gt;0,BO36,BM36)</f>
        <v/>
      </c>
      <c r="BN37">
        <f>IF(BT36&gt;0,BN36,BO36)</f>
        <v/>
      </c>
      <c r="BO37">
        <f>(BM37+BN37)/2</f>
        <v/>
      </c>
      <c r="BP37">
        <f>MIN(MAX(BO37,0),h_sl)</f>
        <v/>
      </c>
      <c r="BQ37">
        <f>MIN(MAX(BO37-af_sl,0),hfe_sl)</f>
        <v/>
      </c>
      <c r="BR37">
        <f>bw_sl*BP37*(BO37-BP37/2)+ov_sl*BQ37*(BO37-af_sl-BQ37/2)+(aeS_sl-(BO37&gt;y1_sl))*A1_sl*(BO37-y1_sl)+(aeS_sl-(BO37&gt;y2_sl))*A2_sl*(BO37-y2_sl)</f>
        <v/>
      </c>
      <c r="BS37">
        <f>bw_sl*(BO37*yc_sl*BP37-(BO37+yc_sl)*BP37^2/2+BP37^3/3)+ov_sl*((BO37-af_sl)*(yc_sl-af_sl)*BQ37-(BO37+yc_sl-2*af_sl)*BQ37^2/2+BQ37^3/3)+(aeS_sl-(BO37&gt;y1_sl))*A1_sl*(BO37-y1_sl)*(yc_sl-y1_sl)+(aeS_sl-(BO37&gt;y2_sl))*A2_sl*(BO37-y2_sl)*(yc_sl-y2_sl)</f>
        <v/>
      </c>
      <c r="BT37">
        <f>dN_sl*1000*BS37-dM_sl*1E6*BR37</f>
        <v/>
      </c>
      <c r="BV37">
        <f>IF(CC36&gt;0,BX36,BV36)</f>
        <v/>
      </c>
      <c r="BW37">
        <f>IF(CC36&gt;0,BW36,BX36)</f>
        <v/>
      </c>
      <c r="BX37">
        <f>(BV37+BW37)/2</f>
        <v/>
      </c>
      <c r="BY37">
        <f>MIN(MAX(BX37,0),h_sl)</f>
        <v/>
      </c>
      <c r="BZ37">
        <f>MIN(MAX(BX37-af_sl,0),hfe_sl)</f>
        <v/>
      </c>
      <c r="CA37">
        <f>bw_sl*BY37*(BX37-BY37/2)+ov_sl*BZ37*(BX37-af_sl-BZ37/2)+(aeM_sl-(BX37&gt;y1_sl))*A1_sl*(BX37-y1_sl)+(aeM_sl-(BX37&gt;y2_sl))*A2_sl*(BX37-y2_sl)</f>
        <v/>
      </c>
      <c r="CB37">
        <f>bw_sl*(BX37*yc_sl*BY37-(BX37+yc_sl)*BY37^2/2+BY37^3/3)+ov_sl*((BX37-af_sl)*(yc_sl-af_sl)*BZ37-(BX37+yc_sl-2*af_sl)*BZ37^2/2+BZ37^3/3)+(aeM_sl-(BX37&gt;y1_sl))*A1_sl*(BX37-y1_sl)*(yc_sl-y1_sl)+(aeM_sl-(BX37&gt;y2_sl))*A2_sl*(BX37-y2_sl)*(yc_sl-y2_sl)</f>
        <v/>
      </c>
      <c r="CC37">
        <f>Nk_sl*1000*CB37-Mk_sl*1E6*CA37</f>
        <v/>
      </c>
    </row>
    <row r="38">
      <c r="B38">
        <f>IF(I37&gt;0,D37,B37)</f>
        <v/>
      </c>
      <c r="C38">
        <f>IF(I37&gt;0,C37,D37)</f>
        <v/>
      </c>
      <c r="D38">
        <f>(B38+C38)/2</f>
        <v/>
      </c>
      <c r="E38">
        <f>MIN(MAX(D38,0),h_sl)</f>
        <v/>
      </c>
      <c r="F38">
        <f>MIN(MAX(D38-af_sl,0),hfe_sl)</f>
        <v/>
      </c>
      <c r="G38">
        <f>bw_sl*E38*(D38-E38/2)+ov_sl*F38*(D38-af_sl-F38/2)+(aeS_sl-(D38&gt;y1_sl))*A1_sl*(D38-y1_sl)+(aeS_sl-(D38&gt;y2_sl))*A2_sl*(D38-y2_sl)</f>
        <v/>
      </c>
      <c r="H38">
        <f>bw_sl*(D38*yc_sl*E38-(D38+yc_sl)*E38^2/2+E38^3/3)+ov_sl*((D38-af_sl)*(yc_sl-af_sl)*F38-(D38+yc_sl-2*af_sl)*F38^2/2+F38^3/3)+(aeS_sl-(D38&gt;y1_sl))*A1_sl*(D38-y1_sl)*(yc_sl-y1_sl)+(aeS_sl-(D38&gt;y2_sl))*A2_sl*(D38-y2_sl)*(yc_sl-y2_sl)</f>
        <v/>
      </c>
      <c r="I38">
        <f>-G38</f>
        <v/>
      </c>
      <c r="K38">
        <f>IF(R37&gt;0,M37,K37)</f>
        <v/>
      </c>
      <c r="L38">
        <f>IF(R37&gt;0,L37,M37)</f>
        <v/>
      </c>
      <c r="M38">
        <f>(K38+L38)/2</f>
        <v/>
      </c>
      <c r="N38">
        <f>MIN(MAX(M38,0),h_sl)</f>
        <v/>
      </c>
      <c r="O38">
        <f>MIN(MAX(M38-af_sl,0),hfe_sl)</f>
        <v/>
      </c>
      <c r="P38">
        <f>bw_sl*N38*(M38-N38/2)+ov_sl*O38*(M38-af_sl-O38/2)+(aeL_sl-(M38&gt;y1_sl))*A1_sl*(M38-y1_sl)+(aeL_sl-(M38&gt;y2_sl))*A2_sl*(M38-y2_sl)</f>
        <v/>
      </c>
      <c r="Q38">
        <f>bw_sl*(M38*yc_sl*N38-(M38+yc_sl)*N38^2/2+N38^3/3)+ov_sl*((M38-af_sl)*(yc_sl-af_sl)*O38-(M38+yc_sl-2*af_sl)*O38^2/2+O38^3/3)+(aeL_sl-(M38&gt;y1_sl))*A1_sl*(M38-y1_sl)*(yc_sl-y1_sl)+(aeL_sl-(M38&gt;y2_sl))*A2_sl*(M38-y2_sl)*(yc_sl-y2_sl)</f>
        <v/>
      </c>
      <c r="R38">
        <f>-P38</f>
        <v/>
      </c>
      <c r="T38">
        <f>IF(AA37&gt;0,V37,T37)</f>
        <v/>
      </c>
      <c r="U38">
        <f>IF(AA37&gt;0,U37,V37)</f>
        <v/>
      </c>
      <c r="V38">
        <f>(T38+U38)/2</f>
        <v/>
      </c>
      <c r="W38">
        <f>MIN(MAX(V38,0),h_sl)</f>
        <v/>
      </c>
      <c r="X38">
        <f>MIN(MAX(V38-af_sl,0),hfe_sl)</f>
        <v/>
      </c>
      <c r="Y38">
        <f>bw_sl*W38*(V38-W38/2)+ov_sl*X38*(V38-af_sl-X38/2)+(aeM_sl-(V38&gt;y1_sl))*A1_sl*(V38-y1_sl)+(aeM_sl-(V38&gt;y2_sl))*A2_sl*(V38-y2_sl)</f>
        <v/>
      </c>
      <c r="Z38">
        <f>bw_sl*(V38*yc_sl*W38-(V38+yc_sl)*W38^2/2+W38^3/3)+ov_sl*((V38-af_sl)*(yc_sl-af_sl)*X38-(V38+yc_sl-2*af_sl)*X38^2/2+X38^3/3)+(aeM_sl-(V38&gt;y1_sl))*A1_sl*(V38-y1_sl)*(yc_sl-y1_sl)+(aeM_sl-(V38&gt;y2_sl))*A2_sl*(V38-y2_sl)*(yc_sl-y2_sl)</f>
        <v/>
      </c>
      <c r="AA38">
        <f>-Y38</f>
        <v/>
      </c>
      <c r="AC38">
        <f>IF(AJ37&gt;0,AE37,AC37)</f>
        <v/>
      </c>
      <c r="AD38">
        <f>IF(AJ37&gt;0,AD37,AE37)</f>
        <v/>
      </c>
      <c r="AE38">
        <f>(AC38+AD38)/2</f>
        <v/>
      </c>
      <c r="AF38">
        <f>MIN(MAX(AE38,0),h_sl)</f>
        <v/>
      </c>
      <c r="AG38">
        <f>MIN(MAX(AE38-af_sl,0),hfe_sl)</f>
        <v/>
      </c>
      <c r="AH38">
        <f>bw_sl*AF38*(AE38-AF38/2)+ov_sl*AG38*(AE38-af_sl-AG38/2)+(aeS_sl-(AE38&gt;y1_sl))*A1_sl*(AE38-y1_sl)+(aeS_sl-(AE38&gt;y2_sl))*A2_sl*(AE38-y2_sl)</f>
        <v/>
      </c>
      <c r="AI38">
        <f>bw_sl*(AE38*yc_sl*AF38-(AE38+yc_sl)*AF38^2/2+AF38^3/3)+ov_sl*((AE38-af_sl)*(yc_sl-af_sl)*AG38-(AE38+yc_sl-2*af_sl)*AG38^2/2+AG38^3/3)+(aeS_sl-(AE38&gt;y1_sl))*A1_sl*(AE38-y1_sl)*(yc_sl-y1_sl)+(aeS_sl-(AE38&gt;y2_sl))*A2_sl*(AE38-y2_sl)*(yc_sl-y2_sl)</f>
        <v/>
      </c>
      <c r="AJ38">
        <f>Nk_sl*1000*AI38-Mk_sl*1E6*AH38</f>
        <v/>
      </c>
      <c r="AL38">
        <f>IF(AS37&gt;0,AN37,AL37)</f>
        <v/>
      </c>
      <c r="AM38">
        <f>IF(AS37&gt;0,AM37,AN37)</f>
        <v/>
      </c>
      <c r="AN38">
        <f>(AL38+AM38)/2</f>
        <v/>
      </c>
      <c r="AO38">
        <f>MIN(MAX(AN38,0),h_sl)</f>
        <v/>
      </c>
      <c r="AP38">
        <f>MIN(MAX(AN38-af_sl,0),hfe_sl)</f>
        <v/>
      </c>
      <c r="AQ38">
        <f>bw_sl*AO38*(AN38-AO38/2)+ov_sl*AP38*(AN38-af_sl-AP38/2)+(aeL_sl-(AN38&gt;y1_sl))*A1_sl*(AN38-y1_sl)+(aeL_sl-(AN38&gt;y2_sl))*A2_sl*(AN38-y2_sl)</f>
        <v/>
      </c>
      <c r="AR38">
        <f>bw_sl*(AN38*yc_sl*AO38-(AN38+yc_sl)*AO38^2/2+AO38^3/3)+ov_sl*((AN38-af_sl)*(yc_sl-af_sl)*AP38-(AN38+yc_sl-2*af_sl)*AP38^2/2+AP38^3/3)+(aeL_sl-(AN38&gt;y1_sl))*A1_sl*(AN38-y1_sl)*(yc_sl-y1_sl)+(aeL_sl-(AN38&gt;y2_sl))*A2_sl*(AN38-y2_sl)*(yc_sl-y2_sl)</f>
        <v/>
      </c>
      <c r="AS38">
        <f>Nk_sl*1000*AR38-Mk_sl*1E6*AQ38</f>
        <v/>
      </c>
      <c r="AU38">
        <f>IF(BB37&gt;0,AW37,AU37)</f>
        <v/>
      </c>
      <c r="AV38">
        <f>IF(BB37&gt;0,AV37,AW37)</f>
        <v/>
      </c>
      <c r="AW38">
        <f>(AU38+AV38)/2</f>
        <v/>
      </c>
      <c r="AX38">
        <f>MIN(MAX(AW38,0),h_sl)</f>
        <v/>
      </c>
      <c r="AY38">
        <f>MIN(MAX(AW38-af_sl,0),hfe_sl)</f>
        <v/>
      </c>
      <c r="AZ38">
        <f>bw_sl*AX38*(AW38-AX38/2)+ov_sl*AY38*(AW38-af_sl-AY38/2)+(aeS_sl-(AW38&gt;y1_sl))*A1_sl*(AW38-y1_sl)+(aeS_sl-(AW38&gt;y2_sl))*A2_sl*(AW38-y2_sl)</f>
        <v/>
      </c>
      <c r="BA38">
        <f>bw_sl*(AW38*yc_sl*AX38-(AW38+yc_sl)*AX38^2/2+AX38^3/3)+ov_sl*((AW38-af_sl)*(yc_sl-af_sl)*AY38-(AW38+yc_sl-2*af_sl)*AY38^2/2+AY38^3/3)+(aeS_sl-(AW38&gt;y1_sl))*A1_sl*(AW38-y1_sl)*(yc_sl-y1_sl)+(aeS_sl-(AW38&gt;y2_sl))*A2_sl*(AW38-y2_sl)*(yc_sl-y2_sl)</f>
        <v/>
      </c>
      <c r="BB38">
        <f>Nqp_sl*1000*BA38-Mqp_sl*1E6*AZ38</f>
        <v/>
      </c>
      <c r="BD38">
        <f>IF(BK37&gt;0,BF37,BD37)</f>
        <v/>
      </c>
      <c r="BE38">
        <f>IF(BK37&gt;0,BE37,BF37)</f>
        <v/>
      </c>
      <c r="BF38">
        <f>(BD38+BE38)/2</f>
        <v/>
      </c>
      <c r="BG38">
        <f>MIN(MAX(BF38,0),h_sl)</f>
        <v/>
      </c>
      <c r="BH38">
        <f>MIN(MAX(BF38-af_sl,0),hfe_sl)</f>
        <v/>
      </c>
      <c r="BI38">
        <f>bw_sl*BG38*(BF38-BG38/2)+ov_sl*BH38*(BF38-af_sl-BH38/2)+(aeL_sl-(BF38&gt;y1_sl))*A1_sl*(BF38-y1_sl)+(aeL_sl-(BF38&gt;y2_sl))*A2_sl*(BF38-y2_sl)</f>
        <v/>
      </c>
      <c r="BJ38">
        <f>bw_sl*(BF38*yc_sl*BG38-(BF38+yc_sl)*BG38^2/2+BG38^3/3)+ov_sl*((BF38-af_sl)*(yc_sl-af_sl)*BH38-(BF38+yc_sl-2*af_sl)*BH38^2/2+BH38^3/3)+(aeL_sl-(BF38&gt;y1_sl))*A1_sl*(BF38-y1_sl)*(yc_sl-y1_sl)+(aeL_sl-(BF38&gt;y2_sl))*A2_sl*(BF38-y2_sl)*(yc_sl-y2_sl)</f>
        <v/>
      </c>
      <c r="BK38">
        <f>Nqp_sl*1000*BJ38-Mqp_sl*1E6*BI38</f>
        <v/>
      </c>
      <c r="BM38">
        <f>IF(BT37&gt;0,BO37,BM37)</f>
        <v/>
      </c>
      <c r="BN38">
        <f>IF(BT37&gt;0,BN37,BO37)</f>
        <v/>
      </c>
      <c r="BO38">
        <f>(BM38+BN38)/2</f>
        <v/>
      </c>
      <c r="BP38">
        <f>MIN(MAX(BO38,0),h_sl)</f>
        <v/>
      </c>
      <c r="BQ38">
        <f>MIN(MAX(BO38-af_sl,0),hfe_sl)</f>
        <v/>
      </c>
      <c r="BR38">
        <f>bw_sl*BP38*(BO38-BP38/2)+ov_sl*BQ38*(BO38-af_sl-BQ38/2)+(aeS_sl-(BO38&gt;y1_sl))*A1_sl*(BO38-y1_sl)+(aeS_sl-(BO38&gt;y2_sl))*A2_sl*(BO38-y2_sl)</f>
        <v/>
      </c>
      <c r="BS38">
        <f>bw_sl*(BO38*yc_sl*BP38-(BO38+yc_sl)*BP38^2/2+BP38^3/3)+ov_sl*((BO38-af_sl)*(yc_sl-af_sl)*BQ38-(BO38+yc_sl-2*af_sl)*BQ38^2/2+BQ38^3/3)+(aeS_sl-(BO38&gt;y1_sl))*A1_sl*(BO38-y1_sl)*(yc_sl-y1_sl)+(aeS_sl-(BO38&gt;y2_sl))*A2_sl*(BO38-y2_sl)*(yc_sl-y2_sl)</f>
        <v/>
      </c>
      <c r="BT38">
        <f>dN_sl*1000*BS38-dM_sl*1E6*BR38</f>
        <v/>
      </c>
      <c r="BV38">
        <f>IF(CC37&gt;0,BX37,BV37)</f>
        <v/>
      </c>
      <c r="BW38">
        <f>IF(CC37&gt;0,BW37,BX37)</f>
        <v/>
      </c>
      <c r="BX38">
        <f>(BV38+BW38)/2</f>
        <v/>
      </c>
      <c r="BY38">
        <f>MIN(MAX(BX38,0),h_sl)</f>
        <v/>
      </c>
      <c r="BZ38">
        <f>MIN(MAX(BX38-af_sl,0),hfe_sl)</f>
        <v/>
      </c>
      <c r="CA38">
        <f>bw_sl*BY38*(BX38-BY38/2)+ov_sl*BZ38*(BX38-af_sl-BZ38/2)+(aeM_sl-(BX38&gt;y1_sl))*A1_sl*(BX38-y1_sl)+(aeM_sl-(BX38&gt;y2_sl))*A2_sl*(BX38-y2_sl)</f>
        <v/>
      </c>
      <c r="CB38">
        <f>bw_sl*(BX38*yc_sl*BY38-(BX38+yc_sl)*BY38^2/2+BY38^3/3)+ov_sl*((BX38-af_sl)*(yc_sl-af_sl)*BZ38-(BX38+yc_sl-2*af_sl)*BZ38^2/2+BZ38^3/3)+(aeM_sl-(BX38&gt;y1_sl))*A1_sl*(BX38-y1_sl)*(yc_sl-y1_sl)+(aeM_sl-(BX38&gt;y2_sl))*A2_sl*(BX38-y2_sl)*(yc_sl-y2_sl)</f>
        <v/>
      </c>
      <c r="CC38">
        <f>Nk_sl*1000*CB38-Mk_sl*1E6*CA38</f>
        <v/>
      </c>
    </row>
    <row r="39">
      <c r="B39">
        <f>IF(I38&gt;0,D38,B38)</f>
        <v/>
      </c>
      <c r="C39">
        <f>IF(I38&gt;0,C38,D38)</f>
        <v/>
      </c>
      <c r="D39">
        <f>(B39+C39)/2</f>
        <v/>
      </c>
      <c r="E39">
        <f>MIN(MAX(D39,0),h_sl)</f>
        <v/>
      </c>
      <c r="F39">
        <f>MIN(MAX(D39-af_sl,0),hfe_sl)</f>
        <v/>
      </c>
      <c r="G39">
        <f>bw_sl*E39*(D39-E39/2)+ov_sl*F39*(D39-af_sl-F39/2)+(aeS_sl-(D39&gt;y1_sl))*A1_sl*(D39-y1_sl)+(aeS_sl-(D39&gt;y2_sl))*A2_sl*(D39-y2_sl)</f>
        <v/>
      </c>
      <c r="H39">
        <f>bw_sl*(D39*yc_sl*E39-(D39+yc_sl)*E39^2/2+E39^3/3)+ov_sl*((D39-af_sl)*(yc_sl-af_sl)*F39-(D39+yc_sl-2*af_sl)*F39^2/2+F39^3/3)+(aeS_sl-(D39&gt;y1_sl))*A1_sl*(D39-y1_sl)*(yc_sl-y1_sl)+(aeS_sl-(D39&gt;y2_sl))*A2_sl*(D39-y2_sl)*(yc_sl-y2_sl)</f>
        <v/>
      </c>
      <c r="I39">
        <f>-G39</f>
        <v/>
      </c>
      <c r="K39">
        <f>IF(R38&gt;0,M38,K38)</f>
        <v/>
      </c>
      <c r="L39">
        <f>IF(R38&gt;0,L38,M38)</f>
        <v/>
      </c>
      <c r="M39">
        <f>(K39+L39)/2</f>
        <v/>
      </c>
      <c r="N39">
        <f>MIN(MAX(M39,0),h_sl)</f>
        <v/>
      </c>
      <c r="O39">
        <f>MIN(MAX(M39-af_sl,0),hfe_sl)</f>
        <v/>
      </c>
      <c r="P39">
        <f>bw_sl*N39*(M39-N39/2)+ov_sl*O39*(M39-af_sl-O39/2)+(aeL_sl-(M39&gt;y1_sl))*A1_sl*(M39-y1_sl)+(aeL_sl-(M39&gt;y2_sl))*A2_sl*(M39-y2_sl)</f>
        <v/>
      </c>
      <c r="Q39">
        <f>bw_sl*(M39*yc_sl*N39-(M39+yc_sl)*N39^2/2+N39^3/3)+ov_sl*((M39-af_sl)*(yc_sl-af_sl)*O39-(M39+yc_sl-2*af_sl)*O39^2/2+O39^3/3)+(aeL_sl-(M39&gt;y1_sl))*A1_sl*(M39-y1_sl)*(yc_sl-y1_sl)+(aeL_sl-(M39&gt;y2_sl))*A2_sl*(M39-y2_sl)*(yc_sl-y2_sl)</f>
        <v/>
      </c>
      <c r="R39">
        <f>-P39</f>
        <v/>
      </c>
      <c r="T39">
        <f>IF(AA38&gt;0,V38,T38)</f>
        <v/>
      </c>
      <c r="U39">
        <f>IF(AA38&gt;0,U38,V38)</f>
        <v/>
      </c>
      <c r="V39">
        <f>(T39+U39)/2</f>
        <v/>
      </c>
      <c r="W39">
        <f>MIN(MAX(V39,0),h_sl)</f>
        <v/>
      </c>
      <c r="X39">
        <f>MIN(MAX(V39-af_sl,0),hfe_sl)</f>
        <v/>
      </c>
      <c r="Y39">
        <f>bw_sl*W39*(V39-W39/2)+ov_sl*X39*(V39-af_sl-X39/2)+(aeM_sl-(V39&gt;y1_sl))*A1_sl*(V39-y1_sl)+(aeM_sl-(V39&gt;y2_sl))*A2_sl*(V39-y2_sl)</f>
        <v/>
      </c>
      <c r="Z39">
        <f>bw_sl*(V39*yc_sl*W39-(V39+yc_sl)*W39^2/2+W39^3/3)+ov_sl*((V39-af_sl)*(yc_sl-af_sl)*X39-(V39+yc_sl-2*af_sl)*X39^2/2+X39^3/3)+(aeM_sl-(V39&gt;y1_sl))*A1_sl*(V39-y1_sl)*(yc_sl-y1_sl)+(aeM_sl-(V39&gt;y2_sl))*A2_sl*(V39-y2_sl)*(yc_sl-y2_sl)</f>
        <v/>
      </c>
      <c r="AA39">
        <f>-Y39</f>
        <v/>
      </c>
      <c r="AC39">
        <f>IF(AJ38&gt;0,AE38,AC38)</f>
        <v/>
      </c>
      <c r="AD39">
        <f>IF(AJ38&gt;0,AD38,AE38)</f>
        <v/>
      </c>
      <c r="AE39">
        <f>(AC39+AD39)/2</f>
        <v/>
      </c>
      <c r="AF39">
        <f>MIN(MAX(AE39,0),h_sl)</f>
        <v/>
      </c>
      <c r="AG39">
        <f>MIN(MAX(AE39-af_sl,0),hfe_sl)</f>
        <v/>
      </c>
      <c r="AH39">
        <f>bw_sl*AF39*(AE39-AF39/2)+ov_sl*AG39*(AE39-af_sl-AG39/2)+(aeS_sl-(AE39&gt;y1_sl))*A1_sl*(AE39-y1_sl)+(aeS_sl-(AE39&gt;y2_sl))*A2_sl*(AE39-y2_sl)</f>
        <v/>
      </c>
      <c r="AI39">
        <f>bw_sl*(AE39*yc_sl*AF39-(AE39+yc_sl)*AF39^2/2+AF39^3/3)+ov_sl*((AE39-af_sl)*(yc_sl-af_sl)*AG39-(AE39+yc_sl-2*af_sl)*AG39^2/2+AG39^3/3)+(aeS_sl-(AE39&gt;y1_sl))*A1_sl*(AE39-y1_sl)*(yc_sl-y1_sl)+(aeS_sl-(AE39&gt;y2_sl))*A2_sl*(AE39-y2_sl)*(yc_sl-y2_sl)</f>
        <v/>
      </c>
      <c r="AJ39">
        <f>Nk_sl*1000*AI39-Mk_sl*1E6*AH39</f>
        <v/>
      </c>
      <c r="AL39">
        <f>IF(AS38&gt;0,AN38,AL38)</f>
        <v/>
      </c>
      <c r="AM39">
        <f>IF(AS38&gt;0,AM38,AN38)</f>
        <v/>
      </c>
      <c r="AN39">
        <f>(AL39+AM39)/2</f>
        <v/>
      </c>
      <c r="AO39">
        <f>MIN(MAX(AN39,0),h_sl)</f>
        <v/>
      </c>
      <c r="AP39">
        <f>MIN(MAX(AN39-af_sl,0),hfe_sl)</f>
        <v/>
      </c>
      <c r="AQ39">
        <f>bw_sl*AO39*(AN39-AO39/2)+ov_sl*AP39*(AN39-af_sl-AP39/2)+(aeL_sl-(AN39&gt;y1_sl))*A1_sl*(AN39-y1_sl)+(aeL_sl-(AN39&gt;y2_sl))*A2_sl*(AN39-y2_sl)</f>
        <v/>
      </c>
      <c r="AR39">
        <f>bw_sl*(AN39*yc_sl*AO39-(AN39+yc_sl)*AO39^2/2+AO39^3/3)+ov_sl*((AN39-af_sl)*(yc_sl-af_sl)*AP39-(AN39+yc_sl-2*af_sl)*AP39^2/2+AP39^3/3)+(aeL_sl-(AN39&gt;y1_sl))*A1_sl*(AN39-y1_sl)*(yc_sl-y1_sl)+(aeL_sl-(AN39&gt;y2_sl))*A2_sl*(AN39-y2_sl)*(yc_sl-y2_sl)</f>
        <v/>
      </c>
      <c r="AS39">
        <f>Nk_sl*1000*AR39-Mk_sl*1E6*AQ39</f>
        <v/>
      </c>
      <c r="AU39">
        <f>IF(BB38&gt;0,AW38,AU38)</f>
        <v/>
      </c>
      <c r="AV39">
        <f>IF(BB38&gt;0,AV38,AW38)</f>
        <v/>
      </c>
      <c r="AW39">
        <f>(AU39+AV39)/2</f>
        <v/>
      </c>
      <c r="AX39">
        <f>MIN(MAX(AW39,0),h_sl)</f>
        <v/>
      </c>
      <c r="AY39">
        <f>MIN(MAX(AW39-af_sl,0),hfe_sl)</f>
        <v/>
      </c>
      <c r="AZ39">
        <f>bw_sl*AX39*(AW39-AX39/2)+ov_sl*AY39*(AW39-af_sl-AY39/2)+(aeS_sl-(AW39&gt;y1_sl))*A1_sl*(AW39-y1_sl)+(aeS_sl-(AW39&gt;y2_sl))*A2_sl*(AW39-y2_sl)</f>
        <v/>
      </c>
      <c r="BA39">
        <f>bw_sl*(AW39*yc_sl*AX39-(AW39+yc_sl)*AX39^2/2+AX39^3/3)+ov_sl*((AW39-af_sl)*(yc_sl-af_sl)*AY39-(AW39+yc_sl-2*af_sl)*AY39^2/2+AY39^3/3)+(aeS_sl-(AW39&gt;y1_sl))*A1_sl*(AW39-y1_sl)*(yc_sl-y1_sl)+(aeS_sl-(AW39&gt;y2_sl))*A2_sl*(AW39-y2_sl)*(yc_sl-y2_sl)</f>
        <v/>
      </c>
      <c r="BB39">
        <f>Nqp_sl*1000*BA39-Mqp_sl*1E6*AZ39</f>
        <v/>
      </c>
      <c r="BD39">
        <f>IF(BK38&gt;0,BF38,BD38)</f>
        <v/>
      </c>
      <c r="BE39">
        <f>IF(BK38&gt;0,BE38,BF38)</f>
        <v/>
      </c>
      <c r="BF39">
        <f>(BD39+BE39)/2</f>
        <v/>
      </c>
      <c r="BG39">
        <f>MIN(MAX(BF39,0),h_sl)</f>
        <v/>
      </c>
      <c r="BH39">
        <f>MIN(MAX(BF39-af_sl,0),hfe_sl)</f>
        <v/>
      </c>
      <c r="BI39">
        <f>bw_sl*BG39*(BF39-BG39/2)+ov_sl*BH39*(BF39-af_sl-BH39/2)+(aeL_sl-(BF39&gt;y1_sl))*A1_sl*(BF39-y1_sl)+(aeL_sl-(BF39&gt;y2_sl))*A2_sl*(BF39-y2_sl)</f>
        <v/>
      </c>
      <c r="BJ39">
        <f>bw_sl*(BF39*yc_sl*BG39-(BF39+yc_sl)*BG39^2/2+BG39^3/3)+ov_sl*((BF39-af_sl)*(yc_sl-af_sl)*BH39-(BF39+yc_sl-2*af_sl)*BH39^2/2+BH39^3/3)+(aeL_sl-(BF39&gt;y1_sl))*A1_sl*(BF39-y1_sl)*(yc_sl-y1_sl)+(aeL_sl-(BF39&gt;y2_sl))*A2_sl*(BF39-y2_sl)*(yc_sl-y2_sl)</f>
        <v/>
      </c>
      <c r="BK39">
        <f>Nqp_sl*1000*BJ39-Mqp_sl*1E6*BI39</f>
        <v/>
      </c>
      <c r="BM39">
        <f>IF(BT38&gt;0,BO38,BM38)</f>
        <v/>
      </c>
      <c r="BN39">
        <f>IF(BT38&gt;0,BN38,BO38)</f>
        <v/>
      </c>
      <c r="BO39">
        <f>(BM39+BN39)/2</f>
        <v/>
      </c>
      <c r="BP39">
        <f>MIN(MAX(BO39,0),h_sl)</f>
        <v/>
      </c>
      <c r="BQ39">
        <f>MIN(MAX(BO39-af_sl,0),hfe_sl)</f>
        <v/>
      </c>
      <c r="BR39">
        <f>bw_sl*BP39*(BO39-BP39/2)+ov_sl*BQ39*(BO39-af_sl-BQ39/2)+(aeS_sl-(BO39&gt;y1_sl))*A1_sl*(BO39-y1_sl)+(aeS_sl-(BO39&gt;y2_sl))*A2_sl*(BO39-y2_sl)</f>
        <v/>
      </c>
      <c r="BS39">
        <f>bw_sl*(BO39*yc_sl*BP39-(BO39+yc_sl)*BP39^2/2+BP39^3/3)+ov_sl*((BO39-af_sl)*(yc_sl-af_sl)*BQ39-(BO39+yc_sl-2*af_sl)*BQ39^2/2+BQ39^3/3)+(aeS_sl-(BO39&gt;y1_sl))*A1_sl*(BO39-y1_sl)*(yc_sl-y1_sl)+(aeS_sl-(BO39&gt;y2_sl))*A2_sl*(BO39-y2_sl)*(yc_sl-y2_sl)</f>
        <v/>
      </c>
      <c r="BT39">
        <f>dN_sl*1000*BS39-dM_sl*1E6*BR39</f>
        <v/>
      </c>
      <c r="BV39">
        <f>IF(CC38&gt;0,BX38,BV38)</f>
        <v/>
      </c>
      <c r="BW39">
        <f>IF(CC38&gt;0,BW38,BX38)</f>
        <v/>
      </c>
      <c r="BX39">
        <f>(BV39+BW39)/2</f>
        <v/>
      </c>
      <c r="BY39">
        <f>MIN(MAX(BX39,0),h_sl)</f>
        <v/>
      </c>
      <c r="BZ39">
        <f>MIN(MAX(BX39-af_sl,0),hfe_sl)</f>
        <v/>
      </c>
      <c r="CA39">
        <f>bw_sl*BY39*(BX39-BY39/2)+ov_sl*BZ39*(BX39-af_sl-BZ39/2)+(aeM_sl-(BX39&gt;y1_sl))*A1_sl*(BX39-y1_sl)+(aeM_sl-(BX39&gt;y2_sl))*A2_sl*(BX39-y2_sl)</f>
        <v/>
      </c>
      <c r="CB39">
        <f>bw_sl*(BX39*yc_sl*BY39-(BX39+yc_sl)*BY39^2/2+BY39^3/3)+ov_sl*((BX39-af_sl)*(yc_sl-af_sl)*BZ39-(BX39+yc_sl-2*af_sl)*BZ39^2/2+BZ39^3/3)+(aeM_sl-(BX39&gt;y1_sl))*A1_sl*(BX39-y1_sl)*(yc_sl-y1_sl)+(aeM_sl-(BX39&gt;y2_sl))*A2_sl*(BX39-y2_sl)*(yc_sl-y2_sl)</f>
        <v/>
      </c>
      <c r="CC39">
        <f>Nk_sl*1000*CB39-Mk_sl*1E6*CA39</f>
        <v/>
      </c>
    </row>
    <row r="40">
      <c r="B40">
        <f>IF(I39&gt;0,D39,B39)</f>
        <v/>
      </c>
      <c r="C40">
        <f>IF(I39&gt;0,C39,D39)</f>
        <v/>
      </c>
      <c r="D40">
        <f>(B40+C40)/2</f>
        <v/>
      </c>
      <c r="E40">
        <f>MIN(MAX(D40,0),h_sl)</f>
        <v/>
      </c>
      <c r="F40">
        <f>MIN(MAX(D40-af_sl,0),hfe_sl)</f>
        <v/>
      </c>
      <c r="G40">
        <f>bw_sl*E40*(D40-E40/2)+ov_sl*F40*(D40-af_sl-F40/2)+(aeS_sl-(D40&gt;y1_sl))*A1_sl*(D40-y1_sl)+(aeS_sl-(D40&gt;y2_sl))*A2_sl*(D40-y2_sl)</f>
        <v/>
      </c>
      <c r="H40">
        <f>bw_sl*(D40*yc_sl*E40-(D40+yc_sl)*E40^2/2+E40^3/3)+ov_sl*((D40-af_sl)*(yc_sl-af_sl)*F40-(D40+yc_sl-2*af_sl)*F40^2/2+F40^3/3)+(aeS_sl-(D40&gt;y1_sl))*A1_sl*(D40-y1_sl)*(yc_sl-y1_sl)+(aeS_sl-(D40&gt;y2_sl))*A2_sl*(D40-y2_sl)*(yc_sl-y2_sl)</f>
        <v/>
      </c>
      <c r="I40">
        <f>-G40</f>
        <v/>
      </c>
      <c r="K40">
        <f>IF(R39&gt;0,M39,K39)</f>
        <v/>
      </c>
      <c r="L40">
        <f>IF(R39&gt;0,L39,M39)</f>
        <v/>
      </c>
      <c r="M40">
        <f>(K40+L40)/2</f>
        <v/>
      </c>
      <c r="N40">
        <f>MIN(MAX(M40,0),h_sl)</f>
        <v/>
      </c>
      <c r="O40">
        <f>MIN(MAX(M40-af_sl,0),hfe_sl)</f>
        <v/>
      </c>
      <c r="P40">
        <f>bw_sl*N40*(M40-N40/2)+ov_sl*O40*(M40-af_sl-O40/2)+(aeL_sl-(M40&gt;y1_sl))*A1_sl*(M40-y1_sl)+(aeL_sl-(M40&gt;y2_sl))*A2_sl*(M40-y2_sl)</f>
        <v/>
      </c>
      <c r="Q40">
        <f>bw_sl*(M40*yc_sl*N40-(M40+yc_sl)*N40^2/2+N40^3/3)+ov_sl*((M40-af_sl)*(yc_sl-af_sl)*O40-(M40+yc_sl-2*af_sl)*O40^2/2+O40^3/3)+(aeL_sl-(M40&gt;y1_sl))*A1_sl*(M40-y1_sl)*(yc_sl-y1_sl)+(aeL_sl-(M40&gt;y2_sl))*A2_sl*(M40-y2_sl)*(yc_sl-y2_sl)</f>
        <v/>
      </c>
      <c r="R40">
        <f>-P40</f>
        <v/>
      </c>
      <c r="T40">
        <f>IF(AA39&gt;0,V39,T39)</f>
        <v/>
      </c>
      <c r="U40">
        <f>IF(AA39&gt;0,U39,V39)</f>
        <v/>
      </c>
      <c r="V40">
        <f>(T40+U40)/2</f>
        <v/>
      </c>
      <c r="W40">
        <f>MIN(MAX(V40,0),h_sl)</f>
        <v/>
      </c>
      <c r="X40">
        <f>MIN(MAX(V40-af_sl,0),hfe_sl)</f>
        <v/>
      </c>
      <c r="Y40">
        <f>bw_sl*W40*(V40-W40/2)+ov_sl*X40*(V40-af_sl-X40/2)+(aeM_sl-(V40&gt;y1_sl))*A1_sl*(V40-y1_sl)+(aeM_sl-(V40&gt;y2_sl))*A2_sl*(V40-y2_sl)</f>
        <v/>
      </c>
      <c r="Z40">
        <f>bw_sl*(V40*yc_sl*W40-(V40+yc_sl)*W40^2/2+W40^3/3)+ov_sl*((V40-af_sl)*(yc_sl-af_sl)*X40-(V40+yc_sl-2*af_sl)*X40^2/2+X40^3/3)+(aeM_sl-(V40&gt;y1_sl))*A1_sl*(V40-y1_sl)*(yc_sl-y1_sl)+(aeM_sl-(V40&gt;y2_sl))*A2_sl*(V40-y2_sl)*(yc_sl-y2_sl)</f>
        <v/>
      </c>
      <c r="AA40">
        <f>-Y40</f>
        <v/>
      </c>
      <c r="AC40">
        <f>IF(AJ39&gt;0,AE39,AC39)</f>
        <v/>
      </c>
      <c r="AD40">
        <f>IF(AJ39&gt;0,AD39,AE39)</f>
        <v/>
      </c>
      <c r="AE40">
        <f>(AC40+AD40)/2</f>
        <v/>
      </c>
      <c r="AF40">
        <f>MIN(MAX(AE40,0),h_sl)</f>
        <v/>
      </c>
      <c r="AG40">
        <f>MIN(MAX(AE40-af_sl,0),hfe_sl)</f>
        <v/>
      </c>
      <c r="AH40">
        <f>bw_sl*AF40*(AE40-AF40/2)+ov_sl*AG40*(AE40-af_sl-AG40/2)+(aeS_sl-(AE40&gt;y1_sl))*A1_sl*(AE40-y1_sl)+(aeS_sl-(AE40&gt;y2_sl))*A2_sl*(AE40-y2_sl)</f>
        <v/>
      </c>
      <c r="AI40">
        <f>bw_sl*(AE40*yc_sl*AF40-(AE40+yc_sl)*AF40^2/2+AF40^3/3)+ov_sl*((AE40-af_sl)*(yc_sl-af_sl)*AG40-(AE40+yc_sl-2*af_sl)*AG40^2/2+AG40^3/3)+(aeS_sl-(AE40&gt;y1_sl))*A1_sl*(AE40-y1_sl)*(yc_sl-y1_sl)+(aeS_sl-(AE40&gt;y2_sl))*A2_sl*(AE40-y2_sl)*(yc_sl-y2_sl)</f>
        <v/>
      </c>
      <c r="AJ40">
        <f>Nk_sl*1000*AI40-Mk_sl*1E6*AH40</f>
        <v/>
      </c>
      <c r="AL40">
        <f>IF(AS39&gt;0,AN39,AL39)</f>
        <v/>
      </c>
      <c r="AM40">
        <f>IF(AS39&gt;0,AM39,AN39)</f>
        <v/>
      </c>
      <c r="AN40">
        <f>(AL40+AM40)/2</f>
        <v/>
      </c>
      <c r="AO40">
        <f>MIN(MAX(AN40,0),h_sl)</f>
        <v/>
      </c>
      <c r="AP40">
        <f>MIN(MAX(AN40-af_sl,0),hfe_sl)</f>
        <v/>
      </c>
      <c r="AQ40">
        <f>bw_sl*AO40*(AN40-AO40/2)+ov_sl*AP40*(AN40-af_sl-AP40/2)+(aeL_sl-(AN40&gt;y1_sl))*A1_sl*(AN40-y1_sl)+(aeL_sl-(AN40&gt;y2_sl))*A2_sl*(AN40-y2_sl)</f>
        <v/>
      </c>
      <c r="AR40">
        <f>bw_sl*(AN40*yc_sl*AO40-(AN40+yc_sl)*AO40^2/2+AO40^3/3)+ov_sl*((AN40-af_sl)*(yc_sl-af_sl)*AP40-(AN40+yc_sl-2*af_sl)*AP40^2/2+AP40^3/3)+(aeL_sl-(AN40&gt;y1_sl))*A1_sl*(AN40-y1_sl)*(yc_sl-y1_sl)+(aeL_sl-(AN40&gt;y2_sl))*A2_sl*(AN40-y2_sl)*(yc_sl-y2_sl)</f>
        <v/>
      </c>
      <c r="AS40">
        <f>Nk_sl*1000*AR40-Mk_sl*1E6*AQ40</f>
        <v/>
      </c>
      <c r="AU40">
        <f>IF(BB39&gt;0,AW39,AU39)</f>
        <v/>
      </c>
      <c r="AV40">
        <f>IF(BB39&gt;0,AV39,AW39)</f>
        <v/>
      </c>
      <c r="AW40">
        <f>(AU40+AV40)/2</f>
        <v/>
      </c>
      <c r="AX40">
        <f>MIN(MAX(AW40,0),h_sl)</f>
        <v/>
      </c>
      <c r="AY40">
        <f>MIN(MAX(AW40-af_sl,0),hfe_sl)</f>
        <v/>
      </c>
      <c r="AZ40">
        <f>bw_sl*AX40*(AW40-AX40/2)+ov_sl*AY40*(AW40-af_sl-AY40/2)+(aeS_sl-(AW40&gt;y1_sl))*A1_sl*(AW40-y1_sl)+(aeS_sl-(AW40&gt;y2_sl))*A2_sl*(AW40-y2_sl)</f>
        <v/>
      </c>
      <c r="BA40">
        <f>bw_sl*(AW40*yc_sl*AX40-(AW40+yc_sl)*AX40^2/2+AX40^3/3)+ov_sl*((AW40-af_sl)*(yc_sl-af_sl)*AY40-(AW40+yc_sl-2*af_sl)*AY40^2/2+AY40^3/3)+(aeS_sl-(AW40&gt;y1_sl))*A1_sl*(AW40-y1_sl)*(yc_sl-y1_sl)+(aeS_sl-(AW40&gt;y2_sl))*A2_sl*(AW40-y2_sl)*(yc_sl-y2_sl)</f>
        <v/>
      </c>
      <c r="BB40">
        <f>Nqp_sl*1000*BA40-Mqp_sl*1E6*AZ40</f>
        <v/>
      </c>
      <c r="BD40">
        <f>IF(BK39&gt;0,BF39,BD39)</f>
        <v/>
      </c>
      <c r="BE40">
        <f>IF(BK39&gt;0,BE39,BF39)</f>
        <v/>
      </c>
      <c r="BF40">
        <f>(BD40+BE40)/2</f>
        <v/>
      </c>
      <c r="BG40">
        <f>MIN(MAX(BF40,0),h_sl)</f>
        <v/>
      </c>
      <c r="BH40">
        <f>MIN(MAX(BF40-af_sl,0),hfe_sl)</f>
        <v/>
      </c>
      <c r="BI40">
        <f>bw_sl*BG40*(BF40-BG40/2)+ov_sl*BH40*(BF40-af_sl-BH40/2)+(aeL_sl-(BF40&gt;y1_sl))*A1_sl*(BF40-y1_sl)+(aeL_sl-(BF40&gt;y2_sl))*A2_sl*(BF40-y2_sl)</f>
        <v/>
      </c>
      <c r="BJ40">
        <f>bw_sl*(BF40*yc_sl*BG40-(BF40+yc_sl)*BG40^2/2+BG40^3/3)+ov_sl*((BF40-af_sl)*(yc_sl-af_sl)*BH40-(BF40+yc_sl-2*af_sl)*BH40^2/2+BH40^3/3)+(aeL_sl-(BF40&gt;y1_sl))*A1_sl*(BF40-y1_sl)*(yc_sl-y1_sl)+(aeL_sl-(BF40&gt;y2_sl))*A2_sl*(BF40-y2_sl)*(yc_sl-y2_sl)</f>
        <v/>
      </c>
      <c r="BK40">
        <f>Nqp_sl*1000*BJ40-Mqp_sl*1E6*BI40</f>
        <v/>
      </c>
      <c r="BM40">
        <f>IF(BT39&gt;0,BO39,BM39)</f>
        <v/>
      </c>
      <c r="BN40">
        <f>IF(BT39&gt;0,BN39,BO39)</f>
        <v/>
      </c>
      <c r="BO40">
        <f>(BM40+BN40)/2</f>
        <v/>
      </c>
      <c r="BP40">
        <f>MIN(MAX(BO40,0),h_sl)</f>
        <v/>
      </c>
      <c r="BQ40">
        <f>MIN(MAX(BO40-af_sl,0),hfe_sl)</f>
        <v/>
      </c>
      <c r="BR40">
        <f>bw_sl*BP40*(BO40-BP40/2)+ov_sl*BQ40*(BO40-af_sl-BQ40/2)+(aeS_sl-(BO40&gt;y1_sl))*A1_sl*(BO40-y1_sl)+(aeS_sl-(BO40&gt;y2_sl))*A2_sl*(BO40-y2_sl)</f>
        <v/>
      </c>
      <c r="BS40">
        <f>bw_sl*(BO40*yc_sl*BP40-(BO40+yc_sl)*BP40^2/2+BP40^3/3)+ov_sl*((BO40-af_sl)*(yc_sl-af_sl)*BQ40-(BO40+yc_sl-2*af_sl)*BQ40^2/2+BQ40^3/3)+(aeS_sl-(BO40&gt;y1_sl))*A1_sl*(BO40-y1_sl)*(yc_sl-y1_sl)+(aeS_sl-(BO40&gt;y2_sl))*A2_sl*(BO40-y2_sl)*(yc_sl-y2_sl)</f>
        <v/>
      </c>
      <c r="BT40">
        <f>dN_sl*1000*BS40-dM_sl*1E6*BR40</f>
        <v/>
      </c>
      <c r="BV40">
        <f>IF(CC39&gt;0,BX39,BV39)</f>
        <v/>
      </c>
      <c r="BW40">
        <f>IF(CC39&gt;0,BW39,BX39)</f>
        <v/>
      </c>
      <c r="BX40">
        <f>(BV40+BW40)/2</f>
        <v/>
      </c>
      <c r="BY40">
        <f>MIN(MAX(BX40,0),h_sl)</f>
        <v/>
      </c>
      <c r="BZ40">
        <f>MIN(MAX(BX40-af_sl,0),hfe_sl)</f>
        <v/>
      </c>
      <c r="CA40">
        <f>bw_sl*BY40*(BX40-BY40/2)+ov_sl*BZ40*(BX40-af_sl-BZ40/2)+(aeM_sl-(BX40&gt;y1_sl))*A1_sl*(BX40-y1_sl)+(aeM_sl-(BX40&gt;y2_sl))*A2_sl*(BX40-y2_sl)</f>
        <v/>
      </c>
      <c r="CB40">
        <f>bw_sl*(BX40*yc_sl*BY40-(BX40+yc_sl)*BY40^2/2+BY40^3/3)+ov_sl*((BX40-af_sl)*(yc_sl-af_sl)*BZ40-(BX40+yc_sl-2*af_sl)*BZ40^2/2+BZ40^3/3)+(aeM_sl-(BX40&gt;y1_sl))*A1_sl*(BX40-y1_sl)*(yc_sl-y1_sl)+(aeM_sl-(BX40&gt;y2_sl))*A2_sl*(BX40-y2_sl)*(yc_sl-y2_sl)</f>
        <v/>
      </c>
      <c r="CC40">
        <f>Nk_sl*1000*CB40-Mk_sl*1E6*CA40</f>
        <v/>
      </c>
    </row>
    <row r="41">
      <c r="B41">
        <f>IF(I40&gt;0,D40,B40)</f>
        <v/>
      </c>
      <c r="C41">
        <f>IF(I40&gt;0,C40,D40)</f>
        <v/>
      </c>
      <c r="D41">
        <f>(B41+C41)/2</f>
        <v/>
      </c>
      <c r="E41">
        <f>MIN(MAX(D41,0),h_sl)</f>
        <v/>
      </c>
      <c r="F41">
        <f>MIN(MAX(D41-af_sl,0),hfe_sl)</f>
        <v/>
      </c>
      <c r="G41">
        <f>bw_sl*E41*(D41-E41/2)+ov_sl*F41*(D41-af_sl-F41/2)+(aeS_sl-(D41&gt;y1_sl))*A1_sl*(D41-y1_sl)+(aeS_sl-(D41&gt;y2_sl))*A2_sl*(D41-y2_sl)</f>
        <v/>
      </c>
      <c r="H41">
        <f>bw_sl*(D41*yc_sl*E41-(D41+yc_sl)*E41^2/2+E41^3/3)+ov_sl*((D41-af_sl)*(yc_sl-af_sl)*F41-(D41+yc_sl-2*af_sl)*F41^2/2+F41^3/3)+(aeS_sl-(D41&gt;y1_sl))*A1_sl*(D41-y1_sl)*(yc_sl-y1_sl)+(aeS_sl-(D41&gt;y2_sl))*A2_sl*(D41-y2_sl)*(yc_sl-y2_sl)</f>
        <v/>
      </c>
      <c r="I41">
        <f>-G41</f>
        <v/>
      </c>
      <c r="K41">
        <f>IF(R40&gt;0,M40,K40)</f>
        <v/>
      </c>
      <c r="L41">
        <f>IF(R40&gt;0,L40,M40)</f>
        <v/>
      </c>
      <c r="M41">
        <f>(K41+L41)/2</f>
        <v/>
      </c>
      <c r="N41">
        <f>MIN(MAX(M41,0),h_sl)</f>
        <v/>
      </c>
      <c r="O41">
        <f>MIN(MAX(M41-af_sl,0),hfe_sl)</f>
        <v/>
      </c>
      <c r="P41">
        <f>bw_sl*N41*(M41-N41/2)+ov_sl*O41*(M41-af_sl-O41/2)+(aeL_sl-(M41&gt;y1_sl))*A1_sl*(M41-y1_sl)+(aeL_sl-(M41&gt;y2_sl))*A2_sl*(M41-y2_sl)</f>
        <v/>
      </c>
      <c r="Q41">
        <f>bw_sl*(M41*yc_sl*N41-(M41+yc_sl)*N41^2/2+N41^3/3)+ov_sl*((M41-af_sl)*(yc_sl-af_sl)*O41-(M41+yc_sl-2*af_sl)*O41^2/2+O41^3/3)+(aeL_sl-(M41&gt;y1_sl))*A1_sl*(M41-y1_sl)*(yc_sl-y1_sl)+(aeL_sl-(M41&gt;y2_sl))*A2_sl*(M41-y2_sl)*(yc_sl-y2_sl)</f>
        <v/>
      </c>
      <c r="R41">
        <f>-P41</f>
        <v/>
      </c>
      <c r="T41">
        <f>IF(AA40&gt;0,V40,T40)</f>
        <v/>
      </c>
      <c r="U41">
        <f>IF(AA40&gt;0,U40,V40)</f>
        <v/>
      </c>
      <c r="V41">
        <f>(T41+U41)/2</f>
        <v/>
      </c>
      <c r="W41">
        <f>MIN(MAX(V41,0),h_sl)</f>
        <v/>
      </c>
      <c r="X41">
        <f>MIN(MAX(V41-af_sl,0),hfe_sl)</f>
        <v/>
      </c>
      <c r="Y41">
        <f>bw_sl*W41*(V41-W41/2)+ov_sl*X41*(V41-af_sl-X41/2)+(aeM_sl-(V41&gt;y1_sl))*A1_sl*(V41-y1_sl)+(aeM_sl-(V41&gt;y2_sl))*A2_sl*(V41-y2_sl)</f>
        <v/>
      </c>
      <c r="Z41">
        <f>bw_sl*(V41*yc_sl*W41-(V41+yc_sl)*W41^2/2+W41^3/3)+ov_sl*((V41-af_sl)*(yc_sl-af_sl)*X41-(V41+yc_sl-2*af_sl)*X41^2/2+X41^3/3)+(aeM_sl-(V41&gt;y1_sl))*A1_sl*(V41-y1_sl)*(yc_sl-y1_sl)+(aeM_sl-(V41&gt;y2_sl))*A2_sl*(V41-y2_sl)*(yc_sl-y2_sl)</f>
        <v/>
      </c>
      <c r="AA41">
        <f>-Y41</f>
        <v/>
      </c>
      <c r="AC41">
        <f>IF(AJ40&gt;0,AE40,AC40)</f>
        <v/>
      </c>
      <c r="AD41">
        <f>IF(AJ40&gt;0,AD40,AE40)</f>
        <v/>
      </c>
      <c r="AE41">
        <f>(AC41+AD41)/2</f>
        <v/>
      </c>
      <c r="AF41">
        <f>MIN(MAX(AE41,0),h_sl)</f>
        <v/>
      </c>
      <c r="AG41">
        <f>MIN(MAX(AE41-af_sl,0),hfe_sl)</f>
        <v/>
      </c>
      <c r="AH41">
        <f>bw_sl*AF41*(AE41-AF41/2)+ov_sl*AG41*(AE41-af_sl-AG41/2)+(aeS_sl-(AE41&gt;y1_sl))*A1_sl*(AE41-y1_sl)+(aeS_sl-(AE41&gt;y2_sl))*A2_sl*(AE41-y2_sl)</f>
        <v/>
      </c>
      <c r="AI41">
        <f>bw_sl*(AE41*yc_sl*AF41-(AE41+yc_sl)*AF41^2/2+AF41^3/3)+ov_sl*((AE41-af_sl)*(yc_sl-af_sl)*AG41-(AE41+yc_sl-2*af_sl)*AG41^2/2+AG41^3/3)+(aeS_sl-(AE41&gt;y1_sl))*A1_sl*(AE41-y1_sl)*(yc_sl-y1_sl)+(aeS_sl-(AE41&gt;y2_sl))*A2_sl*(AE41-y2_sl)*(yc_sl-y2_sl)</f>
        <v/>
      </c>
      <c r="AJ41">
        <f>Nk_sl*1000*AI41-Mk_sl*1E6*AH41</f>
        <v/>
      </c>
      <c r="AL41">
        <f>IF(AS40&gt;0,AN40,AL40)</f>
        <v/>
      </c>
      <c r="AM41">
        <f>IF(AS40&gt;0,AM40,AN40)</f>
        <v/>
      </c>
      <c r="AN41">
        <f>(AL41+AM41)/2</f>
        <v/>
      </c>
      <c r="AO41">
        <f>MIN(MAX(AN41,0),h_sl)</f>
        <v/>
      </c>
      <c r="AP41">
        <f>MIN(MAX(AN41-af_sl,0),hfe_sl)</f>
        <v/>
      </c>
      <c r="AQ41">
        <f>bw_sl*AO41*(AN41-AO41/2)+ov_sl*AP41*(AN41-af_sl-AP41/2)+(aeL_sl-(AN41&gt;y1_sl))*A1_sl*(AN41-y1_sl)+(aeL_sl-(AN41&gt;y2_sl))*A2_sl*(AN41-y2_sl)</f>
        <v/>
      </c>
      <c r="AR41">
        <f>bw_sl*(AN41*yc_sl*AO41-(AN41+yc_sl)*AO41^2/2+AO41^3/3)+ov_sl*((AN41-af_sl)*(yc_sl-af_sl)*AP41-(AN41+yc_sl-2*af_sl)*AP41^2/2+AP41^3/3)+(aeL_sl-(AN41&gt;y1_sl))*A1_sl*(AN41-y1_sl)*(yc_sl-y1_sl)+(aeL_sl-(AN41&gt;y2_sl))*A2_sl*(AN41-y2_sl)*(yc_sl-y2_sl)</f>
        <v/>
      </c>
      <c r="AS41">
        <f>Nk_sl*1000*AR41-Mk_sl*1E6*AQ41</f>
        <v/>
      </c>
      <c r="AU41">
        <f>IF(BB40&gt;0,AW40,AU40)</f>
        <v/>
      </c>
      <c r="AV41">
        <f>IF(BB40&gt;0,AV40,AW40)</f>
        <v/>
      </c>
      <c r="AW41">
        <f>(AU41+AV41)/2</f>
        <v/>
      </c>
      <c r="AX41">
        <f>MIN(MAX(AW41,0),h_sl)</f>
        <v/>
      </c>
      <c r="AY41">
        <f>MIN(MAX(AW41-af_sl,0),hfe_sl)</f>
        <v/>
      </c>
      <c r="AZ41">
        <f>bw_sl*AX41*(AW41-AX41/2)+ov_sl*AY41*(AW41-af_sl-AY41/2)+(aeS_sl-(AW41&gt;y1_sl))*A1_sl*(AW41-y1_sl)+(aeS_sl-(AW41&gt;y2_sl))*A2_sl*(AW41-y2_sl)</f>
        <v/>
      </c>
      <c r="BA41">
        <f>bw_sl*(AW41*yc_sl*AX41-(AW41+yc_sl)*AX41^2/2+AX41^3/3)+ov_sl*((AW41-af_sl)*(yc_sl-af_sl)*AY41-(AW41+yc_sl-2*af_sl)*AY41^2/2+AY41^3/3)+(aeS_sl-(AW41&gt;y1_sl))*A1_sl*(AW41-y1_sl)*(yc_sl-y1_sl)+(aeS_sl-(AW41&gt;y2_sl))*A2_sl*(AW41-y2_sl)*(yc_sl-y2_sl)</f>
        <v/>
      </c>
      <c r="BB41">
        <f>Nqp_sl*1000*BA41-Mqp_sl*1E6*AZ41</f>
        <v/>
      </c>
      <c r="BD41">
        <f>IF(BK40&gt;0,BF40,BD40)</f>
        <v/>
      </c>
      <c r="BE41">
        <f>IF(BK40&gt;0,BE40,BF40)</f>
        <v/>
      </c>
      <c r="BF41">
        <f>(BD41+BE41)/2</f>
        <v/>
      </c>
      <c r="BG41">
        <f>MIN(MAX(BF41,0),h_sl)</f>
        <v/>
      </c>
      <c r="BH41">
        <f>MIN(MAX(BF41-af_sl,0),hfe_sl)</f>
        <v/>
      </c>
      <c r="BI41">
        <f>bw_sl*BG41*(BF41-BG41/2)+ov_sl*BH41*(BF41-af_sl-BH41/2)+(aeL_sl-(BF41&gt;y1_sl))*A1_sl*(BF41-y1_sl)+(aeL_sl-(BF41&gt;y2_sl))*A2_sl*(BF41-y2_sl)</f>
        <v/>
      </c>
      <c r="BJ41">
        <f>bw_sl*(BF41*yc_sl*BG41-(BF41+yc_sl)*BG41^2/2+BG41^3/3)+ov_sl*((BF41-af_sl)*(yc_sl-af_sl)*BH41-(BF41+yc_sl-2*af_sl)*BH41^2/2+BH41^3/3)+(aeL_sl-(BF41&gt;y1_sl))*A1_sl*(BF41-y1_sl)*(yc_sl-y1_sl)+(aeL_sl-(BF41&gt;y2_sl))*A2_sl*(BF41-y2_sl)*(yc_sl-y2_sl)</f>
        <v/>
      </c>
      <c r="BK41">
        <f>Nqp_sl*1000*BJ41-Mqp_sl*1E6*BI41</f>
        <v/>
      </c>
      <c r="BM41">
        <f>IF(BT40&gt;0,BO40,BM40)</f>
        <v/>
      </c>
      <c r="BN41">
        <f>IF(BT40&gt;0,BN40,BO40)</f>
        <v/>
      </c>
      <c r="BO41">
        <f>(BM41+BN41)/2</f>
        <v/>
      </c>
      <c r="BP41">
        <f>MIN(MAX(BO41,0),h_sl)</f>
        <v/>
      </c>
      <c r="BQ41">
        <f>MIN(MAX(BO41-af_sl,0),hfe_sl)</f>
        <v/>
      </c>
      <c r="BR41">
        <f>bw_sl*BP41*(BO41-BP41/2)+ov_sl*BQ41*(BO41-af_sl-BQ41/2)+(aeS_sl-(BO41&gt;y1_sl))*A1_sl*(BO41-y1_sl)+(aeS_sl-(BO41&gt;y2_sl))*A2_sl*(BO41-y2_sl)</f>
        <v/>
      </c>
      <c r="BS41">
        <f>bw_sl*(BO41*yc_sl*BP41-(BO41+yc_sl)*BP41^2/2+BP41^3/3)+ov_sl*((BO41-af_sl)*(yc_sl-af_sl)*BQ41-(BO41+yc_sl-2*af_sl)*BQ41^2/2+BQ41^3/3)+(aeS_sl-(BO41&gt;y1_sl))*A1_sl*(BO41-y1_sl)*(yc_sl-y1_sl)+(aeS_sl-(BO41&gt;y2_sl))*A2_sl*(BO41-y2_sl)*(yc_sl-y2_sl)</f>
        <v/>
      </c>
      <c r="BT41">
        <f>dN_sl*1000*BS41-dM_sl*1E6*BR41</f>
        <v/>
      </c>
      <c r="BV41">
        <f>IF(CC40&gt;0,BX40,BV40)</f>
        <v/>
      </c>
      <c r="BW41">
        <f>IF(CC40&gt;0,BW40,BX40)</f>
        <v/>
      </c>
      <c r="BX41">
        <f>(BV41+BW41)/2</f>
        <v/>
      </c>
      <c r="BY41">
        <f>MIN(MAX(BX41,0),h_sl)</f>
        <v/>
      </c>
      <c r="BZ41">
        <f>MIN(MAX(BX41-af_sl,0),hfe_sl)</f>
        <v/>
      </c>
      <c r="CA41">
        <f>bw_sl*BY41*(BX41-BY41/2)+ov_sl*BZ41*(BX41-af_sl-BZ41/2)+(aeM_sl-(BX41&gt;y1_sl))*A1_sl*(BX41-y1_sl)+(aeM_sl-(BX41&gt;y2_sl))*A2_sl*(BX41-y2_sl)</f>
        <v/>
      </c>
      <c r="CB41">
        <f>bw_sl*(BX41*yc_sl*BY41-(BX41+yc_sl)*BY41^2/2+BY41^3/3)+ov_sl*((BX41-af_sl)*(yc_sl-af_sl)*BZ41-(BX41+yc_sl-2*af_sl)*BZ41^2/2+BZ41^3/3)+(aeM_sl-(BX41&gt;y1_sl))*A1_sl*(BX41-y1_sl)*(yc_sl-y1_sl)+(aeM_sl-(BX41&gt;y2_sl))*A2_sl*(BX41-y2_sl)*(yc_sl-y2_sl)</f>
        <v/>
      </c>
      <c r="CC41">
        <f>Nk_sl*1000*CB41-Mk_sl*1E6*CA41</f>
        <v/>
      </c>
    </row>
    <row r="42">
      <c r="B42">
        <f>IF(I41&gt;0,D41,B41)</f>
        <v/>
      </c>
      <c r="C42">
        <f>IF(I41&gt;0,C41,D41)</f>
        <v/>
      </c>
      <c r="D42">
        <f>(B42+C42)/2</f>
        <v/>
      </c>
      <c r="E42">
        <f>MIN(MAX(D42,0),h_sl)</f>
        <v/>
      </c>
      <c r="F42">
        <f>MIN(MAX(D42-af_sl,0),hfe_sl)</f>
        <v/>
      </c>
      <c r="G42">
        <f>bw_sl*E42*(D42-E42/2)+ov_sl*F42*(D42-af_sl-F42/2)+(aeS_sl-(D42&gt;y1_sl))*A1_sl*(D42-y1_sl)+(aeS_sl-(D42&gt;y2_sl))*A2_sl*(D42-y2_sl)</f>
        <v/>
      </c>
      <c r="H42">
        <f>bw_sl*(D42*yc_sl*E42-(D42+yc_sl)*E42^2/2+E42^3/3)+ov_sl*((D42-af_sl)*(yc_sl-af_sl)*F42-(D42+yc_sl-2*af_sl)*F42^2/2+F42^3/3)+(aeS_sl-(D42&gt;y1_sl))*A1_sl*(D42-y1_sl)*(yc_sl-y1_sl)+(aeS_sl-(D42&gt;y2_sl))*A2_sl*(D42-y2_sl)*(yc_sl-y2_sl)</f>
        <v/>
      </c>
      <c r="I42">
        <f>-G42</f>
        <v/>
      </c>
      <c r="K42">
        <f>IF(R41&gt;0,M41,K41)</f>
        <v/>
      </c>
      <c r="L42">
        <f>IF(R41&gt;0,L41,M41)</f>
        <v/>
      </c>
      <c r="M42">
        <f>(K42+L42)/2</f>
        <v/>
      </c>
      <c r="N42">
        <f>MIN(MAX(M42,0),h_sl)</f>
        <v/>
      </c>
      <c r="O42">
        <f>MIN(MAX(M42-af_sl,0),hfe_sl)</f>
        <v/>
      </c>
      <c r="P42">
        <f>bw_sl*N42*(M42-N42/2)+ov_sl*O42*(M42-af_sl-O42/2)+(aeL_sl-(M42&gt;y1_sl))*A1_sl*(M42-y1_sl)+(aeL_sl-(M42&gt;y2_sl))*A2_sl*(M42-y2_sl)</f>
        <v/>
      </c>
      <c r="Q42">
        <f>bw_sl*(M42*yc_sl*N42-(M42+yc_sl)*N42^2/2+N42^3/3)+ov_sl*((M42-af_sl)*(yc_sl-af_sl)*O42-(M42+yc_sl-2*af_sl)*O42^2/2+O42^3/3)+(aeL_sl-(M42&gt;y1_sl))*A1_sl*(M42-y1_sl)*(yc_sl-y1_sl)+(aeL_sl-(M42&gt;y2_sl))*A2_sl*(M42-y2_sl)*(yc_sl-y2_sl)</f>
        <v/>
      </c>
      <c r="R42">
        <f>-P42</f>
        <v/>
      </c>
      <c r="T42">
        <f>IF(AA41&gt;0,V41,T41)</f>
        <v/>
      </c>
      <c r="U42">
        <f>IF(AA41&gt;0,U41,V41)</f>
        <v/>
      </c>
      <c r="V42">
        <f>(T42+U42)/2</f>
        <v/>
      </c>
      <c r="W42">
        <f>MIN(MAX(V42,0),h_sl)</f>
        <v/>
      </c>
      <c r="X42">
        <f>MIN(MAX(V42-af_sl,0),hfe_sl)</f>
        <v/>
      </c>
      <c r="Y42">
        <f>bw_sl*W42*(V42-W42/2)+ov_sl*X42*(V42-af_sl-X42/2)+(aeM_sl-(V42&gt;y1_sl))*A1_sl*(V42-y1_sl)+(aeM_sl-(V42&gt;y2_sl))*A2_sl*(V42-y2_sl)</f>
        <v/>
      </c>
      <c r="Z42">
        <f>bw_sl*(V42*yc_sl*W42-(V42+yc_sl)*W42^2/2+W42^3/3)+ov_sl*((V42-af_sl)*(yc_sl-af_sl)*X42-(V42+yc_sl-2*af_sl)*X42^2/2+X42^3/3)+(aeM_sl-(V42&gt;y1_sl))*A1_sl*(V42-y1_sl)*(yc_sl-y1_sl)+(aeM_sl-(V42&gt;y2_sl))*A2_sl*(V42-y2_sl)*(yc_sl-y2_sl)</f>
        <v/>
      </c>
      <c r="AA42">
        <f>-Y42</f>
        <v/>
      </c>
      <c r="AC42">
        <f>IF(AJ41&gt;0,AE41,AC41)</f>
        <v/>
      </c>
      <c r="AD42">
        <f>IF(AJ41&gt;0,AD41,AE41)</f>
        <v/>
      </c>
      <c r="AE42">
        <f>(AC42+AD42)/2</f>
        <v/>
      </c>
      <c r="AF42">
        <f>MIN(MAX(AE42,0),h_sl)</f>
        <v/>
      </c>
      <c r="AG42">
        <f>MIN(MAX(AE42-af_sl,0),hfe_sl)</f>
        <v/>
      </c>
      <c r="AH42">
        <f>bw_sl*AF42*(AE42-AF42/2)+ov_sl*AG42*(AE42-af_sl-AG42/2)+(aeS_sl-(AE42&gt;y1_sl))*A1_sl*(AE42-y1_sl)+(aeS_sl-(AE42&gt;y2_sl))*A2_sl*(AE42-y2_sl)</f>
        <v/>
      </c>
      <c r="AI42">
        <f>bw_sl*(AE42*yc_sl*AF42-(AE42+yc_sl)*AF42^2/2+AF42^3/3)+ov_sl*((AE42-af_sl)*(yc_sl-af_sl)*AG42-(AE42+yc_sl-2*af_sl)*AG42^2/2+AG42^3/3)+(aeS_sl-(AE42&gt;y1_sl))*A1_sl*(AE42-y1_sl)*(yc_sl-y1_sl)+(aeS_sl-(AE42&gt;y2_sl))*A2_sl*(AE42-y2_sl)*(yc_sl-y2_sl)</f>
        <v/>
      </c>
      <c r="AJ42">
        <f>Nk_sl*1000*AI42-Mk_sl*1E6*AH42</f>
        <v/>
      </c>
      <c r="AL42">
        <f>IF(AS41&gt;0,AN41,AL41)</f>
        <v/>
      </c>
      <c r="AM42">
        <f>IF(AS41&gt;0,AM41,AN41)</f>
        <v/>
      </c>
      <c r="AN42">
        <f>(AL42+AM42)/2</f>
        <v/>
      </c>
      <c r="AO42">
        <f>MIN(MAX(AN42,0),h_sl)</f>
        <v/>
      </c>
      <c r="AP42">
        <f>MIN(MAX(AN42-af_sl,0),hfe_sl)</f>
        <v/>
      </c>
      <c r="AQ42">
        <f>bw_sl*AO42*(AN42-AO42/2)+ov_sl*AP42*(AN42-af_sl-AP42/2)+(aeL_sl-(AN42&gt;y1_sl))*A1_sl*(AN42-y1_sl)+(aeL_sl-(AN42&gt;y2_sl))*A2_sl*(AN42-y2_sl)</f>
        <v/>
      </c>
      <c r="AR42">
        <f>bw_sl*(AN42*yc_sl*AO42-(AN42+yc_sl)*AO42^2/2+AO42^3/3)+ov_sl*((AN42-af_sl)*(yc_sl-af_sl)*AP42-(AN42+yc_sl-2*af_sl)*AP42^2/2+AP42^3/3)+(aeL_sl-(AN42&gt;y1_sl))*A1_sl*(AN42-y1_sl)*(yc_sl-y1_sl)+(aeL_sl-(AN42&gt;y2_sl))*A2_sl*(AN42-y2_sl)*(yc_sl-y2_sl)</f>
        <v/>
      </c>
      <c r="AS42">
        <f>Nk_sl*1000*AR42-Mk_sl*1E6*AQ42</f>
        <v/>
      </c>
      <c r="AU42">
        <f>IF(BB41&gt;0,AW41,AU41)</f>
        <v/>
      </c>
      <c r="AV42">
        <f>IF(BB41&gt;0,AV41,AW41)</f>
        <v/>
      </c>
      <c r="AW42">
        <f>(AU42+AV42)/2</f>
        <v/>
      </c>
      <c r="AX42">
        <f>MIN(MAX(AW42,0),h_sl)</f>
        <v/>
      </c>
      <c r="AY42">
        <f>MIN(MAX(AW42-af_sl,0),hfe_sl)</f>
        <v/>
      </c>
      <c r="AZ42">
        <f>bw_sl*AX42*(AW42-AX42/2)+ov_sl*AY42*(AW42-af_sl-AY42/2)+(aeS_sl-(AW42&gt;y1_sl))*A1_sl*(AW42-y1_sl)+(aeS_sl-(AW42&gt;y2_sl))*A2_sl*(AW42-y2_sl)</f>
        <v/>
      </c>
      <c r="BA42">
        <f>bw_sl*(AW42*yc_sl*AX42-(AW42+yc_sl)*AX42^2/2+AX42^3/3)+ov_sl*((AW42-af_sl)*(yc_sl-af_sl)*AY42-(AW42+yc_sl-2*af_sl)*AY42^2/2+AY42^3/3)+(aeS_sl-(AW42&gt;y1_sl))*A1_sl*(AW42-y1_sl)*(yc_sl-y1_sl)+(aeS_sl-(AW42&gt;y2_sl))*A2_sl*(AW42-y2_sl)*(yc_sl-y2_sl)</f>
        <v/>
      </c>
      <c r="BB42">
        <f>Nqp_sl*1000*BA42-Mqp_sl*1E6*AZ42</f>
        <v/>
      </c>
      <c r="BD42">
        <f>IF(BK41&gt;0,BF41,BD41)</f>
        <v/>
      </c>
      <c r="BE42">
        <f>IF(BK41&gt;0,BE41,BF41)</f>
        <v/>
      </c>
      <c r="BF42">
        <f>(BD42+BE42)/2</f>
        <v/>
      </c>
      <c r="BG42">
        <f>MIN(MAX(BF42,0),h_sl)</f>
        <v/>
      </c>
      <c r="BH42">
        <f>MIN(MAX(BF42-af_sl,0),hfe_sl)</f>
        <v/>
      </c>
      <c r="BI42">
        <f>bw_sl*BG42*(BF42-BG42/2)+ov_sl*BH42*(BF42-af_sl-BH42/2)+(aeL_sl-(BF42&gt;y1_sl))*A1_sl*(BF42-y1_sl)+(aeL_sl-(BF42&gt;y2_sl))*A2_sl*(BF42-y2_sl)</f>
        <v/>
      </c>
      <c r="BJ42">
        <f>bw_sl*(BF42*yc_sl*BG42-(BF42+yc_sl)*BG42^2/2+BG42^3/3)+ov_sl*((BF42-af_sl)*(yc_sl-af_sl)*BH42-(BF42+yc_sl-2*af_sl)*BH42^2/2+BH42^3/3)+(aeL_sl-(BF42&gt;y1_sl))*A1_sl*(BF42-y1_sl)*(yc_sl-y1_sl)+(aeL_sl-(BF42&gt;y2_sl))*A2_sl*(BF42-y2_sl)*(yc_sl-y2_sl)</f>
        <v/>
      </c>
      <c r="BK42">
        <f>Nqp_sl*1000*BJ42-Mqp_sl*1E6*BI42</f>
        <v/>
      </c>
      <c r="BM42">
        <f>IF(BT41&gt;0,BO41,BM41)</f>
        <v/>
      </c>
      <c r="BN42">
        <f>IF(BT41&gt;0,BN41,BO41)</f>
        <v/>
      </c>
      <c r="BO42">
        <f>(BM42+BN42)/2</f>
        <v/>
      </c>
      <c r="BP42">
        <f>MIN(MAX(BO42,0),h_sl)</f>
        <v/>
      </c>
      <c r="BQ42">
        <f>MIN(MAX(BO42-af_sl,0),hfe_sl)</f>
        <v/>
      </c>
      <c r="BR42">
        <f>bw_sl*BP42*(BO42-BP42/2)+ov_sl*BQ42*(BO42-af_sl-BQ42/2)+(aeS_sl-(BO42&gt;y1_sl))*A1_sl*(BO42-y1_sl)+(aeS_sl-(BO42&gt;y2_sl))*A2_sl*(BO42-y2_sl)</f>
        <v/>
      </c>
      <c r="BS42">
        <f>bw_sl*(BO42*yc_sl*BP42-(BO42+yc_sl)*BP42^2/2+BP42^3/3)+ov_sl*((BO42-af_sl)*(yc_sl-af_sl)*BQ42-(BO42+yc_sl-2*af_sl)*BQ42^2/2+BQ42^3/3)+(aeS_sl-(BO42&gt;y1_sl))*A1_sl*(BO42-y1_sl)*(yc_sl-y1_sl)+(aeS_sl-(BO42&gt;y2_sl))*A2_sl*(BO42-y2_sl)*(yc_sl-y2_sl)</f>
        <v/>
      </c>
      <c r="BT42">
        <f>dN_sl*1000*BS42-dM_sl*1E6*BR42</f>
        <v/>
      </c>
      <c r="BV42">
        <f>IF(CC41&gt;0,BX41,BV41)</f>
        <v/>
      </c>
      <c r="BW42">
        <f>IF(CC41&gt;0,BW41,BX41)</f>
        <v/>
      </c>
      <c r="BX42">
        <f>(BV42+BW42)/2</f>
        <v/>
      </c>
      <c r="BY42">
        <f>MIN(MAX(BX42,0),h_sl)</f>
        <v/>
      </c>
      <c r="BZ42">
        <f>MIN(MAX(BX42-af_sl,0),hfe_sl)</f>
        <v/>
      </c>
      <c r="CA42">
        <f>bw_sl*BY42*(BX42-BY42/2)+ov_sl*BZ42*(BX42-af_sl-BZ42/2)+(aeM_sl-(BX42&gt;y1_sl))*A1_sl*(BX42-y1_sl)+(aeM_sl-(BX42&gt;y2_sl))*A2_sl*(BX42-y2_sl)</f>
        <v/>
      </c>
      <c r="CB42">
        <f>bw_sl*(BX42*yc_sl*BY42-(BX42+yc_sl)*BY42^2/2+BY42^3/3)+ov_sl*((BX42-af_sl)*(yc_sl-af_sl)*BZ42-(BX42+yc_sl-2*af_sl)*BZ42^2/2+BZ42^3/3)+(aeM_sl-(BX42&gt;y1_sl))*A1_sl*(BX42-y1_sl)*(yc_sl-y1_sl)+(aeM_sl-(BX42&gt;y2_sl))*A2_sl*(BX42-y2_sl)*(yc_sl-y2_sl)</f>
        <v/>
      </c>
      <c r="CC42">
        <f>Nk_sl*1000*CB42-Mk_sl*1E6*CA42</f>
        <v/>
      </c>
    </row>
    <row r="43">
      <c r="B43">
        <f>IF(I42&gt;0,D42,B42)</f>
        <v/>
      </c>
      <c r="C43">
        <f>IF(I42&gt;0,C42,D42)</f>
        <v/>
      </c>
      <c r="D43">
        <f>(B43+C43)/2</f>
        <v/>
      </c>
      <c r="E43">
        <f>MIN(MAX(D43,0),h_sl)</f>
        <v/>
      </c>
      <c r="F43">
        <f>MIN(MAX(D43-af_sl,0),hfe_sl)</f>
        <v/>
      </c>
      <c r="G43">
        <f>bw_sl*E43*(D43-E43/2)+ov_sl*F43*(D43-af_sl-F43/2)+(aeS_sl-(D43&gt;y1_sl))*A1_sl*(D43-y1_sl)+(aeS_sl-(D43&gt;y2_sl))*A2_sl*(D43-y2_sl)</f>
        <v/>
      </c>
      <c r="H43">
        <f>bw_sl*(D43*yc_sl*E43-(D43+yc_sl)*E43^2/2+E43^3/3)+ov_sl*((D43-af_sl)*(yc_sl-af_sl)*F43-(D43+yc_sl-2*af_sl)*F43^2/2+F43^3/3)+(aeS_sl-(D43&gt;y1_sl))*A1_sl*(D43-y1_sl)*(yc_sl-y1_sl)+(aeS_sl-(D43&gt;y2_sl))*A2_sl*(D43-y2_sl)*(yc_sl-y2_sl)</f>
        <v/>
      </c>
      <c r="I43">
        <f>-G43</f>
        <v/>
      </c>
      <c r="K43">
        <f>IF(R42&gt;0,M42,K42)</f>
        <v/>
      </c>
      <c r="L43">
        <f>IF(R42&gt;0,L42,M42)</f>
        <v/>
      </c>
      <c r="M43">
        <f>(K43+L43)/2</f>
        <v/>
      </c>
      <c r="N43">
        <f>MIN(MAX(M43,0),h_sl)</f>
        <v/>
      </c>
      <c r="O43">
        <f>MIN(MAX(M43-af_sl,0),hfe_sl)</f>
        <v/>
      </c>
      <c r="P43">
        <f>bw_sl*N43*(M43-N43/2)+ov_sl*O43*(M43-af_sl-O43/2)+(aeL_sl-(M43&gt;y1_sl))*A1_sl*(M43-y1_sl)+(aeL_sl-(M43&gt;y2_sl))*A2_sl*(M43-y2_sl)</f>
        <v/>
      </c>
      <c r="Q43">
        <f>bw_sl*(M43*yc_sl*N43-(M43+yc_sl)*N43^2/2+N43^3/3)+ov_sl*((M43-af_sl)*(yc_sl-af_sl)*O43-(M43+yc_sl-2*af_sl)*O43^2/2+O43^3/3)+(aeL_sl-(M43&gt;y1_sl))*A1_sl*(M43-y1_sl)*(yc_sl-y1_sl)+(aeL_sl-(M43&gt;y2_sl))*A2_sl*(M43-y2_sl)*(yc_sl-y2_sl)</f>
        <v/>
      </c>
      <c r="R43">
        <f>-P43</f>
        <v/>
      </c>
      <c r="T43">
        <f>IF(AA42&gt;0,V42,T42)</f>
        <v/>
      </c>
      <c r="U43">
        <f>IF(AA42&gt;0,U42,V42)</f>
        <v/>
      </c>
      <c r="V43">
        <f>(T43+U43)/2</f>
        <v/>
      </c>
      <c r="W43">
        <f>MIN(MAX(V43,0),h_sl)</f>
        <v/>
      </c>
      <c r="X43">
        <f>MIN(MAX(V43-af_sl,0),hfe_sl)</f>
        <v/>
      </c>
      <c r="Y43">
        <f>bw_sl*W43*(V43-W43/2)+ov_sl*X43*(V43-af_sl-X43/2)+(aeM_sl-(V43&gt;y1_sl))*A1_sl*(V43-y1_sl)+(aeM_sl-(V43&gt;y2_sl))*A2_sl*(V43-y2_sl)</f>
        <v/>
      </c>
      <c r="Z43">
        <f>bw_sl*(V43*yc_sl*W43-(V43+yc_sl)*W43^2/2+W43^3/3)+ov_sl*((V43-af_sl)*(yc_sl-af_sl)*X43-(V43+yc_sl-2*af_sl)*X43^2/2+X43^3/3)+(aeM_sl-(V43&gt;y1_sl))*A1_sl*(V43-y1_sl)*(yc_sl-y1_sl)+(aeM_sl-(V43&gt;y2_sl))*A2_sl*(V43-y2_sl)*(yc_sl-y2_sl)</f>
        <v/>
      </c>
      <c r="AA43">
        <f>-Y43</f>
        <v/>
      </c>
      <c r="AC43">
        <f>IF(AJ42&gt;0,AE42,AC42)</f>
        <v/>
      </c>
      <c r="AD43">
        <f>IF(AJ42&gt;0,AD42,AE42)</f>
        <v/>
      </c>
      <c r="AE43">
        <f>(AC43+AD43)/2</f>
        <v/>
      </c>
      <c r="AF43">
        <f>MIN(MAX(AE43,0),h_sl)</f>
        <v/>
      </c>
      <c r="AG43">
        <f>MIN(MAX(AE43-af_sl,0),hfe_sl)</f>
        <v/>
      </c>
      <c r="AH43">
        <f>bw_sl*AF43*(AE43-AF43/2)+ov_sl*AG43*(AE43-af_sl-AG43/2)+(aeS_sl-(AE43&gt;y1_sl))*A1_sl*(AE43-y1_sl)+(aeS_sl-(AE43&gt;y2_sl))*A2_sl*(AE43-y2_sl)</f>
        <v/>
      </c>
      <c r="AI43">
        <f>bw_sl*(AE43*yc_sl*AF43-(AE43+yc_sl)*AF43^2/2+AF43^3/3)+ov_sl*((AE43-af_sl)*(yc_sl-af_sl)*AG43-(AE43+yc_sl-2*af_sl)*AG43^2/2+AG43^3/3)+(aeS_sl-(AE43&gt;y1_sl))*A1_sl*(AE43-y1_sl)*(yc_sl-y1_sl)+(aeS_sl-(AE43&gt;y2_sl))*A2_sl*(AE43-y2_sl)*(yc_sl-y2_sl)</f>
        <v/>
      </c>
      <c r="AJ43">
        <f>Nk_sl*1000*AI43-Mk_sl*1E6*AH43</f>
        <v/>
      </c>
      <c r="AL43">
        <f>IF(AS42&gt;0,AN42,AL42)</f>
        <v/>
      </c>
      <c r="AM43">
        <f>IF(AS42&gt;0,AM42,AN42)</f>
        <v/>
      </c>
      <c r="AN43">
        <f>(AL43+AM43)/2</f>
        <v/>
      </c>
      <c r="AO43">
        <f>MIN(MAX(AN43,0),h_sl)</f>
        <v/>
      </c>
      <c r="AP43">
        <f>MIN(MAX(AN43-af_sl,0),hfe_sl)</f>
        <v/>
      </c>
      <c r="AQ43">
        <f>bw_sl*AO43*(AN43-AO43/2)+ov_sl*AP43*(AN43-af_sl-AP43/2)+(aeL_sl-(AN43&gt;y1_sl))*A1_sl*(AN43-y1_sl)+(aeL_sl-(AN43&gt;y2_sl))*A2_sl*(AN43-y2_sl)</f>
        <v/>
      </c>
      <c r="AR43">
        <f>bw_sl*(AN43*yc_sl*AO43-(AN43+yc_sl)*AO43^2/2+AO43^3/3)+ov_sl*((AN43-af_sl)*(yc_sl-af_sl)*AP43-(AN43+yc_sl-2*af_sl)*AP43^2/2+AP43^3/3)+(aeL_sl-(AN43&gt;y1_sl))*A1_sl*(AN43-y1_sl)*(yc_sl-y1_sl)+(aeL_sl-(AN43&gt;y2_sl))*A2_sl*(AN43-y2_sl)*(yc_sl-y2_sl)</f>
        <v/>
      </c>
      <c r="AS43">
        <f>Nk_sl*1000*AR43-Mk_sl*1E6*AQ43</f>
        <v/>
      </c>
      <c r="AU43">
        <f>IF(BB42&gt;0,AW42,AU42)</f>
        <v/>
      </c>
      <c r="AV43">
        <f>IF(BB42&gt;0,AV42,AW42)</f>
        <v/>
      </c>
      <c r="AW43">
        <f>(AU43+AV43)/2</f>
        <v/>
      </c>
      <c r="AX43">
        <f>MIN(MAX(AW43,0),h_sl)</f>
        <v/>
      </c>
      <c r="AY43">
        <f>MIN(MAX(AW43-af_sl,0),hfe_sl)</f>
        <v/>
      </c>
      <c r="AZ43">
        <f>bw_sl*AX43*(AW43-AX43/2)+ov_sl*AY43*(AW43-af_sl-AY43/2)+(aeS_sl-(AW43&gt;y1_sl))*A1_sl*(AW43-y1_sl)+(aeS_sl-(AW43&gt;y2_sl))*A2_sl*(AW43-y2_sl)</f>
        <v/>
      </c>
      <c r="BA43">
        <f>bw_sl*(AW43*yc_sl*AX43-(AW43+yc_sl)*AX43^2/2+AX43^3/3)+ov_sl*((AW43-af_sl)*(yc_sl-af_sl)*AY43-(AW43+yc_sl-2*af_sl)*AY43^2/2+AY43^3/3)+(aeS_sl-(AW43&gt;y1_sl))*A1_sl*(AW43-y1_sl)*(yc_sl-y1_sl)+(aeS_sl-(AW43&gt;y2_sl))*A2_sl*(AW43-y2_sl)*(yc_sl-y2_sl)</f>
        <v/>
      </c>
      <c r="BB43">
        <f>Nqp_sl*1000*BA43-Mqp_sl*1E6*AZ43</f>
        <v/>
      </c>
      <c r="BD43">
        <f>IF(BK42&gt;0,BF42,BD42)</f>
        <v/>
      </c>
      <c r="BE43">
        <f>IF(BK42&gt;0,BE42,BF42)</f>
        <v/>
      </c>
      <c r="BF43">
        <f>(BD43+BE43)/2</f>
        <v/>
      </c>
      <c r="BG43">
        <f>MIN(MAX(BF43,0),h_sl)</f>
        <v/>
      </c>
      <c r="BH43">
        <f>MIN(MAX(BF43-af_sl,0),hfe_sl)</f>
        <v/>
      </c>
      <c r="BI43">
        <f>bw_sl*BG43*(BF43-BG43/2)+ov_sl*BH43*(BF43-af_sl-BH43/2)+(aeL_sl-(BF43&gt;y1_sl))*A1_sl*(BF43-y1_sl)+(aeL_sl-(BF43&gt;y2_sl))*A2_sl*(BF43-y2_sl)</f>
        <v/>
      </c>
      <c r="BJ43">
        <f>bw_sl*(BF43*yc_sl*BG43-(BF43+yc_sl)*BG43^2/2+BG43^3/3)+ov_sl*((BF43-af_sl)*(yc_sl-af_sl)*BH43-(BF43+yc_sl-2*af_sl)*BH43^2/2+BH43^3/3)+(aeL_sl-(BF43&gt;y1_sl))*A1_sl*(BF43-y1_sl)*(yc_sl-y1_sl)+(aeL_sl-(BF43&gt;y2_sl))*A2_sl*(BF43-y2_sl)*(yc_sl-y2_sl)</f>
        <v/>
      </c>
      <c r="BK43">
        <f>Nqp_sl*1000*BJ43-Mqp_sl*1E6*BI43</f>
        <v/>
      </c>
      <c r="BM43">
        <f>IF(BT42&gt;0,BO42,BM42)</f>
        <v/>
      </c>
      <c r="BN43">
        <f>IF(BT42&gt;0,BN42,BO42)</f>
        <v/>
      </c>
      <c r="BO43">
        <f>(BM43+BN43)/2</f>
        <v/>
      </c>
      <c r="BP43">
        <f>MIN(MAX(BO43,0),h_sl)</f>
        <v/>
      </c>
      <c r="BQ43">
        <f>MIN(MAX(BO43-af_sl,0),hfe_sl)</f>
        <v/>
      </c>
      <c r="BR43">
        <f>bw_sl*BP43*(BO43-BP43/2)+ov_sl*BQ43*(BO43-af_sl-BQ43/2)+(aeS_sl-(BO43&gt;y1_sl))*A1_sl*(BO43-y1_sl)+(aeS_sl-(BO43&gt;y2_sl))*A2_sl*(BO43-y2_sl)</f>
        <v/>
      </c>
      <c r="BS43">
        <f>bw_sl*(BO43*yc_sl*BP43-(BO43+yc_sl)*BP43^2/2+BP43^3/3)+ov_sl*((BO43-af_sl)*(yc_sl-af_sl)*BQ43-(BO43+yc_sl-2*af_sl)*BQ43^2/2+BQ43^3/3)+(aeS_sl-(BO43&gt;y1_sl))*A1_sl*(BO43-y1_sl)*(yc_sl-y1_sl)+(aeS_sl-(BO43&gt;y2_sl))*A2_sl*(BO43-y2_sl)*(yc_sl-y2_sl)</f>
        <v/>
      </c>
      <c r="BT43">
        <f>dN_sl*1000*BS43-dM_sl*1E6*BR43</f>
        <v/>
      </c>
      <c r="BV43">
        <f>IF(CC42&gt;0,BX42,BV42)</f>
        <v/>
      </c>
      <c r="BW43">
        <f>IF(CC42&gt;0,BW42,BX42)</f>
        <v/>
      </c>
      <c r="BX43">
        <f>(BV43+BW43)/2</f>
        <v/>
      </c>
      <c r="BY43">
        <f>MIN(MAX(BX43,0),h_sl)</f>
        <v/>
      </c>
      <c r="BZ43">
        <f>MIN(MAX(BX43-af_sl,0),hfe_sl)</f>
        <v/>
      </c>
      <c r="CA43">
        <f>bw_sl*BY43*(BX43-BY43/2)+ov_sl*BZ43*(BX43-af_sl-BZ43/2)+(aeM_sl-(BX43&gt;y1_sl))*A1_sl*(BX43-y1_sl)+(aeM_sl-(BX43&gt;y2_sl))*A2_sl*(BX43-y2_sl)</f>
        <v/>
      </c>
      <c r="CB43">
        <f>bw_sl*(BX43*yc_sl*BY43-(BX43+yc_sl)*BY43^2/2+BY43^3/3)+ov_sl*((BX43-af_sl)*(yc_sl-af_sl)*BZ43-(BX43+yc_sl-2*af_sl)*BZ43^2/2+BZ43^3/3)+(aeM_sl-(BX43&gt;y1_sl))*A1_sl*(BX43-y1_sl)*(yc_sl-y1_sl)+(aeM_sl-(BX43&gt;y2_sl))*A2_sl*(BX43-y2_sl)*(yc_sl-y2_sl)</f>
        <v/>
      </c>
      <c r="CC43">
        <f>Nk_sl*1000*CB43-Mk_sl*1E6*CA43</f>
        <v/>
      </c>
    </row>
    <row r="44">
      <c r="B44">
        <f>IF(I43&gt;0,D43,B43)</f>
        <v/>
      </c>
      <c r="C44">
        <f>IF(I43&gt;0,C43,D43)</f>
        <v/>
      </c>
      <c r="D44">
        <f>(B44+C44)/2</f>
        <v/>
      </c>
      <c r="E44">
        <f>MIN(MAX(D44,0),h_sl)</f>
        <v/>
      </c>
      <c r="F44">
        <f>MIN(MAX(D44-af_sl,0),hfe_sl)</f>
        <v/>
      </c>
      <c r="G44">
        <f>bw_sl*E44*(D44-E44/2)+ov_sl*F44*(D44-af_sl-F44/2)+(aeS_sl-(D44&gt;y1_sl))*A1_sl*(D44-y1_sl)+(aeS_sl-(D44&gt;y2_sl))*A2_sl*(D44-y2_sl)</f>
        <v/>
      </c>
      <c r="H44">
        <f>bw_sl*(D44*yc_sl*E44-(D44+yc_sl)*E44^2/2+E44^3/3)+ov_sl*((D44-af_sl)*(yc_sl-af_sl)*F44-(D44+yc_sl-2*af_sl)*F44^2/2+F44^3/3)+(aeS_sl-(D44&gt;y1_sl))*A1_sl*(D44-y1_sl)*(yc_sl-y1_sl)+(aeS_sl-(D44&gt;y2_sl))*A2_sl*(D44-y2_sl)*(yc_sl-y2_sl)</f>
        <v/>
      </c>
      <c r="I44">
        <f>-G44</f>
        <v/>
      </c>
      <c r="K44">
        <f>IF(R43&gt;0,M43,K43)</f>
        <v/>
      </c>
      <c r="L44">
        <f>IF(R43&gt;0,L43,M43)</f>
        <v/>
      </c>
      <c r="M44">
        <f>(K44+L44)/2</f>
        <v/>
      </c>
      <c r="N44">
        <f>MIN(MAX(M44,0),h_sl)</f>
        <v/>
      </c>
      <c r="O44">
        <f>MIN(MAX(M44-af_sl,0),hfe_sl)</f>
        <v/>
      </c>
      <c r="P44">
        <f>bw_sl*N44*(M44-N44/2)+ov_sl*O44*(M44-af_sl-O44/2)+(aeL_sl-(M44&gt;y1_sl))*A1_sl*(M44-y1_sl)+(aeL_sl-(M44&gt;y2_sl))*A2_sl*(M44-y2_sl)</f>
        <v/>
      </c>
      <c r="Q44">
        <f>bw_sl*(M44*yc_sl*N44-(M44+yc_sl)*N44^2/2+N44^3/3)+ov_sl*((M44-af_sl)*(yc_sl-af_sl)*O44-(M44+yc_sl-2*af_sl)*O44^2/2+O44^3/3)+(aeL_sl-(M44&gt;y1_sl))*A1_sl*(M44-y1_sl)*(yc_sl-y1_sl)+(aeL_sl-(M44&gt;y2_sl))*A2_sl*(M44-y2_sl)*(yc_sl-y2_sl)</f>
        <v/>
      </c>
      <c r="R44">
        <f>-P44</f>
        <v/>
      </c>
      <c r="T44">
        <f>IF(AA43&gt;0,V43,T43)</f>
        <v/>
      </c>
      <c r="U44">
        <f>IF(AA43&gt;0,U43,V43)</f>
        <v/>
      </c>
      <c r="V44">
        <f>(T44+U44)/2</f>
        <v/>
      </c>
      <c r="W44">
        <f>MIN(MAX(V44,0),h_sl)</f>
        <v/>
      </c>
      <c r="X44">
        <f>MIN(MAX(V44-af_sl,0),hfe_sl)</f>
        <v/>
      </c>
      <c r="Y44">
        <f>bw_sl*W44*(V44-W44/2)+ov_sl*X44*(V44-af_sl-X44/2)+(aeM_sl-(V44&gt;y1_sl))*A1_sl*(V44-y1_sl)+(aeM_sl-(V44&gt;y2_sl))*A2_sl*(V44-y2_sl)</f>
        <v/>
      </c>
      <c r="Z44">
        <f>bw_sl*(V44*yc_sl*W44-(V44+yc_sl)*W44^2/2+W44^3/3)+ov_sl*((V44-af_sl)*(yc_sl-af_sl)*X44-(V44+yc_sl-2*af_sl)*X44^2/2+X44^3/3)+(aeM_sl-(V44&gt;y1_sl))*A1_sl*(V44-y1_sl)*(yc_sl-y1_sl)+(aeM_sl-(V44&gt;y2_sl))*A2_sl*(V44-y2_sl)*(yc_sl-y2_sl)</f>
        <v/>
      </c>
      <c r="AA44">
        <f>-Y44</f>
        <v/>
      </c>
      <c r="AC44">
        <f>IF(AJ43&gt;0,AE43,AC43)</f>
        <v/>
      </c>
      <c r="AD44">
        <f>IF(AJ43&gt;0,AD43,AE43)</f>
        <v/>
      </c>
      <c r="AE44">
        <f>(AC44+AD44)/2</f>
        <v/>
      </c>
      <c r="AF44">
        <f>MIN(MAX(AE44,0),h_sl)</f>
        <v/>
      </c>
      <c r="AG44">
        <f>MIN(MAX(AE44-af_sl,0),hfe_sl)</f>
        <v/>
      </c>
      <c r="AH44">
        <f>bw_sl*AF44*(AE44-AF44/2)+ov_sl*AG44*(AE44-af_sl-AG44/2)+(aeS_sl-(AE44&gt;y1_sl))*A1_sl*(AE44-y1_sl)+(aeS_sl-(AE44&gt;y2_sl))*A2_sl*(AE44-y2_sl)</f>
        <v/>
      </c>
      <c r="AI44">
        <f>bw_sl*(AE44*yc_sl*AF44-(AE44+yc_sl)*AF44^2/2+AF44^3/3)+ov_sl*((AE44-af_sl)*(yc_sl-af_sl)*AG44-(AE44+yc_sl-2*af_sl)*AG44^2/2+AG44^3/3)+(aeS_sl-(AE44&gt;y1_sl))*A1_sl*(AE44-y1_sl)*(yc_sl-y1_sl)+(aeS_sl-(AE44&gt;y2_sl))*A2_sl*(AE44-y2_sl)*(yc_sl-y2_sl)</f>
        <v/>
      </c>
      <c r="AJ44">
        <f>Nk_sl*1000*AI44-Mk_sl*1E6*AH44</f>
        <v/>
      </c>
      <c r="AL44">
        <f>IF(AS43&gt;0,AN43,AL43)</f>
        <v/>
      </c>
      <c r="AM44">
        <f>IF(AS43&gt;0,AM43,AN43)</f>
        <v/>
      </c>
      <c r="AN44">
        <f>(AL44+AM44)/2</f>
        <v/>
      </c>
      <c r="AO44">
        <f>MIN(MAX(AN44,0),h_sl)</f>
        <v/>
      </c>
      <c r="AP44">
        <f>MIN(MAX(AN44-af_sl,0),hfe_sl)</f>
        <v/>
      </c>
      <c r="AQ44">
        <f>bw_sl*AO44*(AN44-AO44/2)+ov_sl*AP44*(AN44-af_sl-AP44/2)+(aeL_sl-(AN44&gt;y1_sl))*A1_sl*(AN44-y1_sl)+(aeL_sl-(AN44&gt;y2_sl))*A2_sl*(AN44-y2_sl)</f>
        <v/>
      </c>
      <c r="AR44">
        <f>bw_sl*(AN44*yc_sl*AO44-(AN44+yc_sl)*AO44^2/2+AO44^3/3)+ov_sl*((AN44-af_sl)*(yc_sl-af_sl)*AP44-(AN44+yc_sl-2*af_sl)*AP44^2/2+AP44^3/3)+(aeL_sl-(AN44&gt;y1_sl))*A1_sl*(AN44-y1_sl)*(yc_sl-y1_sl)+(aeL_sl-(AN44&gt;y2_sl))*A2_sl*(AN44-y2_sl)*(yc_sl-y2_sl)</f>
        <v/>
      </c>
      <c r="AS44">
        <f>Nk_sl*1000*AR44-Mk_sl*1E6*AQ44</f>
        <v/>
      </c>
      <c r="AU44">
        <f>IF(BB43&gt;0,AW43,AU43)</f>
        <v/>
      </c>
      <c r="AV44">
        <f>IF(BB43&gt;0,AV43,AW43)</f>
        <v/>
      </c>
      <c r="AW44">
        <f>(AU44+AV44)/2</f>
        <v/>
      </c>
      <c r="AX44">
        <f>MIN(MAX(AW44,0),h_sl)</f>
        <v/>
      </c>
      <c r="AY44">
        <f>MIN(MAX(AW44-af_sl,0),hfe_sl)</f>
        <v/>
      </c>
      <c r="AZ44">
        <f>bw_sl*AX44*(AW44-AX44/2)+ov_sl*AY44*(AW44-af_sl-AY44/2)+(aeS_sl-(AW44&gt;y1_sl))*A1_sl*(AW44-y1_sl)+(aeS_sl-(AW44&gt;y2_sl))*A2_sl*(AW44-y2_sl)</f>
        <v/>
      </c>
      <c r="BA44">
        <f>bw_sl*(AW44*yc_sl*AX44-(AW44+yc_sl)*AX44^2/2+AX44^3/3)+ov_sl*((AW44-af_sl)*(yc_sl-af_sl)*AY44-(AW44+yc_sl-2*af_sl)*AY44^2/2+AY44^3/3)+(aeS_sl-(AW44&gt;y1_sl))*A1_sl*(AW44-y1_sl)*(yc_sl-y1_sl)+(aeS_sl-(AW44&gt;y2_sl))*A2_sl*(AW44-y2_sl)*(yc_sl-y2_sl)</f>
        <v/>
      </c>
      <c r="BB44">
        <f>Nqp_sl*1000*BA44-Mqp_sl*1E6*AZ44</f>
        <v/>
      </c>
      <c r="BD44">
        <f>IF(BK43&gt;0,BF43,BD43)</f>
        <v/>
      </c>
      <c r="BE44">
        <f>IF(BK43&gt;0,BE43,BF43)</f>
        <v/>
      </c>
      <c r="BF44">
        <f>(BD44+BE44)/2</f>
        <v/>
      </c>
      <c r="BG44">
        <f>MIN(MAX(BF44,0),h_sl)</f>
        <v/>
      </c>
      <c r="BH44">
        <f>MIN(MAX(BF44-af_sl,0),hfe_sl)</f>
        <v/>
      </c>
      <c r="BI44">
        <f>bw_sl*BG44*(BF44-BG44/2)+ov_sl*BH44*(BF44-af_sl-BH44/2)+(aeL_sl-(BF44&gt;y1_sl))*A1_sl*(BF44-y1_sl)+(aeL_sl-(BF44&gt;y2_sl))*A2_sl*(BF44-y2_sl)</f>
        <v/>
      </c>
      <c r="BJ44">
        <f>bw_sl*(BF44*yc_sl*BG44-(BF44+yc_sl)*BG44^2/2+BG44^3/3)+ov_sl*((BF44-af_sl)*(yc_sl-af_sl)*BH44-(BF44+yc_sl-2*af_sl)*BH44^2/2+BH44^3/3)+(aeL_sl-(BF44&gt;y1_sl))*A1_sl*(BF44-y1_sl)*(yc_sl-y1_sl)+(aeL_sl-(BF44&gt;y2_sl))*A2_sl*(BF44-y2_sl)*(yc_sl-y2_sl)</f>
        <v/>
      </c>
      <c r="BK44">
        <f>Nqp_sl*1000*BJ44-Mqp_sl*1E6*BI44</f>
        <v/>
      </c>
      <c r="BM44">
        <f>IF(BT43&gt;0,BO43,BM43)</f>
        <v/>
      </c>
      <c r="BN44">
        <f>IF(BT43&gt;0,BN43,BO43)</f>
        <v/>
      </c>
      <c r="BO44">
        <f>(BM44+BN44)/2</f>
        <v/>
      </c>
      <c r="BP44">
        <f>MIN(MAX(BO44,0),h_sl)</f>
        <v/>
      </c>
      <c r="BQ44">
        <f>MIN(MAX(BO44-af_sl,0),hfe_sl)</f>
        <v/>
      </c>
      <c r="BR44">
        <f>bw_sl*BP44*(BO44-BP44/2)+ov_sl*BQ44*(BO44-af_sl-BQ44/2)+(aeS_sl-(BO44&gt;y1_sl))*A1_sl*(BO44-y1_sl)+(aeS_sl-(BO44&gt;y2_sl))*A2_sl*(BO44-y2_sl)</f>
        <v/>
      </c>
      <c r="BS44">
        <f>bw_sl*(BO44*yc_sl*BP44-(BO44+yc_sl)*BP44^2/2+BP44^3/3)+ov_sl*((BO44-af_sl)*(yc_sl-af_sl)*BQ44-(BO44+yc_sl-2*af_sl)*BQ44^2/2+BQ44^3/3)+(aeS_sl-(BO44&gt;y1_sl))*A1_sl*(BO44-y1_sl)*(yc_sl-y1_sl)+(aeS_sl-(BO44&gt;y2_sl))*A2_sl*(BO44-y2_sl)*(yc_sl-y2_sl)</f>
        <v/>
      </c>
      <c r="BT44">
        <f>dN_sl*1000*BS44-dM_sl*1E6*BR44</f>
        <v/>
      </c>
      <c r="BV44">
        <f>IF(CC43&gt;0,BX43,BV43)</f>
        <v/>
      </c>
      <c r="BW44">
        <f>IF(CC43&gt;0,BW43,BX43)</f>
        <v/>
      </c>
      <c r="BX44">
        <f>(BV44+BW44)/2</f>
        <v/>
      </c>
      <c r="BY44">
        <f>MIN(MAX(BX44,0),h_sl)</f>
        <v/>
      </c>
      <c r="BZ44">
        <f>MIN(MAX(BX44-af_sl,0),hfe_sl)</f>
        <v/>
      </c>
      <c r="CA44">
        <f>bw_sl*BY44*(BX44-BY44/2)+ov_sl*BZ44*(BX44-af_sl-BZ44/2)+(aeM_sl-(BX44&gt;y1_sl))*A1_sl*(BX44-y1_sl)+(aeM_sl-(BX44&gt;y2_sl))*A2_sl*(BX44-y2_sl)</f>
        <v/>
      </c>
      <c r="CB44">
        <f>bw_sl*(BX44*yc_sl*BY44-(BX44+yc_sl)*BY44^2/2+BY44^3/3)+ov_sl*((BX44-af_sl)*(yc_sl-af_sl)*BZ44-(BX44+yc_sl-2*af_sl)*BZ44^2/2+BZ44^3/3)+(aeM_sl-(BX44&gt;y1_sl))*A1_sl*(BX44-y1_sl)*(yc_sl-y1_sl)+(aeM_sl-(BX44&gt;y2_sl))*A2_sl*(BX44-y2_sl)*(yc_sl-y2_sl)</f>
        <v/>
      </c>
      <c r="CC44">
        <f>Nk_sl*1000*CB44-Mk_sl*1E6*CA44</f>
        <v/>
      </c>
    </row>
    <row r="45">
      <c r="B45">
        <f>IF(I44&gt;0,D44,B44)</f>
        <v/>
      </c>
      <c r="C45">
        <f>IF(I44&gt;0,C44,D44)</f>
        <v/>
      </c>
      <c r="D45">
        <f>(B45+C45)/2</f>
        <v/>
      </c>
      <c r="E45">
        <f>MIN(MAX(D45,0),h_sl)</f>
        <v/>
      </c>
      <c r="F45">
        <f>MIN(MAX(D45-af_sl,0),hfe_sl)</f>
        <v/>
      </c>
      <c r="G45">
        <f>bw_sl*E45*(D45-E45/2)+ov_sl*F45*(D45-af_sl-F45/2)+(aeS_sl-(D45&gt;y1_sl))*A1_sl*(D45-y1_sl)+(aeS_sl-(D45&gt;y2_sl))*A2_sl*(D45-y2_sl)</f>
        <v/>
      </c>
      <c r="H45">
        <f>bw_sl*(D45*yc_sl*E45-(D45+yc_sl)*E45^2/2+E45^3/3)+ov_sl*((D45-af_sl)*(yc_sl-af_sl)*F45-(D45+yc_sl-2*af_sl)*F45^2/2+F45^3/3)+(aeS_sl-(D45&gt;y1_sl))*A1_sl*(D45-y1_sl)*(yc_sl-y1_sl)+(aeS_sl-(D45&gt;y2_sl))*A2_sl*(D45-y2_sl)*(yc_sl-y2_sl)</f>
        <v/>
      </c>
      <c r="I45">
        <f>-G45</f>
        <v/>
      </c>
      <c r="K45">
        <f>IF(R44&gt;0,M44,K44)</f>
        <v/>
      </c>
      <c r="L45">
        <f>IF(R44&gt;0,L44,M44)</f>
        <v/>
      </c>
      <c r="M45">
        <f>(K45+L45)/2</f>
        <v/>
      </c>
      <c r="N45">
        <f>MIN(MAX(M45,0),h_sl)</f>
        <v/>
      </c>
      <c r="O45">
        <f>MIN(MAX(M45-af_sl,0),hfe_sl)</f>
        <v/>
      </c>
      <c r="P45">
        <f>bw_sl*N45*(M45-N45/2)+ov_sl*O45*(M45-af_sl-O45/2)+(aeL_sl-(M45&gt;y1_sl))*A1_sl*(M45-y1_sl)+(aeL_sl-(M45&gt;y2_sl))*A2_sl*(M45-y2_sl)</f>
        <v/>
      </c>
      <c r="Q45">
        <f>bw_sl*(M45*yc_sl*N45-(M45+yc_sl)*N45^2/2+N45^3/3)+ov_sl*((M45-af_sl)*(yc_sl-af_sl)*O45-(M45+yc_sl-2*af_sl)*O45^2/2+O45^3/3)+(aeL_sl-(M45&gt;y1_sl))*A1_sl*(M45-y1_sl)*(yc_sl-y1_sl)+(aeL_sl-(M45&gt;y2_sl))*A2_sl*(M45-y2_sl)*(yc_sl-y2_sl)</f>
        <v/>
      </c>
      <c r="R45">
        <f>-P45</f>
        <v/>
      </c>
      <c r="T45">
        <f>IF(AA44&gt;0,V44,T44)</f>
        <v/>
      </c>
      <c r="U45">
        <f>IF(AA44&gt;0,U44,V44)</f>
        <v/>
      </c>
      <c r="V45">
        <f>(T45+U45)/2</f>
        <v/>
      </c>
      <c r="W45">
        <f>MIN(MAX(V45,0),h_sl)</f>
        <v/>
      </c>
      <c r="X45">
        <f>MIN(MAX(V45-af_sl,0),hfe_sl)</f>
        <v/>
      </c>
      <c r="Y45">
        <f>bw_sl*W45*(V45-W45/2)+ov_sl*X45*(V45-af_sl-X45/2)+(aeM_sl-(V45&gt;y1_sl))*A1_sl*(V45-y1_sl)+(aeM_sl-(V45&gt;y2_sl))*A2_sl*(V45-y2_sl)</f>
        <v/>
      </c>
      <c r="Z45">
        <f>bw_sl*(V45*yc_sl*W45-(V45+yc_sl)*W45^2/2+W45^3/3)+ov_sl*((V45-af_sl)*(yc_sl-af_sl)*X45-(V45+yc_sl-2*af_sl)*X45^2/2+X45^3/3)+(aeM_sl-(V45&gt;y1_sl))*A1_sl*(V45-y1_sl)*(yc_sl-y1_sl)+(aeM_sl-(V45&gt;y2_sl))*A2_sl*(V45-y2_sl)*(yc_sl-y2_sl)</f>
        <v/>
      </c>
      <c r="AA45">
        <f>-Y45</f>
        <v/>
      </c>
      <c r="AC45">
        <f>IF(AJ44&gt;0,AE44,AC44)</f>
        <v/>
      </c>
      <c r="AD45">
        <f>IF(AJ44&gt;0,AD44,AE44)</f>
        <v/>
      </c>
      <c r="AE45">
        <f>(AC45+AD45)/2</f>
        <v/>
      </c>
      <c r="AF45">
        <f>MIN(MAX(AE45,0),h_sl)</f>
        <v/>
      </c>
      <c r="AG45">
        <f>MIN(MAX(AE45-af_sl,0),hfe_sl)</f>
        <v/>
      </c>
      <c r="AH45">
        <f>bw_sl*AF45*(AE45-AF45/2)+ov_sl*AG45*(AE45-af_sl-AG45/2)+(aeS_sl-(AE45&gt;y1_sl))*A1_sl*(AE45-y1_sl)+(aeS_sl-(AE45&gt;y2_sl))*A2_sl*(AE45-y2_sl)</f>
        <v/>
      </c>
      <c r="AI45">
        <f>bw_sl*(AE45*yc_sl*AF45-(AE45+yc_sl)*AF45^2/2+AF45^3/3)+ov_sl*((AE45-af_sl)*(yc_sl-af_sl)*AG45-(AE45+yc_sl-2*af_sl)*AG45^2/2+AG45^3/3)+(aeS_sl-(AE45&gt;y1_sl))*A1_sl*(AE45-y1_sl)*(yc_sl-y1_sl)+(aeS_sl-(AE45&gt;y2_sl))*A2_sl*(AE45-y2_sl)*(yc_sl-y2_sl)</f>
        <v/>
      </c>
      <c r="AJ45">
        <f>Nk_sl*1000*AI45-Mk_sl*1E6*AH45</f>
        <v/>
      </c>
      <c r="AL45">
        <f>IF(AS44&gt;0,AN44,AL44)</f>
        <v/>
      </c>
      <c r="AM45">
        <f>IF(AS44&gt;0,AM44,AN44)</f>
        <v/>
      </c>
      <c r="AN45">
        <f>(AL45+AM45)/2</f>
        <v/>
      </c>
      <c r="AO45">
        <f>MIN(MAX(AN45,0),h_sl)</f>
        <v/>
      </c>
      <c r="AP45">
        <f>MIN(MAX(AN45-af_sl,0),hfe_sl)</f>
        <v/>
      </c>
      <c r="AQ45">
        <f>bw_sl*AO45*(AN45-AO45/2)+ov_sl*AP45*(AN45-af_sl-AP45/2)+(aeL_sl-(AN45&gt;y1_sl))*A1_sl*(AN45-y1_sl)+(aeL_sl-(AN45&gt;y2_sl))*A2_sl*(AN45-y2_sl)</f>
        <v/>
      </c>
      <c r="AR45">
        <f>bw_sl*(AN45*yc_sl*AO45-(AN45+yc_sl)*AO45^2/2+AO45^3/3)+ov_sl*((AN45-af_sl)*(yc_sl-af_sl)*AP45-(AN45+yc_sl-2*af_sl)*AP45^2/2+AP45^3/3)+(aeL_sl-(AN45&gt;y1_sl))*A1_sl*(AN45-y1_sl)*(yc_sl-y1_sl)+(aeL_sl-(AN45&gt;y2_sl))*A2_sl*(AN45-y2_sl)*(yc_sl-y2_sl)</f>
        <v/>
      </c>
      <c r="AS45">
        <f>Nk_sl*1000*AR45-Mk_sl*1E6*AQ45</f>
        <v/>
      </c>
      <c r="AU45">
        <f>IF(BB44&gt;0,AW44,AU44)</f>
        <v/>
      </c>
      <c r="AV45">
        <f>IF(BB44&gt;0,AV44,AW44)</f>
        <v/>
      </c>
      <c r="AW45">
        <f>(AU45+AV45)/2</f>
        <v/>
      </c>
      <c r="AX45">
        <f>MIN(MAX(AW45,0),h_sl)</f>
        <v/>
      </c>
      <c r="AY45">
        <f>MIN(MAX(AW45-af_sl,0),hfe_sl)</f>
        <v/>
      </c>
      <c r="AZ45">
        <f>bw_sl*AX45*(AW45-AX45/2)+ov_sl*AY45*(AW45-af_sl-AY45/2)+(aeS_sl-(AW45&gt;y1_sl))*A1_sl*(AW45-y1_sl)+(aeS_sl-(AW45&gt;y2_sl))*A2_sl*(AW45-y2_sl)</f>
        <v/>
      </c>
      <c r="BA45">
        <f>bw_sl*(AW45*yc_sl*AX45-(AW45+yc_sl)*AX45^2/2+AX45^3/3)+ov_sl*((AW45-af_sl)*(yc_sl-af_sl)*AY45-(AW45+yc_sl-2*af_sl)*AY45^2/2+AY45^3/3)+(aeS_sl-(AW45&gt;y1_sl))*A1_sl*(AW45-y1_sl)*(yc_sl-y1_sl)+(aeS_sl-(AW45&gt;y2_sl))*A2_sl*(AW45-y2_sl)*(yc_sl-y2_sl)</f>
        <v/>
      </c>
      <c r="BB45">
        <f>Nqp_sl*1000*BA45-Mqp_sl*1E6*AZ45</f>
        <v/>
      </c>
      <c r="BD45">
        <f>IF(BK44&gt;0,BF44,BD44)</f>
        <v/>
      </c>
      <c r="BE45">
        <f>IF(BK44&gt;0,BE44,BF44)</f>
        <v/>
      </c>
      <c r="BF45">
        <f>(BD45+BE45)/2</f>
        <v/>
      </c>
      <c r="BG45">
        <f>MIN(MAX(BF45,0),h_sl)</f>
        <v/>
      </c>
      <c r="BH45">
        <f>MIN(MAX(BF45-af_sl,0),hfe_sl)</f>
        <v/>
      </c>
      <c r="BI45">
        <f>bw_sl*BG45*(BF45-BG45/2)+ov_sl*BH45*(BF45-af_sl-BH45/2)+(aeL_sl-(BF45&gt;y1_sl))*A1_sl*(BF45-y1_sl)+(aeL_sl-(BF45&gt;y2_sl))*A2_sl*(BF45-y2_sl)</f>
        <v/>
      </c>
      <c r="BJ45">
        <f>bw_sl*(BF45*yc_sl*BG45-(BF45+yc_sl)*BG45^2/2+BG45^3/3)+ov_sl*((BF45-af_sl)*(yc_sl-af_sl)*BH45-(BF45+yc_sl-2*af_sl)*BH45^2/2+BH45^3/3)+(aeL_sl-(BF45&gt;y1_sl))*A1_sl*(BF45-y1_sl)*(yc_sl-y1_sl)+(aeL_sl-(BF45&gt;y2_sl))*A2_sl*(BF45-y2_sl)*(yc_sl-y2_sl)</f>
        <v/>
      </c>
      <c r="BK45">
        <f>Nqp_sl*1000*BJ45-Mqp_sl*1E6*BI45</f>
        <v/>
      </c>
      <c r="BM45">
        <f>IF(BT44&gt;0,BO44,BM44)</f>
        <v/>
      </c>
      <c r="BN45">
        <f>IF(BT44&gt;0,BN44,BO44)</f>
        <v/>
      </c>
      <c r="BO45">
        <f>(BM45+BN45)/2</f>
        <v/>
      </c>
      <c r="BP45">
        <f>MIN(MAX(BO45,0),h_sl)</f>
        <v/>
      </c>
      <c r="BQ45">
        <f>MIN(MAX(BO45-af_sl,0),hfe_sl)</f>
        <v/>
      </c>
      <c r="BR45">
        <f>bw_sl*BP45*(BO45-BP45/2)+ov_sl*BQ45*(BO45-af_sl-BQ45/2)+(aeS_sl-(BO45&gt;y1_sl))*A1_sl*(BO45-y1_sl)+(aeS_sl-(BO45&gt;y2_sl))*A2_sl*(BO45-y2_sl)</f>
        <v/>
      </c>
      <c r="BS45">
        <f>bw_sl*(BO45*yc_sl*BP45-(BO45+yc_sl)*BP45^2/2+BP45^3/3)+ov_sl*((BO45-af_sl)*(yc_sl-af_sl)*BQ45-(BO45+yc_sl-2*af_sl)*BQ45^2/2+BQ45^3/3)+(aeS_sl-(BO45&gt;y1_sl))*A1_sl*(BO45-y1_sl)*(yc_sl-y1_sl)+(aeS_sl-(BO45&gt;y2_sl))*A2_sl*(BO45-y2_sl)*(yc_sl-y2_sl)</f>
        <v/>
      </c>
      <c r="BT45">
        <f>dN_sl*1000*BS45-dM_sl*1E6*BR45</f>
        <v/>
      </c>
      <c r="BV45">
        <f>IF(CC44&gt;0,BX44,BV44)</f>
        <v/>
      </c>
      <c r="BW45">
        <f>IF(CC44&gt;0,BW44,BX44)</f>
        <v/>
      </c>
      <c r="BX45">
        <f>(BV45+BW45)/2</f>
        <v/>
      </c>
      <c r="BY45">
        <f>MIN(MAX(BX45,0),h_sl)</f>
        <v/>
      </c>
      <c r="BZ45">
        <f>MIN(MAX(BX45-af_sl,0),hfe_sl)</f>
        <v/>
      </c>
      <c r="CA45">
        <f>bw_sl*BY45*(BX45-BY45/2)+ov_sl*BZ45*(BX45-af_sl-BZ45/2)+(aeM_sl-(BX45&gt;y1_sl))*A1_sl*(BX45-y1_sl)+(aeM_sl-(BX45&gt;y2_sl))*A2_sl*(BX45-y2_sl)</f>
        <v/>
      </c>
      <c r="CB45">
        <f>bw_sl*(BX45*yc_sl*BY45-(BX45+yc_sl)*BY45^2/2+BY45^3/3)+ov_sl*((BX45-af_sl)*(yc_sl-af_sl)*BZ45-(BX45+yc_sl-2*af_sl)*BZ45^2/2+BZ45^3/3)+(aeM_sl-(BX45&gt;y1_sl))*A1_sl*(BX45-y1_sl)*(yc_sl-y1_sl)+(aeM_sl-(BX45&gt;y2_sl))*A2_sl*(BX45-y2_sl)*(yc_sl-y2_sl)</f>
        <v/>
      </c>
      <c r="CC45">
        <f>Nk_sl*1000*CB45-Mk_sl*1E6*CA45</f>
        <v/>
      </c>
    </row>
    <row r="46">
      <c r="B46">
        <f>IF(I45&gt;0,D45,B45)</f>
        <v/>
      </c>
      <c r="C46">
        <f>IF(I45&gt;0,C45,D45)</f>
        <v/>
      </c>
      <c r="D46">
        <f>(B46+C46)/2</f>
        <v/>
      </c>
      <c r="E46">
        <f>MIN(MAX(D46,0),h_sl)</f>
        <v/>
      </c>
      <c r="F46">
        <f>MIN(MAX(D46-af_sl,0),hfe_sl)</f>
        <v/>
      </c>
      <c r="G46">
        <f>bw_sl*E46*(D46-E46/2)+ov_sl*F46*(D46-af_sl-F46/2)+(aeS_sl-(D46&gt;y1_sl))*A1_sl*(D46-y1_sl)+(aeS_sl-(D46&gt;y2_sl))*A2_sl*(D46-y2_sl)</f>
        <v/>
      </c>
      <c r="H46">
        <f>bw_sl*(D46*yc_sl*E46-(D46+yc_sl)*E46^2/2+E46^3/3)+ov_sl*((D46-af_sl)*(yc_sl-af_sl)*F46-(D46+yc_sl-2*af_sl)*F46^2/2+F46^3/3)+(aeS_sl-(D46&gt;y1_sl))*A1_sl*(D46-y1_sl)*(yc_sl-y1_sl)+(aeS_sl-(D46&gt;y2_sl))*A2_sl*(D46-y2_sl)*(yc_sl-y2_sl)</f>
        <v/>
      </c>
      <c r="I46">
        <f>-G46</f>
        <v/>
      </c>
      <c r="K46">
        <f>IF(R45&gt;0,M45,K45)</f>
        <v/>
      </c>
      <c r="L46">
        <f>IF(R45&gt;0,L45,M45)</f>
        <v/>
      </c>
      <c r="M46">
        <f>(K46+L46)/2</f>
        <v/>
      </c>
      <c r="N46">
        <f>MIN(MAX(M46,0),h_sl)</f>
        <v/>
      </c>
      <c r="O46">
        <f>MIN(MAX(M46-af_sl,0),hfe_sl)</f>
        <v/>
      </c>
      <c r="P46">
        <f>bw_sl*N46*(M46-N46/2)+ov_sl*O46*(M46-af_sl-O46/2)+(aeL_sl-(M46&gt;y1_sl))*A1_sl*(M46-y1_sl)+(aeL_sl-(M46&gt;y2_sl))*A2_sl*(M46-y2_sl)</f>
        <v/>
      </c>
      <c r="Q46">
        <f>bw_sl*(M46*yc_sl*N46-(M46+yc_sl)*N46^2/2+N46^3/3)+ov_sl*((M46-af_sl)*(yc_sl-af_sl)*O46-(M46+yc_sl-2*af_sl)*O46^2/2+O46^3/3)+(aeL_sl-(M46&gt;y1_sl))*A1_sl*(M46-y1_sl)*(yc_sl-y1_sl)+(aeL_sl-(M46&gt;y2_sl))*A2_sl*(M46-y2_sl)*(yc_sl-y2_sl)</f>
        <v/>
      </c>
      <c r="R46">
        <f>-P46</f>
        <v/>
      </c>
      <c r="T46">
        <f>IF(AA45&gt;0,V45,T45)</f>
        <v/>
      </c>
      <c r="U46">
        <f>IF(AA45&gt;0,U45,V45)</f>
        <v/>
      </c>
      <c r="V46">
        <f>(T46+U46)/2</f>
        <v/>
      </c>
      <c r="W46">
        <f>MIN(MAX(V46,0),h_sl)</f>
        <v/>
      </c>
      <c r="X46">
        <f>MIN(MAX(V46-af_sl,0),hfe_sl)</f>
        <v/>
      </c>
      <c r="Y46">
        <f>bw_sl*W46*(V46-W46/2)+ov_sl*X46*(V46-af_sl-X46/2)+(aeM_sl-(V46&gt;y1_sl))*A1_sl*(V46-y1_sl)+(aeM_sl-(V46&gt;y2_sl))*A2_sl*(V46-y2_sl)</f>
        <v/>
      </c>
      <c r="Z46">
        <f>bw_sl*(V46*yc_sl*W46-(V46+yc_sl)*W46^2/2+W46^3/3)+ov_sl*((V46-af_sl)*(yc_sl-af_sl)*X46-(V46+yc_sl-2*af_sl)*X46^2/2+X46^3/3)+(aeM_sl-(V46&gt;y1_sl))*A1_sl*(V46-y1_sl)*(yc_sl-y1_sl)+(aeM_sl-(V46&gt;y2_sl))*A2_sl*(V46-y2_sl)*(yc_sl-y2_sl)</f>
        <v/>
      </c>
      <c r="AA46">
        <f>-Y46</f>
        <v/>
      </c>
      <c r="AC46">
        <f>IF(AJ45&gt;0,AE45,AC45)</f>
        <v/>
      </c>
      <c r="AD46">
        <f>IF(AJ45&gt;0,AD45,AE45)</f>
        <v/>
      </c>
      <c r="AE46">
        <f>(AC46+AD46)/2</f>
        <v/>
      </c>
      <c r="AF46">
        <f>MIN(MAX(AE46,0),h_sl)</f>
        <v/>
      </c>
      <c r="AG46">
        <f>MIN(MAX(AE46-af_sl,0),hfe_sl)</f>
        <v/>
      </c>
      <c r="AH46">
        <f>bw_sl*AF46*(AE46-AF46/2)+ov_sl*AG46*(AE46-af_sl-AG46/2)+(aeS_sl-(AE46&gt;y1_sl))*A1_sl*(AE46-y1_sl)+(aeS_sl-(AE46&gt;y2_sl))*A2_sl*(AE46-y2_sl)</f>
        <v/>
      </c>
      <c r="AI46">
        <f>bw_sl*(AE46*yc_sl*AF46-(AE46+yc_sl)*AF46^2/2+AF46^3/3)+ov_sl*((AE46-af_sl)*(yc_sl-af_sl)*AG46-(AE46+yc_sl-2*af_sl)*AG46^2/2+AG46^3/3)+(aeS_sl-(AE46&gt;y1_sl))*A1_sl*(AE46-y1_sl)*(yc_sl-y1_sl)+(aeS_sl-(AE46&gt;y2_sl))*A2_sl*(AE46-y2_sl)*(yc_sl-y2_sl)</f>
        <v/>
      </c>
      <c r="AJ46">
        <f>Nk_sl*1000*AI46-Mk_sl*1E6*AH46</f>
        <v/>
      </c>
      <c r="AL46">
        <f>IF(AS45&gt;0,AN45,AL45)</f>
        <v/>
      </c>
      <c r="AM46">
        <f>IF(AS45&gt;0,AM45,AN45)</f>
        <v/>
      </c>
      <c r="AN46">
        <f>(AL46+AM46)/2</f>
        <v/>
      </c>
      <c r="AO46">
        <f>MIN(MAX(AN46,0),h_sl)</f>
        <v/>
      </c>
      <c r="AP46">
        <f>MIN(MAX(AN46-af_sl,0),hfe_sl)</f>
        <v/>
      </c>
      <c r="AQ46">
        <f>bw_sl*AO46*(AN46-AO46/2)+ov_sl*AP46*(AN46-af_sl-AP46/2)+(aeL_sl-(AN46&gt;y1_sl))*A1_sl*(AN46-y1_sl)+(aeL_sl-(AN46&gt;y2_sl))*A2_sl*(AN46-y2_sl)</f>
        <v/>
      </c>
      <c r="AR46">
        <f>bw_sl*(AN46*yc_sl*AO46-(AN46+yc_sl)*AO46^2/2+AO46^3/3)+ov_sl*((AN46-af_sl)*(yc_sl-af_sl)*AP46-(AN46+yc_sl-2*af_sl)*AP46^2/2+AP46^3/3)+(aeL_sl-(AN46&gt;y1_sl))*A1_sl*(AN46-y1_sl)*(yc_sl-y1_sl)+(aeL_sl-(AN46&gt;y2_sl))*A2_sl*(AN46-y2_sl)*(yc_sl-y2_sl)</f>
        <v/>
      </c>
      <c r="AS46">
        <f>Nk_sl*1000*AR46-Mk_sl*1E6*AQ46</f>
        <v/>
      </c>
      <c r="AU46">
        <f>IF(BB45&gt;0,AW45,AU45)</f>
        <v/>
      </c>
      <c r="AV46">
        <f>IF(BB45&gt;0,AV45,AW45)</f>
        <v/>
      </c>
      <c r="AW46">
        <f>(AU46+AV46)/2</f>
        <v/>
      </c>
      <c r="AX46">
        <f>MIN(MAX(AW46,0),h_sl)</f>
        <v/>
      </c>
      <c r="AY46">
        <f>MIN(MAX(AW46-af_sl,0),hfe_sl)</f>
        <v/>
      </c>
      <c r="AZ46">
        <f>bw_sl*AX46*(AW46-AX46/2)+ov_sl*AY46*(AW46-af_sl-AY46/2)+(aeS_sl-(AW46&gt;y1_sl))*A1_sl*(AW46-y1_sl)+(aeS_sl-(AW46&gt;y2_sl))*A2_sl*(AW46-y2_sl)</f>
        <v/>
      </c>
      <c r="BA46">
        <f>bw_sl*(AW46*yc_sl*AX46-(AW46+yc_sl)*AX46^2/2+AX46^3/3)+ov_sl*((AW46-af_sl)*(yc_sl-af_sl)*AY46-(AW46+yc_sl-2*af_sl)*AY46^2/2+AY46^3/3)+(aeS_sl-(AW46&gt;y1_sl))*A1_sl*(AW46-y1_sl)*(yc_sl-y1_sl)+(aeS_sl-(AW46&gt;y2_sl))*A2_sl*(AW46-y2_sl)*(yc_sl-y2_sl)</f>
        <v/>
      </c>
      <c r="BB46">
        <f>Nqp_sl*1000*BA46-Mqp_sl*1E6*AZ46</f>
        <v/>
      </c>
      <c r="BD46">
        <f>IF(BK45&gt;0,BF45,BD45)</f>
        <v/>
      </c>
      <c r="BE46">
        <f>IF(BK45&gt;0,BE45,BF45)</f>
        <v/>
      </c>
      <c r="BF46">
        <f>(BD46+BE46)/2</f>
        <v/>
      </c>
      <c r="BG46">
        <f>MIN(MAX(BF46,0),h_sl)</f>
        <v/>
      </c>
      <c r="BH46">
        <f>MIN(MAX(BF46-af_sl,0),hfe_sl)</f>
        <v/>
      </c>
      <c r="BI46">
        <f>bw_sl*BG46*(BF46-BG46/2)+ov_sl*BH46*(BF46-af_sl-BH46/2)+(aeL_sl-(BF46&gt;y1_sl))*A1_sl*(BF46-y1_sl)+(aeL_sl-(BF46&gt;y2_sl))*A2_sl*(BF46-y2_sl)</f>
        <v/>
      </c>
      <c r="BJ46">
        <f>bw_sl*(BF46*yc_sl*BG46-(BF46+yc_sl)*BG46^2/2+BG46^3/3)+ov_sl*((BF46-af_sl)*(yc_sl-af_sl)*BH46-(BF46+yc_sl-2*af_sl)*BH46^2/2+BH46^3/3)+(aeL_sl-(BF46&gt;y1_sl))*A1_sl*(BF46-y1_sl)*(yc_sl-y1_sl)+(aeL_sl-(BF46&gt;y2_sl))*A2_sl*(BF46-y2_sl)*(yc_sl-y2_sl)</f>
        <v/>
      </c>
      <c r="BK46">
        <f>Nqp_sl*1000*BJ46-Mqp_sl*1E6*BI46</f>
        <v/>
      </c>
      <c r="BM46">
        <f>IF(BT45&gt;0,BO45,BM45)</f>
        <v/>
      </c>
      <c r="BN46">
        <f>IF(BT45&gt;0,BN45,BO45)</f>
        <v/>
      </c>
      <c r="BO46">
        <f>(BM46+BN46)/2</f>
        <v/>
      </c>
      <c r="BP46">
        <f>MIN(MAX(BO46,0),h_sl)</f>
        <v/>
      </c>
      <c r="BQ46">
        <f>MIN(MAX(BO46-af_sl,0),hfe_sl)</f>
        <v/>
      </c>
      <c r="BR46">
        <f>bw_sl*BP46*(BO46-BP46/2)+ov_sl*BQ46*(BO46-af_sl-BQ46/2)+(aeS_sl-(BO46&gt;y1_sl))*A1_sl*(BO46-y1_sl)+(aeS_sl-(BO46&gt;y2_sl))*A2_sl*(BO46-y2_sl)</f>
        <v/>
      </c>
      <c r="BS46">
        <f>bw_sl*(BO46*yc_sl*BP46-(BO46+yc_sl)*BP46^2/2+BP46^3/3)+ov_sl*((BO46-af_sl)*(yc_sl-af_sl)*BQ46-(BO46+yc_sl-2*af_sl)*BQ46^2/2+BQ46^3/3)+(aeS_sl-(BO46&gt;y1_sl))*A1_sl*(BO46-y1_sl)*(yc_sl-y1_sl)+(aeS_sl-(BO46&gt;y2_sl))*A2_sl*(BO46-y2_sl)*(yc_sl-y2_sl)</f>
        <v/>
      </c>
      <c r="BT46">
        <f>dN_sl*1000*BS46-dM_sl*1E6*BR46</f>
        <v/>
      </c>
      <c r="BV46">
        <f>IF(CC45&gt;0,BX45,BV45)</f>
        <v/>
      </c>
      <c r="BW46">
        <f>IF(CC45&gt;0,BW45,BX45)</f>
        <v/>
      </c>
      <c r="BX46">
        <f>(BV46+BW46)/2</f>
        <v/>
      </c>
      <c r="BY46">
        <f>MIN(MAX(BX46,0),h_sl)</f>
        <v/>
      </c>
      <c r="BZ46">
        <f>MIN(MAX(BX46-af_sl,0),hfe_sl)</f>
        <v/>
      </c>
      <c r="CA46">
        <f>bw_sl*BY46*(BX46-BY46/2)+ov_sl*BZ46*(BX46-af_sl-BZ46/2)+(aeM_sl-(BX46&gt;y1_sl))*A1_sl*(BX46-y1_sl)+(aeM_sl-(BX46&gt;y2_sl))*A2_sl*(BX46-y2_sl)</f>
        <v/>
      </c>
      <c r="CB46">
        <f>bw_sl*(BX46*yc_sl*BY46-(BX46+yc_sl)*BY46^2/2+BY46^3/3)+ov_sl*((BX46-af_sl)*(yc_sl-af_sl)*BZ46-(BX46+yc_sl-2*af_sl)*BZ46^2/2+BZ46^3/3)+(aeM_sl-(BX46&gt;y1_sl))*A1_sl*(BX46-y1_sl)*(yc_sl-y1_sl)+(aeM_sl-(BX46&gt;y2_sl))*A2_sl*(BX46-y2_sl)*(yc_sl-y2_sl)</f>
        <v/>
      </c>
      <c r="CC46">
        <f>Nk_sl*1000*CB46-Mk_sl*1E6*CA46</f>
        <v/>
      </c>
    </row>
    <row r="47">
      <c r="B47">
        <f>IF(I46&gt;0,D46,B46)</f>
        <v/>
      </c>
      <c r="C47">
        <f>IF(I46&gt;0,C46,D46)</f>
        <v/>
      </c>
      <c r="D47">
        <f>(B47+C47)/2</f>
        <v/>
      </c>
      <c r="E47">
        <f>MIN(MAX(D47,0),h_sl)</f>
        <v/>
      </c>
      <c r="F47">
        <f>MIN(MAX(D47-af_sl,0),hfe_sl)</f>
        <v/>
      </c>
      <c r="G47">
        <f>bw_sl*E47*(D47-E47/2)+ov_sl*F47*(D47-af_sl-F47/2)+(aeS_sl-(D47&gt;y1_sl))*A1_sl*(D47-y1_sl)+(aeS_sl-(D47&gt;y2_sl))*A2_sl*(D47-y2_sl)</f>
        <v/>
      </c>
      <c r="H47">
        <f>bw_sl*(D47*yc_sl*E47-(D47+yc_sl)*E47^2/2+E47^3/3)+ov_sl*((D47-af_sl)*(yc_sl-af_sl)*F47-(D47+yc_sl-2*af_sl)*F47^2/2+F47^3/3)+(aeS_sl-(D47&gt;y1_sl))*A1_sl*(D47-y1_sl)*(yc_sl-y1_sl)+(aeS_sl-(D47&gt;y2_sl))*A2_sl*(D47-y2_sl)*(yc_sl-y2_sl)</f>
        <v/>
      </c>
      <c r="I47">
        <f>-G47</f>
        <v/>
      </c>
      <c r="K47">
        <f>IF(R46&gt;0,M46,K46)</f>
        <v/>
      </c>
      <c r="L47">
        <f>IF(R46&gt;0,L46,M46)</f>
        <v/>
      </c>
      <c r="M47">
        <f>(K47+L47)/2</f>
        <v/>
      </c>
      <c r="N47">
        <f>MIN(MAX(M47,0),h_sl)</f>
        <v/>
      </c>
      <c r="O47">
        <f>MIN(MAX(M47-af_sl,0),hfe_sl)</f>
        <v/>
      </c>
      <c r="P47">
        <f>bw_sl*N47*(M47-N47/2)+ov_sl*O47*(M47-af_sl-O47/2)+(aeL_sl-(M47&gt;y1_sl))*A1_sl*(M47-y1_sl)+(aeL_sl-(M47&gt;y2_sl))*A2_sl*(M47-y2_sl)</f>
        <v/>
      </c>
      <c r="Q47">
        <f>bw_sl*(M47*yc_sl*N47-(M47+yc_sl)*N47^2/2+N47^3/3)+ov_sl*((M47-af_sl)*(yc_sl-af_sl)*O47-(M47+yc_sl-2*af_sl)*O47^2/2+O47^3/3)+(aeL_sl-(M47&gt;y1_sl))*A1_sl*(M47-y1_sl)*(yc_sl-y1_sl)+(aeL_sl-(M47&gt;y2_sl))*A2_sl*(M47-y2_sl)*(yc_sl-y2_sl)</f>
        <v/>
      </c>
      <c r="R47">
        <f>-P47</f>
        <v/>
      </c>
      <c r="T47">
        <f>IF(AA46&gt;0,V46,T46)</f>
        <v/>
      </c>
      <c r="U47">
        <f>IF(AA46&gt;0,U46,V46)</f>
        <v/>
      </c>
      <c r="V47">
        <f>(T47+U47)/2</f>
        <v/>
      </c>
      <c r="W47">
        <f>MIN(MAX(V47,0),h_sl)</f>
        <v/>
      </c>
      <c r="X47">
        <f>MIN(MAX(V47-af_sl,0),hfe_sl)</f>
        <v/>
      </c>
      <c r="Y47">
        <f>bw_sl*W47*(V47-W47/2)+ov_sl*X47*(V47-af_sl-X47/2)+(aeM_sl-(V47&gt;y1_sl))*A1_sl*(V47-y1_sl)+(aeM_sl-(V47&gt;y2_sl))*A2_sl*(V47-y2_sl)</f>
        <v/>
      </c>
      <c r="Z47">
        <f>bw_sl*(V47*yc_sl*W47-(V47+yc_sl)*W47^2/2+W47^3/3)+ov_sl*((V47-af_sl)*(yc_sl-af_sl)*X47-(V47+yc_sl-2*af_sl)*X47^2/2+X47^3/3)+(aeM_sl-(V47&gt;y1_sl))*A1_sl*(V47-y1_sl)*(yc_sl-y1_sl)+(aeM_sl-(V47&gt;y2_sl))*A2_sl*(V47-y2_sl)*(yc_sl-y2_sl)</f>
        <v/>
      </c>
      <c r="AA47">
        <f>-Y47</f>
        <v/>
      </c>
      <c r="AC47">
        <f>IF(AJ46&gt;0,AE46,AC46)</f>
        <v/>
      </c>
      <c r="AD47">
        <f>IF(AJ46&gt;0,AD46,AE46)</f>
        <v/>
      </c>
      <c r="AE47">
        <f>(AC47+AD47)/2</f>
        <v/>
      </c>
      <c r="AF47">
        <f>MIN(MAX(AE47,0),h_sl)</f>
        <v/>
      </c>
      <c r="AG47">
        <f>MIN(MAX(AE47-af_sl,0),hfe_sl)</f>
        <v/>
      </c>
      <c r="AH47">
        <f>bw_sl*AF47*(AE47-AF47/2)+ov_sl*AG47*(AE47-af_sl-AG47/2)+(aeS_sl-(AE47&gt;y1_sl))*A1_sl*(AE47-y1_sl)+(aeS_sl-(AE47&gt;y2_sl))*A2_sl*(AE47-y2_sl)</f>
        <v/>
      </c>
      <c r="AI47">
        <f>bw_sl*(AE47*yc_sl*AF47-(AE47+yc_sl)*AF47^2/2+AF47^3/3)+ov_sl*((AE47-af_sl)*(yc_sl-af_sl)*AG47-(AE47+yc_sl-2*af_sl)*AG47^2/2+AG47^3/3)+(aeS_sl-(AE47&gt;y1_sl))*A1_sl*(AE47-y1_sl)*(yc_sl-y1_sl)+(aeS_sl-(AE47&gt;y2_sl))*A2_sl*(AE47-y2_sl)*(yc_sl-y2_sl)</f>
        <v/>
      </c>
      <c r="AJ47">
        <f>Nk_sl*1000*AI47-Mk_sl*1E6*AH47</f>
        <v/>
      </c>
      <c r="AL47">
        <f>IF(AS46&gt;0,AN46,AL46)</f>
        <v/>
      </c>
      <c r="AM47">
        <f>IF(AS46&gt;0,AM46,AN46)</f>
        <v/>
      </c>
      <c r="AN47">
        <f>(AL47+AM47)/2</f>
        <v/>
      </c>
      <c r="AO47">
        <f>MIN(MAX(AN47,0),h_sl)</f>
        <v/>
      </c>
      <c r="AP47">
        <f>MIN(MAX(AN47-af_sl,0),hfe_sl)</f>
        <v/>
      </c>
      <c r="AQ47">
        <f>bw_sl*AO47*(AN47-AO47/2)+ov_sl*AP47*(AN47-af_sl-AP47/2)+(aeL_sl-(AN47&gt;y1_sl))*A1_sl*(AN47-y1_sl)+(aeL_sl-(AN47&gt;y2_sl))*A2_sl*(AN47-y2_sl)</f>
        <v/>
      </c>
      <c r="AR47">
        <f>bw_sl*(AN47*yc_sl*AO47-(AN47+yc_sl)*AO47^2/2+AO47^3/3)+ov_sl*((AN47-af_sl)*(yc_sl-af_sl)*AP47-(AN47+yc_sl-2*af_sl)*AP47^2/2+AP47^3/3)+(aeL_sl-(AN47&gt;y1_sl))*A1_sl*(AN47-y1_sl)*(yc_sl-y1_sl)+(aeL_sl-(AN47&gt;y2_sl))*A2_sl*(AN47-y2_sl)*(yc_sl-y2_sl)</f>
        <v/>
      </c>
      <c r="AS47">
        <f>Nk_sl*1000*AR47-Mk_sl*1E6*AQ47</f>
        <v/>
      </c>
      <c r="AU47">
        <f>IF(BB46&gt;0,AW46,AU46)</f>
        <v/>
      </c>
      <c r="AV47">
        <f>IF(BB46&gt;0,AV46,AW46)</f>
        <v/>
      </c>
      <c r="AW47">
        <f>(AU47+AV47)/2</f>
        <v/>
      </c>
      <c r="AX47">
        <f>MIN(MAX(AW47,0),h_sl)</f>
        <v/>
      </c>
      <c r="AY47">
        <f>MIN(MAX(AW47-af_sl,0),hfe_sl)</f>
        <v/>
      </c>
      <c r="AZ47">
        <f>bw_sl*AX47*(AW47-AX47/2)+ov_sl*AY47*(AW47-af_sl-AY47/2)+(aeS_sl-(AW47&gt;y1_sl))*A1_sl*(AW47-y1_sl)+(aeS_sl-(AW47&gt;y2_sl))*A2_sl*(AW47-y2_sl)</f>
        <v/>
      </c>
      <c r="BA47">
        <f>bw_sl*(AW47*yc_sl*AX47-(AW47+yc_sl)*AX47^2/2+AX47^3/3)+ov_sl*((AW47-af_sl)*(yc_sl-af_sl)*AY47-(AW47+yc_sl-2*af_sl)*AY47^2/2+AY47^3/3)+(aeS_sl-(AW47&gt;y1_sl))*A1_sl*(AW47-y1_sl)*(yc_sl-y1_sl)+(aeS_sl-(AW47&gt;y2_sl))*A2_sl*(AW47-y2_sl)*(yc_sl-y2_sl)</f>
        <v/>
      </c>
      <c r="BB47">
        <f>Nqp_sl*1000*BA47-Mqp_sl*1E6*AZ47</f>
        <v/>
      </c>
      <c r="BD47">
        <f>IF(BK46&gt;0,BF46,BD46)</f>
        <v/>
      </c>
      <c r="BE47">
        <f>IF(BK46&gt;0,BE46,BF46)</f>
        <v/>
      </c>
      <c r="BF47">
        <f>(BD47+BE47)/2</f>
        <v/>
      </c>
      <c r="BG47">
        <f>MIN(MAX(BF47,0),h_sl)</f>
        <v/>
      </c>
      <c r="BH47">
        <f>MIN(MAX(BF47-af_sl,0),hfe_sl)</f>
        <v/>
      </c>
      <c r="BI47">
        <f>bw_sl*BG47*(BF47-BG47/2)+ov_sl*BH47*(BF47-af_sl-BH47/2)+(aeL_sl-(BF47&gt;y1_sl))*A1_sl*(BF47-y1_sl)+(aeL_sl-(BF47&gt;y2_sl))*A2_sl*(BF47-y2_sl)</f>
        <v/>
      </c>
      <c r="BJ47">
        <f>bw_sl*(BF47*yc_sl*BG47-(BF47+yc_sl)*BG47^2/2+BG47^3/3)+ov_sl*((BF47-af_sl)*(yc_sl-af_sl)*BH47-(BF47+yc_sl-2*af_sl)*BH47^2/2+BH47^3/3)+(aeL_sl-(BF47&gt;y1_sl))*A1_sl*(BF47-y1_sl)*(yc_sl-y1_sl)+(aeL_sl-(BF47&gt;y2_sl))*A2_sl*(BF47-y2_sl)*(yc_sl-y2_sl)</f>
        <v/>
      </c>
      <c r="BK47">
        <f>Nqp_sl*1000*BJ47-Mqp_sl*1E6*BI47</f>
        <v/>
      </c>
      <c r="BM47">
        <f>IF(BT46&gt;0,BO46,BM46)</f>
        <v/>
      </c>
      <c r="BN47">
        <f>IF(BT46&gt;0,BN46,BO46)</f>
        <v/>
      </c>
      <c r="BO47">
        <f>(BM47+BN47)/2</f>
        <v/>
      </c>
      <c r="BP47">
        <f>MIN(MAX(BO47,0),h_sl)</f>
        <v/>
      </c>
      <c r="BQ47">
        <f>MIN(MAX(BO47-af_sl,0),hfe_sl)</f>
        <v/>
      </c>
      <c r="BR47">
        <f>bw_sl*BP47*(BO47-BP47/2)+ov_sl*BQ47*(BO47-af_sl-BQ47/2)+(aeS_sl-(BO47&gt;y1_sl))*A1_sl*(BO47-y1_sl)+(aeS_sl-(BO47&gt;y2_sl))*A2_sl*(BO47-y2_sl)</f>
        <v/>
      </c>
      <c r="BS47">
        <f>bw_sl*(BO47*yc_sl*BP47-(BO47+yc_sl)*BP47^2/2+BP47^3/3)+ov_sl*((BO47-af_sl)*(yc_sl-af_sl)*BQ47-(BO47+yc_sl-2*af_sl)*BQ47^2/2+BQ47^3/3)+(aeS_sl-(BO47&gt;y1_sl))*A1_sl*(BO47-y1_sl)*(yc_sl-y1_sl)+(aeS_sl-(BO47&gt;y2_sl))*A2_sl*(BO47-y2_sl)*(yc_sl-y2_sl)</f>
        <v/>
      </c>
      <c r="BT47">
        <f>dN_sl*1000*BS47-dM_sl*1E6*BR47</f>
        <v/>
      </c>
      <c r="BV47">
        <f>IF(CC46&gt;0,BX46,BV46)</f>
        <v/>
      </c>
      <c r="BW47">
        <f>IF(CC46&gt;0,BW46,BX46)</f>
        <v/>
      </c>
      <c r="BX47">
        <f>(BV47+BW47)/2</f>
        <v/>
      </c>
      <c r="BY47">
        <f>MIN(MAX(BX47,0),h_sl)</f>
        <v/>
      </c>
      <c r="BZ47">
        <f>MIN(MAX(BX47-af_sl,0),hfe_sl)</f>
        <v/>
      </c>
      <c r="CA47">
        <f>bw_sl*BY47*(BX47-BY47/2)+ov_sl*BZ47*(BX47-af_sl-BZ47/2)+(aeM_sl-(BX47&gt;y1_sl))*A1_sl*(BX47-y1_sl)+(aeM_sl-(BX47&gt;y2_sl))*A2_sl*(BX47-y2_sl)</f>
        <v/>
      </c>
      <c r="CB47">
        <f>bw_sl*(BX47*yc_sl*BY47-(BX47+yc_sl)*BY47^2/2+BY47^3/3)+ov_sl*((BX47-af_sl)*(yc_sl-af_sl)*BZ47-(BX47+yc_sl-2*af_sl)*BZ47^2/2+BZ47^3/3)+(aeM_sl-(BX47&gt;y1_sl))*A1_sl*(BX47-y1_sl)*(yc_sl-y1_sl)+(aeM_sl-(BX47&gt;y2_sl))*A2_sl*(BX47-y2_sl)*(yc_sl-y2_sl)</f>
        <v/>
      </c>
      <c r="CC47">
        <f>Nk_sl*1000*CB47-Mk_sl*1E6*CA47</f>
        <v/>
      </c>
    </row>
    <row r="48">
      <c r="B48">
        <f>IF(I47&gt;0,D47,B47)</f>
        <v/>
      </c>
      <c r="C48">
        <f>IF(I47&gt;0,C47,D47)</f>
        <v/>
      </c>
      <c r="D48">
        <f>(B48+C48)/2</f>
        <v/>
      </c>
      <c r="E48">
        <f>MIN(MAX(D48,0),h_sl)</f>
        <v/>
      </c>
      <c r="F48">
        <f>MIN(MAX(D48-af_sl,0),hfe_sl)</f>
        <v/>
      </c>
      <c r="G48">
        <f>bw_sl*E48*(D48-E48/2)+ov_sl*F48*(D48-af_sl-F48/2)+(aeS_sl-(D48&gt;y1_sl))*A1_sl*(D48-y1_sl)+(aeS_sl-(D48&gt;y2_sl))*A2_sl*(D48-y2_sl)</f>
        <v/>
      </c>
      <c r="H48">
        <f>bw_sl*(D48*yc_sl*E48-(D48+yc_sl)*E48^2/2+E48^3/3)+ov_sl*((D48-af_sl)*(yc_sl-af_sl)*F48-(D48+yc_sl-2*af_sl)*F48^2/2+F48^3/3)+(aeS_sl-(D48&gt;y1_sl))*A1_sl*(D48-y1_sl)*(yc_sl-y1_sl)+(aeS_sl-(D48&gt;y2_sl))*A2_sl*(D48-y2_sl)*(yc_sl-y2_sl)</f>
        <v/>
      </c>
      <c r="I48">
        <f>-G48</f>
        <v/>
      </c>
      <c r="K48">
        <f>IF(R47&gt;0,M47,K47)</f>
        <v/>
      </c>
      <c r="L48">
        <f>IF(R47&gt;0,L47,M47)</f>
        <v/>
      </c>
      <c r="M48">
        <f>(K48+L48)/2</f>
        <v/>
      </c>
      <c r="N48">
        <f>MIN(MAX(M48,0),h_sl)</f>
        <v/>
      </c>
      <c r="O48">
        <f>MIN(MAX(M48-af_sl,0),hfe_sl)</f>
        <v/>
      </c>
      <c r="P48">
        <f>bw_sl*N48*(M48-N48/2)+ov_sl*O48*(M48-af_sl-O48/2)+(aeL_sl-(M48&gt;y1_sl))*A1_sl*(M48-y1_sl)+(aeL_sl-(M48&gt;y2_sl))*A2_sl*(M48-y2_sl)</f>
        <v/>
      </c>
      <c r="Q48">
        <f>bw_sl*(M48*yc_sl*N48-(M48+yc_sl)*N48^2/2+N48^3/3)+ov_sl*((M48-af_sl)*(yc_sl-af_sl)*O48-(M48+yc_sl-2*af_sl)*O48^2/2+O48^3/3)+(aeL_sl-(M48&gt;y1_sl))*A1_sl*(M48-y1_sl)*(yc_sl-y1_sl)+(aeL_sl-(M48&gt;y2_sl))*A2_sl*(M48-y2_sl)*(yc_sl-y2_sl)</f>
        <v/>
      </c>
      <c r="R48">
        <f>-P48</f>
        <v/>
      </c>
      <c r="T48">
        <f>IF(AA47&gt;0,V47,T47)</f>
        <v/>
      </c>
      <c r="U48">
        <f>IF(AA47&gt;0,U47,V47)</f>
        <v/>
      </c>
      <c r="V48">
        <f>(T48+U48)/2</f>
        <v/>
      </c>
      <c r="W48">
        <f>MIN(MAX(V48,0),h_sl)</f>
        <v/>
      </c>
      <c r="X48">
        <f>MIN(MAX(V48-af_sl,0),hfe_sl)</f>
        <v/>
      </c>
      <c r="Y48">
        <f>bw_sl*W48*(V48-W48/2)+ov_sl*X48*(V48-af_sl-X48/2)+(aeM_sl-(V48&gt;y1_sl))*A1_sl*(V48-y1_sl)+(aeM_sl-(V48&gt;y2_sl))*A2_sl*(V48-y2_sl)</f>
        <v/>
      </c>
      <c r="Z48">
        <f>bw_sl*(V48*yc_sl*W48-(V48+yc_sl)*W48^2/2+W48^3/3)+ov_sl*((V48-af_sl)*(yc_sl-af_sl)*X48-(V48+yc_sl-2*af_sl)*X48^2/2+X48^3/3)+(aeM_sl-(V48&gt;y1_sl))*A1_sl*(V48-y1_sl)*(yc_sl-y1_sl)+(aeM_sl-(V48&gt;y2_sl))*A2_sl*(V48-y2_sl)*(yc_sl-y2_sl)</f>
        <v/>
      </c>
      <c r="AA48">
        <f>-Y48</f>
        <v/>
      </c>
      <c r="AC48">
        <f>IF(AJ47&gt;0,AE47,AC47)</f>
        <v/>
      </c>
      <c r="AD48">
        <f>IF(AJ47&gt;0,AD47,AE47)</f>
        <v/>
      </c>
      <c r="AE48">
        <f>(AC48+AD48)/2</f>
        <v/>
      </c>
      <c r="AF48">
        <f>MIN(MAX(AE48,0),h_sl)</f>
        <v/>
      </c>
      <c r="AG48">
        <f>MIN(MAX(AE48-af_sl,0),hfe_sl)</f>
        <v/>
      </c>
      <c r="AH48">
        <f>bw_sl*AF48*(AE48-AF48/2)+ov_sl*AG48*(AE48-af_sl-AG48/2)+(aeS_sl-(AE48&gt;y1_sl))*A1_sl*(AE48-y1_sl)+(aeS_sl-(AE48&gt;y2_sl))*A2_sl*(AE48-y2_sl)</f>
        <v/>
      </c>
      <c r="AI48">
        <f>bw_sl*(AE48*yc_sl*AF48-(AE48+yc_sl)*AF48^2/2+AF48^3/3)+ov_sl*((AE48-af_sl)*(yc_sl-af_sl)*AG48-(AE48+yc_sl-2*af_sl)*AG48^2/2+AG48^3/3)+(aeS_sl-(AE48&gt;y1_sl))*A1_sl*(AE48-y1_sl)*(yc_sl-y1_sl)+(aeS_sl-(AE48&gt;y2_sl))*A2_sl*(AE48-y2_sl)*(yc_sl-y2_sl)</f>
        <v/>
      </c>
      <c r="AJ48">
        <f>Nk_sl*1000*AI48-Mk_sl*1E6*AH48</f>
        <v/>
      </c>
      <c r="AL48">
        <f>IF(AS47&gt;0,AN47,AL47)</f>
        <v/>
      </c>
      <c r="AM48">
        <f>IF(AS47&gt;0,AM47,AN47)</f>
        <v/>
      </c>
      <c r="AN48">
        <f>(AL48+AM48)/2</f>
        <v/>
      </c>
      <c r="AO48">
        <f>MIN(MAX(AN48,0),h_sl)</f>
        <v/>
      </c>
      <c r="AP48">
        <f>MIN(MAX(AN48-af_sl,0),hfe_sl)</f>
        <v/>
      </c>
      <c r="AQ48">
        <f>bw_sl*AO48*(AN48-AO48/2)+ov_sl*AP48*(AN48-af_sl-AP48/2)+(aeL_sl-(AN48&gt;y1_sl))*A1_sl*(AN48-y1_sl)+(aeL_sl-(AN48&gt;y2_sl))*A2_sl*(AN48-y2_sl)</f>
        <v/>
      </c>
      <c r="AR48">
        <f>bw_sl*(AN48*yc_sl*AO48-(AN48+yc_sl)*AO48^2/2+AO48^3/3)+ov_sl*((AN48-af_sl)*(yc_sl-af_sl)*AP48-(AN48+yc_sl-2*af_sl)*AP48^2/2+AP48^3/3)+(aeL_sl-(AN48&gt;y1_sl))*A1_sl*(AN48-y1_sl)*(yc_sl-y1_sl)+(aeL_sl-(AN48&gt;y2_sl))*A2_sl*(AN48-y2_sl)*(yc_sl-y2_sl)</f>
        <v/>
      </c>
      <c r="AS48">
        <f>Nk_sl*1000*AR48-Mk_sl*1E6*AQ48</f>
        <v/>
      </c>
      <c r="AU48">
        <f>IF(BB47&gt;0,AW47,AU47)</f>
        <v/>
      </c>
      <c r="AV48">
        <f>IF(BB47&gt;0,AV47,AW47)</f>
        <v/>
      </c>
      <c r="AW48">
        <f>(AU48+AV48)/2</f>
        <v/>
      </c>
      <c r="AX48">
        <f>MIN(MAX(AW48,0),h_sl)</f>
        <v/>
      </c>
      <c r="AY48">
        <f>MIN(MAX(AW48-af_sl,0),hfe_sl)</f>
        <v/>
      </c>
      <c r="AZ48">
        <f>bw_sl*AX48*(AW48-AX48/2)+ov_sl*AY48*(AW48-af_sl-AY48/2)+(aeS_sl-(AW48&gt;y1_sl))*A1_sl*(AW48-y1_sl)+(aeS_sl-(AW48&gt;y2_sl))*A2_sl*(AW48-y2_sl)</f>
        <v/>
      </c>
      <c r="BA48">
        <f>bw_sl*(AW48*yc_sl*AX48-(AW48+yc_sl)*AX48^2/2+AX48^3/3)+ov_sl*((AW48-af_sl)*(yc_sl-af_sl)*AY48-(AW48+yc_sl-2*af_sl)*AY48^2/2+AY48^3/3)+(aeS_sl-(AW48&gt;y1_sl))*A1_sl*(AW48-y1_sl)*(yc_sl-y1_sl)+(aeS_sl-(AW48&gt;y2_sl))*A2_sl*(AW48-y2_sl)*(yc_sl-y2_sl)</f>
        <v/>
      </c>
      <c r="BB48">
        <f>Nqp_sl*1000*BA48-Mqp_sl*1E6*AZ48</f>
        <v/>
      </c>
      <c r="BD48">
        <f>IF(BK47&gt;0,BF47,BD47)</f>
        <v/>
      </c>
      <c r="BE48">
        <f>IF(BK47&gt;0,BE47,BF47)</f>
        <v/>
      </c>
      <c r="BF48">
        <f>(BD48+BE48)/2</f>
        <v/>
      </c>
      <c r="BG48">
        <f>MIN(MAX(BF48,0),h_sl)</f>
        <v/>
      </c>
      <c r="BH48">
        <f>MIN(MAX(BF48-af_sl,0),hfe_sl)</f>
        <v/>
      </c>
      <c r="BI48">
        <f>bw_sl*BG48*(BF48-BG48/2)+ov_sl*BH48*(BF48-af_sl-BH48/2)+(aeL_sl-(BF48&gt;y1_sl))*A1_sl*(BF48-y1_sl)+(aeL_sl-(BF48&gt;y2_sl))*A2_sl*(BF48-y2_sl)</f>
        <v/>
      </c>
      <c r="BJ48">
        <f>bw_sl*(BF48*yc_sl*BG48-(BF48+yc_sl)*BG48^2/2+BG48^3/3)+ov_sl*((BF48-af_sl)*(yc_sl-af_sl)*BH48-(BF48+yc_sl-2*af_sl)*BH48^2/2+BH48^3/3)+(aeL_sl-(BF48&gt;y1_sl))*A1_sl*(BF48-y1_sl)*(yc_sl-y1_sl)+(aeL_sl-(BF48&gt;y2_sl))*A2_sl*(BF48-y2_sl)*(yc_sl-y2_sl)</f>
        <v/>
      </c>
      <c r="BK48">
        <f>Nqp_sl*1000*BJ48-Mqp_sl*1E6*BI48</f>
        <v/>
      </c>
      <c r="BM48">
        <f>IF(BT47&gt;0,BO47,BM47)</f>
        <v/>
      </c>
      <c r="BN48">
        <f>IF(BT47&gt;0,BN47,BO47)</f>
        <v/>
      </c>
      <c r="BO48">
        <f>(BM48+BN48)/2</f>
        <v/>
      </c>
      <c r="BP48">
        <f>MIN(MAX(BO48,0),h_sl)</f>
        <v/>
      </c>
      <c r="BQ48">
        <f>MIN(MAX(BO48-af_sl,0),hfe_sl)</f>
        <v/>
      </c>
      <c r="BR48">
        <f>bw_sl*BP48*(BO48-BP48/2)+ov_sl*BQ48*(BO48-af_sl-BQ48/2)+(aeS_sl-(BO48&gt;y1_sl))*A1_sl*(BO48-y1_sl)+(aeS_sl-(BO48&gt;y2_sl))*A2_sl*(BO48-y2_sl)</f>
        <v/>
      </c>
      <c r="BS48">
        <f>bw_sl*(BO48*yc_sl*BP48-(BO48+yc_sl)*BP48^2/2+BP48^3/3)+ov_sl*((BO48-af_sl)*(yc_sl-af_sl)*BQ48-(BO48+yc_sl-2*af_sl)*BQ48^2/2+BQ48^3/3)+(aeS_sl-(BO48&gt;y1_sl))*A1_sl*(BO48-y1_sl)*(yc_sl-y1_sl)+(aeS_sl-(BO48&gt;y2_sl))*A2_sl*(BO48-y2_sl)*(yc_sl-y2_sl)</f>
        <v/>
      </c>
      <c r="BT48">
        <f>dN_sl*1000*BS48-dM_sl*1E6*BR48</f>
        <v/>
      </c>
      <c r="BV48">
        <f>IF(CC47&gt;0,BX47,BV47)</f>
        <v/>
      </c>
      <c r="BW48">
        <f>IF(CC47&gt;0,BW47,BX47)</f>
        <v/>
      </c>
      <c r="BX48">
        <f>(BV48+BW48)/2</f>
        <v/>
      </c>
      <c r="BY48">
        <f>MIN(MAX(BX48,0),h_sl)</f>
        <v/>
      </c>
      <c r="BZ48">
        <f>MIN(MAX(BX48-af_sl,0),hfe_sl)</f>
        <v/>
      </c>
      <c r="CA48">
        <f>bw_sl*BY48*(BX48-BY48/2)+ov_sl*BZ48*(BX48-af_sl-BZ48/2)+(aeM_sl-(BX48&gt;y1_sl))*A1_sl*(BX48-y1_sl)+(aeM_sl-(BX48&gt;y2_sl))*A2_sl*(BX48-y2_sl)</f>
        <v/>
      </c>
      <c r="CB48">
        <f>bw_sl*(BX48*yc_sl*BY48-(BX48+yc_sl)*BY48^2/2+BY48^3/3)+ov_sl*((BX48-af_sl)*(yc_sl-af_sl)*BZ48-(BX48+yc_sl-2*af_sl)*BZ48^2/2+BZ48^3/3)+(aeM_sl-(BX48&gt;y1_sl))*A1_sl*(BX48-y1_sl)*(yc_sl-y1_sl)+(aeM_sl-(BX48&gt;y2_sl))*A2_sl*(BX48-y2_sl)*(yc_sl-y2_sl)</f>
        <v/>
      </c>
      <c r="CC48">
        <f>Nk_sl*1000*CB48-Mk_sl*1E6*CA48</f>
        <v/>
      </c>
    </row>
    <row r="49">
      <c r="B49">
        <f>IF(I48&gt;0,D48,B48)</f>
        <v/>
      </c>
      <c r="C49">
        <f>IF(I48&gt;0,C48,D48)</f>
        <v/>
      </c>
      <c r="D49">
        <f>(B49+C49)/2</f>
        <v/>
      </c>
      <c r="E49">
        <f>MIN(MAX(D49,0),h_sl)</f>
        <v/>
      </c>
      <c r="F49">
        <f>MIN(MAX(D49-af_sl,0),hfe_sl)</f>
        <v/>
      </c>
      <c r="G49">
        <f>bw_sl*E49*(D49-E49/2)+ov_sl*F49*(D49-af_sl-F49/2)+(aeS_sl-(D49&gt;y1_sl))*A1_sl*(D49-y1_sl)+(aeS_sl-(D49&gt;y2_sl))*A2_sl*(D49-y2_sl)</f>
        <v/>
      </c>
      <c r="H49">
        <f>bw_sl*(D49*yc_sl*E49-(D49+yc_sl)*E49^2/2+E49^3/3)+ov_sl*((D49-af_sl)*(yc_sl-af_sl)*F49-(D49+yc_sl-2*af_sl)*F49^2/2+F49^3/3)+(aeS_sl-(D49&gt;y1_sl))*A1_sl*(D49-y1_sl)*(yc_sl-y1_sl)+(aeS_sl-(D49&gt;y2_sl))*A2_sl*(D49-y2_sl)*(yc_sl-y2_sl)</f>
        <v/>
      </c>
      <c r="I49">
        <f>-G49</f>
        <v/>
      </c>
      <c r="K49">
        <f>IF(R48&gt;0,M48,K48)</f>
        <v/>
      </c>
      <c r="L49">
        <f>IF(R48&gt;0,L48,M48)</f>
        <v/>
      </c>
      <c r="M49">
        <f>(K49+L49)/2</f>
        <v/>
      </c>
      <c r="N49">
        <f>MIN(MAX(M49,0),h_sl)</f>
        <v/>
      </c>
      <c r="O49">
        <f>MIN(MAX(M49-af_sl,0),hfe_sl)</f>
        <v/>
      </c>
      <c r="P49">
        <f>bw_sl*N49*(M49-N49/2)+ov_sl*O49*(M49-af_sl-O49/2)+(aeL_sl-(M49&gt;y1_sl))*A1_sl*(M49-y1_sl)+(aeL_sl-(M49&gt;y2_sl))*A2_sl*(M49-y2_sl)</f>
        <v/>
      </c>
      <c r="Q49">
        <f>bw_sl*(M49*yc_sl*N49-(M49+yc_sl)*N49^2/2+N49^3/3)+ov_sl*((M49-af_sl)*(yc_sl-af_sl)*O49-(M49+yc_sl-2*af_sl)*O49^2/2+O49^3/3)+(aeL_sl-(M49&gt;y1_sl))*A1_sl*(M49-y1_sl)*(yc_sl-y1_sl)+(aeL_sl-(M49&gt;y2_sl))*A2_sl*(M49-y2_sl)*(yc_sl-y2_sl)</f>
        <v/>
      </c>
      <c r="R49">
        <f>-P49</f>
        <v/>
      </c>
      <c r="T49">
        <f>IF(AA48&gt;0,V48,T48)</f>
        <v/>
      </c>
      <c r="U49">
        <f>IF(AA48&gt;0,U48,V48)</f>
        <v/>
      </c>
      <c r="V49">
        <f>(T49+U49)/2</f>
        <v/>
      </c>
      <c r="W49">
        <f>MIN(MAX(V49,0),h_sl)</f>
        <v/>
      </c>
      <c r="X49">
        <f>MIN(MAX(V49-af_sl,0),hfe_sl)</f>
        <v/>
      </c>
      <c r="Y49">
        <f>bw_sl*W49*(V49-W49/2)+ov_sl*X49*(V49-af_sl-X49/2)+(aeM_sl-(V49&gt;y1_sl))*A1_sl*(V49-y1_sl)+(aeM_sl-(V49&gt;y2_sl))*A2_sl*(V49-y2_sl)</f>
        <v/>
      </c>
      <c r="Z49">
        <f>bw_sl*(V49*yc_sl*W49-(V49+yc_sl)*W49^2/2+W49^3/3)+ov_sl*((V49-af_sl)*(yc_sl-af_sl)*X49-(V49+yc_sl-2*af_sl)*X49^2/2+X49^3/3)+(aeM_sl-(V49&gt;y1_sl))*A1_sl*(V49-y1_sl)*(yc_sl-y1_sl)+(aeM_sl-(V49&gt;y2_sl))*A2_sl*(V49-y2_sl)*(yc_sl-y2_sl)</f>
        <v/>
      </c>
      <c r="AA49">
        <f>-Y49</f>
        <v/>
      </c>
      <c r="AC49">
        <f>IF(AJ48&gt;0,AE48,AC48)</f>
        <v/>
      </c>
      <c r="AD49">
        <f>IF(AJ48&gt;0,AD48,AE48)</f>
        <v/>
      </c>
      <c r="AE49">
        <f>(AC49+AD49)/2</f>
        <v/>
      </c>
      <c r="AF49">
        <f>MIN(MAX(AE49,0),h_sl)</f>
        <v/>
      </c>
      <c r="AG49">
        <f>MIN(MAX(AE49-af_sl,0),hfe_sl)</f>
        <v/>
      </c>
      <c r="AH49">
        <f>bw_sl*AF49*(AE49-AF49/2)+ov_sl*AG49*(AE49-af_sl-AG49/2)+(aeS_sl-(AE49&gt;y1_sl))*A1_sl*(AE49-y1_sl)+(aeS_sl-(AE49&gt;y2_sl))*A2_sl*(AE49-y2_sl)</f>
        <v/>
      </c>
      <c r="AI49">
        <f>bw_sl*(AE49*yc_sl*AF49-(AE49+yc_sl)*AF49^2/2+AF49^3/3)+ov_sl*((AE49-af_sl)*(yc_sl-af_sl)*AG49-(AE49+yc_sl-2*af_sl)*AG49^2/2+AG49^3/3)+(aeS_sl-(AE49&gt;y1_sl))*A1_sl*(AE49-y1_sl)*(yc_sl-y1_sl)+(aeS_sl-(AE49&gt;y2_sl))*A2_sl*(AE49-y2_sl)*(yc_sl-y2_sl)</f>
        <v/>
      </c>
      <c r="AJ49">
        <f>Nk_sl*1000*AI49-Mk_sl*1E6*AH49</f>
        <v/>
      </c>
      <c r="AL49">
        <f>IF(AS48&gt;0,AN48,AL48)</f>
        <v/>
      </c>
      <c r="AM49">
        <f>IF(AS48&gt;0,AM48,AN48)</f>
        <v/>
      </c>
      <c r="AN49">
        <f>(AL49+AM49)/2</f>
        <v/>
      </c>
      <c r="AO49">
        <f>MIN(MAX(AN49,0),h_sl)</f>
        <v/>
      </c>
      <c r="AP49">
        <f>MIN(MAX(AN49-af_sl,0),hfe_sl)</f>
        <v/>
      </c>
      <c r="AQ49">
        <f>bw_sl*AO49*(AN49-AO49/2)+ov_sl*AP49*(AN49-af_sl-AP49/2)+(aeL_sl-(AN49&gt;y1_sl))*A1_sl*(AN49-y1_sl)+(aeL_sl-(AN49&gt;y2_sl))*A2_sl*(AN49-y2_sl)</f>
        <v/>
      </c>
      <c r="AR49">
        <f>bw_sl*(AN49*yc_sl*AO49-(AN49+yc_sl)*AO49^2/2+AO49^3/3)+ov_sl*((AN49-af_sl)*(yc_sl-af_sl)*AP49-(AN49+yc_sl-2*af_sl)*AP49^2/2+AP49^3/3)+(aeL_sl-(AN49&gt;y1_sl))*A1_sl*(AN49-y1_sl)*(yc_sl-y1_sl)+(aeL_sl-(AN49&gt;y2_sl))*A2_sl*(AN49-y2_sl)*(yc_sl-y2_sl)</f>
        <v/>
      </c>
      <c r="AS49">
        <f>Nk_sl*1000*AR49-Mk_sl*1E6*AQ49</f>
        <v/>
      </c>
      <c r="AU49">
        <f>IF(BB48&gt;0,AW48,AU48)</f>
        <v/>
      </c>
      <c r="AV49">
        <f>IF(BB48&gt;0,AV48,AW48)</f>
        <v/>
      </c>
      <c r="AW49">
        <f>(AU49+AV49)/2</f>
        <v/>
      </c>
      <c r="AX49">
        <f>MIN(MAX(AW49,0),h_sl)</f>
        <v/>
      </c>
      <c r="AY49">
        <f>MIN(MAX(AW49-af_sl,0),hfe_sl)</f>
        <v/>
      </c>
      <c r="AZ49">
        <f>bw_sl*AX49*(AW49-AX49/2)+ov_sl*AY49*(AW49-af_sl-AY49/2)+(aeS_sl-(AW49&gt;y1_sl))*A1_sl*(AW49-y1_sl)+(aeS_sl-(AW49&gt;y2_sl))*A2_sl*(AW49-y2_sl)</f>
        <v/>
      </c>
      <c r="BA49">
        <f>bw_sl*(AW49*yc_sl*AX49-(AW49+yc_sl)*AX49^2/2+AX49^3/3)+ov_sl*((AW49-af_sl)*(yc_sl-af_sl)*AY49-(AW49+yc_sl-2*af_sl)*AY49^2/2+AY49^3/3)+(aeS_sl-(AW49&gt;y1_sl))*A1_sl*(AW49-y1_sl)*(yc_sl-y1_sl)+(aeS_sl-(AW49&gt;y2_sl))*A2_sl*(AW49-y2_sl)*(yc_sl-y2_sl)</f>
        <v/>
      </c>
      <c r="BB49">
        <f>Nqp_sl*1000*BA49-Mqp_sl*1E6*AZ49</f>
        <v/>
      </c>
      <c r="BD49">
        <f>IF(BK48&gt;0,BF48,BD48)</f>
        <v/>
      </c>
      <c r="BE49">
        <f>IF(BK48&gt;0,BE48,BF48)</f>
        <v/>
      </c>
      <c r="BF49">
        <f>(BD49+BE49)/2</f>
        <v/>
      </c>
      <c r="BG49">
        <f>MIN(MAX(BF49,0),h_sl)</f>
        <v/>
      </c>
      <c r="BH49">
        <f>MIN(MAX(BF49-af_sl,0),hfe_sl)</f>
        <v/>
      </c>
      <c r="BI49">
        <f>bw_sl*BG49*(BF49-BG49/2)+ov_sl*BH49*(BF49-af_sl-BH49/2)+(aeL_sl-(BF49&gt;y1_sl))*A1_sl*(BF49-y1_sl)+(aeL_sl-(BF49&gt;y2_sl))*A2_sl*(BF49-y2_sl)</f>
        <v/>
      </c>
      <c r="BJ49">
        <f>bw_sl*(BF49*yc_sl*BG49-(BF49+yc_sl)*BG49^2/2+BG49^3/3)+ov_sl*((BF49-af_sl)*(yc_sl-af_sl)*BH49-(BF49+yc_sl-2*af_sl)*BH49^2/2+BH49^3/3)+(aeL_sl-(BF49&gt;y1_sl))*A1_sl*(BF49-y1_sl)*(yc_sl-y1_sl)+(aeL_sl-(BF49&gt;y2_sl))*A2_sl*(BF49-y2_sl)*(yc_sl-y2_sl)</f>
        <v/>
      </c>
      <c r="BK49">
        <f>Nqp_sl*1000*BJ49-Mqp_sl*1E6*BI49</f>
        <v/>
      </c>
      <c r="BM49">
        <f>IF(BT48&gt;0,BO48,BM48)</f>
        <v/>
      </c>
      <c r="BN49">
        <f>IF(BT48&gt;0,BN48,BO48)</f>
        <v/>
      </c>
      <c r="BO49">
        <f>(BM49+BN49)/2</f>
        <v/>
      </c>
      <c r="BP49">
        <f>MIN(MAX(BO49,0),h_sl)</f>
        <v/>
      </c>
      <c r="BQ49">
        <f>MIN(MAX(BO49-af_sl,0),hfe_sl)</f>
        <v/>
      </c>
      <c r="BR49">
        <f>bw_sl*BP49*(BO49-BP49/2)+ov_sl*BQ49*(BO49-af_sl-BQ49/2)+(aeS_sl-(BO49&gt;y1_sl))*A1_sl*(BO49-y1_sl)+(aeS_sl-(BO49&gt;y2_sl))*A2_sl*(BO49-y2_sl)</f>
        <v/>
      </c>
      <c r="BS49">
        <f>bw_sl*(BO49*yc_sl*BP49-(BO49+yc_sl)*BP49^2/2+BP49^3/3)+ov_sl*((BO49-af_sl)*(yc_sl-af_sl)*BQ49-(BO49+yc_sl-2*af_sl)*BQ49^2/2+BQ49^3/3)+(aeS_sl-(BO49&gt;y1_sl))*A1_sl*(BO49-y1_sl)*(yc_sl-y1_sl)+(aeS_sl-(BO49&gt;y2_sl))*A2_sl*(BO49-y2_sl)*(yc_sl-y2_sl)</f>
        <v/>
      </c>
      <c r="BT49">
        <f>dN_sl*1000*BS49-dM_sl*1E6*BR49</f>
        <v/>
      </c>
      <c r="BV49">
        <f>IF(CC48&gt;0,BX48,BV48)</f>
        <v/>
      </c>
      <c r="BW49">
        <f>IF(CC48&gt;0,BW48,BX48)</f>
        <v/>
      </c>
      <c r="BX49">
        <f>(BV49+BW49)/2</f>
        <v/>
      </c>
      <c r="BY49">
        <f>MIN(MAX(BX49,0),h_sl)</f>
        <v/>
      </c>
      <c r="BZ49">
        <f>MIN(MAX(BX49-af_sl,0),hfe_sl)</f>
        <v/>
      </c>
      <c r="CA49">
        <f>bw_sl*BY49*(BX49-BY49/2)+ov_sl*BZ49*(BX49-af_sl-BZ49/2)+(aeM_sl-(BX49&gt;y1_sl))*A1_sl*(BX49-y1_sl)+(aeM_sl-(BX49&gt;y2_sl))*A2_sl*(BX49-y2_sl)</f>
        <v/>
      </c>
      <c r="CB49">
        <f>bw_sl*(BX49*yc_sl*BY49-(BX49+yc_sl)*BY49^2/2+BY49^3/3)+ov_sl*((BX49-af_sl)*(yc_sl-af_sl)*BZ49-(BX49+yc_sl-2*af_sl)*BZ49^2/2+BZ49^3/3)+(aeM_sl-(BX49&gt;y1_sl))*A1_sl*(BX49-y1_sl)*(yc_sl-y1_sl)+(aeM_sl-(BX49&gt;y2_sl))*A2_sl*(BX49-y2_sl)*(yc_sl-y2_sl)</f>
        <v/>
      </c>
      <c r="CC49">
        <f>Nk_sl*1000*CB49-Mk_sl*1E6*CA49</f>
        <v/>
      </c>
    </row>
    <row r="50">
      <c r="B50">
        <f>IF(I49&gt;0,D49,B49)</f>
        <v/>
      </c>
      <c r="C50">
        <f>IF(I49&gt;0,C49,D49)</f>
        <v/>
      </c>
      <c r="D50">
        <f>(B50+C50)/2</f>
        <v/>
      </c>
      <c r="E50">
        <f>MIN(MAX(D50,0),h_sl)</f>
        <v/>
      </c>
      <c r="F50">
        <f>MIN(MAX(D50-af_sl,0),hfe_sl)</f>
        <v/>
      </c>
      <c r="G50">
        <f>bw_sl*E50*(D50-E50/2)+ov_sl*F50*(D50-af_sl-F50/2)+(aeS_sl-(D50&gt;y1_sl))*A1_sl*(D50-y1_sl)+(aeS_sl-(D50&gt;y2_sl))*A2_sl*(D50-y2_sl)</f>
        <v/>
      </c>
      <c r="H50">
        <f>bw_sl*(D50*yc_sl*E50-(D50+yc_sl)*E50^2/2+E50^3/3)+ov_sl*((D50-af_sl)*(yc_sl-af_sl)*F50-(D50+yc_sl-2*af_sl)*F50^2/2+F50^3/3)+(aeS_sl-(D50&gt;y1_sl))*A1_sl*(D50-y1_sl)*(yc_sl-y1_sl)+(aeS_sl-(D50&gt;y2_sl))*A2_sl*(D50-y2_sl)*(yc_sl-y2_sl)</f>
        <v/>
      </c>
      <c r="I50">
        <f>-G50</f>
        <v/>
      </c>
      <c r="K50">
        <f>IF(R49&gt;0,M49,K49)</f>
        <v/>
      </c>
      <c r="L50">
        <f>IF(R49&gt;0,L49,M49)</f>
        <v/>
      </c>
      <c r="M50">
        <f>(K50+L50)/2</f>
        <v/>
      </c>
      <c r="N50">
        <f>MIN(MAX(M50,0),h_sl)</f>
        <v/>
      </c>
      <c r="O50">
        <f>MIN(MAX(M50-af_sl,0),hfe_sl)</f>
        <v/>
      </c>
      <c r="P50">
        <f>bw_sl*N50*(M50-N50/2)+ov_sl*O50*(M50-af_sl-O50/2)+(aeL_sl-(M50&gt;y1_sl))*A1_sl*(M50-y1_sl)+(aeL_sl-(M50&gt;y2_sl))*A2_sl*(M50-y2_sl)</f>
        <v/>
      </c>
      <c r="Q50">
        <f>bw_sl*(M50*yc_sl*N50-(M50+yc_sl)*N50^2/2+N50^3/3)+ov_sl*((M50-af_sl)*(yc_sl-af_sl)*O50-(M50+yc_sl-2*af_sl)*O50^2/2+O50^3/3)+(aeL_sl-(M50&gt;y1_sl))*A1_sl*(M50-y1_sl)*(yc_sl-y1_sl)+(aeL_sl-(M50&gt;y2_sl))*A2_sl*(M50-y2_sl)*(yc_sl-y2_sl)</f>
        <v/>
      </c>
      <c r="R50">
        <f>-P50</f>
        <v/>
      </c>
      <c r="T50">
        <f>IF(AA49&gt;0,V49,T49)</f>
        <v/>
      </c>
      <c r="U50">
        <f>IF(AA49&gt;0,U49,V49)</f>
        <v/>
      </c>
      <c r="V50">
        <f>(T50+U50)/2</f>
        <v/>
      </c>
      <c r="W50">
        <f>MIN(MAX(V50,0),h_sl)</f>
        <v/>
      </c>
      <c r="X50">
        <f>MIN(MAX(V50-af_sl,0),hfe_sl)</f>
        <v/>
      </c>
      <c r="Y50">
        <f>bw_sl*W50*(V50-W50/2)+ov_sl*X50*(V50-af_sl-X50/2)+(aeM_sl-(V50&gt;y1_sl))*A1_sl*(V50-y1_sl)+(aeM_sl-(V50&gt;y2_sl))*A2_sl*(V50-y2_sl)</f>
        <v/>
      </c>
      <c r="Z50">
        <f>bw_sl*(V50*yc_sl*W50-(V50+yc_sl)*W50^2/2+W50^3/3)+ov_sl*((V50-af_sl)*(yc_sl-af_sl)*X50-(V50+yc_sl-2*af_sl)*X50^2/2+X50^3/3)+(aeM_sl-(V50&gt;y1_sl))*A1_sl*(V50-y1_sl)*(yc_sl-y1_sl)+(aeM_sl-(V50&gt;y2_sl))*A2_sl*(V50-y2_sl)*(yc_sl-y2_sl)</f>
        <v/>
      </c>
      <c r="AA50">
        <f>-Y50</f>
        <v/>
      </c>
      <c r="AC50">
        <f>IF(AJ49&gt;0,AE49,AC49)</f>
        <v/>
      </c>
      <c r="AD50">
        <f>IF(AJ49&gt;0,AD49,AE49)</f>
        <v/>
      </c>
      <c r="AE50">
        <f>(AC50+AD50)/2</f>
        <v/>
      </c>
      <c r="AF50">
        <f>MIN(MAX(AE50,0),h_sl)</f>
        <v/>
      </c>
      <c r="AG50">
        <f>MIN(MAX(AE50-af_sl,0),hfe_sl)</f>
        <v/>
      </c>
      <c r="AH50">
        <f>bw_sl*AF50*(AE50-AF50/2)+ov_sl*AG50*(AE50-af_sl-AG50/2)+(aeS_sl-(AE50&gt;y1_sl))*A1_sl*(AE50-y1_sl)+(aeS_sl-(AE50&gt;y2_sl))*A2_sl*(AE50-y2_sl)</f>
        <v/>
      </c>
      <c r="AI50">
        <f>bw_sl*(AE50*yc_sl*AF50-(AE50+yc_sl)*AF50^2/2+AF50^3/3)+ov_sl*((AE50-af_sl)*(yc_sl-af_sl)*AG50-(AE50+yc_sl-2*af_sl)*AG50^2/2+AG50^3/3)+(aeS_sl-(AE50&gt;y1_sl))*A1_sl*(AE50-y1_sl)*(yc_sl-y1_sl)+(aeS_sl-(AE50&gt;y2_sl))*A2_sl*(AE50-y2_sl)*(yc_sl-y2_sl)</f>
        <v/>
      </c>
      <c r="AJ50">
        <f>Nk_sl*1000*AI50-Mk_sl*1E6*AH50</f>
        <v/>
      </c>
      <c r="AL50">
        <f>IF(AS49&gt;0,AN49,AL49)</f>
        <v/>
      </c>
      <c r="AM50">
        <f>IF(AS49&gt;0,AM49,AN49)</f>
        <v/>
      </c>
      <c r="AN50">
        <f>(AL50+AM50)/2</f>
        <v/>
      </c>
      <c r="AO50">
        <f>MIN(MAX(AN50,0),h_sl)</f>
        <v/>
      </c>
      <c r="AP50">
        <f>MIN(MAX(AN50-af_sl,0),hfe_sl)</f>
        <v/>
      </c>
      <c r="AQ50">
        <f>bw_sl*AO50*(AN50-AO50/2)+ov_sl*AP50*(AN50-af_sl-AP50/2)+(aeL_sl-(AN50&gt;y1_sl))*A1_sl*(AN50-y1_sl)+(aeL_sl-(AN50&gt;y2_sl))*A2_sl*(AN50-y2_sl)</f>
        <v/>
      </c>
      <c r="AR50">
        <f>bw_sl*(AN50*yc_sl*AO50-(AN50+yc_sl)*AO50^2/2+AO50^3/3)+ov_sl*((AN50-af_sl)*(yc_sl-af_sl)*AP50-(AN50+yc_sl-2*af_sl)*AP50^2/2+AP50^3/3)+(aeL_sl-(AN50&gt;y1_sl))*A1_sl*(AN50-y1_sl)*(yc_sl-y1_sl)+(aeL_sl-(AN50&gt;y2_sl))*A2_sl*(AN50-y2_sl)*(yc_sl-y2_sl)</f>
        <v/>
      </c>
      <c r="AS50">
        <f>Nk_sl*1000*AR50-Mk_sl*1E6*AQ50</f>
        <v/>
      </c>
      <c r="AU50">
        <f>IF(BB49&gt;0,AW49,AU49)</f>
        <v/>
      </c>
      <c r="AV50">
        <f>IF(BB49&gt;0,AV49,AW49)</f>
        <v/>
      </c>
      <c r="AW50">
        <f>(AU50+AV50)/2</f>
        <v/>
      </c>
      <c r="AX50">
        <f>MIN(MAX(AW50,0),h_sl)</f>
        <v/>
      </c>
      <c r="AY50">
        <f>MIN(MAX(AW50-af_sl,0),hfe_sl)</f>
        <v/>
      </c>
      <c r="AZ50">
        <f>bw_sl*AX50*(AW50-AX50/2)+ov_sl*AY50*(AW50-af_sl-AY50/2)+(aeS_sl-(AW50&gt;y1_sl))*A1_sl*(AW50-y1_sl)+(aeS_sl-(AW50&gt;y2_sl))*A2_sl*(AW50-y2_sl)</f>
        <v/>
      </c>
      <c r="BA50">
        <f>bw_sl*(AW50*yc_sl*AX50-(AW50+yc_sl)*AX50^2/2+AX50^3/3)+ov_sl*((AW50-af_sl)*(yc_sl-af_sl)*AY50-(AW50+yc_sl-2*af_sl)*AY50^2/2+AY50^3/3)+(aeS_sl-(AW50&gt;y1_sl))*A1_sl*(AW50-y1_sl)*(yc_sl-y1_sl)+(aeS_sl-(AW50&gt;y2_sl))*A2_sl*(AW50-y2_sl)*(yc_sl-y2_sl)</f>
        <v/>
      </c>
      <c r="BB50">
        <f>Nqp_sl*1000*BA50-Mqp_sl*1E6*AZ50</f>
        <v/>
      </c>
      <c r="BD50">
        <f>IF(BK49&gt;0,BF49,BD49)</f>
        <v/>
      </c>
      <c r="BE50">
        <f>IF(BK49&gt;0,BE49,BF49)</f>
        <v/>
      </c>
      <c r="BF50">
        <f>(BD50+BE50)/2</f>
        <v/>
      </c>
      <c r="BG50">
        <f>MIN(MAX(BF50,0),h_sl)</f>
        <v/>
      </c>
      <c r="BH50">
        <f>MIN(MAX(BF50-af_sl,0),hfe_sl)</f>
        <v/>
      </c>
      <c r="BI50">
        <f>bw_sl*BG50*(BF50-BG50/2)+ov_sl*BH50*(BF50-af_sl-BH50/2)+(aeL_sl-(BF50&gt;y1_sl))*A1_sl*(BF50-y1_sl)+(aeL_sl-(BF50&gt;y2_sl))*A2_sl*(BF50-y2_sl)</f>
        <v/>
      </c>
      <c r="BJ50">
        <f>bw_sl*(BF50*yc_sl*BG50-(BF50+yc_sl)*BG50^2/2+BG50^3/3)+ov_sl*((BF50-af_sl)*(yc_sl-af_sl)*BH50-(BF50+yc_sl-2*af_sl)*BH50^2/2+BH50^3/3)+(aeL_sl-(BF50&gt;y1_sl))*A1_sl*(BF50-y1_sl)*(yc_sl-y1_sl)+(aeL_sl-(BF50&gt;y2_sl))*A2_sl*(BF50-y2_sl)*(yc_sl-y2_sl)</f>
        <v/>
      </c>
      <c r="BK50">
        <f>Nqp_sl*1000*BJ50-Mqp_sl*1E6*BI50</f>
        <v/>
      </c>
      <c r="BM50">
        <f>IF(BT49&gt;0,BO49,BM49)</f>
        <v/>
      </c>
      <c r="BN50">
        <f>IF(BT49&gt;0,BN49,BO49)</f>
        <v/>
      </c>
      <c r="BO50">
        <f>(BM50+BN50)/2</f>
        <v/>
      </c>
      <c r="BP50">
        <f>MIN(MAX(BO50,0),h_sl)</f>
        <v/>
      </c>
      <c r="BQ50">
        <f>MIN(MAX(BO50-af_sl,0),hfe_sl)</f>
        <v/>
      </c>
      <c r="BR50">
        <f>bw_sl*BP50*(BO50-BP50/2)+ov_sl*BQ50*(BO50-af_sl-BQ50/2)+(aeS_sl-(BO50&gt;y1_sl))*A1_sl*(BO50-y1_sl)+(aeS_sl-(BO50&gt;y2_sl))*A2_sl*(BO50-y2_sl)</f>
        <v/>
      </c>
      <c r="BS50">
        <f>bw_sl*(BO50*yc_sl*BP50-(BO50+yc_sl)*BP50^2/2+BP50^3/3)+ov_sl*((BO50-af_sl)*(yc_sl-af_sl)*BQ50-(BO50+yc_sl-2*af_sl)*BQ50^2/2+BQ50^3/3)+(aeS_sl-(BO50&gt;y1_sl))*A1_sl*(BO50-y1_sl)*(yc_sl-y1_sl)+(aeS_sl-(BO50&gt;y2_sl))*A2_sl*(BO50-y2_sl)*(yc_sl-y2_sl)</f>
        <v/>
      </c>
      <c r="BT50">
        <f>dN_sl*1000*BS50-dM_sl*1E6*BR50</f>
        <v/>
      </c>
      <c r="BV50">
        <f>IF(CC49&gt;0,BX49,BV49)</f>
        <v/>
      </c>
      <c r="BW50">
        <f>IF(CC49&gt;0,BW49,BX49)</f>
        <v/>
      </c>
      <c r="BX50">
        <f>(BV50+BW50)/2</f>
        <v/>
      </c>
      <c r="BY50">
        <f>MIN(MAX(BX50,0),h_sl)</f>
        <v/>
      </c>
      <c r="BZ50">
        <f>MIN(MAX(BX50-af_sl,0),hfe_sl)</f>
        <v/>
      </c>
      <c r="CA50">
        <f>bw_sl*BY50*(BX50-BY50/2)+ov_sl*BZ50*(BX50-af_sl-BZ50/2)+(aeM_sl-(BX50&gt;y1_sl))*A1_sl*(BX50-y1_sl)+(aeM_sl-(BX50&gt;y2_sl))*A2_sl*(BX50-y2_sl)</f>
        <v/>
      </c>
      <c r="CB50">
        <f>bw_sl*(BX50*yc_sl*BY50-(BX50+yc_sl)*BY50^2/2+BY50^3/3)+ov_sl*((BX50-af_sl)*(yc_sl-af_sl)*BZ50-(BX50+yc_sl-2*af_sl)*BZ50^2/2+BZ50^3/3)+(aeM_sl-(BX50&gt;y1_sl))*A1_sl*(BX50-y1_sl)*(yc_sl-y1_sl)+(aeM_sl-(BX50&gt;y2_sl))*A2_sl*(BX50-y2_sl)*(yc_sl-y2_sl)</f>
        <v/>
      </c>
      <c r="CC50">
        <f>Nk_sl*1000*CB50-Mk_sl*1E6*CA50</f>
        <v/>
      </c>
    </row>
    <row r="51">
      <c r="B51">
        <f>IF(I50&gt;0,D50,B50)</f>
        <v/>
      </c>
      <c r="C51">
        <f>IF(I50&gt;0,C50,D50)</f>
        <v/>
      </c>
      <c r="D51">
        <f>(B51+C51)/2</f>
        <v/>
      </c>
      <c r="E51">
        <f>MIN(MAX(D51,0),h_sl)</f>
        <v/>
      </c>
      <c r="F51">
        <f>MIN(MAX(D51-af_sl,0),hfe_sl)</f>
        <v/>
      </c>
      <c r="G51">
        <f>bw_sl*E51*(D51-E51/2)+ov_sl*F51*(D51-af_sl-F51/2)+(aeS_sl-(D51&gt;y1_sl))*A1_sl*(D51-y1_sl)+(aeS_sl-(D51&gt;y2_sl))*A2_sl*(D51-y2_sl)</f>
        <v/>
      </c>
      <c r="H51">
        <f>bw_sl*(D51*yc_sl*E51-(D51+yc_sl)*E51^2/2+E51^3/3)+ov_sl*((D51-af_sl)*(yc_sl-af_sl)*F51-(D51+yc_sl-2*af_sl)*F51^2/2+F51^3/3)+(aeS_sl-(D51&gt;y1_sl))*A1_sl*(D51-y1_sl)*(yc_sl-y1_sl)+(aeS_sl-(D51&gt;y2_sl))*A2_sl*(D51-y2_sl)*(yc_sl-y2_sl)</f>
        <v/>
      </c>
      <c r="I51">
        <f>-G51</f>
        <v/>
      </c>
      <c r="K51">
        <f>IF(R50&gt;0,M50,K50)</f>
        <v/>
      </c>
      <c r="L51">
        <f>IF(R50&gt;0,L50,M50)</f>
        <v/>
      </c>
      <c r="M51">
        <f>(K51+L51)/2</f>
        <v/>
      </c>
      <c r="N51">
        <f>MIN(MAX(M51,0),h_sl)</f>
        <v/>
      </c>
      <c r="O51">
        <f>MIN(MAX(M51-af_sl,0),hfe_sl)</f>
        <v/>
      </c>
      <c r="P51">
        <f>bw_sl*N51*(M51-N51/2)+ov_sl*O51*(M51-af_sl-O51/2)+(aeL_sl-(M51&gt;y1_sl))*A1_sl*(M51-y1_sl)+(aeL_sl-(M51&gt;y2_sl))*A2_sl*(M51-y2_sl)</f>
        <v/>
      </c>
      <c r="Q51">
        <f>bw_sl*(M51*yc_sl*N51-(M51+yc_sl)*N51^2/2+N51^3/3)+ov_sl*((M51-af_sl)*(yc_sl-af_sl)*O51-(M51+yc_sl-2*af_sl)*O51^2/2+O51^3/3)+(aeL_sl-(M51&gt;y1_sl))*A1_sl*(M51-y1_sl)*(yc_sl-y1_sl)+(aeL_sl-(M51&gt;y2_sl))*A2_sl*(M51-y2_sl)*(yc_sl-y2_sl)</f>
        <v/>
      </c>
      <c r="R51">
        <f>-P51</f>
        <v/>
      </c>
      <c r="T51">
        <f>IF(AA50&gt;0,V50,T50)</f>
        <v/>
      </c>
      <c r="U51">
        <f>IF(AA50&gt;0,U50,V50)</f>
        <v/>
      </c>
      <c r="V51">
        <f>(T51+U51)/2</f>
        <v/>
      </c>
      <c r="W51">
        <f>MIN(MAX(V51,0),h_sl)</f>
        <v/>
      </c>
      <c r="X51">
        <f>MIN(MAX(V51-af_sl,0),hfe_sl)</f>
        <v/>
      </c>
      <c r="Y51">
        <f>bw_sl*W51*(V51-W51/2)+ov_sl*X51*(V51-af_sl-X51/2)+(aeM_sl-(V51&gt;y1_sl))*A1_sl*(V51-y1_sl)+(aeM_sl-(V51&gt;y2_sl))*A2_sl*(V51-y2_sl)</f>
        <v/>
      </c>
      <c r="Z51">
        <f>bw_sl*(V51*yc_sl*W51-(V51+yc_sl)*W51^2/2+W51^3/3)+ov_sl*((V51-af_sl)*(yc_sl-af_sl)*X51-(V51+yc_sl-2*af_sl)*X51^2/2+X51^3/3)+(aeM_sl-(V51&gt;y1_sl))*A1_sl*(V51-y1_sl)*(yc_sl-y1_sl)+(aeM_sl-(V51&gt;y2_sl))*A2_sl*(V51-y2_sl)*(yc_sl-y2_sl)</f>
        <v/>
      </c>
      <c r="AA51">
        <f>-Y51</f>
        <v/>
      </c>
      <c r="AC51">
        <f>IF(AJ50&gt;0,AE50,AC50)</f>
        <v/>
      </c>
      <c r="AD51">
        <f>IF(AJ50&gt;0,AD50,AE50)</f>
        <v/>
      </c>
      <c r="AE51">
        <f>(AC51+AD51)/2</f>
        <v/>
      </c>
      <c r="AF51">
        <f>MIN(MAX(AE51,0),h_sl)</f>
        <v/>
      </c>
      <c r="AG51">
        <f>MIN(MAX(AE51-af_sl,0),hfe_sl)</f>
        <v/>
      </c>
      <c r="AH51">
        <f>bw_sl*AF51*(AE51-AF51/2)+ov_sl*AG51*(AE51-af_sl-AG51/2)+(aeS_sl-(AE51&gt;y1_sl))*A1_sl*(AE51-y1_sl)+(aeS_sl-(AE51&gt;y2_sl))*A2_sl*(AE51-y2_sl)</f>
        <v/>
      </c>
      <c r="AI51">
        <f>bw_sl*(AE51*yc_sl*AF51-(AE51+yc_sl)*AF51^2/2+AF51^3/3)+ov_sl*((AE51-af_sl)*(yc_sl-af_sl)*AG51-(AE51+yc_sl-2*af_sl)*AG51^2/2+AG51^3/3)+(aeS_sl-(AE51&gt;y1_sl))*A1_sl*(AE51-y1_sl)*(yc_sl-y1_sl)+(aeS_sl-(AE51&gt;y2_sl))*A2_sl*(AE51-y2_sl)*(yc_sl-y2_sl)</f>
        <v/>
      </c>
      <c r="AJ51">
        <f>Nk_sl*1000*AI51-Mk_sl*1E6*AH51</f>
        <v/>
      </c>
      <c r="AL51">
        <f>IF(AS50&gt;0,AN50,AL50)</f>
        <v/>
      </c>
      <c r="AM51">
        <f>IF(AS50&gt;0,AM50,AN50)</f>
        <v/>
      </c>
      <c r="AN51">
        <f>(AL51+AM51)/2</f>
        <v/>
      </c>
      <c r="AO51">
        <f>MIN(MAX(AN51,0),h_sl)</f>
        <v/>
      </c>
      <c r="AP51">
        <f>MIN(MAX(AN51-af_sl,0),hfe_sl)</f>
        <v/>
      </c>
      <c r="AQ51">
        <f>bw_sl*AO51*(AN51-AO51/2)+ov_sl*AP51*(AN51-af_sl-AP51/2)+(aeL_sl-(AN51&gt;y1_sl))*A1_sl*(AN51-y1_sl)+(aeL_sl-(AN51&gt;y2_sl))*A2_sl*(AN51-y2_sl)</f>
        <v/>
      </c>
      <c r="AR51">
        <f>bw_sl*(AN51*yc_sl*AO51-(AN51+yc_sl)*AO51^2/2+AO51^3/3)+ov_sl*((AN51-af_sl)*(yc_sl-af_sl)*AP51-(AN51+yc_sl-2*af_sl)*AP51^2/2+AP51^3/3)+(aeL_sl-(AN51&gt;y1_sl))*A1_sl*(AN51-y1_sl)*(yc_sl-y1_sl)+(aeL_sl-(AN51&gt;y2_sl))*A2_sl*(AN51-y2_sl)*(yc_sl-y2_sl)</f>
        <v/>
      </c>
      <c r="AS51">
        <f>Nk_sl*1000*AR51-Mk_sl*1E6*AQ51</f>
        <v/>
      </c>
      <c r="AU51">
        <f>IF(BB50&gt;0,AW50,AU50)</f>
        <v/>
      </c>
      <c r="AV51">
        <f>IF(BB50&gt;0,AV50,AW50)</f>
        <v/>
      </c>
      <c r="AW51">
        <f>(AU51+AV51)/2</f>
        <v/>
      </c>
      <c r="AX51">
        <f>MIN(MAX(AW51,0),h_sl)</f>
        <v/>
      </c>
      <c r="AY51">
        <f>MIN(MAX(AW51-af_sl,0),hfe_sl)</f>
        <v/>
      </c>
      <c r="AZ51">
        <f>bw_sl*AX51*(AW51-AX51/2)+ov_sl*AY51*(AW51-af_sl-AY51/2)+(aeS_sl-(AW51&gt;y1_sl))*A1_sl*(AW51-y1_sl)+(aeS_sl-(AW51&gt;y2_sl))*A2_sl*(AW51-y2_sl)</f>
        <v/>
      </c>
      <c r="BA51">
        <f>bw_sl*(AW51*yc_sl*AX51-(AW51+yc_sl)*AX51^2/2+AX51^3/3)+ov_sl*((AW51-af_sl)*(yc_sl-af_sl)*AY51-(AW51+yc_sl-2*af_sl)*AY51^2/2+AY51^3/3)+(aeS_sl-(AW51&gt;y1_sl))*A1_sl*(AW51-y1_sl)*(yc_sl-y1_sl)+(aeS_sl-(AW51&gt;y2_sl))*A2_sl*(AW51-y2_sl)*(yc_sl-y2_sl)</f>
        <v/>
      </c>
      <c r="BB51">
        <f>Nqp_sl*1000*BA51-Mqp_sl*1E6*AZ51</f>
        <v/>
      </c>
      <c r="BD51">
        <f>IF(BK50&gt;0,BF50,BD50)</f>
        <v/>
      </c>
      <c r="BE51">
        <f>IF(BK50&gt;0,BE50,BF50)</f>
        <v/>
      </c>
      <c r="BF51">
        <f>(BD51+BE51)/2</f>
        <v/>
      </c>
      <c r="BG51">
        <f>MIN(MAX(BF51,0),h_sl)</f>
        <v/>
      </c>
      <c r="BH51">
        <f>MIN(MAX(BF51-af_sl,0),hfe_sl)</f>
        <v/>
      </c>
      <c r="BI51">
        <f>bw_sl*BG51*(BF51-BG51/2)+ov_sl*BH51*(BF51-af_sl-BH51/2)+(aeL_sl-(BF51&gt;y1_sl))*A1_sl*(BF51-y1_sl)+(aeL_sl-(BF51&gt;y2_sl))*A2_sl*(BF51-y2_sl)</f>
        <v/>
      </c>
      <c r="BJ51">
        <f>bw_sl*(BF51*yc_sl*BG51-(BF51+yc_sl)*BG51^2/2+BG51^3/3)+ov_sl*((BF51-af_sl)*(yc_sl-af_sl)*BH51-(BF51+yc_sl-2*af_sl)*BH51^2/2+BH51^3/3)+(aeL_sl-(BF51&gt;y1_sl))*A1_sl*(BF51-y1_sl)*(yc_sl-y1_sl)+(aeL_sl-(BF51&gt;y2_sl))*A2_sl*(BF51-y2_sl)*(yc_sl-y2_sl)</f>
        <v/>
      </c>
      <c r="BK51">
        <f>Nqp_sl*1000*BJ51-Mqp_sl*1E6*BI51</f>
        <v/>
      </c>
      <c r="BM51">
        <f>IF(BT50&gt;0,BO50,BM50)</f>
        <v/>
      </c>
      <c r="BN51">
        <f>IF(BT50&gt;0,BN50,BO50)</f>
        <v/>
      </c>
      <c r="BO51">
        <f>(BM51+BN51)/2</f>
        <v/>
      </c>
      <c r="BP51">
        <f>MIN(MAX(BO51,0),h_sl)</f>
        <v/>
      </c>
      <c r="BQ51">
        <f>MIN(MAX(BO51-af_sl,0),hfe_sl)</f>
        <v/>
      </c>
      <c r="BR51">
        <f>bw_sl*BP51*(BO51-BP51/2)+ov_sl*BQ51*(BO51-af_sl-BQ51/2)+(aeS_sl-(BO51&gt;y1_sl))*A1_sl*(BO51-y1_sl)+(aeS_sl-(BO51&gt;y2_sl))*A2_sl*(BO51-y2_sl)</f>
        <v/>
      </c>
      <c r="BS51">
        <f>bw_sl*(BO51*yc_sl*BP51-(BO51+yc_sl)*BP51^2/2+BP51^3/3)+ov_sl*((BO51-af_sl)*(yc_sl-af_sl)*BQ51-(BO51+yc_sl-2*af_sl)*BQ51^2/2+BQ51^3/3)+(aeS_sl-(BO51&gt;y1_sl))*A1_sl*(BO51-y1_sl)*(yc_sl-y1_sl)+(aeS_sl-(BO51&gt;y2_sl))*A2_sl*(BO51-y2_sl)*(yc_sl-y2_sl)</f>
        <v/>
      </c>
      <c r="BT51">
        <f>dN_sl*1000*BS51-dM_sl*1E6*BR51</f>
        <v/>
      </c>
      <c r="BV51">
        <f>IF(CC50&gt;0,BX50,BV50)</f>
        <v/>
      </c>
      <c r="BW51">
        <f>IF(CC50&gt;0,BW50,BX50)</f>
        <v/>
      </c>
      <c r="BX51">
        <f>(BV51+BW51)/2</f>
        <v/>
      </c>
      <c r="BY51">
        <f>MIN(MAX(BX51,0),h_sl)</f>
        <v/>
      </c>
      <c r="BZ51">
        <f>MIN(MAX(BX51-af_sl,0),hfe_sl)</f>
        <v/>
      </c>
      <c r="CA51">
        <f>bw_sl*BY51*(BX51-BY51/2)+ov_sl*BZ51*(BX51-af_sl-BZ51/2)+(aeM_sl-(BX51&gt;y1_sl))*A1_sl*(BX51-y1_sl)+(aeM_sl-(BX51&gt;y2_sl))*A2_sl*(BX51-y2_sl)</f>
        <v/>
      </c>
      <c r="CB51">
        <f>bw_sl*(BX51*yc_sl*BY51-(BX51+yc_sl)*BY51^2/2+BY51^3/3)+ov_sl*((BX51-af_sl)*(yc_sl-af_sl)*BZ51-(BX51+yc_sl-2*af_sl)*BZ51^2/2+BZ51^3/3)+(aeM_sl-(BX51&gt;y1_sl))*A1_sl*(BX51-y1_sl)*(yc_sl-y1_sl)+(aeM_sl-(BX51&gt;y2_sl))*A2_sl*(BX51-y2_sl)*(yc_sl-y2_sl)</f>
        <v/>
      </c>
      <c r="CC51">
        <f>Nk_sl*1000*CB51-Mk_sl*1E6*CA51</f>
        <v/>
      </c>
    </row>
    <row r="52">
      <c r="B52">
        <f>IF(I51&gt;0,D51,B51)</f>
        <v/>
      </c>
      <c r="C52">
        <f>IF(I51&gt;0,C51,D51)</f>
        <v/>
      </c>
      <c r="D52">
        <f>(B52+C52)/2</f>
        <v/>
      </c>
      <c r="E52">
        <f>MIN(MAX(D52,0),h_sl)</f>
        <v/>
      </c>
      <c r="F52">
        <f>MIN(MAX(D52-af_sl,0),hfe_sl)</f>
        <v/>
      </c>
      <c r="G52">
        <f>bw_sl*E52*(D52-E52/2)+ov_sl*F52*(D52-af_sl-F52/2)+(aeS_sl-(D52&gt;y1_sl))*A1_sl*(D52-y1_sl)+(aeS_sl-(D52&gt;y2_sl))*A2_sl*(D52-y2_sl)</f>
        <v/>
      </c>
      <c r="H52">
        <f>bw_sl*(D52*yc_sl*E52-(D52+yc_sl)*E52^2/2+E52^3/3)+ov_sl*((D52-af_sl)*(yc_sl-af_sl)*F52-(D52+yc_sl-2*af_sl)*F52^2/2+F52^3/3)+(aeS_sl-(D52&gt;y1_sl))*A1_sl*(D52-y1_sl)*(yc_sl-y1_sl)+(aeS_sl-(D52&gt;y2_sl))*A2_sl*(D52-y2_sl)*(yc_sl-y2_sl)</f>
        <v/>
      </c>
      <c r="I52">
        <f>-G52</f>
        <v/>
      </c>
      <c r="K52">
        <f>IF(R51&gt;0,M51,K51)</f>
        <v/>
      </c>
      <c r="L52">
        <f>IF(R51&gt;0,L51,M51)</f>
        <v/>
      </c>
      <c r="M52">
        <f>(K52+L52)/2</f>
        <v/>
      </c>
      <c r="N52">
        <f>MIN(MAX(M52,0),h_sl)</f>
        <v/>
      </c>
      <c r="O52">
        <f>MIN(MAX(M52-af_sl,0),hfe_sl)</f>
        <v/>
      </c>
      <c r="P52">
        <f>bw_sl*N52*(M52-N52/2)+ov_sl*O52*(M52-af_sl-O52/2)+(aeL_sl-(M52&gt;y1_sl))*A1_sl*(M52-y1_sl)+(aeL_sl-(M52&gt;y2_sl))*A2_sl*(M52-y2_sl)</f>
        <v/>
      </c>
      <c r="Q52">
        <f>bw_sl*(M52*yc_sl*N52-(M52+yc_sl)*N52^2/2+N52^3/3)+ov_sl*((M52-af_sl)*(yc_sl-af_sl)*O52-(M52+yc_sl-2*af_sl)*O52^2/2+O52^3/3)+(aeL_sl-(M52&gt;y1_sl))*A1_sl*(M52-y1_sl)*(yc_sl-y1_sl)+(aeL_sl-(M52&gt;y2_sl))*A2_sl*(M52-y2_sl)*(yc_sl-y2_sl)</f>
        <v/>
      </c>
      <c r="R52">
        <f>-P52</f>
        <v/>
      </c>
      <c r="T52">
        <f>IF(AA51&gt;0,V51,T51)</f>
        <v/>
      </c>
      <c r="U52">
        <f>IF(AA51&gt;0,U51,V51)</f>
        <v/>
      </c>
      <c r="V52">
        <f>(T52+U52)/2</f>
        <v/>
      </c>
      <c r="W52">
        <f>MIN(MAX(V52,0),h_sl)</f>
        <v/>
      </c>
      <c r="X52">
        <f>MIN(MAX(V52-af_sl,0),hfe_sl)</f>
        <v/>
      </c>
      <c r="Y52">
        <f>bw_sl*W52*(V52-W52/2)+ov_sl*X52*(V52-af_sl-X52/2)+(aeM_sl-(V52&gt;y1_sl))*A1_sl*(V52-y1_sl)+(aeM_sl-(V52&gt;y2_sl))*A2_sl*(V52-y2_sl)</f>
        <v/>
      </c>
      <c r="Z52">
        <f>bw_sl*(V52*yc_sl*W52-(V52+yc_sl)*W52^2/2+W52^3/3)+ov_sl*((V52-af_sl)*(yc_sl-af_sl)*X52-(V52+yc_sl-2*af_sl)*X52^2/2+X52^3/3)+(aeM_sl-(V52&gt;y1_sl))*A1_sl*(V52-y1_sl)*(yc_sl-y1_sl)+(aeM_sl-(V52&gt;y2_sl))*A2_sl*(V52-y2_sl)*(yc_sl-y2_sl)</f>
        <v/>
      </c>
      <c r="AA52">
        <f>-Y52</f>
        <v/>
      </c>
      <c r="AC52">
        <f>IF(AJ51&gt;0,AE51,AC51)</f>
        <v/>
      </c>
      <c r="AD52">
        <f>IF(AJ51&gt;0,AD51,AE51)</f>
        <v/>
      </c>
      <c r="AE52">
        <f>(AC52+AD52)/2</f>
        <v/>
      </c>
      <c r="AF52">
        <f>MIN(MAX(AE52,0),h_sl)</f>
        <v/>
      </c>
      <c r="AG52">
        <f>MIN(MAX(AE52-af_sl,0),hfe_sl)</f>
        <v/>
      </c>
      <c r="AH52">
        <f>bw_sl*AF52*(AE52-AF52/2)+ov_sl*AG52*(AE52-af_sl-AG52/2)+(aeS_sl-(AE52&gt;y1_sl))*A1_sl*(AE52-y1_sl)+(aeS_sl-(AE52&gt;y2_sl))*A2_sl*(AE52-y2_sl)</f>
        <v/>
      </c>
      <c r="AI52">
        <f>bw_sl*(AE52*yc_sl*AF52-(AE52+yc_sl)*AF52^2/2+AF52^3/3)+ov_sl*((AE52-af_sl)*(yc_sl-af_sl)*AG52-(AE52+yc_sl-2*af_sl)*AG52^2/2+AG52^3/3)+(aeS_sl-(AE52&gt;y1_sl))*A1_sl*(AE52-y1_sl)*(yc_sl-y1_sl)+(aeS_sl-(AE52&gt;y2_sl))*A2_sl*(AE52-y2_sl)*(yc_sl-y2_sl)</f>
        <v/>
      </c>
      <c r="AJ52">
        <f>Nk_sl*1000*AI52-Mk_sl*1E6*AH52</f>
        <v/>
      </c>
      <c r="AL52">
        <f>IF(AS51&gt;0,AN51,AL51)</f>
        <v/>
      </c>
      <c r="AM52">
        <f>IF(AS51&gt;0,AM51,AN51)</f>
        <v/>
      </c>
      <c r="AN52">
        <f>(AL52+AM52)/2</f>
        <v/>
      </c>
      <c r="AO52">
        <f>MIN(MAX(AN52,0),h_sl)</f>
        <v/>
      </c>
      <c r="AP52">
        <f>MIN(MAX(AN52-af_sl,0),hfe_sl)</f>
        <v/>
      </c>
      <c r="AQ52">
        <f>bw_sl*AO52*(AN52-AO52/2)+ov_sl*AP52*(AN52-af_sl-AP52/2)+(aeL_sl-(AN52&gt;y1_sl))*A1_sl*(AN52-y1_sl)+(aeL_sl-(AN52&gt;y2_sl))*A2_sl*(AN52-y2_sl)</f>
        <v/>
      </c>
      <c r="AR52">
        <f>bw_sl*(AN52*yc_sl*AO52-(AN52+yc_sl)*AO52^2/2+AO52^3/3)+ov_sl*((AN52-af_sl)*(yc_sl-af_sl)*AP52-(AN52+yc_sl-2*af_sl)*AP52^2/2+AP52^3/3)+(aeL_sl-(AN52&gt;y1_sl))*A1_sl*(AN52-y1_sl)*(yc_sl-y1_sl)+(aeL_sl-(AN52&gt;y2_sl))*A2_sl*(AN52-y2_sl)*(yc_sl-y2_sl)</f>
        <v/>
      </c>
      <c r="AS52">
        <f>Nk_sl*1000*AR52-Mk_sl*1E6*AQ52</f>
        <v/>
      </c>
      <c r="AU52">
        <f>IF(BB51&gt;0,AW51,AU51)</f>
        <v/>
      </c>
      <c r="AV52">
        <f>IF(BB51&gt;0,AV51,AW51)</f>
        <v/>
      </c>
      <c r="AW52">
        <f>(AU52+AV52)/2</f>
        <v/>
      </c>
      <c r="AX52">
        <f>MIN(MAX(AW52,0),h_sl)</f>
        <v/>
      </c>
      <c r="AY52">
        <f>MIN(MAX(AW52-af_sl,0),hfe_sl)</f>
        <v/>
      </c>
      <c r="AZ52">
        <f>bw_sl*AX52*(AW52-AX52/2)+ov_sl*AY52*(AW52-af_sl-AY52/2)+(aeS_sl-(AW52&gt;y1_sl))*A1_sl*(AW52-y1_sl)+(aeS_sl-(AW52&gt;y2_sl))*A2_sl*(AW52-y2_sl)</f>
        <v/>
      </c>
      <c r="BA52">
        <f>bw_sl*(AW52*yc_sl*AX52-(AW52+yc_sl)*AX52^2/2+AX52^3/3)+ov_sl*((AW52-af_sl)*(yc_sl-af_sl)*AY52-(AW52+yc_sl-2*af_sl)*AY52^2/2+AY52^3/3)+(aeS_sl-(AW52&gt;y1_sl))*A1_sl*(AW52-y1_sl)*(yc_sl-y1_sl)+(aeS_sl-(AW52&gt;y2_sl))*A2_sl*(AW52-y2_sl)*(yc_sl-y2_sl)</f>
        <v/>
      </c>
      <c r="BB52">
        <f>Nqp_sl*1000*BA52-Mqp_sl*1E6*AZ52</f>
        <v/>
      </c>
      <c r="BD52">
        <f>IF(BK51&gt;0,BF51,BD51)</f>
        <v/>
      </c>
      <c r="BE52">
        <f>IF(BK51&gt;0,BE51,BF51)</f>
        <v/>
      </c>
      <c r="BF52">
        <f>(BD52+BE52)/2</f>
        <v/>
      </c>
      <c r="BG52">
        <f>MIN(MAX(BF52,0),h_sl)</f>
        <v/>
      </c>
      <c r="BH52">
        <f>MIN(MAX(BF52-af_sl,0),hfe_sl)</f>
        <v/>
      </c>
      <c r="BI52">
        <f>bw_sl*BG52*(BF52-BG52/2)+ov_sl*BH52*(BF52-af_sl-BH52/2)+(aeL_sl-(BF52&gt;y1_sl))*A1_sl*(BF52-y1_sl)+(aeL_sl-(BF52&gt;y2_sl))*A2_sl*(BF52-y2_sl)</f>
        <v/>
      </c>
      <c r="BJ52">
        <f>bw_sl*(BF52*yc_sl*BG52-(BF52+yc_sl)*BG52^2/2+BG52^3/3)+ov_sl*((BF52-af_sl)*(yc_sl-af_sl)*BH52-(BF52+yc_sl-2*af_sl)*BH52^2/2+BH52^3/3)+(aeL_sl-(BF52&gt;y1_sl))*A1_sl*(BF52-y1_sl)*(yc_sl-y1_sl)+(aeL_sl-(BF52&gt;y2_sl))*A2_sl*(BF52-y2_sl)*(yc_sl-y2_sl)</f>
        <v/>
      </c>
      <c r="BK52">
        <f>Nqp_sl*1000*BJ52-Mqp_sl*1E6*BI52</f>
        <v/>
      </c>
      <c r="BM52">
        <f>IF(BT51&gt;0,BO51,BM51)</f>
        <v/>
      </c>
      <c r="BN52">
        <f>IF(BT51&gt;0,BN51,BO51)</f>
        <v/>
      </c>
      <c r="BO52">
        <f>(BM52+BN52)/2</f>
        <v/>
      </c>
      <c r="BP52">
        <f>MIN(MAX(BO52,0),h_sl)</f>
        <v/>
      </c>
      <c r="BQ52">
        <f>MIN(MAX(BO52-af_sl,0),hfe_sl)</f>
        <v/>
      </c>
      <c r="BR52">
        <f>bw_sl*BP52*(BO52-BP52/2)+ov_sl*BQ52*(BO52-af_sl-BQ52/2)+(aeS_sl-(BO52&gt;y1_sl))*A1_sl*(BO52-y1_sl)+(aeS_sl-(BO52&gt;y2_sl))*A2_sl*(BO52-y2_sl)</f>
        <v/>
      </c>
      <c r="BS52">
        <f>bw_sl*(BO52*yc_sl*BP52-(BO52+yc_sl)*BP52^2/2+BP52^3/3)+ov_sl*((BO52-af_sl)*(yc_sl-af_sl)*BQ52-(BO52+yc_sl-2*af_sl)*BQ52^2/2+BQ52^3/3)+(aeS_sl-(BO52&gt;y1_sl))*A1_sl*(BO52-y1_sl)*(yc_sl-y1_sl)+(aeS_sl-(BO52&gt;y2_sl))*A2_sl*(BO52-y2_sl)*(yc_sl-y2_sl)</f>
        <v/>
      </c>
      <c r="BT52">
        <f>dN_sl*1000*BS52-dM_sl*1E6*BR52</f>
        <v/>
      </c>
      <c r="BV52">
        <f>IF(CC51&gt;0,BX51,BV51)</f>
        <v/>
      </c>
      <c r="BW52">
        <f>IF(CC51&gt;0,BW51,BX51)</f>
        <v/>
      </c>
      <c r="BX52">
        <f>(BV52+BW52)/2</f>
        <v/>
      </c>
      <c r="BY52">
        <f>MIN(MAX(BX52,0),h_sl)</f>
        <v/>
      </c>
      <c r="BZ52">
        <f>MIN(MAX(BX52-af_sl,0),hfe_sl)</f>
        <v/>
      </c>
      <c r="CA52">
        <f>bw_sl*BY52*(BX52-BY52/2)+ov_sl*BZ52*(BX52-af_sl-BZ52/2)+(aeM_sl-(BX52&gt;y1_sl))*A1_sl*(BX52-y1_sl)+(aeM_sl-(BX52&gt;y2_sl))*A2_sl*(BX52-y2_sl)</f>
        <v/>
      </c>
      <c r="CB52">
        <f>bw_sl*(BX52*yc_sl*BY52-(BX52+yc_sl)*BY52^2/2+BY52^3/3)+ov_sl*((BX52-af_sl)*(yc_sl-af_sl)*BZ52-(BX52+yc_sl-2*af_sl)*BZ52^2/2+BZ52^3/3)+(aeM_sl-(BX52&gt;y1_sl))*A1_sl*(BX52-y1_sl)*(yc_sl-y1_sl)+(aeM_sl-(BX52&gt;y2_sl))*A2_sl*(BX52-y2_sl)*(yc_sl-y2_sl)</f>
        <v/>
      </c>
      <c r="CC52">
        <f>Nk_sl*1000*CB52-Mk_sl*1E6*CA52</f>
        <v/>
      </c>
    </row>
    <row r="53">
      <c r="B53">
        <f>IF(I52&gt;0,D52,B52)</f>
        <v/>
      </c>
      <c r="C53">
        <f>IF(I52&gt;0,C52,D52)</f>
        <v/>
      </c>
      <c r="D53">
        <f>(B53+C53)/2</f>
        <v/>
      </c>
      <c r="E53">
        <f>MIN(MAX(D53,0),h_sl)</f>
        <v/>
      </c>
      <c r="F53">
        <f>MIN(MAX(D53-af_sl,0),hfe_sl)</f>
        <v/>
      </c>
      <c r="G53">
        <f>bw_sl*E53*(D53-E53/2)+ov_sl*F53*(D53-af_sl-F53/2)+(aeS_sl-(D53&gt;y1_sl))*A1_sl*(D53-y1_sl)+(aeS_sl-(D53&gt;y2_sl))*A2_sl*(D53-y2_sl)</f>
        <v/>
      </c>
      <c r="H53">
        <f>bw_sl*(D53*yc_sl*E53-(D53+yc_sl)*E53^2/2+E53^3/3)+ov_sl*((D53-af_sl)*(yc_sl-af_sl)*F53-(D53+yc_sl-2*af_sl)*F53^2/2+F53^3/3)+(aeS_sl-(D53&gt;y1_sl))*A1_sl*(D53-y1_sl)*(yc_sl-y1_sl)+(aeS_sl-(D53&gt;y2_sl))*A2_sl*(D53-y2_sl)*(yc_sl-y2_sl)</f>
        <v/>
      </c>
      <c r="I53">
        <f>-G53</f>
        <v/>
      </c>
      <c r="K53">
        <f>IF(R52&gt;0,M52,K52)</f>
        <v/>
      </c>
      <c r="L53">
        <f>IF(R52&gt;0,L52,M52)</f>
        <v/>
      </c>
      <c r="M53">
        <f>(K53+L53)/2</f>
        <v/>
      </c>
      <c r="N53">
        <f>MIN(MAX(M53,0),h_sl)</f>
        <v/>
      </c>
      <c r="O53">
        <f>MIN(MAX(M53-af_sl,0),hfe_sl)</f>
        <v/>
      </c>
      <c r="P53">
        <f>bw_sl*N53*(M53-N53/2)+ov_sl*O53*(M53-af_sl-O53/2)+(aeL_sl-(M53&gt;y1_sl))*A1_sl*(M53-y1_sl)+(aeL_sl-(M53&gt;y2_sl))*A2_sl*(M53-y2_sl)</f>
        <v/>
      </c>
      <c r="Q53">
        <f>bw_sl*(M53*yc_sl*N53-(M53+yc_sl)*N53^2/2+N53^3/3)+ov_sl*((M53-af_sl)*(yc_sl-af_sl)*O53-(M53+yc_sl-2*af_sl)*O53^2/2+O53^3/3)+(aeL_sl-(M53&gt;y1_sl))*A1_sl*(M53-y1_sl)*(yc_sl-y1_sl)+(aeL_sl-(M53&gt;y2_sl))*A2_sl*(M53-y2_sl)*(yc_sl-y2_sl)</f>
        <v/>
      </c>
      <c r="R53">
        <f>-P53</f>
        <v/>
      </c>
      <c r="T53">
        <f>IF(AA52&gt;0,V52,T52)</f>
        <v/>
      </c>
      <c r="U53">
        <f>IF(AA52&gt;0,U52,V52)</f>
        <v/>
      </c>
      <c r="V53">
        <f>(T53+U53)/2</f>
        <v/>
      </c>
      <c r="W53">
        <f>MIN(MAX(V53,0),h_sl)</f>
        <v/>
      </c>
      <c r="X53">
        <f>MIN(MAX(V53-af_sl,0),hfe_sl)</f>
        <v/>
      </c>
      <c r="Y53">
        <f>bw_sl*W53*(V53-W53/2)+ov_sl*X53*(V53-af_sl-X53/2)+(aeM_sl-(V53&gt;y1_sl))*A1_sl*(V53-y1_sl)+(aeM_sl-(V53&gt;y2_sl))*A2_sl*(V53-y2_sl)</f>
        <v/>
      </c>
      <c r="Z53">
        <f>bw_sl*(V53*yc_sl*W53-(V53+yc_sl)*W53^2/2+W53^3/3)+ov_sl*((V53-af_sl)*(yc_sl-af_sl)*X53-(V53+yc_sl-2*af_sl)*X53^2/2+X53^3/3)+(aeM_sl-(V53&gt;y1_sl))*A1_sl*(V53-y1_sl)*(yc_sl-y1_sl)+(aeM_sl-(V53&gt;y2_sl))*A2_sl*(V53-y2_sl)*(yc_sl-y2_sl)</f>
        <v/>
      </c>
      <c r="AA53">
        <f>-Y53</f>
        <v/>
      </c>
      <c r="AC53">
        <f>IF(AJ52&gt;0,AE52,AC52)</f>
        <v/>
      </c>
      <c r="AD53">
        <f>IF(AJ52&gt;0,AD52,AE52)</f>
        <v/>
      </c>
      <c r="AE53">
        <f>(AC53+AD53)/2</f>
        <v/>
      </c>
      <c r="AF53">
        <f>MIN(MAX(AE53,0),h_sl)</f>
        <v/>
      </c>
      <c r="AG53">
        <f>MIN(MAX(AE53-af_sl,0),hfe_sl)</f>
        <v/>
      </c>
      <c r="AH53">
        <f>bw_sl*AF53*(AE53-AF53/2)+ov_sl*AG53*(AE53-af_sl-AG53/2)+(aeS_sl-(AE53&gt;y1_sl))*A1_sl*(AE53-y1_sl)+(aeS_sl-(AE53&gt;y2_sl))*A2_sl*(AE53-y2_sl)</f>
        <v/>
      </c>
      <c r="AI53">
        <f>bw_sl*(AE53*yc_sl*AF53-(AE53+yc_sl)*AF53^2/2+AF53^3/3)+ov_sl*((AE53-af_sl)*(yc_sl-af_sl)*AG53-(AE53+yc_sl-2*af_sl)*AG53^2/2+AG53^3/3)+(aeS_sl-(AE53&gt;y1_sl))*A1_sl*(AE53-y1_sl)*(yc_sl-y1_sl)+(aeS_sl-(AE53&gt;y2_sl))*A2_sl*(AE53-y2_sl)*(yc_sl-y2_sl)</f>
        <v/>
      </c>
      <c r="AJ53">
        <f>Nk_sl*1000*AI53-Mk_sl*1E6*AH53</f>
        <v/>
      </c>
      <c r="AL53">
        <f>IF(AS52&gt;0,AN52,AL52)</f>
        <v/>
      </c>
      <c r="AM53">
        <f>IF(AS52&gt;0,AM52,AN52)</f>
        <v/>
      </c>
      <c r="AN53">
        <f>(AL53+AM53)/2</f>
        <v/>
      </c>
      <c r="AO53">
        <f>MIN(MAX(AN53,0),h_sl)</f>
        <v/>
      </c>
      <c r="AP53">
        <f>MIN(MAX(AN53-af_sl,0),hfe_sl)</f>
        <v/>
      </c>
      <c r="AQ53">
        <f>bw_sl*AO53*(AN53-AO53/2)+ov_sl*AP53*(AN53-af_sl-AP53/2)+(aeL_sl-(AN53&gt;y1_sl))*A1_sl*(AN53-y1_sl)+(aeL_sl-(AN53&gt;y2_sl))*A2_sl*(AN53-y2_sl)</f>
        <v/>
      </c>
      <c r="AR53">
        <f>bw_sl*(AN53*yc_sl*AO53-(AN53+yc_sl)*AO53^2/2+AO53^3/3)+ov_sl*((AN53-af_sl)*(yc_sl-af_sl)*AP53-(AN53+yc_sl-2*af_sl)*AP53^2/2+AP53^3/3)+(aeL_sl-(AN53&gt;y1_sl))*A1_sl*(AN53-y1_sl)*(yc_sl-y1_sl)+(aeL_sl-(AN53&gt;y2_sl))*A2_sl*(AN53-y2_sl)*(yc_sl-y2_sl)</f>
        <v/>
      </c>
      <c r="AS53">
        <f>Nk_sl*1000*AR53-Mk_sl*1E6*AQ53</f>
        <v/>
      </c>
      <c r="AU53">
        <f>IF(BB52&gt;0,AW52,AU52)</f>
        <v/>
      </c>
      <c r="AV53">
        <f>IF(BB52&gt;0,AV52,AW52)</f>
        <v/>
      </c>
      <c r="AW53">
        <f>(AU53+AV53)/2</f>
        <v/>
      </c>
      <c r="AX53">
        <f>MIN(MAX(AW53,0),h_sl)</f>
        <v/>
      </c>
      <c r="AY53">
        <f>MIN(MAX(AW53-af_sl,0),hfe_sl)</f>
        <v/>
      </c>
      <c r="AZ53">
        <f>bw_sl*AX53*(AW53-AX53/2)+ov_sl*AY53*(AW53-af_sl-AY53/2)+(aeS_sl-(AW53&gt;y1_sl))*A1_sl*(AW53-y1_sl)+(aeS_sl-(AW53&gt;y2_sl))*A2_sl*(AW53-y2_sl)</f>
        <v/>
      </c>
      <c r="BA53">
        <f>bw_sl*(AW53*yc_sl*AX53-(AW53+yc_sl)*AX53^2/2+AX53^3/3)+ov_sl*((AW53-af_sl)*(yc_sl-af_sl)*AY53-(AW53+yc_sl-2*af_sl)*AY53^2/2+AY53^3/3)+(aeS_sl-(AW53&gt;y1_sl))*A1_sl*(AW53-y1_sl)*(yc_sl-y1_sl)+(aeS_sl-(AW53&gt;y2_sl))*A2_sl*(AW53-y2_sl)*(yc_sl-y2_sl)</f>
        <v/>
      </c>
      <c r="BB53">
        <f>Nqp_sl*1000*BA53-Mqp_sl*1E6*AZ53</f>
        <v/>
      </c>
      <c r="BD53">
        <f>IF(BK52&gt;0,BF52,BD52)</f>
        <v/>
      </c>
      <c r="BE53">
        <f>IF(BK52&gt;0,BE52,BF52)</f>
        <v/>
      </c>
      <c r="BF53">
        <f>(BD53+BE53)/2</f>
        <v/>
      </c>
      <c r="BG53">
        <f>MIN(MAX(BF53,0),h_sl)</f>
        <v/>
      </c>
      <c r="BH53">
        <f>MIN(MAX(BF53-af_sl,0),hfe_sl)</f>
        <v/>
      </c>
      <c r="BI53">
        <f>bw_sl*BG53*(BF53-BG53/2)+ov_sl*BH53*(BF53-af_sl-BH53/2)+(aeL_sl-(BF53&gt;y1_sl))*A1_sl*(BF53-y1_sl)+(aeL_sl-(BF53&gt;y2_sl))*A2_sl*(BF53-y2_sl)</f>
        <v/>
      </c>
      <c r="BJ53">
        <f>bw_sl*(BF53*yc_sl*BG53-(BF53+yc_sl)*BG53^2/2+BG53^3/3)+ov_sl*((BF53-af_sl)*(yc_sl-af_sl)*BH53-(BF53+yc_sl-2*af_sl)*BH53^2/2+BH53^3/3)+(aeL_sl-(BF53&gt;y1_sl))*A1_sl*(BF53-y1_sl)*(yc_sl-y1_sl)+(aeL_sl-(BF53&gt;y2_sl))*A2_sl*(BF53-y2_sl)*(yc_sl-y2_sl)</f>
        <v/>
      </c>
      <c r="BK53">
        <f>Nqp_sl*1000*BJ53-Mqp_sl*1E6*BI53</f>
        <v/>
      </c>
      <c r="BM53">
        <f>IF(BT52&gt;0,BO52,BM52)</f>
        <v/>
      </c>
      <c r="BN53">
        <f>IF(BT52&gt;0,BN52,BO52)</f>
        <v/>
      </c>
      <c r="BO53">
        <f>(BM53+BN53)/2</f>
        <v/>
      </c>
      <c r="BP53">
        <f>MIN(MAX(BO53,0),h_sl)</f>
        <v/>
      </c>
      <c r="BQ53">
        <f>MIN(MAX(BO53-af_sl,0),hfe_sl)</f>
        <v/>
      </c>
      <c r="BR53">
        <f>bw_sl*BP53*(BO53-BP53/2)+ov_sl*BQ53*(BO53-af_sl-BQ53/2)+(aeS_sl-(BO53&gt;y1_sl))*A1_sl*(BO53-y1_sl)+(aeS_sl-(BO53&gt;y2_sl))*A2_sl*(BO53-y2_sl)</f>
        <v/>
      </c>
      <c r="BS53">
        <f>bw_sl*(BO53*yc_sl*BP53-(BO53+yc_sl)*BP53^2/2+BP53^3/3)+ov_sl*((BO53-af_sl)*(yc_sl-af_sl)*BQ53-(BO53+yc_sl-2*af_sl)*BQ53^2/2+BQ53^3/3)+(aeS_sl-(BO53&gt;y1_sl))*A1_sl*(BO53-y1_sl)*(yc_sl-y1_sl)+(aeS_sl-(BO53&gt;y2_sl))*A2_sl*(BO53-y2_sl)*(yc_sl-y2_sl)</f>
        <v/>
      </c>
      <c r="BT53">
        <f>dN_sl*1000*BS53-dM_sl*1E6*BR53</f>
        <v/>
      </c>
      <c r="BV53">
        <f>IF(CC52&gt;0,BX52,BV52)</f>
        <v/>
      </c>
      <c r="BW53">
        <f>IF(CC52&gt;0,BW52,BX52)</f>
        <v/>
      </c>
      <c r="BX53">
        <f>(BV53+BW53)/2</f>
        <v/>
      </c>
      <c r="BY53">
        <f>MIN(MAX(BX53,0),h_sl)</f>
        <v/>
      </c>
      <c r="BZ53">
        <f>MIN(MAX(BX53-af_sl,0),hfe_sl)</f>
        <v/>
      </c>
      <c r="CA53">
        <f>bw_sl*BY53*(BX53-BY53/2)+ov_sl*BZ53*(BX53-af_sl-BZ53/2)+(aeM_sl-(BX53&gt;y1_sl))*A1_sl*(BX53-y1_sl)+(aeM_sl-(BX53&gt;y2_sl))*A2_sl*(BX53-y2_sl)</f>
        <v/>
      </c>
      <c r="CB53">
        <f>bw_sl*(BX53*yc_sl*BY53-(BX53+yc_sl)*BY53^2/2+BY53^3/3)+ov_sl*((BX53-af_sl)*(yc_sl-af_sl)*BZ53-(BX53+yc_sl-2*af_sl)*BZ53^2/2+BZ53^3/3)+(aeM_sl-(BX53&gt;y1_sl))*A1_sl*(BX53-y1_sl)*(yc_sl-y1_sl)+(aeM_sl-(BX53&gt;y2_sl))*A2_sl*(BX53-y2_sl)*(yc_sl-y2_sl)</f>
        <v/>
      </c>
      <c r="CC53">
        <f>Nk_sl*1000*CB53-Mk_sl*1E6*CA53</f>
        <v/>
      </c>
    </row>
    <row r="54">
      <c r="B54">
        <f>IF(I53&gt;0,D53,B53)</f>
        <v/>
      </c>
      <c r="C54">
        <f>IF(I53&gt;0,C53,D53)</f>
        <v/>
      </c>
      <c r="D54">
        <f>(B54+C54)/2</f>
        <v/>
      </c>
      <c r="E54">
        <f>MIN(MAX(D54,0),h_sl)</f>
        <v/>
      </c>
      <c r="F54">
        <f>MIN(MAX(D54-af_sl,0),hfe_sl)</f>
        <v/>
      </c>
      <c r="G54">
        <f>bw_sl*E54*(D54-E54/2)+ov_sl*F54*(D54-af_sl-F54/2)+(aeS_sl-(D54&gt;y1_sl))*A1_sl*(D54-y1_sl)+(aeS_sl-(D54&gt;y2_sl))*A2_sl*(D54-y2_sl)</f>
        <v/>
      </c>
      <c r="H54">
        <f>bw_sl*(D54*yc_sl*E54-(D54+yc_sl)*E54^2/2+E54^3/3)+ov_sl*((D54-af_sl)*(yc_sl-af_sl)*F54-(D54+yc_sl-2*af_sl)*F54^2/2+F54^3/3)+(aeS_sl-(D54&gt;y1_sl))*A1_sl*(D54-y1_sl)*(yc_sl-y1_sl)+(aeS_sl-(D54&gt;y2_sl))*A2_sl*(D54-y2_sl)*(yc_sl-y2_sl)</f>
        <v/>
      </c>
      <c r="I54">
        <f>-G54</f>
        <v/>
      </c>
      <c r="K54">
        <f>IF(R53&gt;0,M53,K53)</f>
        <v/>
      </c>
      <c r="L54">
        <f>IF(R53&gt;0,L53,M53)</f>
        <v/>
      </c>
      <c r="M54">
        <f>(K54+L54)/2</f>
        <v/>
      </c>
      <c r="N54">
        <f>MIN(MAX(M54,0),h_sl)</f>
        <v/>
      </c>
      <c r="O54">
        <f>MIN(MAX(M54-af_sl,0),hfe_sl)</f>
        <v/>
      </c>
      <c r="P54">
        <f>bw_sl*N54*(M54-N54/2)+ov_sl*O54*(M54-af_sl-O54/2)+(aeL_sl-(M54&gt;y1_sl))*A1_sl*(M54-y1_sl)+(aeL_sl-(M54&gt;y2_sl))*A2_sl*(M54-y2_sl)</f>
        <v/>
      </c>
      <c r="Q54">
        <f>bw_sl*(M54*yc_sl*N54-(M54+yc_sl)*N54^2/2+N54^3/3)+ov_sl*((M54-af_sl)*(yc_sl-af_sl)*O54-(M54+yc_sl-2*af_sl)*O54^2/2+O54^3/3)+(aeL_sl-(M54&gt;y1_sl))*A1_sl*(M54-y1_sl)*(yc_sl-y1_sl)+(aeL_sl-(M54&gt;y2_sl))*A2_sl*(M54-y2_sl)*(yc_sl-y2_sl)</f>
        <v/>
      </c>
      <c r="R54">
        <f>-P54</f>
        <v/>
      </c>
      <c r="T54">
        <f>IF(AA53&gt;0,V53,T53)</f>
        <v/>
      </c>
      <c r="U54">
        <f>IF(AA53&gt;0,U53,V53)</f>
        <v/>
      </c>
      <c r="V54">
        <f>(T54+U54)/2</f>
        <v/>
      </c>
      <c r="W54">
        <f>MIN(MAX(V54,0),h_sl)</f>
        <v/>
      </c>
      <c r="X54">
        <f>MIN(MAX(V54-af_sl,0),hfe_sl)</f>
        <v/>
      </c>
      <c r="Y54">
        <f>bw_sl*W54*(V54-W54/2)+ov_sl*X54*(V54-af_sl-X54/2)+(aeM_sl-(V54&gt;y1_sl))*A1_sl*(V54-y1_sl)+(aeM_sl-(V54&gt;y2_sl))*A2_sl*(V54-y2_sl)</f>
        <v/>
      </c>
      <c r="Z54">
        <f>bw_sl*(V54*yc_sl*W54-(V54+yc_sl)*W54^2/2+W54^3/3)+ov_sl*((V54-af_sl)*(yc_sl-af_sl)*X54-(V54+yc_sl-2*af_sl)*X54^2/2+X54^3/3)+(aeM_sl-(V54&gt;y1_sl))*A1_sl*(V54-y1_sl)*(yc_sl-y1_sl)+(aeM_sl-(V54&gt;y2_sl))*A2_sl*(V54-y2_sl)*(yc_sl-y2_sl)</f>
        <v/>
      </c>
      <c r="AA54">
        <f>-Y54</f>
        <v/>
      </c>
      <c r="AC54">
        <f>IF(AJ53&gt;0,AE53,AC53)</f>
        <v/>
      </c>
      <c r="AD54">
        <f>IF(AJ53&gt;0,AD53,AE53)</f>
        <v/>
      </c>
      <c r="AE54">
        <f>(AC54+AD54)/2</f>
        <v/>
      </c>
      <c r="AF54">
        <f>MIN(MAX(AE54,0),h_sl)</f>
        <v/>
      </c>
      <c r="AG54">
        <f>MIN(MAX(AE54-af_sl,0),hfe_sl)</f>
        <v/>
      </c>
      <c r="AH54">
        <f>bw_sl*AF54*(AE54-AF54/2)+ov_sl*AG54*(AE54-af_sl-AG54/2)+(aeS_sl-(AE54&gt;y1_sl))*A1_sl*(AE54-y1_sl)+(aeS_sl-(AE54&gt;y2_sl))*A2_sl*(AE54-y2_sl)</f>
        <v/>
      </c>
      <c r="AI54">
        <f>bw_sl*(AE54*yc_sl*AF54-(AE54+yc_sl)*AF54^2/2+AF54^3/3)+ov_sl*((AE54-af_sl)*(yc_sl-af_sl)*AG54-(AE54+yc_sl-2*af_sl)*AG54^2/2+AG54^3/3)+(aeS_sl-(AE54&gt;y1_sl))*A1_sl*(AE54-y1_sl)*(yc_sl-y1_sl)+(aeS_sl-(AE54&gt;y2_sl))*A2_sl*(AE54-y2_sl)*(yc_sl-y2_sl)</f>
        <v/>
      </c>
      <c r="AJ54">
        <f>Nk_sl*1000*AI54-Mk_sl*1E6*AH54</f>
        <v/>
      </c>
      <c r="AL54">
        <f>IF(AS53&gt;0,AN53,AL53)</f>
        <v/>
      </c>
      <c r="AM54">
        <f>IF(AS53&gt;0,AM53,AN53)</f>
        <v/>
      </c>
      <c r="AN54">
        <f>(AL54+AM54)/2</f>
        <v/>
      </c>
      <c r="AO54">
        <f>MIN(MAX(AN54,0),h_sl)</f>
        <v/>
      </c>
      <c r="AP54">
        <f>MIN(MAX(AN54-af_sl,0),hfe_sl)</f>
        <v/>
      </c>
      <c r="AQ54">
        <f>bw_sl*AO54*(AN54-AO54/2)+ov_sl*AP54*(AN54-af_sl-AP54/2)+(aeL_sl-(AN54&gt;y1_sl))*A1_sl*(AN54-y1_sl)+(aeL_sl-(AN54&gt;y2_sl))*A2_sl*(AN54-y2_sl)</f>
        <v/>
      </c>
      <c r="AR54">
        <f>bw_sl*(AN54*yc_sl*AO54-(AN54+yc_sl)*AO54^2/2+AO54^3/3)+ov_sl*((AN54-af_sl)*(yc_sl-af_sl)*AP54-(AN54+yc_sl-2*af_sl)*AP54^2/2+AP54^3/3)+(aeL_sl-(AN54&gt;y1_sl))*A1_sl*(AN54-y1_sl)*(yc_sl-y1_sl)+(aeL_sl-(AN54&gt;y2_sl))*A2_sl*(AN54-y2_sl)*(yc_sl-y2_sl)</f>
        <v/>
      </c>
      <c r="AS54">
        <f>Nk_sl*1000*AR54-Mk_sl*1E6*AQ54</f>
        <v/>
      </c>
      <c r="AU54">
        <f>IF(BB53&gt;0,AW53,AU53)</f>
        <v/>
      </c>
      <c r="AV54">
        <f>IF(BB53&gt;0,AV53,AW53)</f>
        <v/>
      </c>
      <c r="AW54">
        <f>(AU54+AV54)/2</f>
        <v/>
      </c>
      <c r="AX54">
        <f>MIN(MAX(AW54,0),h_sl)</f>
        <v/>
      </c>
      <c r="AY54">
        <f>MIN(MAX(AW54-af_sl,0),hfe_sl)</f>
        <v/>
      </c>
      <c r="AZ54">
        <f>bw_sl*AX54*(AW54-AX54/2)+ov_sl*AY54*(AW54-af_sl-AY54/2)+(aeS_sl-(AW54&gt;y1_sl))*A1_sl*(AW54-y1_sl)+(aeS_sl-(AW54&gt;y2_sl))*A2_sl*(AW54-y2_sl)</f>
        <v/>
      </c>
      <c r="BA54">
        <f>bw_sl*(AW54*yc_sl*AX54-(AW54+yc_sl)*AX54^2/2+AX54^3/3)+ov_sl*((AW54-af_sl)*(yc_sl-af_sl)*AY54-(AW54+yc_sl-2*af_sl)*AY54^2/2+AY54^3/3)+(aeS_sl-(AW54&gt;y1_sl))*A1_sl*(AW54-y1_sl)*(yc_sl-y1_sl)+(aeS_sl-(AW54&gt;y2_sl))*A2_sl*(AW54-y2_sl)*(yc_sl-y2_sl)</f>
        <v/>
      </c>
      <c r="BB54">
        <f>Nqp_sl*1000*BA54-Mqp_sl*1E6*AZ54</f>
        <v/>
      </c>
      <c r="BD54">
        <f>IF(BK53&gt;0,BF53,BD53)</f>
        <v/>
      </c>
      <c r="BE54">
        <f>IF(BK53&gt;0,BE53,BF53)</f>
        <v/>
      </c>
      <c r="BF54">
        <f>(BD54+BE54)/2</f>
        <v/>
      </c>
      <c r="BG54">
        <f>MIN(MAX(BF54,0),h_sl)</f>
        <v/>
      </c>
      <c r="BH54">
        <f>MIN(MAX(BF54-af_sl,0),hfe_sl)</f>
        <v/>
      </c>
      <c r="BI54">
        <f>bw_sl*BG54*(BF54-BG54/2)+ov_sl*BH54*(BF54-af_sl-BH54/2)+(aeL_sl-(BF54&gt;y1_sl))*A1_sl*(BF54-y1_sl)+(aeL_sl-(BF54&gt;y2_sl))*A2_sl*(BF54-y2_sl)</f>
        <v/>
      </c>
      <c r="BJ54">
        <f>bw_sl*(BF54*yc_sl*BG54-(BF54+yc_sl)*BG54^2/2+BG54^3/3)+ov_sl*((BF54-af_sl)*(yc_sl-af_sl)*BH54-(BF54+yc_sl-2*af_sl)*BH54^2/2+BH54^3/3)+(aeL_sl-(BF54&gt;y1_sl))*A1_sl*(BF54-y1_sl)*(yc_sl-y1_sl)+(aeL_sl-(BF54&gt;y2_sl))*A2_sl*(BF54-y2_sl)*(yc_sl-y2_sl)</f>
        <v/>
      </c>
      <c r="BK54">
        <f>Nqp_sl*1000*BJ54-Mqp_sl*1E6*BI54</f>
        <v/>
      </c>
      <c r="BM54">
        <f>IF(BT53&gt;0,BO53,BM53)</f>
        <v/>
      </c>
      <c r="BN54">
        <f>IF(BT53&gt;0,BN53,BO53)</f>
        <v/>
      </c>
      <c r="BO54">
        <f>(BM54+BN54)/2</f>
        <v/>
      </c>
      <c r="BP54">
        <f>MIN(MAX(BO54,0),h_sl)</f>
        <v/>
      </c>
      <c r="BQ54">
        <f>MIN(MAX(BO54-af_sl,0),hfe_sl)</f>
        <v/>
      </c>
      <c r="BR54">
        <f>bw_sl*BP54*(BO54-BP54/2)+ov_sl*BQ54*(BO54-af_sl-BQ54/2)+(aeS_sl-(BO54&gt;y1_sl))*A1_sl*(BO54-y1_sl)+(aeS_sl-(BO54&gt;y2_sl))*A2_sl*(BO54-y2_sl)</f>
        <v/>
      </c>
      <c r="BS54">
        <f>bw_sl*(BO54*yc_sl*BP54-(BO54+yc_sl)*BP54^2/2+BP54^3/3)+ov_sl*((BO54-af_sl)*(yc_sl-af_sl)*BQ54-(BO54+yc_sl-2*af_sl)*BQ54^2/2+BQ54^3/3)+(aeS_sl-(BO54&gt;y1_sl))*A1_sl*(BO54-y1_sl)*(yc_sl-y1_sl)+(aeS_sl-(BO54&gt;y2_sl))*A2_sl*(BO54-y2_sl)*(yc_sl-y2_sl)</f>
        <v/>
      </c>
      <c r="BT54">
        <f>dN_sl*1000*BS54-dM_sl*1E6*BR54</f>
        <v/>
      </c>
      <c r="BV54">
        <f>IF(CC53&gt;0,BX53,BV53)</f>
        <v/>
      </c>
      <c r="BW54">
        <f>IF(CC53&gt;0,BW53,BX53)</f>
        <v/>
      </c>
      <c r="BX54">
        <f>(BV54+BW54)/2</f>
        <v/>
      </c>
      <c r="BY54">
        <f>MIN(MAX(BX54,0),h_sl)</f>
        <v/>
      </c>
      <c r="BZ54">
        <f>MIN(MAX(BX54-af_sl,0),hfe_sl)</f>
        <v/>
      </c>
      <c r="CA54">
        <f>bw_sl*BY54*(BX54-BY54/2)+ov_sl*BZ54*(BX54-af_sl-BZ54/2)+(aeM_sl-(BX54&gt;y1_sl))*A1_sl*(BX54-y1_sl)+(aeM_sl-(BX54&gt;y2_sl))*A2_sl*(BX54-y2_sl)</f>
        <v/>
      </c>
      <c r="CB54">
        <f>bw_sl*(BX54*yc_sl*BY54-(BX54+yc_sl)*BY54^2/2+BY54^3/3)+ov_sl*((BX54-af_sl)*(yc_sl-af_sl)*BZ54-(BX54+yc_sl-2*af_sl)*BZ54^2/2+BZ54^3/3)+(aeM_sl-(BX54&gt;y1_sl))*A1_sl*(BX54-y1_sl)*(yc_sl-y1_sl)+(aeM_sl-(BX54&gt;y2_sl))*A2_sl*(BX54-y2_sl)*(yc_sl-y2_sl)</f>
        <v/>
      </c>
      <c r="CC54">
        <f>Nk_sl*1000*CB54-Mk_sl*1E6*CA54</f>
        <v/>
      </c>
    </row>
    <row r="55">
      <c r="B55">
        <f>IF(I54&gt;0,D54,B54)</f>
        <v/>
      </c>
      <c r="C55">
        <f>IF(I54&gt;0,C54,D54)</f>
        <v/>
      </c>
      <c r="D55">
        <f>(B55+C55)/2</f>
        <v/>
      </c>
      <c r="E55">
        <f>MIN(MAX(D55,0),h_sl)</f>
        <v/>
      </c>
      <c r="F55">
        <f>MIN(MAX(D55-af_sl,0),hfe_sl)</f>
        <v/>
      </c>
      <c r="G55">
        <f>bw_sl*E55*(D55-E55/2)+ov_sl*F55*(D55-af_sl-F55/2)+(aeS_sl-(D55&gt;y1_sl))*A1_sl*(D55-y1_sl)+(aeS_sl-(D55&gt;y2_sl))*A2_sl*(D55-y2_sl)</f>
        <v/>
      </c>
      <c r="H55">
        <f>bw_sl*(D55*yc_sl*E55-(D55+yc_sl)*E55^2/2+E55^3/3)+ov_sl*((D55-af_sl)*(yc_sl-af_sl)*F55-(D55+yc_sl-2*af_sl)*F55^2/2+F55^3/3)+(aeS_sl-(D55&gt;y1_sl))*A1_sl*(D55-y1_sl)*(yc_sl-y1_sl)+(aeS_sl-(D55&gt;y2_sl))*A2_sl*(D55-y2_sl)*(yc_sl-y2_sl)</f>
        <v/>
      </c>
      <c r="I55">
        <f>-G55</f>
        <v/>
      </c>
      <c r="K55">
        <f>IF(R54&gt;0,M54,K54)</f>
        <v/>
      </c>
      <c r="L55">
        <f>IF(R54&gt;0,L54,M54)</f>
        <v/>
      </c>
      <c r="M55">
        <f>(K55+L55)/2</f>
        <v/>
      </c>
      <c r="N55">
        <f>MIN(MAX(M55,0),h_sl)</f>
        <v/>
      </c>
      <c r="O55">
        <f>MIN(MAX(M55-af_sl,0),hfe_sl)</f>
        <v/>
      </c>
      <c r="P55">
        <f>bw_sl*N55*(M55-N55/2)+ov_sl*O55*(M55-af_sl-O55/2)+(aeL_sl-(M55&gt;y1_sl))*A1_sl*(M55-y1_sl)+(aeL_sl-(M55&gt;y2_sl))*A2_sl*(M55-y2_sl)</f>
        <v/>
      </c>
      <c r="Q55">
        <f>bw_sl*(M55*yc_sl*N55-(M55+yc_sl)*N55^2/2+N55^3/3)+ov_sl*((M55-af_sl)*(yc_sl-af_sl)*O55-(M55+yc_sl-2*af_sl)*O55^2/2+O55^3/3)+(aeL_sl-(M55&gt;y1_sl))*A1_sl*(M55-y1_sl)*(yc_sl-y1_sl)+(aeL_sl-(M55&gt;y2_sl))*A2_sl*(M55-y2_sl)*(yc_sl-y2_sl)</f>
        <v/>
      </c>
      <c r="R55">
        <f>-P55</f>
        <v/>
      </c>
      <c r="T55">
        <f>IF(AA54&gt;0,V54,T54)</f>
        <v/>
      </c>
      <c r="U55">
        <f>IF(AA54&gt;0,U54,V54)</f>
        <v/>
      </c>
      <c r="V55">
        <f>(T55+U55)/2</f>
        <v/>
      </c>
      <c r="W55">
        <f>MIN(MAX(V55,0),h_sl)</f>
        <v/>
      </c>
      <c r="X55">
        <f>MIN(MAX(V55-af_sl,0),hfe_sl)</f>
        <v/>
      </c>
      <c r="Y55">
        <f>bw_sl*W55*(V55-W55/2)+ov_sl*X55*(V55-af_sl-X55/2)+(aeM_sl-(V55&gt;y1_sl))*A1_sl*(V55-y1_sl)+(aeM_sl-(V55&gt;y2_sl))*A2_sl*(V55-y2_sl)</f>
        <v/>
      </c>
      <c r="Z55">
        <f>bw_sl*(V55*yc_sl*W55-(V55+yc_sl)*W55^2/2+W55^3/3)+ov_sl*((V55-af_sl)*(yc_sl-af_sl)*X55-(V55+yc_sl-2*af_sl)*X55^2/2+X55^3/3)+(aeM_sl-(V55&gt;y1_sl))*A1_sl*(V55-y1_sl)*(yc_sl-y1_sl)+(aeM_sl-(V55&gt;y2_sl))*A2_sl*(V55-y2_sl)*(yc_sl-y2_sl)</f>
        <v/>
      </c>
      <c r="AA55">
        <f>-Y55</f>
        <v/>
      </c>
      <c r="AC55">
        <f>IF(AJ54&gt;0,AE54,AC54)</f>
        <v/>
      </c>
      <c r="AD55">
        <f>IF(AJ54&gt;0,AD54,AE54)</f>
        <v/>
      </c>
      <c r="AE55">
        <f>(AC55+AD55)/2</f>
        <v/>
      </c>
      <c r="AF55">
        <f>MIN(MAX(AE55,0),h_sl)</f>
        <v/>
      </c>
      <c r="AG55">
        <f>MIN(MAX(AE55-af_sl,0),hfe_sl)</f>
        <v/>
      </c>
      <c r="AH55">
        <f>bw_sl*AF55*(AE55-AF55/2)+ov_sl*AG55*(AE55-af_sl-AG55/2)+(aeS_sl-(AE55&gt;y1_sl))*A1_sl*(AE55-y1_sl)+(aeS_sl-(AE55&gt;y2_sl))*A2_sl*(AE55-y2_sl)</f>
        <v/>
      </c>
      <c r="AI55">
        <f>bw_sl*(AE55*yc_sl*AF55-(AE55+yc_sl)*AF55^2/2+AF55^3/3)+ov_sl*((AE55-af_sl)*(yc_sl-af_sl)*AG55-(AE55+yc_sl-2*af_sl)*AG55^2/2+AG55^3/3)+(aeS_sl-(AE55&gt;y1_sl))*A1_sl*(AE55-y1_sl)*(yc_sl-y1_sl)+(aeS_sl-(AE55&gt;y2_sl))*A2_sl*(AE55-y2_sl)*(yc_sl-y2_sl)</f>
        <v/>
      </c>
      <c r="AJ55">
        <f>Nk_sl*1000*AI55-Mk_sl*1E6*AH55</f>
        <v/>
      </c>
      <c r="AL55">
        <f>IF(AS54&gt;0,AN54,AL54)</f>
        <v/>
      </c>
      <c r="AM55">
        <f>IF(AS54&gt;0,AM54,AN54)</f>
        <v/>
      </c>
      <c r="AN55">
        <f>(AL55+AM55)/2</f>
        <v/>
      </c>
      <c r="AO55">
        <f>MIN(MAX(AN55,0),h_sl)</f>
        <v/>
      </c>
      <c r="AP55">
        <f>MIN(MAX(AN55-af_sl,0),hfe_sl)</f>
        <v/>
      </c>
      <c r="AQ55">
        <f>bw_sl*AO55*(AN55-AO55/2)+ov_sl*AP55*(AN55-af_sl-AP55/2)+(aeL_sl-(AN55&gt;y1_sl))*A1_sl*(AN55-y1_sl)+(aeL_sl-(AN55&gt;y2_sl))*A2_sl*(AN55-y2_sl)</f>
        <v/>
      </c>
      <c r="AR55">
        <f>bw_sl*(AN55*yc_sl*AO55-(AN55+yc_sl)*AO55^2/2+AO55^3/3)+ov_sl*((AN55-af_sl)*(yc_sl-af_sl)*AP55-(AN55+yc_sl-2*af_sl)*AP55^2/2+AP55^3/3)+(aeL_sl-(AN55&gt;y1_sl))*A1_sl*(AN55-y1_sl)*(yc_sl-y1_sl)+(aeL_sl-(AN55&gt;y2_sl))*A2_sl*(AN55-y2_sl)*(yc_sl-y2_sl)</f>
        <v/>
      </c>
      <c r="AS55">
        <f>Nk_sl*1000*AR55-Mk_sl*1E6*AQ55</f>
        <v/>
      </c>
      <c r="AU55">
        <f>IF(BB54&gt;0,AW54,AU54)</f>
        <v/>
      </c>
      <c r="AV55">
        <f>IF(BB54&gt;0,AV54,AW54)</f>
        <v/>
      </c>
      <c r="AW55">
        <f>(AU55+AV55)/2</f>
        <v/>
      </c>
      <c r="AX55">
        <f>MIN(MAX(AW55,0),h_sl)</f>
        <v/>
      </c>
      <c r="AY55">
        <f>MIN(MAX(AW55-af_sl,0),hfe_sl)</f>
        <v/>
      </c>
      <c r="AZ55">
        <f>bw_sl*AX55*(AW55-AX55/2)+ov_sl*AY55*(AW55-af_sl-AY55/2)+(aeS_sl-(AW55&gt;y1_sl))*A1_sl*(AW55-y1_sl)+(aeS_sl-(AW55&gt;y2_sl))*A2_sl*(AW55-y2_sl)</f>
        <v/>
      </c>
      <c r="BA55">
        <f>bw_sl*(AW55*yc_sl*AX55-(AW55+yc_sl)*AX55^2/2+AX55^3/3)+ov_sl*((AW55-af_sl)*(yc_sl-af_sl)*AY55-(AW55+yc_sl-2*af_sl)*AY55^2/2+AY55^3/3)+(aeS_sl-(AW55&gt;y1_sl))*A1_sl*(AW55-y1_sl)*(yc_sl-y1_sl)+(aeS_sl-(AW55&gt;y2_sl))*A2_sl*(AW55-y2_sl)*(yc_sl-y2_sl)</f>
        <v/>
      </c>
      <c r="BB55">
        <f>Nqp_sl*1000*BA55-Mqp_sl*1E6*AZ55</f>
        <v/>
      </c>
      <c r="BD55">
        <f>IF(BK54&gt;0,BF54,BD54)</f>
        <v/>
      </c>
      <c r="BE55">
        <f>IF(BK54&gt;0,BE54,BF54)</f>
        <v/>
      </c>
      <c r="BF55">
        <f>(BD55+BE55)/2</f>
        <v/>
      </c>
      <c r="BG55">
        <f>MIN(MAX(BF55,0),h_sl)</f>
        <v/>
      </c>
      <c r="BH55">
        <f>MIN(MAX(BF55-af_sl,0),hfe_sl)</f>
        <v/>
      </c>
      <c r="BI55">
        <f>bw_sl*BG55*(BF55-BG55/2)+ov_sl*BH55*(BF55-af_sl-BH55/2)+(aeL_sl-(BF55&gt;y1_sl))*A1_sl*(BF55-y1_sl)+(aeL_sl-(BF55&gt;y2_sl))*A2_sl*(BF55-y2_sl)</f>
        <v/>
      </c>
      <c r="BJ55">
        <f>bw_sl*(BF55*yc_sl*BG55-(BF55+yc_sl)*BG55^2/2+BG55^3/3)+ov_sl*((BF55-af_sl)*(yc_sl-af_sl)*BH55-(BF55+yc_sl-2*af_sl)*BH55^2/2+BH55^3/3)+(aeL_sl-(BF55&gt;y1_sl))*A1_sl*(BF55-y1_sl)*(yc_sl-y1_sl)+(aeL_sl-(BF55&gt;y2_sl))*A2_sl*(BF55-y2_sl)*(yc_sl-y2_sl)</f>
        <v/>
      </c>
      <c r="BK55">
        <f>Nqp_sl*1000*BJ55-Mqp_sl*1E6*BI55</f>
        <v/>
      </c>
      <c r="BM55">
        <f>IF(BT54&gt;0,BO54,BM54)</f>
        <v/>
      </c>
      <c r="BN55">
        <f>IF(BT54&gt;0,BN54,BO54)</f>
        <v/>
      </c>
      <c r="BO55">
        <f>(BM55+BN55)/2</f>
        <v/>
      </c>
      <c r="BP55">
        <f>MIN(MAX(BO55,0),h_sl)</f>
        <v/>
      </c>
      <c r="BQ55">
        <f>MIN(MAX(BO55-af_sl,0),hfe_sl)</f>
        <v/>
      </c>
      <c r="BR55">
        <f>bw_sl*BP55*(BO55-BP55/2)+ov_sl*BQ55*(BO55-af_sl-BQ55/2)+(aeS_sl-(BO55&gt;y1_sl))*A1_sl*(BO55-y1_sl)+(aeS_sl-(BO55&gt;y2_sl))*A2_sl*(BO55-y2_sl)</f>
        <v/>
      </c>
      <c r="BS55">
        <f>bw_sl*(BO55*yc_sl*BP55-(BO55+yc_sl)*BP55^2/2+BP55^3/3)+ov_sl*((BO55-af_sl)*(yc_sl-af_sl)*BQ55-(BO55+yc_sl-2*af_sl)*BQ55^2/2+BQ55^3/3)+(aeS_sl-(BO55&gt;y1_sl))*A1_sl*(BO55-y1_sl)*(yc_sl-y1_sl)+(aeS_sl-(BO55&gt;y2_sl))*A2_sl*(BO55-y2_sl)*(yc_sl-y2_sl)</f>
        <v/>
      </c>
      <c r="BT55">
        <f>dN_sl*1000*BS55-dM_sl*1E6*BR55</f>
        <v/>
      </c>
      <c r="BV55">
        <f>IF(CC54&gt;0,BX54,BV54)</f>
        <v/>
      </c>
      <c r="BW55">
        <f>IF(CC54&gt;0,BW54,BX54)</f>
        <v/>
      </c>
      <c r="BX55">
        <f>(BV55+BW55)/2</f>
        <v/>
      </c>
      <c r="BY55">
        <f>MIN(MAX(BX55,0),h_sl)</f>
        <v/>
      </c>
      <c r="BZ55">
        <f>MIN(MAX(BX55-af_sl,0),hfe_sl)</f>
        <v/>
      </c>
      <c r="CA55">
        <f>bw_sl*BY55*(BX55-BY55/2)+ov_sl*BZ55*(BX55-af_sl-BZ55/2)+(aeM_sl-(BX55&gt;y1_sl))*A1_sl*(BX55-y1_sl)+(aeM_sl-(BX55&gt;y2_sl))*A2_sl*(BX55-y2_sl)</f>
        <v/>
      </c>
      <c r="CB55">
        <f>bw_sl*(BX55*yc_sl*BY55-(BX55+yc_sl)*BY55^2/2+BY55^3/3)+ov_sl*((BX55-af_sl)*(yc_sl-af_sl)*BZ55-(BX55+yc_sl-2*af_sl)*BZ55^2/2+BZ55^3/3)+(aeM_sl-(BX55&gt;y1_sl))*A1_sl*(BX55-y1_sl)*(yc_sl-y1_sl)+(aeM_sl-(BX55&gt;y2_sl))*A2_sl*(BX55-y2_sl)*(yc_sl-y2_sl)</f>
        <v/>
      </c>
      <c r="CC55">
        <f>Nk_sl*1000*CB55-Mk_sl*1E6*CA55</f>
        <v/>
      </c>
    </row>
    <row r="56">
      <c r="B56">
        <f>IF(I55&gt;0,D55,B55)</f>
        <v/>
      </c>
      <c r="C56">
        <f>IF(I55&gt;0,C55,D55)</f>
        <v/>
      </c>
      <c r="D56">
        <f>(B56+C56)/2</f>
        <v/>
      </c>
      <c r="E56">
        <f>MIN(MAX(D56,0),h_sl)</f>
        <v/>
      </c>
      <c r="F56">
        <f>MIN(MAX(D56-af_sl,0),hfe_sl)</f>
        <v/>
      </c>
      <c r="G56">
        <f>bw_sl*E56*(D56-E56/2)+ov_sl*F56*(D56-af_sl-F56/2)+(aeS_sl-(D56&gt;y1_sl))*A1_sl*(D56-y1_sl)+(aeS_sl-(D56&gt;y2_sl))*A2_sl*(D56-y2_sl)</f>
        <v/>
      </c>
      <c r="H56">
        <f>bw_sl*(D56*yc_sl*E56-(D56+yc_sl)*E56^2/2+E56^3/3)+ov_sl*((D56-af_sl)*(yc_sl-af_sl)*F56-(D56+yc_sl-2*af_sl)*F56^2/2+F56^3/3)+(aeS_sl-(D56&gt;y1_sl))*A1_sl*(D56-y1_sl)*(yc_sl-y1_sl)+(aeS_sl-(D56&gt;y2_sl))*A2_sl*(D56-y2_sl)*(yc_sl-y2_sl)</f>
        <v/>
      </c>
      <c r="I56">
        <f>-G56</f>
        <v/>
      </c>
      <c r="K56">
        <f>IF(R55&gt;0,M55,K55)</f>
        <v/>
      </c>
      <c r="L56">
        <f>IF(R55&gt;0,L55,M55)</f>
        <v/>
      </c>
      <c r="M56">
        <f>(K56+L56)/2</f>
        <v/>
      </c>
      <c r="N56">
        <f>MIN(MAX(M56,0),h_sl)</f>
        <v/>
      </c>
      <c r="O56">
        <f>MIN(MAX(M56-af_sl,0),hfe_sl)</f>
        <v/>
      </c>
      <c r="P56">
        <f>bw_sl*N56*(M56-N56/2)+ov_sl*O56*(M56-af_sl-O56/2)+(aeL_sl-(M56&gt;y1_sl))*A1_sl*(M56-y1_sl)+(aeL_sl-(M56&gt;y2_sl))*A2_sl*(M56-y2_sl)</f>
        <v/>
      </c>
      <c r="Q56">
        <f>bw_sl*(M56*yc_sl*N56-(M56+yc_sl)*N56^2/2+N56^3/3)+ov_sl*((M56-af_sl)*(yc_sl-af_sl)*O56-(M56+yc_sl-2*af_sl)*O56^2/2+O56^3/3)+(aeL_sl-(M56&gt;y1_sl))*A1_sl*(M56-y1_sl)*(yc_sl-y1_sl)+(aeL_sl-(M56&gt;y2_sl))*A2_sl*(M56-y2_sl)*(yc_sl-y2_sl)</f>
        <v/>
      </c>
      <c r="R56">
        <f>-P56</f>
        <v/>
      </c>
      <c r="T56">
        <f>IF(AA55&gt;0,V55,T55)</f>
        <v/>
      </c>
      <c r="U56">
        <f>IF(AA55&gt;0,U55,V55)</f>
        <v/>
      </c>
      <c r="V56">
        <f>(T56+U56)/2</f>
        <v/>
      </c>
      <c r="W56">
        <f>MIN(MAX(V56,0),h_sl)</f>
        <v/>
      </c>
      <c r="X56">
        <f>MIN(MAX(V56-af_sl,0),hfe_sl)</f>
        <v/>
      </c>
      <c r="Y56">
        <f>bw_sl*W56*(V56-W56/2)+ov_sl*X56*(V56-af_sl-X56/2)+(aeM_sl-(V56&gt;y1_sl))*A1_sl*(V56-y1_sl)+(aeM_sl-(V56&gt;y2_sl))*A2_sl*(V56-y2_sl)</f>
        <v/>
      </c>
      <c r="Z56">
        <f>bw_sl*(V56*yc_sl*W56-(V56+yc_sl)*W56^2/2+W56^3/3)+ov_sl*((V56-af_sl)*(yc_sl-af_sl)*X56-(V56+yc_sl-2*af_sl)*X56^2/2+X56^3/3)+(aeM_sl-(V56&gt;y1_sl))*A1_sl*(V56-y1_sl)*(yc_sl-y1_sl)+(aeM_sl-(V56&gt;y2_sl))*A2_sl*(V56-y2_sl)*(yc_sl-y2_sl)</f>
        <v/>
      </c>
      <c r="AA56">
        <f>-Y56</f>
        <v/>
      </c>
      <c r="AC56">
        <f>IF(AJ55&gt;0,AE55,AC55)</f>
        <v/>
      </c>
      <c r="AD56">
        <f>IF(AJ55&gt;0,AD55,AE55)</f>
        <v/>
      </c>
      <c r="AE56">
        <f>(AC56+AD56)/2</f>
        <v/>
      </c>
      <c r="AF56">
        <f>MIN(MAX(AE56,0),h_sl)</f>
        <v/>
      </c>
      <c r="AG56">
        <f>MIN(MAX(AE56-af_sl,0),hfe_sl)</f>
        <v/>
      </c>
      <c r="AH56">
        <f>bw_sl*AF56*(AE56-AF56/2)+ov_sl*AG56*(AE56-af_sl-AG56/2)+(aeS_sl-(AE56&gt;y1_sl))*A1_sl*(AE56-y1_sl)+(aeS_sl-(AE56&gt;y2_sl))*A2_sl*(AE56-y2_sl)</f>
        <v/>
      </c>
      <c r="AI56">
        <f>bw_sl*(AE56*yc_sl*AF56-(AE56+yc_sl)*AF56^2/2+AF56^3/3)+ov_sl*((AE56-af_sl)*(yc_sl-af_sl)*AG56-(AE56+yc_sl-2*af_sl)*AG56^2/2+AG56^3/3)+(aeS_sl-(AE56&gt;y1_sl))*A1_sl*(AE56-y1_sl)*(yc_sl-y1_sl)+(aeS_sl-(AE56&gt;y2_sl))*A2_sl*(AE56-y2_sl)*(yc_sl-y2_sl)</f>
        <v/>
      </c>
      <c r="AJ56">
        <f>Nk_sl*1000*AI56-Mk_sl*1E6*AH56</f>
        <v/>
      </c>
      <c r="AL56">
        <f>IF(AS55&gt;0,AN55,AL55)</f>
        <v/>
      </c>
      <c r="AM56">
        <f>IF(AS55&gt;0,AM55,AN55)</f>
        <v/>
      </c>
      <c r="AN56">
        <f>(AL56+AM56)/2</f>
        <v/>
      </c>
      <c r="AO56">
        <f>MIN(MAX(AN56,0),h_sl)</f>
        <v/>
      </c>
      <c r="AP56">
        <f>MIN(MAX(AN56-af_sl,0),hfe_sl)</f>
        <v/>
      </c>
      <c r="AQ56">
        <f>bw_sl*AO56*(AN56-AO56/2)+ov_sl*AP56*(AN56-af_sl-AP56/2)+(aeL_sl-(AN56&gt;y1_sl))*A1_sl*(AN56-y1_sl)+(aeL_sl-(AN56&gt;y2_sl))*A2_sl*(AN56-y2_sl)</f>
        <v/>
      </c>
      <c r="AR56">
        <f>bw_sl*(AN56*yc_sl*AO56-(AN56+yc_sl)*AO56^2/2+AO56^3/3)+ov_sl*((AN56-af_sl)*(yc_sl-af_sl)*AP56-(AN56+yc_sl-2*af_sl)*AP56^2/2+AP56^3/3)+(aeL_sl-(AN56&gt;y1_sl))*A1_sl*(AN56-y1_sl)*(yc_sl-y1_sl)+(aeL_sl-(AN56&gt;y2_sl))*A2_sl*(AN56-y2_sl)*(yc_sl-y2_sl)</f>
        <v/>
      </c>
      <c r="AS56">
        <f>Nk_sl*1000*AR56-Mk_sl*1E6*AQ56</f>
        <v/>
      </c>
      <c r="AU56">
        <f>IF(BB55&gt;0,AW55,AU55)</f>
        <v/>
      </c>
      <c r="AV56">
        <f>IF(BB55&gt;0,AV55,AW55)</f>
        <v/>
      </c>
      <c r="AW56">
        <f>(AU56+AV56)/2</f>
        <v/>
      </c>
      <c r="AX56">
        <f>MIN(MAX(AW56,0),h_sl)</f>
        <v/>
      </c>
      <c r="AY56">
        <f>MIN(MAX(AW56-af_sl,0),hfe_sl)</f>
        <v/>
      </c>
      <c r="AZ56">
        <f>bw_sl*AX56*(AW56-AX56/2)+ov_sl*AY56*(AW56-af_sl-AY56/2)+(aeS_sl-(AW56&gt;y1_sl))*A1_sl*(AW56-y1_sl)+(aeS_sl-(AW56&gt;y2_sl))*A2_sl*(AW56-y2_sl)</f>
        <v/>
      </c>
      <c r="BA56">
        <f>bw_sl*(AW56*yc_sl*AX56-(AW56+yc_sl)*AX56^2/2+AX56^3/3)+ov_sl*((AW56-af_sl)*(yc_sl-af_sl)*AY56-(AW56+yc_sl-2*af_sl)*AY56^2/2+AY56^3/3)+(aeS_sl-(AW56&gt;y1_sl))*A1_sl*(AW56-y1_sl)*(yc_sl-y1_sl)+(aeS_sl-(AW56&gt;y2_sl))*A2_sl*(AW56-y2_sl)*(yc_sl-y2_sl)</f>
        <v/>
      </c>
      <c r="BB56">
        <f>Nqp_sl*1000*BA56-Mqp_sl*1E6*AZ56</f>
        <v/>
      </c>
      <c r="BD56">
        <f>IF(BK55&gt;0,BF55,BD55)</f>
        <v/>
      </c>
      <c r="BE56">
        <f>IF(BK55&gt;0,BE55,BF55)</f>
        <v/>
      </c>
      <c r="BF56">
        <f>(BD56+BE56)/2</f>
        <v/>
      </c>
      <c r="BG56">
        <f>MIN(MAX(BF56,0),h_sl)</f>
        <v/>
      </c>
      <c r="BH56">
        <f>MIN(MAX(BF56-af_sl,0),hfe_sl)</f>
        <v/>
      </c>
      <c r="BI56">
        <f>bw_sl*BG56*(BF56-BG56/2)+ov_sl*BH56*(BF56-af_sl-BH56/2)+(aeL_sl-(BF56&gt;y1_sl))*A1_sl*(BF56-y1_sl)+(aeL_sl-(BF56&gt;y2_sl))*A2_sl*(BF56-y2_sl)</f>
        <v/>
      </c>
      <c r="BJ56">
        <f>bw_sl*(BF56*yc_sl*BG56-(BF56+yc_sl)*BG56^2/2+BG56^3/3)+ov_sl*((BF56-af_sl)*(yc_sl-af_sl)*BH56-(BF56+yc_sl-2*af_sl)*BH56^2/2+BH56^3/3)+(aeL_sl-(BF56&gt;y1_sl))*A1_sl*(BF56-y1_sl)*(yc_sl-y1_sl)+(aeL_sl-(BF56&gt;y2_sl))*A2_sl*(BF56-y2_sl)*(yc_sl-y2_sl)</f>
        <v/>
      </c>
      <c r="BK56">
        <f>Nqp_sl*1000*BJ56-Mqp_sl*1E6*BI56</f>
        <v/>
      </c>
      <c r="BM56">
        <f>IF(BT55&gt;0,BO55,BM55)</f>
        <v/>
      </c>
      <c r="BN56">
        <f>IF(BT55&gt;0,BN55,BO55)</f>
        <v/>
      </c>
      <c r="BO56">
        <f>(BM56+BN56)/2</f>
        <v/>
      </c>
      <c r="BP56">
        <f>MIN(MAX(BO56,0),h_sl)</f>
        <v/>
      </c>
      <c r="BQ56">
        <f>MIN(MAX(BO56-af_sl,0),hfe_sl)</f>
        <v/>
      </c>
      <c r="BR56">
        <f>bw_sl*BP56*(BO56-BP56/2)+ov_sl*BQ56*(BO56-af_sl-BQ56/2)+(aeS_sl-(BO56&gt;y1_sl))*A1_sl*(BO56-y1_sl)+(aeS_sl-(BO56&gt;y2_sl))*A2_sl*(BO56-y2_sl)</f>
        <v/>
      </c>
      <c r="BS56">
        <f>bw_sl*(BO56*yc_sl*BP56-(BO56+yc_sl)*BP56^2/2+BP56^3/3)+ov_sl*((BO56-af_sl)*(yc_sl-af_sl)*BQ56-(BO56+yc_sl-2*af_sl)*BQ56^2/2+BQ56^3/3)+(aeS_sl-(BO56&gt;y1_sl))*A1_sl*(BO56-y1_sl)*(yc_sl-y1_sl)+(aeS_sl-(BO56&gt;y2_sl))*A2_sl*(BO56-y2_sl)*(yc_sl-y2_sl)</f>
        <v/>
      </c>
      <c r="BT56">
        <f>dN_sl*1000*BS56-dM_sl*1E6*BR56</f>
        <v/>
      </c>
      <c r="BV56">
        <f>IF(CC55&gt;0,BX55,BV55)</f>
        <v/>
      </c>
      <c r="BW56">
        <f>IF(CC55&gt;0,BW55,BX55)</f>
        <v/>
      </c>
      <c r="BX56">
        <f>(BV56+BW56)/2</f>
        <v/>
      </c>
      <c r="BY56">
        <f>MIN(MAX(BX56,0),h_sl)</f>
        <v/>
      </c>
      <c r="BZ56">
        <f>MIN(MAX(BX56-af_sl,0),hfe_sl)</f>
        <v/>
      </c>
      <c r="CA56">
        <f>bw_sl*BY56*(BX56-BY56/2)+ov_sl*BZ56*(BX56-af_sl-BZ56/2)+(aeM_sl-(BX56&gt;y1_sl))*A1_sl*(BX56-y1_sl)+(aeM_sl-(BX56&gt;y2_sl))*A2_sl*(BX56-y2_sl)</f>
        <v/>
      </c>
      <c r="CB56">
        <f>bw_sl*(BX56*yc_sl*BY56-(BX56+yc_sl)*BY56^2/2+BY56^3/3)+ov_sl*((BX56-af_sl)*(yc_sl-af_sl)*BZ56-(BX56+yc_sl-2*af_sl)*BZ56^2/2+BZ56^3/3)+(aeM_sl-(BX56&gt;y1_sl))*A1_sl*(BX56-y1_sl)*(yc_sl-y1_sl)+(aeM_sl-(BX56&gt;y2_sl))*A2_sl*(BX56-y2_sl)*(yc_sl-y2_sl)</f>
        <v/>
      </c>
      <c r="CC56">
        <f>Nk_sl*1000*CB56-Mk_sl*1E6*CA56</f>
        <v/>
      </c>
    </row>
    <row r="57">
      <c r="B57">
        <f>IF(I56&gt;0,D56,B56)</f>
        <v/>
      </c>
      <c r="C57">
        <f>IF(I56&gt;0,C56,D56)</f>
        <v/>
      </c>
      <c r="D57">
        <f>(B57+C57)/2</f>
        <v/>
      </c>
      <c r="E57">
        <f>MIN(MAX(D57,0),h_sl)</f>
        <v/>
      </c>
      <c r="F57">
        <f>MIN(MAX(D57-af_sl,0),hfe_sl)</f>
        <v/>
      </c>
      <c r="G57">
        <f>bw_sl*E57*(D57-E57/2)+ov_sl*F57*(D57-af_sl-F57/2)+(aeS_sl-(D57&gt;y1_sl))*A1_sl*(D57-y1_sl)+(aeS_sl-(D57&gt;y2_sl))*A2_sl*(D57-y2_sl)</f>
        <v/>
      </c>
      <c r="H57">
        <f>bw_sl*(D57*yc_sl*E57-(D57+yc_sl)*E57^2/2+E57^3/3)+ov_sl*((D57-af_sl)*(yc_sl-af_sl)*F57-(D57+yc_sl-2*af_sl)*F57^2/2+F57^3/3)+(aeS_sl-(D57&gt;y1_sl))*A1_sl*(D57-y1_sl)*(yc_sl-y1_sl)+(aeS_sl-(D57&gt;y2_sl))*A2_sl*(D57-y2_sl)*(yc_sl-y2_sl)</f>
        <v/>
      </c>
      <c r="I57">
        <f>-G57</f>
        <v/>
      </c>
      <c r="K57">
        <f>IF(R56&gt;0,M56,K56)</f>
        <v/>
      </c>
      <c r="L57">
        <f>IF(R56&gt;0,L56,M56)</f>
        <v/>
      </c>
      <c r="M57">
        <f>(K57+L57)/2</f>
        <v/>
      </c>
      <c r="N57">
        <f>MIN(MAX(M57,0),h_sl)</f>
        <v/>
      </c>
      <c r="O57">
        <f>MIN(MAX(M57-af_sl,0),hfe_sl)</f>
        <v/>
      </c>
      <c r="P57">
        <f>bw_sl*N57*(M57-N57/2)+ov_sl*O57*(M57-af_sl-O57/2)+(aeL_sl-(M57&gt;y1_sl))*A1_sl*(M57-y1_sl)+(aeL_sl-(M57&gt;y2_sl))*A2_sl*(M57-y2_sl)</f>
        <v/>
      </c>
      <c r="Q57">
        <f>bw_sl*(M57*yc_sl*N57-(M57+yc_sl)*N57^2/2+N57^3/3)+ov_sl*((M57-af_sl)*(yc_sl-af_sl)*O57-(M57+yc_sl-2*af_sl)*O57^2/2+O57^3/3)+(aeL_sl-(M57&gt;y1_sl))*A1_sl*(M57-y1_sl)*(yc_sl-y1_sl)+(aeL_sl-(M57&gt;y2_sl))*A2_sl*(M57-y2_sl)*(yc_sl-y2_sl)</f>
        <v/>
      </c>
      <c r="R57">
        <f>-P57</f>
        <v/>
      </c>
      <c r="T57">
        <f>IF(AA56&gt;0,V56,T56)</f>
        <v/>
      </c>
      <c r="U57">
        <f>IF(AA56&gt;0,U56,V56)</f>
        <v/>
      </c>
      <c r="V57">
        <f>(T57+U57)/2</f>
        <v/>
      </c>
      <c r="W57">
        <f>MIN(MAX(V57,0),h_sl)</f>
        <v/>
      </c>
      <c r="X57">
        <f>MIN(MAX(V57-af_sl,0),hfe_sl)</f>
        <v/>
      </c>
      <c r="Y57">
        <f>bw_sl*W57*(V57-W57/2)+ov_sl*X57*(V57-af_sl-X57/2)+(aeM_sl-(V57&gt;y1_sl))*A1_sl*(V57-y1_sl)+(aeM_sl-(V57&gt;y2_sl))*A2_sl*(V57-y2_sl)</f>
        <v/>
      </c>
      <c r="Z57">
        <f>bw_sl*(V57*yc_sl*W57-(V57+yc_sl)*W57^2/2+W57^3/3)+ov_sl*((V57-af_sl)*(yc_sl-af_sl)*X57-(V57+yc_sl-2*af_sl)*X57^2/2+X57^3/3)+(aeM_sl-(V57&gt;y1_sl))*A1_sl*(V57-y1_sl)*(yc_sl-y1_sl)+(aeM_sl-(V57&gt;y2_sl))*A2_sl*(V57-y2_sl)*(yc_sl-y2_sl)</f>
        <v/>
      </c>
      <c r="AA57">
        <f>-Y57</f>
        <v/>
      </c>
      <c r="AC57">
        <f>IF(AJ56&gt;0,AE56,AC56)</f>
        <v/>
      </c>
      <c r="AD57">
        <f>IF(AJ56&gt;0,AD56,AE56)</f>
        <v/>
      </c>
      <c r="AE57">
        <f>(AC57+AD57)/2</f>
        <v/>
      </c>
      <c r="AF57">
        <f>MIN(MAX(AE57,0),h_sl)</f>
        <v/>
      </c>
      <c r="AG57">
        <f>MIN(MAX(AE57-af_sl,0),hfe_sl)</f>
        <v/>
      </c>
      <c r="AH57">
        <f>bw_sl*AF57*(AE57-AF57/2)+ov_sl*AG57*(AE57-af_sl-AG57/2)+(aeS_sl-(AE57&gt;y1_sl))*A1_sl*(AE57-y1_sl)+(aeS_sl-(AE57&gt;y2_sl))*A2_sl*(AE57-y2_sl)</f>
        <v/>
      </c>
      <c r="AI57">
        <f>bw_sl*(AE57*yc_sl*AF57-(AE57+yc_sl)*AF57^2/2+AF57^3/3)+ov_sl*((AE57-af_sl)*(yc_sl-af_sl)*AG57-(AE57+yc_sl-2*af_sl)*AG57^2/2+AG57^3/3)+(aeS_sl-(AE57&gt;y1_sl))*A1_sl*(AE57-y1_sl)*(yc_sl-y1_sl)+(aeS_sl-(AE57&gt;y2_sl))*A2_sl*(AE57-y2_sl)*(yc_sl-y2_sl)</f>
        <v/>
      </c>
      <c r="AJ57">
        <f>Nk_sl*1000*AI57-Mk_sl*1E6*AH57</f>
        <v/>
      </c>
      <c r="AL57">
        <f>IF(AS56&gt;0,AN56,AL56)</f>
        <v/>
      </c>
      <c r="AM57">
        <f>IF(AS56&gt;0,AM56,AN56)</f>
        <v/>
      </c>
      <c r="AN57">
        <f>(AL57+AM57)/2</f>
        <v/>
      </c>
      <c r="AO57">
        <f>MIN(MAX(AN57,0),h_sl)</f>
        <v/>
      </c>
      <c r="AP57">
        <f>MIN(MAX(AN57-af_sl,0),hfe_sl)</f>
        <v/>
      </c>
      <c r="AQ57">
        <f>bw_sl*AO57*(AN57-AO57/2)+ov_sl*AP57*(AN57-af_sl-AP57/2)+(aeL_sl-(AN57&gt;y1_sl))*A1_sl*(AN57-y1_sl)+(aeL_sl-(AN57&gt;y2_sl))*A2_sl*(AN57-y2_sl)</f>
        <v/>
      </c>
      <c r="AR57">
        <f>bw_sl*(AN57*yc_sl*AO57-(AN57+yc_sl)*AO57^2/2+AO57^3/3)+ov_sl*((AN57-af_sl)*(yc_sl-af_sl)*AP57-(AN57+yc_sl-2*af_sl)*AP57^2/2+AP57^3/3)+(aeL_sl-(AN57&gt;y1_sl))*A1_sl*(AN57-y1_sl)*(yc_sl-y1_sl)+(aeL_sl-(AN57&gt;y2_sl))*A2_sl*(AN57-y2_sl)*(yc_sl-y2_sl)</f>
        <v/>
      </c>
      <c r="AS57">
        <f>Nk_sl*1000*AR57-Mk_sl*1E6*AQ57</f>
        <v/>
      </c>
      <c r="AU57">
        <f>IF(BB56&gt;0,AW56,AU56)</f>
        <v/>
      </c>
      <c r="AV57">
        <f>IF(BB56&gt;0,AV56,AW56)</f>
        <v/>
      </c>
      <c r="AW57">
        <f>(AU57+AV57)/2</f>
        <v/>
      </c>
      <c r="AX57">
        <f>MIN(MAX(AW57,0),h_sl)</f>
        <v/>
      </c>
      <c r="AY57">
        <f>MIN(MAX(AW57-af_sl,0),hfe_sl)</f>
        <v/>
      </c>
      <c r="AZ57">
        <f>bw_sl*AX57*(AW57-AX57/2)+ov_sl*AY57*(AW57-af_sl-AY57/2)+(aeS_sl-(AW57&gt;y1_sl))*A1_sl*(AW57-y1_sl)+(aeS_sl-(AW57&gt;y2_sl))*A2_sl*(AW57-y2_sl)</f>
        <v/>
      </c>
      <c r="BA57">
        <f>bw_sl*(AW57*yc_sl*AX57-(AW57+yc_sl)*AX57^2/2+AX57^3/3)+ov_sl*((AW57-af_sl)*(yc_sl-af_sl)*AY57-(AW57+yc_sl-2*af_sl)*AY57^2/2+AY57^3/3)+(aeS_sl-(AW57&gt;y1_sl))*A1_sl*(AW57-y1_sl)*(yc_sl-y1_sl)+(aeS_sl-(AW57&gt;y2_sl))*A2_sl*(AW57-y2_sl)*(yc_sl-y2_sl)</f>
        <v/>
      </c>
      <c r="BB57">
        <f>Nqp_sl*1000*BA57-Mqp_sl*1E6*AZ57</f>
        <v/>
      </c>
      <c r="BD57">
        <f>IF(BK56&gt;0,BF56,BD56)</f>
        <v/>
      </c>
      <c r="BE57">
        <f>IF(BK56&gt;0,BE56,BF56)</f>
        <v/>
      </c>
      <c r="BF57">
        <f>(BD57+BE57)/2</f>
        <v/>
      </c>
      <c r="BG57">
        <f>MIN(MAX(BF57,0),h_sl)</f>
        <v/>
      </c>
      <c r="BH57">
        <f>MIN(MAX(BF57-af_sl,0),hfe_sl)</f>
        <v/>
      </c>
      <c r="BI57">
        <f>bw_sl*BG57*(BF57-BG57/2)+ov_sl*BH57*(BF57-af_sl-BH57/2)+(aeL_sl-(BF57&gt;y1_sl))*A1_sl*(BF57-y1_sl)+(aeL_sl-(BF57&gt;y2_sl))*A2_sl*(BF57-y2_sl)</f>
        <v/>
      </c>
      <c r="BJ57">
        <f>bw_sl*(BF57*yc_sl*BG57-(BF57+yc_sl)*BG57^2/2+BG57^3/3)+ov_sl*((BF57-af_sl)*(yc_sl-af_sl)*BH57-(BF57+yc_sl-2*af_sl)*BH57^2/2+BH57^3/3)+(aeL_sl-(BF57&gt;y1_sl))*A1_sl*(BF57-y1_sl)*(yc_sl-y1_sl)+(aeL_sl-(BF57&gt;y2_sl))*A2_sl*(BF57-y2_sl)*(yc_sl-y2_sl)</f>
        <v/>
      </c>
      <c r="BK57">
        <f>Nqp_sl*1000*BJ57-Mqp_sl*1E6*BI57</f>
        <v/>
      </c>
      <c r="BM57">
        <f>IF(BT56&gt;0,BO56,BM56)</f>
        <v/>
      </c>
      <c r="BN57">
        <f>IF(BT56&gt;0,BN56,BO56)</f>
        <v/>
      </c>
      <c r="BO57">
        <f>(BM57+BN57)/2</f>
        <v/>
      </c>
      <c r="BP57">
        <f>MIN(MAX(BO57,0),h_sl)</f>
        <v/>
      </c>
      <c r="BQ57">
        <f>MIN(MAX(BO57-af_sl,0),hfe_sl)</f>
        <v/>
      </c>
      <c r="BR57">
        <f>bw_sl*BP57*(BO57-BP57/2)+ov_sl*BQ57*(BO57-af_sl-BQ57/2)+(aeS_sl-(BO57&gt;y1_sl))*A1_sl*(BO57-y1_sl)+(aeS_sl-(BO57&gt;y2_sl))*A2_sl*(BO57-y2_sl)</f>
        <v/>
      </c>
      <c r="BS57">
        <f>bw_sl*(BO57*yc_sl*BP57-(BO57+yc_sl)*BP57^2/2+BP57^3/3)+ov_sl*((BO57-af_sl)*(yc_sl-af_sl)*BQ57-(BO57+yc_sl-2*af_sl)*BQ57^2/2+BQ57^3/3)+(aeS_sl-(BO57&gt;y1_sl))*A1_sl*(BO57-y1_sl)*(yc_sl-y1_sl)+(aeS_sl-(BO57&gt;y2_sl))*A2_sl*(BO57-y2_sl)*(yc_sl-y2_sl)</f>
        <v/>
      </c>
      <c r="BT57">
        <f>dN_sl*1000*BS57-dM_sl*1E6*BR57</f>
        <v/>
      </c>
      <c r="BV57">
        <f>IF(CC56&gt;0,BX56,BV56)</f>
        <v/>
      </c>
      <c r="BW57">
        <f>IF(CC56&gt;0,BW56,BX56)</f>
        <v/>
      </c>
      <c r="BX57">
        <f>(BV57+BW57)/2</f>
        <v/>
      </c>
      <c r="BY57">
        <f>MIN(MAX(BX57,0),h_sl)</f>
        <v/>
      </c>
      <c r="BZ57">
        <f>MIN(MAX(BX57-af_sl,0),hfe_sl)</f>
        <v/>
      </c>
      <c r="CA57">
        <f>bw_sl*BY57*(BX57-BY57/2)+ov_sl*BZ57*(BX57-af_sl-BZ57/2)+(aeM_sl-(BX57&gt;y1_sl))*A1_sl*(BX57-y1_sl)+(aeM_sl-(BX57&gt;y2_sl))*A2_sl*(BX57-y2_sl)</f>
        <v/>
      </c>
      <c r="CB57">
        <f>bw_sl*(BX57*yc_sl*BY57-(BX57+yc_sl)*BY57^2/2+BY57^3/3)+ov_sl*((BX57-af_sl)*(yc_sl-af_sl)*BZ57-(BX57+yc_sl-2*af_sl)*BZ57^2/2+BZ57^3/3)+(aeM_sl-(BX57&gt;y1_sl))*A1_sl*(BX57-y1_sl)*(yc_sl-y1_sl)+(aeM_sl-(BX57&gt;y2_sl))*A2_sl*(BX57-y2_sl)*(yc_sl-y2_sl)</f>
        <v/>
      </c>
      <c r="CC57">
        <f>Nk_sl*1000*CB57-Mk_sl*1E6*CA57</f>
        <v/>
      </c>
    </row>
    <row r="58">
      <c r="B58">
        <f>IF(I57&gt;0,D57,B57)</f>
        <v/>
      </c>
      <c r="C58">
        <f>IF(I57&gt;0,C57,D57)</f>
        <v/>
      </c>
      <c r="D58">
        <f>(B58+C58)/2</f>
        <v/>
      </c>
      <c r="E58">
        <f>MIN(MAX(D58,0),h_sl)</f>
        <v/>
      </c>
      <c r="F58">
        <f>MIN(MAX(D58-af_sl,0),hfe_sl)</f>
        <v/>
      </c>
      <c r="G58">
        <f>bw_sl*E58*(D58-E58/2)+ov_sl*F58*(D58-af_sl-F58/2)+(aeS_sl-(D58&gt;y1_sl))*A1_sl*(D58-y1_sl)+(aeS_sl-(D58&gt;y2_sl))*A2_sl*(D58-y2_sl)</f>
        <v/>
      </c>
      <c r="H58">
        <f>bw_sl*(D58*yc_sl*E58-(D58+yc_sl)*E58^2/2+E58^3/3)+ov_sl*((D58-af_sl)*(yc_sl-af_sl)*F58-(D58+yc_sl-2*af_sl)*F58^2/2+F58^3/3)+(aeS_sl-(D58&gt;y1_sl))*A1_sl*(D58-y1_sl)*(yc_sl-y1_sl)+(aeS_sl-(D58&gt;y2_sl))*A2_sl*(D58-y2_sl)*(yc_sl-y2_sl)</f>
        <v/>
      </c>
      <c r="I58">
        <f>-G58</f>
        <v/>
      </c>
      <c r="K58">
        <f>IF(R57&gt;0,M57,K57)</f>
        <v/>
      </c>
      <c r="L58">
        <f>IF(R57&gt;0,L57,M57)</f>
        <v/>
      </c>
      <c r="M58">
        <f>(K58+L58)/2</f>
        <v/>
      </c>
      <c r="N58">
        <f>MIN(MAX(M58,0),h_sl)</f>
        <v/>
      </c>
      <c r="O58">
        <f>MIN(MAX(M58-af_sl,0),hfe_sl)</f>
        <v/>
      </c>
      <c r="P58">
        <f>bw_sl*N58*(M58-N58/2)+ov_sl*O58*(M58-af_sl-O58/2)+(aeL_sl-(M58&gt;y1_sl))*A1_sl*(M58-y1_sl)+(aeL_sl-(M58&gt;y2_sl))*A2_sl*(M58-y2_sl)</f>
        <v/>
      </c>
      <c r="Q58">
        <f>bw_sl*(M58*yc_sl*N58-(M58+yc_sl)*N58^2/2+N58^3/3)+ov_sl*((M58-af_sl)*(yc_sl-af_sl)*O58-(M58+yc_sl-2*af_sl)*O58^2/2+O58^3/3)+(aeL_sl-(M58&gt;y1_sl))*A1_sl*(M58-y1_sl)*(yc_sl-y1_sl)+(aeL_sl-(M58&gt;y2_sl))*A2_sl*(M58-y2_sl)*(yc_sl-y2_sl)</f>
        <v/>
      </c>
      <c r="R58">
        <f>-P58</f>
        <v/>
      </c>
      <c r="T58">
        <f>IF(AA57&gt;0,V57,T57)</f>
        <v/>
      </c>
      <c r="U58">
        <f>IF(AA57&gt;0,U57,V57)</f>
        <v/>
      </c>
      <c r="V58">
        <f>(T58+U58)/2</f>
        <v/>
      </c>
      <c r="W58">
        <f>MIN(MAX(V58,0),h_sl)</f>
        <v/>
      </c>
      <c r="X58">
        <f>MIN(MAX(V58-af_sl,0),hfe_sl)</f>
        <v/>
      </c>
      <c r="Y58">
        <f>bw_sl*W58*(V58-W58/2)+ov_sl*X58*(V58-af_sl-X58/2)+(aeM_sl-(V58&gt;y1_sl))*A1_sl*(V58-y1_sl)+(aeM_sl-(V58&gt;y2_sl))*A2_sl*(V58-y2_sl)</f>
        <v/>
      </c>
      <c r="Z58">
        <f>bw_sl*(V58*yc_sl*W58-(V58+yc_sl)*W58^2/2+W58^3/3)+ov_sl*((V58-af_sl)*(yc_sl-af_sl)*X58-(V58+yc_sl-2*af_sl)*X58^2/2+X58^3/3)+(aeM_sl-(V58&gt;y1_sl))*A1_sl*(V58-y1_sl)*(yc_sl-y1_sl)+(aeM_sl-(V58&gt;y2_sl))*A2_sl*(V58-y2_sl)*(yc_sl-y2_sl)</f>
        <v/>
      </c>
      <c r="AA58">
        <f>-Y58</f>
        <v/>
      </c>
      <c r="AC58">
        <f>IF(AJ57&gt;0,AE57,AC57)</f>
        <v/>
      </c>
      <c r="AD58">
        <f>IF(AJ57&gt;0,AD57,AE57)</f>
        <v/>
      </c>
      <c r="AE58">
        <f>(AC58+AD58)/2</f>
        <v/>
      </c>
      <c r="AF58">
        <f>MIN(MAX(AE58,0),h_sl)</f>
        <v/>
      </c>
      <c r="AG58">
        <f>MIN(MAX(AE58-af_sl,0),hfe_sl)</f>
        <v/>
      </c>
      <c r="AH58">
        <f>bw_sl*AF58*(AE58-AF58/2)+ov_sl*AG58*(AE58-af_sl-AG58/2)+(aeS_sl-(AE58&gt;y1_sl))*A1_sl*(AE58-y1_sl)+(aeS_sl-(AE58&gt;y2_sl))*A2_sl*(AE58-y2_sl)</f>
        <v/>
      </c>
      <c r="AI58">
        <f>bw_sl*(AE58*yc_sl*AF58-(AE58+yc_sl)*AF58^2/2+AF58^3/3)+ov_sl*((AE58-af_sl)*(yc_sl-af_sl)*AG58-(AE58+yc_sl-2*af_sl)*AG58^2/2+AG58^3/3)+(aeS_sl-(AE58&gt;y1_sl))*A1_sl*(AE58-y1_sl)*(yc_sl-y1_sl)+(aeS_sl-(AE58&gt;y2_sl))*A2_sl*(AE58-y2_sl)*(yc_sl-y2_sl)</f>
        <v/>
      </c>
      <c r="AJ58">
        <f>Nk_sl*1000*AI58-Mk_sl*1E6*AH58</f>
        <v/>
      </c>
      <c r="AL58">
        <f>IF(AS57&gt;0,AN57,AL57)</f>
        <v/>
      </c>
      <c r="AM58">
        <f>IF(AS57&gt;0,AM57,AN57)</f>
        <v/>
      </c>
      <c r="AN58">
        <f>(AL58+AM58)/2</f>
        <v/>
      </c>
      <c r="AO58">
        <f>MIN(MAX(AN58,0),h_sl)</f>
        <v/>
      </c>
      <c r="AP58">
        <f>MIN(MAX(AN58-af_sl,0),hfe_sl)</f>
        <v/>
      </c>
      <c r="AQ58">
        <f>bw_sl*AO58*(AN58-AO58/2)+ov_sl*AP58*(AN58-af_sl-AP58/2)+(aeL_sl-(AN58&gt;y1_sl))*A1_sl*(AN58-y1_sl)+(aeL_sl-(AN58&gt;y2_sl))*A2_sl*(AN58-y2_sl)</f>
        <v/>
      </c>
      <c r="AR58">
        <f>bw_sl*(AN58*yc_sl*AO58-(AN58+yc_sl)*AO58^2/2+AO58^3/3)+ov_sl*((AN58-af_sl)*(yc_sl-af_sl)*AP58-(AN58+yc_sl-2*af_sl)*AP58^2/2+AP58^3/3)+(aeL_sl-(AN58&gt;y1_sl))*A1_sl*(AN58-y1_sl)*(yc_sl-y1_sl)+(aeL_sl-(AN58&gt;y2_sl))*A2_sl*(AN58-y2_sl)*(yc_sl-y2_sl)</f>
        <v/>
      </c>
      <c r="AS58">
        <f>Nk_sl*1000*AR58-Mk_sl*1E6*AQ58</f>
        <v/>
      </c>
      <c r="AU58">
        <f>IF(BB57&gt;0,AW57,AU57)</f>
        <v/>
      </c>
      <c r="AV58">
        <f>IF(BB57&gt;0,AV57,AW57)</f>
        <v/>
      </c>
      <c r="AW58">
        <f>(AU58+AV58)/2</f>
        <v/>
      </c>
      <c r="AX58">
        <f>MIN(MAX(AW58,0),h_sl)</f>
        <v/>
      </c>
      <c r="AY58">
        <f>MIN(MAX(AW58-af_sl,0),hfe_sl)</f>
        <v/>
      </c>
      <c r="AZ58">
        <f>bw_sl*AX58*(AW58-AX58/2)+ov_sl*AY58*(AW58-af_sl-AY58/2)+(aeS_sl-(AW58&gt;y1_sl))*A1_sl*(AW58-y1_sl)+(aeS_sl-(AW58&gt;y2_sl))*A2_sl*(AW58-y2_sl)</f>
        <v/>
      </c>
      <c r="BA58">
        <f>bw_sl*(AW58*yc_sl*AX58-(AW58+yc_sl)*AX58^2/2+AX58^3/3)+ov_sl*((AW58-af_sl)*(yc_sl-af_sl)*AY58-(AW58+yc_sl-2*af_sl)*AY58^2/2+AY58^3/3)+(aeS_sl-(AW58&gt;y1_sl))*A1_sl*(AW58-y1_sl)*(yc_sl-y1_sl)+(aeS_sl-(AW58&gt;y2_sl))*A2_sl*(AW58-y2_sl)*(yc_sl-y2_sl)</f>
        <v/>
      </c>
      <c r="BB58">
        <f>Nqp_sl*1000*BA58-Mqp_sl*1E6*AZ58</f>
        <v/>
      </c>
      <c r="BD58">
        <f>IF(BK57&gt;0,BF57,BD57)</f>
        <v/>
      </c>
      <c r="BE58">
        <f>IF(BK57&gt;0,BE57,BF57)</f>
        <v/>
      </c>
      <c r="BF58">
        <f>(BD58+BE58)/2</f>
        <v/>
      </c>
      <c r="BG58">
        <f>MIN(MAX(BF58,0),h_sl)</f>
        <v/>
      </c>
      <c r="BH58">
        <f>MIN(MAX(BF58-af_sl,0),hfe_sl)</f>
        <v/>
      </c>
      <c r="BI58">
        <f>bw_sl*BG58*(BF58-BG58/2)+ov_sl*BH58*(BF58-af_sl-BH58/2)+(aeL_sl-(BF58&gt;y1_sl))*A1_sl*(BF58-y1_sl)+(aeL_sl-(BF58&gt;y2_sl))*A2_sl*(BF58-y2_sl)</f>
        <v/>
      </c>
      <c r="BJ58">
        <f>bw_sl*(BF58*yc_sl*BG58-(BF58+yc_sl)*BG58^2/2+BG58^3/3)+ov_sl*((BF58-af_sl)*(yc_sl-af_sl)*BH58-(BF58+yc_sl-2*af_sl)*BH58^2/2+BH58^3/3)+(aeL_sl-(BF58&gt;y1_sl))*A1_sl*(BF58-y1_sl)*(yc_sl-y1_sl)+(aeL_sl-(BF58&gt;y2_sl))*A2_sl*(BF58-y2_sl)*(yc_sl-y2_sl)</f>
        <v/>
      </c>
      <c r="BK58">
        <f>Nqp_sl*1000*BJ58-Mqp_sl*1E6*BI58</f>
        <v/>
      </c>
      <c r="BM58">
        <f>IF(BT57&gt;0,BO57,BM57)</f>
        <v/>
      </c>
      <c r="BN58">
        <f>IF(BT57&gt;0,BN57,BO57)</f>
        <v/>
      </c>
      <c r="BO58">
        <f>(BM58+BN58)/2</f>
        <v/>
      </c>
      <c r="BP58">
        <f>MIN(MAX(BO58,0),h_sl)</f>
        <v/>
      </c>
      <c r="BQ58">
        <f>MIN(MAX(BO58-af_sl,0),hfe_sl)</f>
        <v/>
      </c>
      <c r="BR58">
        <f>bw_sl*BP58*(BO58-BP58/2)+ov_sl*BQ58*(BO58-af_sl-BQ58/2)+(aeS_sl-(BO58&gt;y1_sl))*A1_sl*(BO58-y1_sl)+(aeS_sl-(BO58&gt;y2_sl))*A2_sl*(BO58-y2_sl)</f>
        <v/>
      </c>
      <c r="BS58">
        <f>bw_sl*(BO58*yc_sl*BP58-(BO58+yc_sl)*BP58^2/2+BP58^3/3)+ov_sl*((BO58-af_sl)*(yc_sl-af_sl)*BQ58-(BO58+yc_sl-2*af_sl)*BQ58^2/2+BQ58^3/3)+(aeS_sl-(BO58&gt;y1_sl))*A1_sl*(BO58-y1_sl)*(yc_sl-y1_sl)+(aeS_sl-(BO58&gt;y2_sl))*A2_sl*(BO58-y2_sl)*(yc_sl-y2_sl)</f>
        <v/>
      </c>
      <c r="BT58">
        <f>dN_sl*1000*BS58-dM_sl*1E6*BR58</f>
        <v/>
      </c>
      <c r="BV58">
        <f>IF(CC57&gt;0,BX57,BV57)</f>
        <v/>
      </c>
      <c r="BW58">
        <f>IF(CC57&gt;0,BW57,BX57)</f>
        <v/>
      </c>
      <c r="BX58">
        <f>(BV58+BW58)/2</f>
        <v/>
      </c>
      <c r="BY58">
        <f>MIN(MAX(BX58,0),h_sl)</f>
        <v/>
      </c>
      <c r="BZ58">
        <f>MIN(MAX(BX58-af_sl,0),hfe_sl)</f>
        <v/>
      </c>
      <c r="CA58">
        <f>bw_sl*BY58*(BX58-BY58/2)+ov_sl*BZ58*(BX58-af_sl-BZ58/2)+(aeM_sl-(BX58&gt;y1_sl))*A1_sl*(BX58-y1_sl)+(aeM_sl-(BX58&gt;y2_sl))*A2_sl*(BX58-y2_sl)</f>
        <v/>
      </c>
      <c r="CB58">
        <f>bw_sl*(BX58*yc_sl*BY58-(BX58+yc_sl)*BY58^2/2+BY58^3/3)+ov_sl*((BX58-af_sl)*(yc_sl-af_sl)*BZ58-(BX58+yc_sl-2*af_sl)*BZ58^2/2+BZ58^3/3)+(aeM_sl-(BX58&gt;y1_sl))*A1_sl*(BX58-y1_sl)*(yc_sl-y1_sl)+(aeM_sl-(BX58&gt;y2_sl))*A2_sl*(BX58-y2_sl)*(yc_sl-y2_sl)</f>
        <v/>
      </c>
      <c r="CC58">
        <f>Nk_sl*1000*CB58-Mk_sl*1E6*CA58</f>
        <v/>
      </c>
    </row>
    <row r="59">
      <c r="B59">
        <f>IF(I58&gt;0,D58,B58)</f>
        <v/>
      </c>
      <c r="C59">
        <f>IF(I58&gt;0,C58,D58)</f>
        <v/>
      </c>
      <c r="D59">
        <f>(B59+C59)/2</f>
        <v/>
      </c>
      <c r="E59">
        <f>MIN(MAX(D59,0),h_sl)</f>
        <v/>
      </c>
      <c r="F59">
        <f>MIN(MAX(D59-af_sl,0),hfe_sl)</f>
        <v/>
      </c>
      <c r="G59">
        <f>bw_sl*E59*(D59-E59/2)+ov_sl*F59*(D59-af_sl-F59/2)+(aeS_sl-(D59&gt;y1_sl))*A1_sl*(D59-y1_sl)+(aeS_sl-(D59&gt;y2_sl))*A2_sl*(D59-y2_sl)</f>
        <v/>
      </c>
      <c r="H59">
        <f>bw_sl*(D59*yc_sl*E59-(D59+yc_sl)*E59^2/2+E59^3/3)+ov_sl*((D59-af_sl)*(yc_sl-af_sl)*F59-(D59+yc_sl-2*af_sl)*F59^2/2+F59^3/3)+(aeS_sl-(D59&gt;y1_sl))*A1_sl*(D59-y1_sl)*(yc_sl-y1_sl)+(aeS_sl-(D59&gt;y2_sl))*A2_sl*(D59-y2_sl)*(yc_sl-y2_sl)</f>
        <v/>
      </c>
      <c r="I59">
        <f>-G59</f>
        <v/>
      </c>
      <c r="K59">
        <f>IF(R58&gt;0,M58,K58)</f>
        <v/>
      </c>
      <c r="L59">
        <f>IF(R58&gt;0,L58,M58)</f>
        <v/>
      </c>
      <c r="M59">
        <f>(K59+L59)/2</f>
        <v/>
      </c>
      <c r="N59">
        <f>MIN(MAX(M59,0),h_sl)</f>
        <v/>
      </c>
      <c r="O59">
        <f>MIN(MAX(M59-af_sl,0),hfe_sl)</f>
        <v/>
      </c>
      <c r="P59">
        <f>bw_sl*N59*(M59-N59/2)+ov_sl*O59*(M59-af_sl-O59/2)+(aeL_sl-(M59&gt;y1_sl))*A1_sl*(M59-y1_sl)+(aeL_sl-(M59&gt;y2_sl))*A2_sl*(M59-y2_sl)</f>
        <v/>
      </c>
      <c r="Q59">
        <f>bw_sl*(M59*yc_sl*N59-(M59+yc_sl)*N59^2/2+N59^3/3)+ov_sl*((M59-af_sl)*(yc_sl-af_sl)*O59-(M59+yc_sl-2*af_sl)*O59^2/2+O59^3/3)+(aeL_sl-(M59&gt;y1_sl))*A1_sl*(M59-y1_sl)*(yc_sl-y1_sl)+(aeL_sl-(M59&gt;y2_sl))*A2_sl*(M59-y2_sl)*(yc_sl-y2_sl)</f>
        <v/>
      </c>
      <c r="R59">
        <f>-P59</f>
        <v/>
      </c>
      <c r="T59">
        <f>IF(AA58&gt;0,V58,T58)</f>
        <v/>
      </c>
      <c r="U59">
        <f>IF(AA58&gt;0,U58,V58)</f>
        <v/>
      </c>
      <c r="V59">
        <f>(T59+U59)/2</f>
        <v/>
      </c>
      <c r="W59">
        <f>MIN(MAX(V59,0),h_sl)</f>
        <v/>
      </c>
      <c r="X59">
        <f>MIN(MAX(V59-af_sl,0),hfe_sl)</f>
        <v/>
      </c>
      <c r="Y59">
        <f>bw_sl*W59*(V59-W59/2)+ov_sl*X59*(V59-af_sl-X59/2)+(aeM_sl-(V59&gt;y1_sl))*A1_sl*(V59-y1_sl)+(aeM_sl-(V59&gt;y2_sl))*A2_sl*(V59-y2_sl)</f>
        <v/>
      </c>
      <c r="Z59">
        <f>bw_sl*(V59*yc_sl*W59-(V59+yc_sl)*W59^2/2+W59^3/3)+ov_sl*((V59-af_sl)*(yc_sl-af_sl)*X59-(V59+yc_sl-2*af_sl)*X59^2/2+X59^3/3)+(aeM_sl-(V59&gt;y1_sl))*A1_sl*(V59-y1_sl)*(yc_sl-y1_sl)+(aeM_sl-(V59&gt;y2_sl))*A2_sl*(V59-y2_sl)*(yc_sl-y2_sl)</f>
        <v/>
      </c>
      <c r="AA59">
        <f>-Y59</f>
        <v/>
      </c>
      <c r="AC59">
        <f>IF(AJ58&gt;0,AE58,AC58)</f>
        <v/>
      </c>
      <c r="AD59">
        <f>IF(AJ58&gt;0,AD58,AE58)</f>
        <v/>
      </c>
      <c r="AE59">
        <f>(AC59+AD59)/2</f>
        <v/>
      </c>
      <c r="AF59">
        <f>MIN(MAX(AE59,0),h_sl)</f>
        <v/>
      </c>
      <c r="AG59">
        <f>MIN(MAX(AE59-af_sl,0),hfe_sl)</f>
        <v/>
      </c>
      <c r="AH59">
        <f>bw_sl*AF59*(AE59-AF59/2)+ov_sl*AG59*(AE59-af_sl-AG59/2)+(aeS_sl-(AE59&gt;y1_sl))*A1_sl*(AE59-y1_sl)+(aeS_sl-(AE59&gt;y2_sl))*A2_sl*(AE59-y2_sl)</f>
        <v/>
      </c>
      <c r="AI59">
        <f>bw_sl*(AE59*yc_sl*AF59-(AE59+yc_sl)*AF59^2/2+AF59^3/3)+ov_sl*((AE59-af_sl)*(yc_sl-af_sl)*AG59-(AE59+yc_sl-2*af_sl)*AG59^2/2+AG59^3/3)+(aeS_sl-(AE59&gt;y1_sl))*A1_sl*(AE59-y1_sl)*(yc_sl-y1_sl)+(aeS_sl-(AE59&gt;y2_sl))*A2_sl*(AE59-y2_sl)*(yc_sl-y2_sl)</f>
        <v/>
      </c>
      <c r="AJ59">
        <f>Nk_sl*1000*AI59-Mk_sl*1E6*AH59</f>
        <v/>
      </c>
      <c r="AL59">
        <f>IF(AS58&gt;0,AN58,AL58)</f>
        <v/>
      </c>
      <c r="AM59">
        <f>IF(AS58&gt;0,AM58,AN58)</f>
        <v/>
      </c>
      <c r="AN59">
        <f>(AL59+AM59)/2</f>
        <v/>
      </c>
      <c r="AO59">
        <f>MIN(MAX(AN59,0),h_sl)</f>
        <v/>
      </c>
      <c r="AP59">
        <f>MIN(MAX(AN59-af_sl,0),hfe_sl)</f>
        <v/>
      </c>
      <c r="AQ59">
        <f>bw_sl*AO59*(AN59-AO59/2)+ov_sl*AP59*(AN59-af_sl-AP59/2)+(aeL_sl-(AN59&gt;y1_sl))*A1_sl*(AN59-y1_sl)+(aeL_sl-(AN59&gt;y2_sl))*A2_sl*(AN59-y2_sl)</f>
        <v/>
      </c>
      <c r="AR59">
        <f>bw_sl*(AN59*yc_sl*AO59-(AN59+yc_sl)*AO59^2/2+AO59^3/3)+ov_sl*((AN59-af_sl)*(yc_sl-af_sl)*AP59-(AN59+yc_sl-2*af_sl)*AP59^2/2+AP59^3/3)+(aeL_sl-(AN59&gt;y1_sl))*A1_sl*(AN59-y1_sl)*(yc_sl-y1_sl)+(aeL_sl-(AN59&gt;y2_sl))*A2_sl*(AN59-y2_sl)*(yc_sl-y2_sl)</f>
        <v/>
      </c>
      <c r="AS59">
        <f>Nk_sl*1000*AR59-Mk_sl*1E6*AQ59</f>
        <v/>
      </c>
      <c r="AU59">
        <f>IF(BB58&gt;0,AW58,AU58)</f>
        <v/>
      </c>
      <c r="AV59">
        <f>IF(BB58&gt;0,AV58,AW58)</f>
        <v/>
      </c>
      <c r="AW59">
        <f>(AU59+AV59)/2</f>
        <v/>
      </c>
      <c r="AX59">
        <f>MIN(MAX(AW59,0),h_sl)</f>
        <v/>
      </c>
      <c r="AY59">
        <f>MIN(MAX(AW59-af_sl,0),hfe_sl)</f>
        <v/>
      </c>
      <c r="AZ59">
        <f>bw_sl*AX59*(AW59-AX59/2)+ov_sl*AY59*(AW59-af_sl-AY59/2)+(aeS_sl-(AW59&gt;y1_sl))*A1_sl*(AW59-y1_sl)+(aeS_sl-(AW59&gt;y2_sl))*A2_sl*(AW59-y2_sl)</f>
        <v/>
      </c>
      <c r="BA59">
        <f>bw_sl*(AW59*yc_sl*AX59-(AW59+yc_sl)*AX59^2/2+AX59^3/3)+ov_sl*((AW59-af_sl)*(yc_sl-af_sl)*AY59-(AW59+yc_sl-2*af_sl)*AY59^2/2+AY59^3/3)+(aeS_sl-(AW59&gt;y1_sl))*A1_sl*(AW59-y1_sl)*(yc_sl-y1_sl)+(aeS_sl-(AW59&gt;y2_sl))*A2_sl*(AW59-y2_sl)*(yc_sl-y2_sl)</f>
        <v/>
      </c>
      <c r="BB59">
        <f>Nqp_sl*1000*BA59-Mqp_sl*1E6*AZ59</f>
        <v/>
      </c>
      <c r="BD59">
        <f>IF(BK58&gt;0,BF58,BD58)</f>
        <v/>
      </c>
      <c r="BE59">
        <f>IF(BK58&gt;0,BE58,BF58)</f>
        <v/>
      </c>
      <c r="BF59">
        <f>(BD59+BE59)/2</f>
        <v/>
      </c>
      <c r="BG59">
        <f>MIN(MAX(BF59,0),h_sl)</f>
        <v/>
      </c>
      <c r="BH59">
        <f>MIN(MAX(BF59-af_sl,0),hfe_sl)</f>
        <v/>
      </c>
      <c r="BI59">
        <f>bw_sl*BG59*(BF59-BG59/2)+ov_sl*BH59*(BF59-af_sl-BH59/2)+(aeL_sl-(BF59&gt;y1_sl))*A1_sl*(BF59-y1_sl)+(aeL_sl-(BF59&gt;y2_sl))*A2_sl*(BF59-y2_sl)</f>
        <v/>
      </c>
      <c r="BJ59">
        <f>bw_sl*(BF59*yc_sl*BG59-(BF59+yc_sl)*BG59^2/2+BG59^3/3)+ov_sl*((BF59-af_sl)*(yc_sl-af_sl)*BH59-(BF59+yc_sl-2*af_sl)*BH59^2/2+BH59^3/3)+(aeL_sl-(BF59&gt;y1_sl))*A1_sl*(BF59-y1_sl)*(yc_sl-y1_sl)+(aeL_sl-(BF59&gt;y2_sl))*A2_sl*(BF59-y2_sl)*(yc_sl-y2_sl)</f>
        <v/>
      </c>
      <c r="BK59">
        <f>Nqp_sl*1000*BJ59-Mqp_sl*1E6*BI59</f>
        <v/>
      </c>
      <c r="BM59">
        <f>IF(BT58&gt;0,BO58,BM58)</f>
        <v/>
      </c>
      <c r="BN59">
        <f>IF(BT58&gt;0,BN58,BO58)</f>
        <v/>
      </c>
      <c r="BO59">
        <f>(BM59+BN59)/2</f>
        <v/>
      </c>
      <c r="BP59">
        <f>MIN(MAX(BO59,0),h_sl)</f>
        <v/>
      </c>
      <c r="BQ59">
        <f>MIN(MAX(BO59-af_sl,0),hfe_sl)</f>
        <v/>
      </c>
      <c r="BR59">
        <f>bw_sl*BP59*(BO59-BP59/2)+ov_sl*BQ59*(BO59-af_sl-BQ59/2)+(aeS_sl-(BO59&gt;y1_sl))*A1_sl*(BO59-y1_sl)+(aeS_sl-(BO59&gt;y2_sl))*A2_sl*(BO59-y2_sl)</f>
        <v/>
      </c>
      <c r="BS59">
        <f>bw_sl*(BO59*yc_sl*BP59-(BO59+yc_sl)*BP59^2/2+BP59^3/3)+ov_sl*((BO59-af_sl)*(yc_sl-af_sl)*BQ59-(BO59+yc_sl-2*af_sl)*BQ59^2/2+BQ59^3/3)+(aeS_sl-(BO59&gt;y1_sl))*A1_sl*(BO59-y1_sl)*(yc_sl-y1_sl)+(aeS_sl-(BO59&gt;y2_sl))*A2_sl*(BO59-y2_sl)*(yc_sl-y2_sl)</f>
        <v/>
      </c>
      <c r="BT59">
        <f>dN_sl*1000*BS59-dM_sl*1E6*BR59</f>
        <v/>
      </c>
      <c r="BV59">
        <f>IF(CC58&gt;0,BX58,BV58)</f>
        <v/>
      </c>
      <c r="BW59">
        <f>IF(CC58&gt;0,BW58,BX58)</f>
        <v/>
      </c>
      <c r="BX59">
        <f>(BV59+BW59)/2</f>
        <v/>
      </c>
      <c r="BY59">
        <f>MIN(MAX(BX59,0),h_sl)</f>
        <v/>
      </c>
      <c r="BZ59">
        <f>MIN(MAX(BX59-af_sl,0),hfe_sl)</f>
        <v/>
      </c>
      <c r="CA59">
        <f>bw_sl*BY59*(BX59-BY59/2)+ov_sl*BZ59*(BX59-af_sl-BZ59/2)+(aeM_sl-(BX59&gt;y1_sl))*A1_sl*(BX59-y1_sl)+(aeM_sl-(BX59&gt;y2_sl))*A2_sl*(BX59-y2_sl)</f>
        <v/>
      </c>
      <c r="CB59">
        <f>bw_sl*(BX59*yc_sl*BY59-(BX59+yc_sl)*BY59^2/2+BY59^3/3)+ov_sl*((BX59-af_sl)*(yc_sl-af_sl)*BZ59-(BX59+yc_sl-2*af_sl)*BZ59^2/2+BZ59^3/3)+(aeM_sl-(BX59&gt;y1_sl))*A1_sl*(BX59-y1_sl)*(yc_sl-y1_sl)+(aeM_sl-(BX59&gt;y2_sl))*A2_sl*(BX59-y2_sl)*(yc_sl-y2_sl)</f>
        <v/>
      </c>
      <c r="CC59">
        <f>Nk_sl*1000*CB59-Mk_sl*1E6*CA59</f>
        <v/>
      </c>
    </row>
    <row r="60">
      <c r="B60">
        <f>IF(I59&gt;0,D59,B59)</f>
        <v/>
      </c>
      <c r="C60">
        <f>IF(I59&gt;0,C59,D59)</f>
        <v/>
      </c>
      <c r="D60">
        <f>(B60+C60)/2</f>
        <v/>
      </c>
      <c r="E60">
        <f>MIN(MAX(D60,0),h_sl)</f>
        <v/>
      </c>
      <c r="F60">
        <f>MIN(MAX(D60-af_sl,0),hfe_sl)</f>
        <v/>
      </c>
      <c r="G60">
        <f>bw_sl*E60*(D60-E60/2)+ov_sl*F60*(D60-af_sl-F60/2)+(aeS_sl-(D60&gt;y1_sl))*A1_sl*(D60-y1_sl)+(aeS_sl-(D60&gt;y2_sl))*A2_sl*(D60-y2_sl)</f>
        <v/>
      </c>
      <c r="H60">
        <f>bw_sl*(D60*yc_sl*E60-(D60+yc_sl)*E60^2/2+E60^3/3)+ov_sl*((D60-af_sl)*(yc_sl-af_sl)*F60-(D60+yc_sl-2*af_sl)*F60^2/2+F60^3/3)+(aeS_sl-(D60&gt;y1_sl))*A1_sl*(D60-y1_sl)*(yc_sl-y1_sl)+(aeS_sl-(D60&gt;y2_sl))*A2_sl*(D60-y2_sl)*(yc_sl-y2_sl)</f>
        <v/>
      </c>
      <c r="I60">
        <f>-G60</f>
        <v/>
      </c>
      <c r="K60">
        <f>IF(R59&gt;0,M59,K59)</f>
        <v/>
      </c>
      <c r="L60">
        <f>IF(R59&gt;0,L59,M59)</f>
        <v/>
      </c>
      <c r="M60">
        <f>(K60+L60)/2</f>
        <v/>
      </c>
      <c r="N60">
        <f>MIN(MAX(M60,0),h_sl)</f>
        <v/>
      </c>
      <c r="O60">
        <f>MIN(MAX(M60-af_sl,0),hfe_sl)</f>
        <v/>
      </c>
      <c r="P60">
        <f>bw_sl*N60*(M60-N60/2)+ov_sl*O60*(M60-af_sl-O60/2)+(aeL_sl-(M60&gt;y1_sl))*A1_sl*(M60-y1_sl)+(aeL_sl-(M60&gt;y2_sl))*A2_sl*(M60-y2_sl)</f>
        <v/>
      </c>
      <c r="Q60">
        <f>bw_sl*(M60*yc_sl*N60-(M60+yc_sl)*N60^2/2+N60^3/3)+ov_sl*((M60-af_sl)*(yc_sl-af_sl)*O60-(M60+yc_sl-2*af_sl)*O60^2/2+O60^3/3)+(aeL_sl-(M60&gt;y1_sl))*A1_sl*(M60-y1_sl)*(yc_sl-y1_sl)+(aeL_sl-(M60&gt;y2_sl))*A2_sl*(M60-y2_sl)*(yc_sl-y2_sl)</f>
        <v/>
      </c>
      <c r="R60">
        <f>-P60</f>
        <v/>
      </c>
      <c r="T60">
        <f>IF(AA59&gt;0,V59,T59)</f>
        <v/>
      </c>
      <c r="U60">
        <f>IF(AA59&gt;0,U59,V59)</f>
        <v/>
      </c>
      <c r="V60">
        <f>(T60+U60)/2</f>
        <v/>
      </c>
      <c r="W60">
        <f>MIN(MAX(V60,0),h_sl)</f>
        <v/>
      </c>
      <c r="X60">
        <f>MIN(MAX(V60-af_sl,0),hfe_sl)</f>
        <v/>
      </c>
      <c r="Y60">
        <f>bw_sl*W60*(V60-W60/2)+ov_sl*X60*(V60-af_sl-X60/2)+(aeM_sl-(V60&gt;y1_sl))*A1_sl*(V60-y1_sl)+(aeM_sl-(V60&gt;y2_sl))*A2_sl*(V60-y2_sl)</f>
        <v/>
      </c>
      <c r="Z60">
        <f>bw_sl*(V60*yc_sl*W60-(V60+yc_sl)*W60^2/2+W60^3/3)+ov_sl*((V60-af_sl)*(yc_sl-af_sl)*X60-(V60+yc_sl-2*af_sl)*X60^2/2+X60^3/3)+(aeM_sl-(V60&gt;y1_sl))*A1_sl*(V60-y1_sl)*(yc_sl-y1_sl)+(aeM_sl-(V60&gt;y2_sl))*A2_sl*(V60-y2_sl)*(yc_sl-y2_sl)</f>
        <v/>
      </c>
      <c r="AA60">
        <f>-Y60</f>
        <v/>
      </c>
      <c r="AC60">
        <f>IF(AJ59&gt;0,AE59,AC59)</f>
        <v/>
      </c>
      <c r="AD60">
        <f>IF(AJ59&gt;0,AD59,AE59)</f>
        <v/>
      </c>
      <c r="AE60">
        <f>(AC60+AD60)/2</f>
        <v/>
      </c>
      <c r="AF60">
        <f>MIN(MAX(AE60,0),h_sl)</f>
        <v/>
      </c>
      <c r="AG60">
        <f>MIN(MAX(AE60-af_sl,0),hfe_sl)</f>
        <v/>
      </c>
      <c r="AH60">
        <f>bw_sl*AF60*(AE60-AF60/2)+ov_sl*AG60*(AE60-af_sl-AG60/2)+(aeS_sl-(AE60&gt;y1_sl))*A1_sl*(AE60-y1_sl)+(aeS_sl-(AE60&gt;y2_sl))*A2_sl*(AE60-y2_sl)</f>
        <v/>
      </c>
      <c r="AI60">
        <f>bw_sl*(AE60*yc_sl*AF60-(AE60+yc_sl)*AF60^2/2+AF60^3/3)+ov_sl*((AE60-af_sl)*(yc_sl-af_sl)*AG60-(AE60+yc_sl-2*af_sl)*AG60^2/2+AG60^3/3)+(aeS_sl-(AE60&gt;y1_sl))*A1_sl*(AE60-y1_sl)*(yc_sl-y1_sl)+(aeS_sl-(AE60&gt;y2_sl))*A2_sl*(AE60-y2_sl)*(yc_sl-y2_sl)</f>
        <v/>
      </c>
      <c r="AJ60">
        <f>Nk_sl*1000*AI60-Mk_sl*1E6*AH60</f>
        <v/>
      </c>
      <c r="AL60">
        <f>IF(AS59&gt;0,AN59,AL59)</f>
        <v/>
      </c>
      <c r="AM60">
        <f>IF(AS59&gt;0,AM59,AN59)</f>
        <v/>
      </c>
      <c r="AN60">
        <f>(AL60+AM60)/2</f>
        <v/>
      </c>
      <c r="AO60">
        <f>MIN(MAX(AN60,0),h_sl)</f>
        <v/>
      </c>
      <c r="AP60">
        <f>MIN(MAX(AN60-af_sl,0),hfe_sl)</f>
        <v/>
      </c>
      <c r="AQ60">
        <f>bw_sl*AO60*(AN60-AO60/2)+ov_sl*AP60*(AN60-af_sl-AP60/2)+(aeL_sl-(AN60&gt;y1_sl))*A1_sl*(AN60-y1_sl)+(aeL_sl-(AN60&gt;y2_sl))*A2_sl*(AN60-y2_sl)</f>
        <v/>
      </c>
      <c r="AR60">
        <f>bw_sl*(AN60*yc_sl*AO60-(AN60+yc_sl)*AO60^2/2+AO60^3/3)+ov_sl*((AN60-af_sl)*(yc_sl-af_sl)*AP60-(AN60+yc_sl-2*af_sl)*AP60^2/2+AP60^3/3)+(aeL_sl-(AN60&gt;y1_sl))*A1_sl*(AN60-y1_sl)*(yc_sl-y1_sl)+(aeL_sl-(AN60&gt;y2_sl))*A2_sl*(AN60-y2_sl)*(yc_sl-y2_sl)</f>
        <v/>
      </c>
      <c r="AS60">
        <f>Nk_sl*1000*AR60-Mk_sl*1E6*AQ60</f>
        <v/>
      </c>
      <c r="AU60">
        <f>IF(BB59&gt;0,AW59,AU59)</f>
        <v/>
      </c>
      <c r="AV60">
        <f>IF(BB59&gt;0,AV59,AW59)</f>
        <v/>
      </c>
      <c r="AW60">
        <f>(AU60+AV60)/2</f>
        <v/>
      </c>
      <c r="AX60">
        <f>MIN(MAX(AW60,0),h_sl)</f>
        <v/>
      </c>
      <c r="AY60">
        <f>MIN(MAX(AW60-af_sl,0),hfe_sl)</f>
        <v/>
      </c>
      <c r="AZ60">
        <f>bw_sl*AX60*(AW60-AX60/2)+ov_sl*AY60*(AW60-af_sl-AY60/2)+(aeS_sl-(AW60&gt;y1_sl))*A1_sl*(AW60-y1_sl)+(aeS_sl-(AW60&gt;y2_sl))*A2_sl*(AW60-y2_sl)</f>
        <v/>
      </c>
      <c r="BA60">
        <f>bw_sl*(AW60*yc_sl*AX60-(AW60+yc_sl)*AX60^2/2+AX60^3/3)+ov_sl*((AW60-af_sl)*(yc_sl-af_sl)*AY60-(AW60+yc_sl-2*af_sl)*AY60^2/2+AY60^3/3)+(aeS_sl-(AW60&gt;y1_sl))*A1_sl*(AW60-y1_sl)*(yc_sl-y1_sl)+(aeS_sl-(AW60&gt;y2_sl))*A2_sl*(AW60-y2_sl)*(yc_sl-y2_sl)</f>
        <v/>
      </c>
      <c r="BB60">
        <f>Nqp_sl*1000*BA60-Mqp_sl*1E6*AZ60</f>
        <v/>
      </c>
      <c r="BD60">
        <f>IF(BK59&gt;0,BF59,BD59)</f>
        <v/>
      </c>
      <c r="BE60">
        <f>IF(BK59&gt;0,BE59,BF59)</f>
        <v/>
      </c>
      <c r="BF60">
        <f>(BD60+BE60)/2</f>
        <v/>
      </c>
      <c r="BG60">
        <f>MIN(MAX(BF60,0),h_sl)</f>
        <v/>
      </c>
      <c r="BH60">
        <f>MIN(MAX(BF60-af_sl,0),hfe_sl)</f>
        <v/>
      </c>
      <c r="BI60">
        <f>bw_sl*BG60*(BF60-BG60/2)+ov_sl*BH60*(BF60-af_sl-BH60/2)+(aeL_sl-(BF60&gt;y1_sl))*A1_sl*(BF60-y1_sl)+(aeL_sl-(BF60&gt;y2_sl))*A2_sl*(BF60-y2_sl)</f>
        <v/>
      </c>
      <c r="BJ60">
        <f>bw_sl*(BF60*yc_sl*BG60-(BF60+yc_sl)*BG60^2/2+BG60^3/3)+ov_sl*((BF60-af_sl)*(yc_sl-af_sl)*BH60-(BF60+yc_sl-2*af_sl)*BH60^2/2+BH60^3/3)+(aeL_sl-(BF60&gt;y1_sl))*A1_sl*(BF60-y1_sl)*(yc_sl-y1_sl)+(aeL_sl-(BF60&gt;y2_sl))*A2_sl*(BF60-y2_sl)*(yc_sl-y2_sl)</f>
        <v/>
      </c>
      <c r="BK60">
        <f>Nqp_sl*1000*BJ60-Mqp_sl*1E6*BI60</f>
        <v/>
      </c>
      <c r="BM60">
        <f>IF(BT59&gt;0,BO59,BM59)</f>
        <v/>
      </c>
      <c r="BN60">
        <f>IF(BT59&gt;0,BN59,BO59)</f>
        <v/>
      </c>
      <c r="BO60">
        <f>(BM60+BN60)/2</f>
        <v/>
      </c>
      <c r="BP60">
        <f>MIN(MAX(BO60,0),h_sl)</f>
        <v/>
      </c>
      <c r="BQ60">
        <f>MIN(MAX(BO60-af_sl,0),hfe_sl)</f>
        <v/>
      </c>
      <c r="BR60">
        <f>bw_sl*BP60*(BO60-BP60/2)+ov_sl*BQ60*(BO60-af_sl-BQ60/2)+(aeS_sl-(BO60&gt;y1_sl))*A1_sl*(BO60-y1_sl)+(aeS_sl-(BO60&gt;y2_sl))*A2_sl*(BO60-y2_sl)</f>
        <v/>
      </c>
      <c r="BS60">
        <f>bw_sl*(BO60*yc_sl*BP60-(BO60+yc_sl)*BP60^2/2+BP60^3/3)+ov_sl*((BO60-af_sl)*(yc_sl-af_sl)*BQ60-(BO60+yc_sl-2*af_sl)*BQ60^2/2+BQ60^3/3)+(aeS_sl-(BO60&gt;y1_sl))*A1_sl*(BO60-y1_sl)*(yc_sl-y1_sl)+(aeS_sl-(BO60&gt;y2_sl))*A2_sl*(BO60-y2_sl)*(yc_sl-y2_sl)</f>
        <v/>
      </c>
      <c r="BT60">
        <f>dN_sl*1000*BS60-dM_sl*1E6*BR60</f>
        <v/>
      </c>
      <c r="BV60">
        <f>IF(CC59&gt;0,BX59,BV59)</f>
        <v/>
      </c>
      <c r="BW60">
        <f>IF(CC59&gt;0,BW59,BX59)</f>
        <v/>
      </c>
      <c r="BX60">
        <f>(BV60+BW60)/2</f>
        <v/>
      </c>
      <c r="BY60">
        <f>MIN(MAX(BX60,0),h_sl)</f>
        <v/>
      </c>
      <c r="BZ60">
        <f>MIN(MAX(BX60-af_sl,0),hfe_sl)</f>
        <v/>
      </c>
      <c r="CA60">
        <f>bw_sl*BY60*(BX60-BY60/2)+ov_sl*BZ60*(BX60-af_sl-BZ60/2)+(aeM_sl-(BX60&gt;y1_sl))*A1_sl*(BX60-y1_sl)+(aeM_sl-(BX60&gt;y2_sl))*A2_sl*(BX60-y2_sl)</f>
        <v/>
      </c>
      <c r="CB60">
        <f>bw_sl*(BX60*yc_sl*BY60-(BX60+yc_sl)*BY60^2/2+BY60^3/3)+ov_sl*((BX60-af_sl)*(yc_sl-af_sl)*BZ60-(BX60+yc_sl-2*af_sl)*BZ60^2/2+BZ60^3/3)+(aeM_sl-(BX60&gt;y1_sl))*A1_sl*(BX60-y1_sl)*(yc_sl-y1_sl)+(aeM_sl-(BX60&gt;y2_sl))*A2_sl*(BX60-y2_sl)*(yc_sl-y2_sl)</f>
        <v/>
      </c>
      <c r="CC60">
        <f>Nk_sl*1000*CB60-Mk_sl*1E6*CA60</f>
        <v/>
      </c>
    </row>
    <row r="61">
      <c r="B61">
        <f>IF(I60&gt;0,D60,B60)</f>
        <v/>
      </c>
      <c r="C61">
        <f>IF(I60&gt;0,C60,D60)</f>
        <v/>
      </c>
      <c r="D61">
        <f>(B61+C61)/2</f>
        <v/>
      </c>
      <c r="E61">
        <f>MIN(MAX(D61,0),h_sl)</f>
        <v/>
      </c>
      <c r="F61">
        <f>MIN(MAX(D61-af_sl,0),hfe_sl)</f>
        <v/>
      </c>
      <c r="G61">
        <f>bw_sl*E61*(D61-E61/2)+ov_sl*F61*(D61-af_sl-F61/2)+(aeS_sl-(D61&gt;y1_sl))*A1_sl*(D61-y1_sl)+(aeS_sl-(D61&gt;y2_sl))*A2_sl*(D61-y2_sl)</f>
        <v/>
      </c>
      <c r="H61">
        <f>bw_sl*(D61*yc_sl*E61-(D61+yc_sl)*E61^2/2+E61^3/3)+ov_sl*((D61-af_sl)*(yc_sl-af_sl)*F61-(D61+yc_sl-2*af_sl)*F61^2/2+F61^3/3)+(aeS_sl-(D61&gt;y1_sl))*A1_sl*(D61-y1_sl)*(yc_sl-y1_sl)+(aeS_sl-(D61&gt;y2_sl))*A2_sl*(D61-y2_sl)*(yc_sl-y2_sl)</f>
        <v/>
      </c>
      <c r="I61">
        <f>-G61</f>
        <v/>
      </c>
      <c r="K61">
        <f>IF(R60&gt;0,M60,K60)</f>
        <v/>
      </c>
      <c r="L61">
        <f>IF(R60&gt;0,L60,M60)</f>
        <v/>
      </c>
      <c r="M61">
        <f>(K61+L61)/2</f>
        <v/>
      </c>
      <c r="N61">
        <f>MIN(MAX(M61,0),h_sl)</f>
        <v/>
      </c>
      <c r="O61">
        <f>MIN(MAX(M61-af_sl,0),hfe_sl)</f>
        <v/>
      </c>
      <c r="P61">
        <f>bw_sl*N61*(M61-N61/2)+ov_sl*O61*(M61-af_sl-O61/2)+(aeL_sl-(M61&gt;y1_sl))*A1_sl*(M61-y1_sl)+(aeL_sl-(M61&gt;y2_sl))*A2_sl*(M61-y2_sl)</f>
        <v/>
      </c>
      <c r="Q61">
        <f>bw_sl*(M61*yc_sl*N61-(M61+yc_sl)*N61^2/2+N61^3/3)+ov_sl*((M61-af_sl)*(yc_sl-af_sl)*O61-(M61+yc_sl-2*af_sl)*O61^2/2+O61^3/3)+(aeL_sl-(M61&gt;y1_sl))*A1_sl*(M61-y1_sl)*(yc_sl-y1_sl)+(aeL_sl-(M61&gt;y2_sl))*A2_sl*(M61-y2_sl)*(yc_sl-y2_sl)</f>
        <v/>
      </c>
      <c r="R61">
        <f>-P61</f>
        <v/>
      </c>
      <c r="T61">
        <f>IF(AA60&gt;0,V60,T60)</f>
        <v/>
      </c>
      <c r="U61">
        <f>IF(AA60&gt;0,U60,V60)</f>
        <v/>
      </c>
      <c r="V61">
        <f>(T61+U61)/2</f>
        <v/>
      </c>
      <c r="W61">
        <f>MIN(MAX(V61,0),h_sl)</f>
        <v/>
      </c>
      <c r="X61">
        <f>MIN(MAX(V61-af_sl,0),hfe_sl)</f>
        <v/>
      </c>
      <c r="Y61">
        <f>bw_sl*W61*(V61-W61/2)+ov_sl*X61*(V61-af_sl-X61/2)+(aeM_sl-(V61&gt;y1_sl))*A1_sl*(V61-y1_sl)+(aeM_sl-(V61&gt;y2_sl))*A2_sl*(V61-y2_sl)</f>
        <v/>
      </c>
      <c r="Z61">
        <f>bw_sl*(V61*yc_sl*W61-(V61+yc_sl)*W61^2/2+W61^3/3)+ov_sl*((V61-af_sl)*(yc_sl-af_sl)*X61-(V61+yc_sl-2*af_sl)*X61^2/2+X61^3/3)+(aeM_sl-(V61&gt;y1_sl))*A1_sl*(V61-y1_sl)*(yc_sl-y1_sl)+(aeM_sl-(V61&gt;y2_sl))*A2_sl*(V61-y2_sl)*(yc_sl-y2_sl)</f>
        <v/>
      </c>
      <c r="AA61">
        <f>-Y61</f>
        <v/>
      </c>
      <c r="AC61">
        <f>IF(AJ60&gt;0,AE60,AC60)</f>
        <v/>
      </c>
      <c r="AD61">
        <f>IF(AJ60&gt;0,AD60,AE60)</f>
        <v/>
      </c>
      <c r="AE61">
        <f>(AC61+AD61)/2</f>
        <v/>
      </c>
      <c r="AF61">
        <f>MIN(MAX(AE61,0),h_sl)</f>
        <v/>
      </c>
      <c r="AG61">
        <f>MIN(MAX(AE61-af_sl,0),hfe_sl)</f>
        <v/>
      </c>
      <c r="AH61">
        <f>bw_sl*AF61*(AE61-AF61/2)+ov_sl*AG61*(AE61-af_sl-AG61/2)+(aeS_sl-(AE61&gt;y1_sl))*A1_sl*(AE61-y1_sl)+(aeS_sl-(AE61&gt;y2_sl))*A2_sl*(AE61-y2_sl)</f>
        <v/>
      </c>
      <c r="AI61">
        <f>bw_sl*(AE61*yc_sl*AF61-(AE61+yc_sl)*AF61^2/2+AF61^3/3)+ov_sl*((AE61-af_sl)*(yc_sl-af_sl)*AG61-(AE61+yc_sl-2*af_sl)*AG61^2/2+AG61^3/3)+(aeS_sl-(AE61&gt;y1_sl))*A1_sl*(AE61-y1_sl)*(yc_sl-y1_sl)+(aeS_sl-(AE61&gt;y2_sl))*A2_sl*(AE61-y2_sl)*(yc_sl-y2_sl)</f>
        <v/>
      </c>
      <c r="AJ61">
        <f>Nk_sl*1000*AI61-Mk_sl*1E6*AH61</f>
        <v/>
      </c>
      <c r="AL61">
        <f>IF(AS60&gt;0,AN60,AL60)</f>
        <v/>
      </c>
      <c r="AM61">
        <f>IF(AS60&gt;0,AM60,AN60)</f>
        <v/>
      </c>
      <c r="AN61">
        <f>(AL61+AM61)/2</f>
        <v/>
      </c>
      <c r="AO61">
        <f>MIN(MAX(AN61,0),h_sl)</f>
        <v/>
      </c>
      <c r="AP61">
        <f>MIN(MAX(AN61-af_sl,0),hfe_sl)</f>
        <v/>
      </c>
      <c r="AQ61">
        <f>bw_sl*AO61*(AN61-AO61/2)+ov_sl*AP61*(AN61-af_sl-AP61/2)+(aeL_sl-(AN61&gt;y1_sl))*A1_sl*(AN61-y1_sl)+(aeL_sl-(AN61&gt;y2_sl))*A2_sl*(AN61-y2_sl)</f>
        <v/>
      </c>
      <c r="AR61">
        <f>bw_sl*(AN61*yc_sl*AO61-(AN61+yc_sl)*AO61^2/2+AO61^3/3)+ov_sl*((AN61-af_sl)*(yc_sl-af_sl)*AP61-(AN61+yc_sl-2*af_sl)*AP61^2/2+AP61^3/3)+(aeL_sl-(AN61&gt;y1_sl))*A1_sl*(AN61-y1_sl)*(yc_sl-y1_sl)+(aeL_sl-(AN61&gt;y2_sl))*A2_sl*(AN61-y2_sl)*(yc_sl-y2_sl)</f>
        <v/>
      </c>
      <c r="AS61">
        <f>Nk_sl*1000*AR61-Mk_sl*1E6*AQ61</f>
        <v/>
      </c>
      <c r="AU61">
        <f>IF(BB60&gt;0,AW60,AU60)</f>
        <v/>
      </c>
      <c r="AV61">
        <f>IF(BB60&gt;0,AV60,AW60)</f>
        <v/>
      </c>
      <c r="AW61">
        <f>(AU61+AV61)/2</f>
        <v/>
      </c>
      <c r="AX61">
        <f>MIN(MAX(AW61,0),h_sl)</f>
        <v/>
      </c>
      <c r="AY61">
        <f>MIN(MAX(AW61-af_sl,0),hfe_sl)</f>
        <v/>
      </c>
      <c r="AZ61">
        <f>bw_sl*AX61*(AW61-AX61/2)+ov_sl*AY61*(AW61-af_sl-AY61/2)+(aeS_sl-(AW61&gt;y1_sl))*A1_sl*(AW61-y1_sl)+(aeS_sl-(AW61&gt;y2_sl))*A2_sl*(AW61-y2_sl)</f>
        <v/>
      </c>
      <c r="BA61">
        <f>bw_sl*(AW61*yc_sl*AX61-(AW61+yc_sl)*AX61^2/2+AX61^3/3)+ov_sl*((AW61-af_sl)*(yc_sl-af_sl)*AY61-(AW61+yc_sl-2*af_sl)*AY61^2/2+AY61^3/3)+(aeS_sl-(AW61&gt;y1_sl))*A1_sl*(AW61-y1_sl)*(yc_sl-y1_sl)+(aeS_sl-(AW61&gt;y2_sl))*A2_sl*(AW61-y2_sl)*(yc_sl-y2_sl)</f>
        <v/>
      </c>
      <c r="BB61">
        <f>Nqp_sl*1000*BA61-Mqp_sl*1E6*AZ61</f>
        <v/>
      </c>
      <c r="BD61">
        <f>IF(BK60&gt;0,BF60,BD60)</f>
        <v/>
      </c>
      <c r="BE61">
        <f>IF(BK60&gt;0,BE60,BF60)</f>
        <v/>
      </c>
      <c r="BF61">
        <f>(BD61+BE61)/2</f>
        <v/>
      </c>
      <c r="BG61">
        <f>MIN(MAX(BF61,0),h_sl)</f>
        <v/>
      </c>
      <c r="BH61">
        <f>MIN(MAX(BF61-af_sl,0),hfe_sl)</f>
        <v/>
      </c>
      <c r="BI61">
        <f>bw_sl*BG61*(BF61-BG61/2)+ov_sl*BH61*(BF61-af_sl-BH61/2)+(aeL_sl-(BF61&gt;y1_sl))*A1_sl*(BF61-y1_sl)+(aeL_sl-(BF61&gt;y2_sl))*A2_sl*(BF61-y2_sl)</f>
        <v/>
      </c>
      <c r="BJ61">
        <f>bw_sl*(BF61*yc_sl*BG61-(BF61+yc_sl)*BG61^2/2+BG61^3/3)+ov_sl*((BF61-af_sl)*(yc_sl-af_sl)*BH61-(BF61+yc_sl-2*af_sl)*BH61^2/2+BH61^3/3)+(aeL_sl-(BF61&gt;y1_sl))*A1_sl*(BF61-y1_sl)*(yc_sl-y1_sl)+(aeL_sl-(BF61&gt;y2_sl))*A2_sl*(BF61-y2_sl)*(yc_sl-y2_sl)</f>
        <v/>
      </c>
      <c r="BK61">
        <f>Nqp_sl*1000*BJ61-Mqp_sl*1E6*BI61</f>
        <v/>
      </c>
      <c r="BM61">
        <f>IF(BT60&gt;0,BO60,BM60)</f>
        <v/>
      </c>
      <c r="BN61">
        <f>IF(BT60&gt;0,BN60,BO60)</f>
        <v/>
      </c>
      <c r="BO61">
        <f>(BM61+BN61)/2</f>
        <v/>
      </c>
      <c r="BP61">
        <f>MIN(MAX(BO61,0),h_sl)</f>
        <v/>
      </c>
      <c r="BQ61">
        <f>MIN(MAX(BO61-af_sl,0),hfe_sl)</f>
        <v/>
      </c>
      <c r="BR61">
        <f>bw_sl*BP61*(BO61-BP61/2)+ov_sl*BQ61*(BO61-af_sl-BQ61/2)+(aeS_sl-(BO61&gt;y1_sl))*A1_sl*(BO61-y1_sl)+(aeS_sl-(BO61&gt;y2_sl))*A2_sl*(BO61-y2_sl)</f>
        <v/>
      </c>
      <c r="BS61">
        <f>bw_sl*(BO61*yc_sl*BP61-(BO61+yc_sl)*BP61^2/2+BP61^3/3)+ov_sl*((BO61-af_sl)*(yc_sl-af_sl)*BQ61-(BO61+yc_sl-2*af_sl)*BQ61^2/2+BQ61^3/3)+(aeS_sl-(BO61&gt;y1_sl))*A1_sl*(BO61-y1_sl)*(yc_sl-y1_sl)+(aeS_sl-(BO61&gt;y2_sl))*A2_sl*(BO61-y2_sl)*(yc_sl-y2_sl)</f>
        <v/>
      </c>
      <c r="BT61">
        <f>dN_sl*1000*BS61-dM_sl*1E6*BR61</f>
        <v/>
      </c>
      <c r="BV61">
        <f>IF(CC60&gt;0,BX60,BV60)</f>
        <v/>
      </c>
      <c r="BW61">
        <f>IF(CC60&gt;0,BW60,BX60)</f>
        <v/>
      </c>
      <c r="BX61">
        <f>(BV61+BW61)/2</f>
        <v/>
      </c>
      <c r="BY61">
        <f>MIN(MAX(BX61,0),h_sl)</f>
        <v/>
      </c>
      <c r="BZ61">
        <f>MIN(MAX(BX61-af_sl,0),hfe_sl)</f>
        <v/>
      </c>
      <c r="CA61">
        <f>bw_sl*BY61*(BX61-BY61/2)+ov_sl*BZ61*(BX61-af_sl-BZ61/2)+(aeM_sl-(BX61&gt;y1_sl))*A1_sl*(BX61-y1_sl)+(aeM_sl-(BX61&gt;y2_sl))*A2_sl*(BX61-y2_sl)</f>
        <v/>
      </c>
      <c r="CB61">
        <f>bw_sl*(BX61*yc_sl*BY61-(BX61+yc_sl)*BY61^2/2+BY61^3/3)+ov_sl*((BX61-af_sl)*(yc_sl-af_sl)*BZ61-(BX61+yc_sl-2*af_sl)*BZ61^2/2+BZ61^3/3)+(aeM_sl-(BX61&gt;y1_sl))*A1_sl*(BX61-y1_sl)*(yc_sl-y1_sl)+(aeM_sl-(BX61&gt;y2_sl))*A2_sl*(BX61-y2_sl)*(yc_sl-y2_sl)</f>
        <v/>
      </c>
      <c r="CC61">
        <f>Nk_sl*1000*CB61-Mk_sl*1E6*CA61</f>
        <v/>
      </c>
    </row>
    <row r="62">
      <c r="B62">
        <f>IF(I61&gt;0,D61,B61)</f>
        <v/>
      </c>
      <c r="C62">
        <f>IF(I61&gt;0,C61,D61)</f>
        <v/>
      </c>
      <c r="D62">
        <f>(B62+C62)/2</f>
        <v/>
      </c>
      <c r="E62">
        <f>MIN(MAX(D62,0),h_sl)</f>
        <v/>
      </c>
      <c r="F62">
        <f>MIN(MAX(D62-af_sl,0),hfe_sl)</f>
        <v/>
      </c>
      <c r="G62">
        <f>bw_sl*E62*(D62-E62/2)+ov_sl*F62*(D62-af_sl-F62/2)+(aeS_sl-(D62&gt;y1_sl))*A1_sl*(D62-y1_sl)+(aeS_sl-(D62&gt;y2_sl))*A2_sl*(D62-y2_sl)</f>
        <v/>
      </c>
      <c r="H62">
        <f>bw_sl*(D62*yc_sl*E62-(D62+yc_sl)*E62^2/2+E62^3/3)+ov_sl*((D62-af_sl)*(yc_sl-af_sl)*F62-(D62+yc_sl-2*af_sl)*F62^2/2+F62^3/3)+(aeS_sl-(D62&gt;y1_sl))*A1_sl*(D62-y1_sl)*(yc_sl-y1_sl)+(aeS_sl-(D62&gt;y2_sl))*A2_sl*(D62-y2_sl)*(yc_sl-y2_sl)</f>
        <v/>
      </c>
      <c r="I62">
        <f>-G62</f>
        <v/>
      </c>
      <c r="K62">
        <f>IF(R61&gt;0,M61,K61)</f>
        <v/>
      </c>
      <c r="L62">
        <f>IF(R61&gt;0,L61,M61)</f>
        <v/>
      </c>
      <c r="M62">
        <f>(K62+L62)/2</f>
        <v/>
      </c>
      <c r="N62">
        <f>MIN(MAX(M62,0),h_sl)</f>
        <v/>
      </c>
      <c r="O62">
        <f>MIN(MAX(M62-af_sl,0),hfe_sl)</f>
        <v/>
      </c>
      <c r="P62">
        <f>bw_sl*N62*(M62-N62/2)+ov_sl*O62*(M62-af_sl-O62/2)+(aeL_sl-(M62&gt;y1_sl))*A1_sl*(M62-y1_sl)+(aeL_sl-(M62&gt;y2_sl))*A2_sl*(M62-y2_sl)</f>
        <v/>
      </c>
      <c r="Q62">
        <f>bw_sl*(M62*yc_sl*N62-(M62+yc_sl)*N62^2/2+N62^3/3)+ov_sl*((M62-af_sl)*(yc_sl-af_sl)*O62-(M62+yc_sl-2*af_sl)*O62^2/2+O62^3/3)+(aeL_sl-(M62&gt;y1_sl))*A1_sl*(M62-y1_sl)*(yc_sl-y1_sl)+(aeL_sl-(M62&gt;y2_sl))*A2_sl*(M62-y2_sl)*(yc_sl-y2_sl)</f>
        <v/>
      </c>
      <c r="R62">
        <f>-P62</f>
        <v/>
      </c>
      <c r="T62">
        <f>IF(AA61&gt;0,V61,T61)</f>
        <v/>
      </c>
      <c r="U62">
        <f>IF(AA61&gt;0,U61,V61)</f>
        <v/>
      </c>
      <c r="V62">
        <f>(T62+U62)/2</f>
        <v/>
      </c>
      <c r="W62">
        <f>MIN(MAX(V62,0),h_sl)</f>
        <v/>
      </c>
      <c r="X62">
        <f>MIN(MAX(V62-af_sl,0),hfe_sl)</f>
        <v/>
      </c>
      <c r="Y62">
        <f>bw_sl*W62*(V62-W62/2)+ov_sl*X62*(V62-af_sl-X62/2)+(aeM_sl-(V62&gt;y1_sl))*A1_sl*(V62-y1_sl)+(aeM_sl-(V62&gt;y2_sl))*A2_sl*(V62-y2_sl)</f>
        <v/>
      </c>
      <c r="Z62">
        <f>bw_sl*(V62*yc_sl*W62-(V62+yc_sl)*W62^2/2+W62^3/3)+ov_sl*((V62-af_sl)*(yc_sl-af_sl)*X62-(V62+yc_sl-2*af_sl)*X62^2/2+X62^3/3)+(aeM_sl-(V62&gt;y1_sl))*A1_sl*(V62-y1_sl)*(yc_sl-y1_sl)+(aeM_sl-(V62&gt;y2_sl))*A2_sl*(V62-y2_sl)*(yc_sl-y2_sl)</f>
        <v/>
      </c>
      <c r="AA62">
        <f>-Y62</f>
        <v/>
      </c>
      <c r="AC62">
        <f>IF(AJ61&gt;0,AE61,AC61)</f>
        <v/>
      </c>
      <c r="AD62">
        <f>IF(AJ61&gt;0,AD61,AE61)</f>
        <v/>
      </c>
      <c r="AE62">
        <f>(AC62+AD62)/2</f>
        <v/>
      </c>
      <c r="AF62">
        <f>MIN(MAX(AE62,0),h_sl)</f>
        <v/>
      </c>
      <c r="AG62">
        <f>MIN(MAX(AE62-af_sl,0),hfe_sl)</f>
        <v/>
      </c>
      <c r="AH62">
        <f>bw_sl*AF62*(AE62-AF62/2)+ov_sl*AG62*(AE62-af_sl-AG62/2)+(aeS_sl-(AE62&gt;y1_sl))*A1_sl*(AE62-y1_sl)+(aeS_sl-(AE62&gt;y2_sl))*A2_sl*(AE62-y2_sl)</f>
        <v/>
      </c>
      <c r="AI62">
        <f>bw_sl*(AE62*yc_sl*AF62-(AE62+yc_sl)*AF62^2/2+AF62^3/3)+ov_sl*((AE62-af_sl)*(yc_sl-af_sl)*AG62-(AE62+yc_sl-2*af_sl)*AG62^2/2+AG62^3/3)+(aeS_sl-(AE62&gt;y1_sl))*A1_sl*(AE62-y1_sl)*(yc_sl-y1_sl)+(aeS_sl-(AE62&gt;y2_sl))*A2_sl*(AE62-y2_sl)*(yc_sl-y2_sl)</f>
        <v/>
      </c>
      <c r="AJ62">
        <f>Nk_sl*1000*AI62-Mk_sl*1E6*AH62</f>
        <v/>
      </c>
      <c r="AL62">
        <f>IF(AS61&gt;0,AN61,AL61)</f>
        <v/>
      </c>
      <c r="AM62">
        <f>IF(AS61&gt;0,AM61,AN61)</f>
        <v/>
      </c>
      <c r="AN62">
        <f>(AL62+AM62)/2</f>
        <v/>
      </c>
      <c r="AO62">
        <f>MIN(MAX(AN62,0),h_sl)</f>
        <v/>
      </c>
      <c r="AP62">
        <f>MIN(MAX(AN62-af_sl,0),hfe_sl)</f>
        <v/>
      </c>
      <c r="AQ62">
        <f>bw_sl*AO62*(AN62-AO62/2)+ov_sl*AP62*(AN62-af_sl-AP62/2)+(aeL_sl-(AN62&gt;y1_sl))*A1_sl*(AN62-y1_sl)+(aeL_sl-(AN62&gt;y2_sl))*A2_sl*(AN62-y2_sl)</f>
        <v/>
      </c>
      <c r="AR62">
        <f>bw_sl*(AN62*yc_sl*AO62-(AN62+yc_sl)*AO62^2/2+AO62^3/3)+ov_sl*((AN62-af_sl)*(yc_sl-af_sl)*AP62-(AN62+yc_sl-2*af_sl)*AP62^2/2+AP62^3/3)+(aeL_sl-(AN62&gt;y1_sl))*A1_sl*(AN62-y1_sl)*(yc_sl-y1_sl)+(aeL_sl-(AN62&gt;y2_sl))*A2_sl*(AN62-y2_sl)*(yc_sl-y2_sl)</f>
        <v/>
      </c>
      <c r="AS62">
        <f>Nk_sl*1000*AR62-Mk_sl*1E6*AQ62</f>
        <v/>
      </c>
      <c r="AU62">
        <f>IF(BB61&gt;0,AW61,AU61)</f>
        <v/>
      </c>
      <c r="AV62">
        <f>IF(BB61&gt;0,AV61,AW61)</f>
        <v/>
      </c>
      <c r="AW62">
        <f>(AU62+AV62)/2</f>
        <v/>
      </c>
      <c r="AX62">
        <f>MIN(MAX(AW62,0),h_sl)</f>
        <v/>
      </c>
      <c r="AY62">
        <f>MIN(MAX(AW62-af_sl,0),hfe_sl)</f>
        <v/>
      </c>
      <c r="AZ62">
        <f>bw_sl*AX62*(AW62-AX62/2)+ov_sl*AY62*(AW62-af_sl-AY62/2)+(aeS_sl-(AW62&gt;y1_sl))*A1_sl*(AW62-y1_sl)+(aeS_sl-(AW62&gt;y2_sl))*A2_sl*(AW62-y2_sl)</f>
        <v/>
      </c>
      <c r="BA62">
        <f>bw_sl*(AW62*yc_sl*AX62-(AW62+yc_sl)*AX62^2/2+AX62^3/3)+ov_sl*((AW62-af_sl)*(yc_sl-af_sl)*AY62-(AW62+yc_sl-2*af_sl)*AY62^2/2+AY62^3/3)+(aeS_sl-(AW62&gt;y1_sl))*A1_sl*(AW62-y1_sl)*(yc_sl-y1_sl)+(aeS_sl-(AW62&gt;y2_sl))*A2_sl*(AW62-y2_sl)*(yc_sl-y2_sl)</f>
        <v/>
      </c>
      <c r="BB62">
        <f>Nqp_sl*1000*BA62-Mqp_sl*1E6*AZ62</f>
        <v/>
      </c>
      <c r="BD62">
        <f>IF(BK61&gt;0,BF61,BD61)</f>
        <v/>
      </c>
      <c r="BE62">
        <f>IF(BK61&gt;0,BE61,BF61)</f>
        <v/>
      </c>
      <c r="BF62">
        <f>(BD62+BE62)/2</f>
        <v/>
      </c>
      <c r="BG62">
        <f>MIN(MAX(BF62,0),h_sl)</f>
        <v/>
      </c>
      <c r="BH62">
        <f>MIN(MAX(BF62-af_sl,0),hfe_sl)</f>
        <v/>
      </c>
      <c r="BI62">
        <f>bw_sl*BG62*(BF62-BG62/2)+ov_sl*BH62*(BF62-af_sl-BH62/2)+(aeL_sl-(BF62&gt;y1_sl))*A1_sl*(BF62-y1_sl)+(aeL_sl-(BF62&gt;y2_sl))*A2_sl*(BF62-y2_sl)</f>
        <v/>
      </c>
      <c r="BJ62">
        <f>bw_sl*(BF62*yc_sl*BG62-(BF62+yc_sl)*BG62^2/2+BG62^3/3)+ov_sl*((BF62-af_sl)*(yc_sl-af_sl)*BH62-(BF62+yc_sl-2*af_sl)*BH62^2/2+BH62^3/3)+(aeL_sl-(BF62&gt;y1_sl))*A1_sl*(BF62-y1_sl)*(yc_sl-y1_sl)+(aeL_sl-(BF62&gt;y2_sl))*A2_sl*(BF62-y2_sl)*(yc_sl-y2_sl)</f>
        <v/>
      </c>
      <c r="BK62">
        <f>Nqp_sl*1000*BJ62-Mqp_sl*1E6*BI62</f>
        <v/>
      </c>
      <c r="BM62">
        <f>IF(BT61&gt;0,BO61,BM61)</f>
        <v/>
      </c>
      <c r="BN62">
        <f>IF(BT61&gt;0,BN61,BO61)</f>
        <v/>
      </c>
      <c r="BO62">
        <f>(BM62+BN62)/2</f>
        <v/>
      </c>
      <c r="BP62">
        <f>MIN(MAX(BO62,0),h_sl)</f>
        <v/>
      </c>
      <c r="BQ62">
        <f>MIN(MAX(BO62-af_sl,0),hfe_sl)</f>
        <v/>
      </c>
      <c r="BR62">
        <f>bw_sl*BP62*(BO62-BP62/2)+ov_sl*BQ62*(BO62-af_sl-BQ62/2)+(aeS_sl-(BO62&gt;y1_sl))*A1_sl*(BO62-y1_sl)+(aeS_sl-(BO62&gt;y2_sl))*A2_sl*(BO62-y2_sl)</f>
        <v/>
      </c>
      <c r="BS62">
        <f>bw_sl*(BO62*yc_sl*BP62-(BO62+yc_sl)*BP62^2/2+BP62^3/3)+ov_sl*((BO62-af_sl)*(yc_sl-af_sl)*BQ62-(BO62+yc_sl-2*af_sl)*BQ62^2/2+BQ62^3/3)+(aeS_sl-(BO62&gt;y1_sl))*A1_sl*(BO62-y1_sl)*(yc_sl-y1_sl)+(aeS_sl-(BO62&gt;y2_sl))*A2_sl*(BO62-y2_sl)*(yc_sl-y2_sl)</f>
        <v/>
      </c>
      <c r="BT62">
        <f>dN_sl*1000*BS62-dM_sl*1E6*BR62</f>
        <v/>
      </c>
      <c r="BV62">
        <f>IF(CC61&gt;0,BX61,BV61)</f>
        <v/>
      </c>
      <c r="BW62">
        <f>IF(CC61&gt;0,BW61,BX61)</f>
        <v/>
      </c>
      <c r="BX62">
        <f>(BV62+BW62)/2</f>
        <v/>
      </c>
      <c r="BY62">
        <f>MIN(MAX(BX62,0),h_sl)</f>
        <v/>
      </c>
      <c r="BZ62">
        <f>MIN(MAX(BX62-af_sl,0),hfe_sl)</f>
        <v/>
      </c>
      <c r="CA62">
        <f>bw_sl*BY62*(BX62-BY62/2)+ov_sl*BZ62*(BX62-af_sl-BZ62/2)+(aeM_sl-(BX62&gt;y1_sl))*A1_sl*(BX62-y1_sl)+(aeM_sl-(BX62&gt;y2_sl))*A2_sl*(BX62-y2_sl)</f>
        <v/>
      </c>
      <c r="CB62">
        <f>bw_sl*(BX62*yc_sl*BY62-(BX62+yc_sl)*BY62^2/2+BY62^3/3)+ov_sl*((BX62-af_sl)*(yc_sl-af_sl)*BZ62-(BX62+yc_sl-2*af_sl)*BZ62^2/2+BZ62^3/3)+(aeM_sl-(BX62&gt;y1_sl))*A1_sl*(BX62-y1_sl)*(yc_sl-y1_sl)+(aeM_sl-(BX62&gt;y2_sl))*A2_sl*(BX62-y2_sl)*(yc_sl-y2_sl)</f>
        <v/>
      </c>
      <c r="CC62">
        <f>Nk_sl*1000*CB62-Mk_sl*1E6*CA62</f>
        <v/>
      </c>
    </row>
    <row r="63">
      <c r="B63">
        <f>IF(I62&gt;0,D62,B62)</f>
        <v/>
      </c>
      <c r="C63">
        <f>IF(I62&gt;0,C62,D62)</f>
        <v/>
      </c>
      <c r="D63">
        <f>(B63+C63)/2</f>
        <v/>
      </c>
      <c r="E63">
        <f>MIN(MAX(D63,0),h_sl)</f>
        <v/>
      </c>
      <c r="F63">
        <f>MIN(MAX(D63-af_sl,0),hfe_sl)</f>
        <v/>
      </c>
      <c r="G63">
        <f>bw_sl*E63*(D63-E63/2)+ov_sl*F63*(D63-af_sl-F63/2)+(aeS_sl-(D63&gt;y1_sl))*A1_sl*(D63-y1_sl)+(aeS_sl-(D63&gt;y2_sl))*A2_sl*(D63-y2_sl)</f>
        <v/>
      </c>
      <c r="H63">
        <f>bw_sl*(D63*yc_sl*E63-(D63+yc_sl)*E63^2/2+E63^3/3)+ov_sl*((D63-af_sl)*(yc_sl-af_sl)*F63-(D63+yc_sl-2*af_sl)*F63^2/2+F63^3/3)+(aeS_sl-(D63&gt;y1_sl))*A1_sl*(D63-y1_sl)*(yc_sl-y1_sl)+(aeS_sl-(D63&gt;y2_sl))*A2_sl*(D63-y2_sl)*(yc_sl-y2_sl)</f>
        <v/>
      </c>
      <c r="I63">
        <f>-G63</f>
        <v/>
      </c>
      <c r="K63">
        <f>IF(R62&gt;0,M62,K62)</f>
        <v/>
      </c>
      <c r="L63">
        <f>IF(R62&gt;0,L62,M62)</f>
        <v/>
      </c>
      <c r="M63">
        <f>(K63+L63)/2</f>
        <v/>
      </c>
      <c r="N63">
        <f>MIN(MAX(M63,0),h_sl)</f>
        <v/>
      </c>
      <c r="O63">
        <f>MIN(MAX(M63-af_sl,0),hfe_sl)</f>
        <v/>
      </c>
      <c r="P63">
        <f>bw_sl*N63*(M63-N63/2)+ov_sl*O63*(M63-af_sl-O63/2)+(aeL_sl-(M63&gt;y1_sl))*A1_sl*(M63-y1_sl)+(aeL_sl-(M63&gt;y2_sl))*A2_sl*(M63-y2_sl)</f>
        <v/>
      </c>
      <c r="Q63">
        <f>bw_sl*(M63*yc_sl*N63-(M63+yc_sl)*N63^2/2+N63^3/3)+ov_sl*((M63-af_sl)*(yc_sl-af_sl)*O63-(M63+yc_sl-2*af_sl)*O63^2/2+O63^3/3)+(aeL_sl-(M63&gt;y1_sl))*A1_sl*(M63-y1_sl)*(yc_sl-y1_sl)+(aeL_sl-(M63&gt;y2_sl))*A2_sl*(M63-y2_sl)*(yc_sl-y2_sl)</f>
        <v/>
      </c>
      <c r="R63">
        <f>-P63</f>
        <v/>
      </c>
      <c r="T63">
        <f>IF(AA62&gt;0,V62,T62)</f>
        <v/>
      </c>
      <c r="U63">
        <f>IF(AA62&gt;0,U62,V62)</f>
        <v/>
      </c>
      <c r="V63">
        <f>(T63+U63)/2</f>
        <v/>
      </c>
      <c r="W63">
        <f>MIN(MAX(V63,0),h_sl)</f>
        <v/>
      </c>
      <c r="X63">
        <f>MIN(MAX(V63-af_sl,0),hfe_sl)</f>
        <v/>
      </c>
      <c r="Y63">
        <f>bw_sl*W63*(V63-W63/2)+ov_sl*X63*(V63-af_sl-X63/2)+(aeM_sl-(V63&gt;y1_sl))*A1_sl*(V63-y1_sl)+(aeM_sl-(V63&gt;y2_sl))*A2_sl*(V63-y2_sl)</f>
        <v/>
      </c>
      <c r="Z63">
        <f>bw_sl*(V63*yc_sl*W63-(V63+yc_sl)*W63^2/2+W63^3/3)+ov_sl*((V63-af_sl)*(yc_sl-af_sl)*X63-(V63+yc_sl-2*af_sl)*X63^2/2+X63^3/3)+(aeM_sl-(V63&gt;y1_sl))*A1_sl*(V63-y1_sl)*(yc_sl-y1_sl)+(aeM_sl-(V63&gt;y2_sl))*A2_sl*(V63-y2_sl)*(yc_sl-y2_sl)</f>
        <v/>
      </c>
      <c r="AA63">
        <f>-Y63</f>
        <v/>
      </c>
      <c r="AC63">
        <f>IF(AJ62&gt;0,AE62,AC62)</f>
        <v/>
      </c>
      <c r="AD63">
        <f>IF(AJ62&gt;0,AD62,AE62)</f>
        <v/>
      </c>
      <c r="AE63">
        <f>(AC63+AD63)/2</f>
        <v/>
      </c>
      <c r="AF63">
        <f>MIN(MAX(AE63,0),h_sl)</f>
        <v/>
      </c>
      <c r="AG63">
        <f>MIN(MAX(AE63-af_sl,0),hfe_sl)</f>
        <v/>
      </c>
      <c r="AH63">
        <f>bw_sl*AF63*(AE63-AF63/2)+ov_sl*AG63*(AE63-af_sl-AG63/2)+(aeS_sl-(AE63&gt;y1_sl))*A1_sl*(AE63-y1_sl)+(aeS_sl-(AE63&gt;y2_sl))*A2_sl*(AE63-y2_sl)</f>
        <v/>
      </c>
      <c r="AI63">
        <f>bw_sl*(AE63*yc_sl*AF63-(AE63+yc_sl)*AF63^2/2+AF63^3/3)+ov_sl*((AE63-af_sl)*(yc_sl-af_sl)*AG63-(AE63+yc_sl-2*af_sl)*AG63^2/2+AG63^3/3)+(aeS_sl-(AE63&gt;y1_sl))*A1_sl*(AE63-y1_sl)*(yc_sl-y1_sl)+(aeS_sl-(AE63&gt;y2_sl))*A2_sl*(AE63-y2_sl)*(yc_sl-y2_sl)</f>
        <v/>
      </c>
      <c r="AJ63">
        <f>Nk_sl*1000*AI63-Mk_sl*1E6*AH63</f>
        <v/>
      </c>
      <c r="AL63">
        <f>IF(AS62&gt;0,AN62,AL62)</f>
        <v/>
      </c>
      <c r="AM63">
        <f>IF(AS62&gt;0,AM62,AN62)</f>
        <v/>
      </c>
      <c r="AN63">
        <f>(AL63+AM63)/2</f>
        <v/>
      </c>
      <c r="AO63">
        <f>MIN(MAX(AN63,0),h_sl)</f>
        <v/>
      </c>
      <c r="AP63">
        <f>MIN(MAX(AN63-af_sl,0),hfe_sl)</f>
        <v/>
      </c>
      <c r="AQ63">
        <f>bw_sl*AO63*(AN63-AO63/2)+ov_sl*AP63*(AN63-af_sl-AP63/2)+(aeL_sl-(AN63&gt;y1_sl))*A1_sl*(AN63-y1_sl)+(aeL_sl-(AN63&gt;y2_sl))*A2_sl*(AN63-y2_sl)</f>
        <v/>
      </c>
      <c r="AR63">
        <f>bw_sl*(AN63*yc_sl*AO63-(AN63+yc_sl)*AO63^2/2+AO63^3/3)+ov_sl*((AN63-af_sl)*(yc_sl-af_sl)*AP63-(AN63+yc_sl-2*af_sl)*AP63^2/2+AP63^3/3)+(aeL_sl-(AN63&gt;y1_sl))*A1_sl*(AN63-y1_sl)*(yc_sl-y1_sl)+(aeL_sl-(AN63&gt;y2_sl))*A2_sl*(AN63-y2_sl)*(yc_sl-y2_sl)</f>
        <v/>
      </c>
      <c r="AS63">
        <f>Nk_sl*1000*AR63-Mk_sl*1E6*AQ63</f>
        <v/>
      </c>
      <c r="AU63">
        <f>IF(BB62&gt;0,AW62,AU62)</f>
        <v/>
      </c>
      <c r="AV63">
        <f>IF(BB62&gt;0,AV62,AW62)</f>
        <v/>
      </c>
      <c r="AW63">
        <f>(AU63+AV63)/2</f>
        <v/>
      </c>
      <c r="AX63">
        <f>MIN(MAX(AW63,0),h_sl)</f>
        <v/>
      </c>
      <c r="AY63">
        <f>MIN(MAX(AW63-af_sl,0),hfe_sl)</f>
        <v/>
      </c>
      <c r="AZ63">
        <f>bw_sl*AX63*(AW63-AX63/2)+ov_sl*AY63*(AW63-af_sl-AY63/2)+(aeS_sl-(AW63&gt;y1_sl))*A1_sl*(AW63-y1_sl)+(aeS_sl-(AW63&gt;y2_sl))*A2_sl*(AW63-y2_sl)</f>
        <v/>
      </c>
      <c r="BA63">
        <f>bw_sl*(AW63*yc_sl*AX63-(AW63+yc_sl)*AX63^2/2+AX63^3/3)+ov_sl*((AW63-af_sl)*(yc_sl-af_sl)*AY63-(AW63+yc_sl-2*af_sl)*AY63^2/2+AY63^3/3)+(aeS_sl-(AW63&gt;y1_sl))*A1_sl*(AW63-y1_sl)*(yc_sl-y1_sl)+(aeS_sl-(AW63&gt;y2_sl))*A2_sl*(AW63-y2_sl)*(yc_sl-y2_sl)</f>
        <v/>
      </c>
      <c r="BB63">
        <f>Nqp_sl*1000*BA63-Mqp_sl*1E6*AZ63</f>
        <v/>
      </c>
      <c r="BD63">
        <f>IF(BK62&gt;0,BF62,BD62)</f>
        <v/>
      </c>
      <c r="BE63">
        <f>IF(BK62&gt;0,BE62,BF62)</f>
        <v/>
      </c>
      <c r="BF63">
        <f>(BD63+BE63)/2</f>
        <v/>
      </c>
      <c r="BG63">
        <f>MIN(MAX(BF63,0),h_sl)</f>
        <v/>
      </c>
      <c r="BH63">
        <f>MIN(MAX(BF63-af_sl,0),hfe_sl)</f>
        <v/>
      </c>
      <c r="BI63">
        <f>bw_sl*BG63*(BF63-BG63/2)+ov_sl*BH63*(BF63-af_sl-BH63/2)+(aeL_sl-(BF63&gt;y1_sl))*A1_sl*(BF63-y1_sl)+(aeL_sl-(BF63&gt;y2_sl))*A2_sl*(BF63-y2_sl)</f>
        <v/>
      </c>
      <c r="BJ63">
        <f>bw_sl*(BF63*yc_sl*BG63-(BF63+yc_sl)*BG63^2/2+BG63^3/3)+ov_sl*((BF63-af_sl)*(yc_sl-af_sl)*BH63-(BF63+yc_sl-2*af_sl)*BH63^2/2+BH63^3/3)+(aeL_sl-(BF63&gt;y1_sl))*A1_sl*(BF63-y1_sl)*(yc_sl-y1_sl)+(aeL_sl-(BF63&gt;y2_sl))*A2_sl*(BF63-y2_sl)*(yc_sl-y2_sl)</f>
        <v/>
      </c>
      <c r="BK63">
        <f>Nqp_sl*1000*BJ63-Mqp_sl*1E6*BI63</f>
        <v/>
      </c>
      <c r="BM63">
        <f>IF(BT62&gt;0,BO62,BM62)</f>
        <v/>
      </c>
      <c r="BN63">
        <f>IF(BT62&gt;0,BN62,BO62)</f>
        <v/>
      </c>
      <c r="BO63">
        <f>(BM63+BN63)/2</f>
        <v/>
      </c>
      <c r="BP63">
        <f>MIN(MAX(BO63,0),h_sl)</f>
        <v/>
      </c>
      <c r="BQ63">
        <f>MIN(MAX(BO63-af_sl,0),hfe_sl)</f>
        <v/>
      </c>
      <c r="BR63">
        <f>bw_sl*BP63*(BO63-BP63/2)+ov_sl*BQ63*(BO63-af_sl-BQ63/2)+(aeS_sl-(BO63&gt;y1_sl))*A1_sl*(BO63-y1_sl)+(aeS_sl-(BO63&gt;y2_sl))*A2_sl*(BO63-y2_sl)</f>
        <v/>
      </c>
      <c r="BS63">
        <f>bw_sl*(BO63*yc_sl*BP63-(BO63+yc_sl)*BP63^2/2+BP63^3/3)+ov_sl*((BO63-af_sl)*(yc_sl-af_sl)*BQ63-(BO63+yc_sl-2*af_sl)*BQ63^2/2+BQ63^3/3)+(aeS_sl-(BO63&gt;y1_sl))*A1_sl*(BO63-y1_sl)*(yc_sl-y1_sl)+(aeS_sl-(BO63&gt;y2_sl))*A2_sl*(BO63-y2_sl)*(yc_sl-y2_sl)</f>
        <v/>
      </c>
      <c r="BT63">
        <f>dN_sl*1000*BS63-dM_sl*1E6*BR63</f>
        <v/>
      </c>
      <c r="BV63">
        <f>IF(CC62&gt;0,BX62,BV62)</f>
        <v/>
      </c>
      <c r="BW63">
        <f>IF(CC62&gt;0,BW62,BX62)</f>
        <v/>
      </c>
      <c r="BX63">
        <f>(BV63+BW63)/2</f>
        <v/>
      </c>
      <c r="BY63">
        <f>MIN(MAX(BX63,0),h_sl)</f>
        <v/>
      </c>
      <c r="BZ63">
        <f>MIN(MAX(BX63-af_sl,0),hfe_sl)</f>
        <v/>
      </c>
      <c r="CA63">
        <f>bw_sl*BY63*(BX63-BY63/2)+ov_sl*BZ63*(BX63-af_sl-BZ63/2)+(aeM_sl-(BX63&gt;y1_sl))*A1_sl*(BX63-y1_sl)+(aeM_sl-(BX63&gt;y2_sl))*A2_sl*(BX63-y2_sl)</f>
        <v/>
      </c>
      <c r="CB63">
        <f>bw_sl*(BX63*yc_sl*BY63-(BX63+yc_sl)*BY63^2/2+BY63^3/3)+ov_sl*((BX63-af_sl)*(yc_sl-af_sl)*BZ63-(BX63+yc_sl-2*af_sl)*BZ63^2/2+BZ63^3/3)+(aeM_sl-(BX63&gt;y1_sl))*A1_sl*(BX63-y1_sl)*(yc_sl-y1_sl)+(aeM_sl-(BX63&gt;y2_sl))*A2_sl*(BX63-y2_sl)*(yc_sl-y2_sl)</f>
        <v/>
      </c>
      <c r="CC63">
        <f>Nk_sl*1000*CB63-Mk_sl*1E6*CA63</f>
        <v/>
      </c>
    </row>
    <row r="64">
      <c r="B64">
        <f>IF(I63&gt;0,D63,B63)</f>
        <v/>
      </c>
      <c r="C64">
        <f>IF(I63&gt;0,C63,D63)</f>
        <v/>
      </c>
      <c r="D64">
        <f>(B64+C64)/2</f>
        <v/>
      </c>
      <c r="E64">
        <f>MIN(MAX(D64,0),h_sl)</f>
        <v/>
      </c>
      <c r="F64">
        <f>MIN(MAX(D64-af_sl,0),hfe_sl)</f>
        <v/>
      </c>
      <c r="G64">
        <f>bw_sl*E64*(D64-E64/2)+ov_sl*F64*(D64-af_sl-F64/2)+(aeS_sl-(D64&gt;y1_sl))*A1_sl*(D64-y1_sl)+(aeS_sl-(D64&gt;y2_sl))*A2_sl*(D64-y2_sl)</f>
        <v/>
      </c>
      <c r="H64">
        <f>bw_sl*(D64*yc_sl*E64-(D64+yc_sl)*E64^2/2+E64^3/3)+ov_sl*((D64-af_sl)*(yc_sl-af_sl)*F64-(D64+yc_sl-2*af_sl)*F64^2/2+F64^3/3)+(aeS_sl-(D64&gt;y1_sl))*A1_sl*(D64-y1_sl)*(yc_sl-y1_sl)+(aeS_sl-(D64&gt;y2_sl))*A2_sl*(D64-y2_sl)*(yc_sl-y2_sl)</f>
        <v/>
      </c>
      <c r="I64">
        <f>-G64</f>
        <v/>
      </c>
      <c r="K64">
        <f>IF(R63&gt;0,M63,K63)</f>
        <v/>
      </c>
      <c r="L64">
        <f>IF(R63&gt;0,L63,M63)</f>
        <v/>
      </c>
      <c r="M64">
        <f>(K64+L64)/2</f>
        <v/>
      </c>
      <c r="N64">
        <f>MIN(MAX(M64,0),h_sl)</f>
        <v/>
      </c>
      <c r="O64">
        <f>MIN(MAX(M64-af_sl,0),hfe_sl)</f>
        <v/>
      </c>
      <c r="P64">
        <f>bw_sl*N64*(M64-N64/2)+ov_sl*O64*(M64-af_sl-O64/2)+(aeL_sl-(M64&gt;y1_sl))*A1_sl*(M64-y1_sl)+(aeL_sl-(M64&gt;y2_sl))*A2_sl*(M64-y2_sl)</f>
        <v/>
      </c>
      <c r="Q64">
        <f>bw_sl*(M64*yc_sl*N64-(M64+yc_sl)*N64^2/2+N64^3/3)+ov_sl*((M64-af_sl)*(yc_sl-af_sl)*O64-(M64+yc_sl-2*af_sl)*O64^2/2+O64^3/3)+(aeL_sl-(M64&gt;y1_sl))*A1_sl*(M64-y1_sl)*(yc_sl-y1_sl)+(aeL_sl-(M64&gt;y2_sl))*A2_sl*(M64-y2_sl)*(yc_sl-y2_sl)</f>
        <v/>
      </c>
      <c r="R64">
        <f>-P64</f>
        <v/>
      </c>
      <c r="T64">
        <f>IF(AA63&gt;0,V63,T63)</f>
        <v/>
      </c>
      <c r="U64">
        <f>IF(AA63&gt;0,U63,V63)</f>
        <v/>
      </c>
      <c r="V64">
        <f>(T64+U64)/2</f>
        <v/>
      </c>
      <c r="W64">
        <f>MIN(MAX(V64,0),h_sl)</f>
        <v/>
      </c>
      <c r="X64">
        <f>MIN(MAX(V64-af_sl,0),hfe_sl)</f>
        <v/>
      </c>
      <c r="Y64">
        <f>bw_sl*W64*(V64-W64/2)+ov_sl*X64*(V64-af_sl-X64/2)+(aeM_sl-(V64&gt;y1_sl))*A1_sl*(V64-y1_sl)+(aeM_sl-(V64&gt;y2_sl))*A2_sl*(V64-y2_sl)</f>
        <v/>
      </c>
      <c r="Z64">
        <f>bw_sl*(V64*yc_sl*W64-(V64+yc_sl)*W64^2/2+W64^3/3)+ov_sl*((V64-af_sl)*(yc_sl-af_sl)*X64-(V64+yc_sl-2*af_sl)*X64^2/2+X64^3/3)+(aeM_sl-(V64&gt;y1_sl))*A1_sl*(V64-y1_sl)*(yc_sl-y1_sl)+(aeM_sl-(V64&gt;y2_sl))*A2_sl*(V64-y2_sl)*(yc_sl-y2_sl)</f>
        <v/>
      </c>
      <c r="AA64">
        <f>-Y64</f>
        <v/>
      </c>
      <c r="AC64">
        <f>IF(AJ63&gt;0,AE63,AC63)</f>
        <v/>
      </c>
      <c r="AD64">
        <f>IF(AJ63&gt;0,AD63,AE63)</f>
        <v/>
      </c>
      <c r="AE64">
        <f>(AC64+AD64)/2</f>
        <v/>
      </c>
      <c r="AF64">
        <f>MIN(MAX(AE64,0),h_sl)</f>
        <v/>
      </c>
      <c r="AG64">
        <f>MIN(MAX(AE64-af_sl,0),hfe_sl)</f>
        <v/>
      </c>
      <c r="AH64">
        <f>bw_sl*AF64*(AE64-AF64/2)+ov_sl*AG64*(AE64-af_sl-AG64/2)+(aeS_sl-(AE64&gt;y1_sl))*A1_sl*(AE64-y1_sl)+(aeS_sl-(AE64&gt;y2_sl))*A2_sl*(AE64-y2_sl)</f>
        <v/>
      </c>
      <c r="AI64">
        <f>bw_sl*(AE64*yc_sl*AF64-(AE64+yc_sl)*AF64^2/2+AF64^3/3)+ov_sl*((AE64-af_sl)*(yc_sl-af_sl)*AG64-(AE64+yc_sl-2*af_sl)*AG64^2/2+AG64^3/3)+(aeS_sl-(AE64&gt;y1_sl))*A1_sl*(AE64-y1_sl)*(yc_sl-y1_sl)+(aeS_sl-(AE64&gt;y2_sl))*A2_sl*(AE64-y2_sl)*(yc_sl-y2_sl)</f>
        <v/>
      </c>
      <c r="AJ64">
        <f>Nk_sl*1000*AI64-Mk_sl*1E6*AH64</f>
        <v/>
      </c>
      <c r="AL64">
        <f>IF(AS63&gt;0,AN63,AL63)</f>
        <v/>
      </c>
      <c r="AM64">
        <f>IF(AS63&gt;0,AM63,AN63)</f>
        <v/>
      </c>
      <c r="AN64">
        <f>(AL64+AM64)/2</f>
        <v/>
      </c>
      <c r="AO64">
        <f>MIN(MAX(AN64,0),h_sl)</f>
        <v/>
      </c>
      <c r="AP64">
        <f>MIN(MAX(AN64-af_sl,0),hfe_sl)</f>
        <v/>
      </c>
      <c r="AQ64">
        <f>bw_sl*AO64*(AN64-AO64/2)+ov_sl*AP64*(AN64-af_sl-AP64/2)+(aeL_sl-(AN64&gt;y1_sl))*A1_sl*(AN64-y1_sl)+(aeL_sl-(AN64&gt;y2_sl))*A2_sl*(AN64-y2_sl)</f>
        <v/>
      </c>
      <c r="AR64">
        <f>bw_sl*(AN64*yc_sl*AO64-(AN64+yc_sl)*AO64^2/2+AO64^3/3)+ov_sl*((AN64-af_sl)*(yc_sl-af_sl)*AP64-(AN64+yc_sl-2*af_sl)*AP64^2/2+AP64^3/3)+(aeL_sl-(AN64&gt;y1_sl))*A1_sl*(AN64-y1_sl)*(yc_sl-y1_sl)+(aeL_sl-(AN64&gt;y2_sl))*A2_sl*(AN64-y2_sl)*(yc_sl-y2_sl)</f>
        <v/>
      </c>
      <c r="AS64">
        <f>Nk_sl*1000*AR64-Mk_sl*1E6*AQ64</f>
        <v/>
      </c>
      <c r="AU64">
        <f>IF(BB63&gt;0,AW63,AU63)</f>
        <v/>
      </c>
      <c r="AV64">
        <f>IF(BB63&gt;0,AV63,AW63)</f>
        <v/>
      </c>
      <c r="AW64">
        <f>(AU64+AV64)/2</f>
        <v/>
      </c>
      <c r="AX64">
        <f>MIN(MAX(AW64,0),h_sl)</f>
        <v/>
      </c>
      <c r="AY64">
        <f>MIN(MAX(AW64-af_sl,0),hfe_sl)</f>
        <v/>
      </c>
      <c r="AZ64">
        <f>bw_sl*AX64*(AW64-AX64/2)+ov_sl*AY64*(AW64-af_sl-AY64/2)+(aeS_sl-(AW64&gt;y1_sl))*A1_sl*(AW64-y1_sl)+(aeS_sl-(AW64&gt;y2_sl))*A2_sl*(AW64-y2_sl)</f>
        <v/>
      </c>
      <c r="BA64">
        <f>bw_sl*(AW64*yc_sl*AX64-(AW64+yc_sl)*AX64^2/2+AX64^3/3)+ov_sl*((AW64-af_sl)*(yc_sl-af_sl)*AY64-(AW64+yc_sl-2*af_sl)*AY64^2/2+AY64^3/3)+(aeS_sl-(AW64&gt;y1_sl))*A1_sl*(AW64-y1_sl)*(yc_sl-y1_sl)+(aeS_sl-(AW64&gt;y2_sl))*A2_sl*(AW64-y2_sl)*(yc_sl-y2_sl)</f>
        <v/>
      </c>
      <c r="BB64">
        <f>Nqp_sl*1000*BA64-Mqp_sl*1E6*AZ64</f>
        <v/>
      </c>
      <c r="BD64">
        <f>IF(BK63&gt;0,BF63,BD63)</f>
        <v/>
      </c>
      <c r="BE64">
        <f>IF(BK63&gt;0,BE63,BF63)</f>
        <v/>
      </c>
      <c r="BF64">
        <f>(BD64+BE64)/2</f>
        <v/>
      </c>
      <c r="BG64">
        <f>MIN(MAX(BF64,0),h_sl)</f>
        <v/>
      </c>
      <c r="BH64">
        <f>MIN(MAX(BF64-af_sl,0),hfe_sl)</f>
        <v/>
      </c>
      <c r="BI64">
        <f>bw_sl*BG64*(BF64-BG64/2)+ov_sl*BH64*(BF64-af_sl-BH64/2)+(aeL_sl-(BF64&gt;y1_sl))*A1_sl*(BF64-y1_sl)+(aeL_sl-(BF64&gt;y2_sl))*A2_sl*(BF64-y2_sl)</f>
        <v/>
      </c>
      <c r="BJ64">
        <f>bw_sl*(BF64*yc_sl*BG64-(BF64+yc_sl)*BG64^2/2+BG64^3/3)+ov_sl*((BF64-af_sl)*(yc_sl-af_sl)*BH64-(BF64+yc_sl-2*af_sl)*BH64^2/2+BH64^3/3)+(aeL_sl-(BF64&gt;y1_sl))*A1_sl*(BF64-y1_sl)*(yc_sl-y1_sl)+(aeL_sl-(BF64&gt;y2_sl))*A2_sl*(BF64-y2_sl)*(yc_sl-y2_sl)</f>
        <v/>
      </c>
      <c r="BK64">
        <f>Nqp_sl*1000*BJ64-Mqp_sl*1E6*BI64</f>
        <v/>
      </c>
      <c r="BM64">
        <f>IF(BT63&gt;0,BO63,BM63)</f>
        <v/>
      </c>
      <c r="BN64">
        <f>IF(BT63&gt;0,BN63,BO63)</f>
        <v/>
      </c>
      <c r="BO64">
        <f>(BM64+BN64)/2</f>
        <v/>
      </c>
      <c r="BP64">
        <f>MIN(MAX(BO64,0),h_sl)</f>
        <v/>
      </c>
      <c r="BQ64">
        <f>MIN(MAX(BO64-af_sl,0),hfe_sl)</f>
        <v/>
      </c>
      <c r="BR64">
        <f>bw_sl*BP64*(BO64-BP64/2)+ov_sl*BQ64*(BO64-af_sl-BQ64/2)+(aeS_sl-(BO64&gt;y1_sl))*A1_sl*(BO64-y1_sl)+(aeS_sl-(BO64&gt;y2_sl))*A2_sl*(BO64-y2_sl)</f>
        <v/>
      </c>
      <c r="BS64">
        <f>bw_sl*(BO64*yc_sl*BP64-(BO64+yc_sl)*BP64^2/2+BP64^3/3)+ov_sl*((BO64-af_sl)*(yc_sl-af_sl)*BQ64-(BO64+yc_sl-2*af_sl)*BQ64^2/2+BQ64^3/3)+(aeS_sl-(BO64&gt;y1_sl))*A1_sl*(BO64-y1_sl)*(yc_sl-y1_sl)+(aeS_sl-(BO64&gt;y2_sl))*A2_sl*(BO64-y2_sl)*(yc_sl-y2_sl)</f>
        <v/>
      </c>
      <c r="BT64">
        <f>dN_sl*1000*BS64-dM_sl*1E6*BR64</f>
        <v/>
      </c>
      <c r="BV64">
        <f>IF(CC63&gt;0,BX63,BV63)</f>
        <v/>
      </c>
      <c r="BW64">
        <f>IF(CC63&gt;0,BW63,BX63)</f>
        <v/>
      </c>
      <c r="BX64">
        <f>(BV64+BW64)/2</f>
        <v/>
      </c>
      <c r="BY64">
        <f>MIN(MAX(BX64,0),h_sl)</f>
        <v/>
      </c>
      <c r="BZ64">
        <f>MIN(MAX(BX64-af_sl,0),hfe_sl)</f>
        <v/>
      </c>
      <c r="CA64">
        <f>bw_sl*BY64*(BX64-BY64/2)+ov_sl*BZ64*(BX64-af_sl-BZ64/2)+(aeM_sl-(BX64&gt;y1_sl))*A1_sl*(BX64-y1_sl)+(aeM_sl-(BX64&gt;y2_sl))*A2_sl*(BX64-y2_sl)</f>
        <v/>
      </c>
      <c r="CB64">
        <f>bw_sl*(BX64*yc_sl*BY64-(BX64+yc_sl)*BY64^2/2+BY64^3/3)+ov_sl*((BX64-af_sl)*(yc_sl-af_sl)*BZ64-(BX64+yc_sl-2*af_sl)*BZ64^2/2+BZ64^3/3)+(aeM_sl-(BX64&gt;y1_sl))*A1_sl*(BX64-y1_sl)*(yc_sl-y1_sl)+(aeM_sl-(BX64&gt;y2_sl))*A2_sl*(BX64-y2_sl)*(yc_sl-y2_sl)</f>
        <v/>
      </c>
      <c r="CC64">
        <f>Nk_sl*1000*CB64-Mk_sl*1E6*CA64</f>
        <v/>
      </c>
    </row>
    <row r="65">
      <c r="B65">
        <f>IF(I64&gt;0,D64,B64)</f>
        <v/>
      </c>
      <c r="C65">
        <f>IF(I64&gt;0,C64,D64)</f>
        <v/>
      </c>
      <c r="D65">
        <f>(B65+C65)/2</f>
        <v/>
      </c>
      <c r="E65">
        <f>MIN(MAX(D65,0),h_sl)</f>
        <v/>
      </c>
      <c r="F65">
        <f>MIN(MAX(D65-af_sl,0),hfe_sl)</f>
        <v/>
      </c>
      <c r="G65">
        <f>bw_sl*E65*(D65-E65/2)+ov_sl*F65*(D65-af_sl-F65/2)+(aeS_sl-(D65&gt;y1_sl))*A1_sl*(D65-y1_sl)+(aeS_sl-(D65&gt;y2_sl))*A2_sl*(D65-y2_sl)</f>
        <v/>
      </c>
      <c r="H65">
        <f>bw_sl*(D65*yc_sl*E65-(D65+yc_sl)*E65^2/2+E65^3/3)+ov_sl*((D65-af_sl)*(yc_sl-af_sl)*F65-(D65+yc_sl-2*af_sl)*F65^2/2+F65^3/3)+(aeS_sl-(D65&gt;y1_sl))*A1_sl*(D65-y1_sl)*(yc_sl-y1_sl)+(aeS_sl-(D65&gt;y2_sl))*A2_sl*(D65-y2_sl)*(yc_sl-y2_sl)</f>
        <v/>
      </c>
      <c r="I65">
        <f>-G65</f>
        <v/>
      </c>
      <c r="K65">
        <f>IF(R64&gt;0,M64,K64)</f>
        <v/>
      </c>
      <c r="L65">
        <f>IF(R64&gt;0,L64,M64)</f>
        <v/>
      </c>
      <c r="M65">
        <f>(K65+L65)/2</f>
        <v/>
      </c>
      <c r="N65">
        <f>MIN(MAX(M65,0),h_sl)</f>
        <v/>
      </c>
      <c r="O65">
        <f>MIN(MAX(M65-af_sl,0),hfe_sl)</f>
        <v/>
      </c>
      <c r="P65">
        <f>bw_sl*N65*(M65-N65/2)+ov_sl*O65*(M65-af_sl-O65/2)+(aeL_sl-(M65&gt;y1_sl))*A1_sl*(M65-y1_sl)+(aeL_sl-(M65&gt;y2_sl))*A2_sl*(M65-y2_sl)</f>
        <v/>
      </c>
      <c r="Q65">
        <f>bw_sl*(M65*yc_sl*N65-(M65+yc_sl)*N65^2/2+N65^3/3)+ov_sl*((M65-af_sl)*(yc_sl-af_sl)*O65-(M65+yc_sl-2*af_sl)*O65^2/2+O65^3/3)+(aeL_sl-(M65&gt;y1_sl))*A1_sl*(M65-y1_sl)*(yc_sl-y1_sl)+(aeL_sl-(M65&gt;y2_sl))*A2_sl*(M65-y2_sl)*(yc_sl-y2_sl)</f>
        <v/>
      </c>
      <c r="R65">
        <f>-P65</f>
        <v/>
      </c>
      <c r="T65">
        <f>IF(AA64&gt;0,V64,T64)</f>
        <v/>
      </c>
      <c r="U65">
        <f>IF(AA64&gt;0,U64,V64)</f>
        <v/>
      </c>
      <c r="V65">
        <f>(T65+U65)/2</f>
        <v/>
      </c>
      <c r="W65">
        <f>MIN(MAX(V65,0),h_sl)</f>
        <v/>
      </c>
      <c r="X65">
        <f>MIN(MAX(V65-af_sl,0),hfe_sl)</f>
        <v/>
      </c>
      <c r="Y65">
        <f>bw_sl*W65*(V65-W65/2)+ov_sl*X65*(V65-af_sl-X65/2)+(aeM_sl-(V65&gt;y1_sl))*A1_sl*(V65-y1_sl)+(aeM_sl-(V65&gt;y2_sl))*A2_sl*(V65-y2_sl)</f>
        <v/>
      </c>
      <c r="Z65">
        <f>bw_sl*(V65*yc_sl*W65-(V65+yc_sl)*W65^2/2+W65^3/3)+ov_sl*((V65-af_sl)*(yc_sl-af_sl)*X65-(V65+yc_sl-2*af_sl)*X65^2/2+X65^3/3)+(aeM_sl-(V65&gt;y1_sl))*A1_sl*(V65-y1_sl)*(yc_sl-y1_sl)+(aeM_sl-(V65&gt;y2_sl))*A2_sl*(V65-y2_sl)*(yc_sl-y2_sl)</f>
        <v/>
      </c>
      <c r="AA65">
        <f>-Y65</f>
        <v/>
      </c>
      <c r="AC65">
        <f>IF(AJ64&gt;0,AE64,AC64)</f>
        <v/>
      </c>
      <c r="AD65">
        <f>IF(AJ64&gt;0,AD64,AE64)</f>
        <v/>
      </c>
      <c r="AE65">
        <f>(AC65+AD65)/2</f>
        <v/>
      </c>
      <c r="AF65">
        <f>MIN(MAX(AE65,0),h_sl)</f>
        <v/>
      </c>
      <c r="AG65">
        <f>MIN(MAX(AE65-af_sl,0),hfe_sl)</f>
        <v/>
      </c>
      <c r="AH65">
        <f>bw_sl*AF65*(AE65-AF65/2)+ov_sl*AG65*(AE65-af_sl-AG65/2)+(aeS_sl-(AE65&gt;y1_sl))*A1_sl*(AE65-y1_sl)+(aeS_sl-(AE65&gt;y2_sl))*A2_sl*(AE65-y2_sl)</f>
        <v/>
      </c>
      <c r="AI65">
        <f>bw_sl*(AE65*yc_sl*AF65-(AE65+yc_sl)*AF65^2/2+AF65^3/3)+ov_sl*((AE65-af_sl)*(yc_sl-af_sl)*AG65-(AE65+yc_sl-2*af_sl)*AG65^2/2+AG65^3/3)+(aeS_sl-(AE65&gt;y1_sl))*A1_sl*(AE65-y1_sl)*(yc_sl-y1_sl)+(aeS_sl-(AE65&gt;y2_sl))*A2_sl*(AE65-y2_sl)*(yc_sl-y2_sl)</f>
        <v/>
      </c>
      <c r="AJ65">
        <f>Nk_sl*1000*AI65-Mk_sl*1E6*AH65</f>
        <v/>
      </c>
      <c r="AL65">
        <f>IF(AS64&gt;0,AN64,AL64)</f>
        <v/>
      </c>
      <c r="AM65">
        <f>IF(AS64&gt;0,AM64,AN64)</f>
        <v/>
      </c>
      <c r="AN65">
        <f>(AL65+AM65)/2</f>
        <v/>
      </c>
      <c r="AO65">
        <f>MIN(MAX(AN65,0),h_sl)</f>
        <v/>
      </c>
      <c r="AP65">
        <f>MIN(MAX(AN65-af_sl,0),hfe_sl)</f>
        <v/>
      </c>
      <c r="AQ65">
        <f>bw_sl*AO65*(AN65-AO65/2)+ov_sl*AP65*(AN65-af_sl-AP65/2)+(aeL_sl-(AN65&gt;y1_sl))*A1_sl*(AN65-y1_sl)+(aeL_sl-(AN65&gt;y2_sl))*A2_sl*(AN65-y2_sl)</f>
        <v/>
      </c>
      <c r="AR65">
        <f>bw_sl*(AN65*yc_sl*AO65-(AN65+yc_sl)*AO65^2/2+AO65^3/3)+ov_sl*((AN65-af_sl)*(yc_sl-af_sl)*AP65-(AN65+yc_sl-2*af_sl)*AP65^2/2+AP65^3/3)+(aeL_sl-(AN65&gt;y1_sl))*A1_sl*(AN65-y1_sl)*(yc_sl-y1_sl)+(aeL_sl-(AN65&gt;y2_sl))*A2_sl*(AN65-y2_sl)*(yc_sl-y2_sl)</f>
        <v/>
      </c>
      <c r="AS65">
        <f>Nk_sl*1000*AR65-Mk_sl*1E6*AQ65</f>
        <v/>
      </c>
      <c r="AU65">
        <f>IF(BB64&gt;0,AW64,AU64)</f>
        <v/>
      </c>
      <c r="AV65">
        <f>IF(BB64&gt;0,AV64,AW64)</f>
        <v/>
      </c>
      <c r="AW65">
        <f>(AU65+AV65)/2</f>
        <v/>
      </c>
      <c r="AX65">
        <f>MIN(MAX(AW65,0),h_sl)</f>
        <v/>
      </c>
      <c r="AY65">
        <f>MIN(MAX(AW65-af_sl,0),hfe_sl)</f>
        <v/>
      </c>
      <c r="AZ65">
        <f>bw_sl*AX65*(AW65-AX65/2)+ov_sl*AY65*(AW65-af_sl-AY65/2)+(aeS_sl-(AW65&gt;y1_sl))*A1_sl*(AW65-y1_sl)+(aeS_sl-(AW65&gt;y2_sl))*A2_sl*(AW65-y2_sl)</f>
        <v/>
      </c>
      <c r="BA65">
        <f>bw_sl*(AW65*yc_sl*AX65-(AW65+yc_sl)*AX65^2/2+AX65^3/3)+ov_sl*((AW65-af_sl)*(yc_sl-af_sl)*AY65-(AW65+yc_sl-2*af_sl)*AY65^2/2+AY65^3/3)+(aeS_sl-(AW65&gt;y1_sl))*A1_sl*(AW65-y1_sl)*(yc_sl-y1_sl)+(aeS_sl-(AW65&gt;y2_sl))*A2_sl*(AW65-y2_sl)*(yc_sl-y2_sl)</f>
        <v/>
      </c>
      <c r="BB65">
        <f>Nqp_sl*1000*BA65-Mqp_sl*1E6*AZ65</f>
        <v/>
      </c>
      <c r="BD65">
        <f>IF(BK64&gt;0,BF64,BD64)</f>
        <v/>
      </c>
      <c r="BE65">
        <f>IF(BK64&gt;0,BE64,BF64)</f>
        <v/>
      </c>
      <c r="BF65">
        <f>(BD65+BE65)/2</f>
        <v/>
      </c>
      <c r="BG65">
        <f>MIN(MAX(BF65,0),h_sl)</f>
        <v/>
      </c>
      <c r="BH65">
        <f>MIN(MAX(BF65-af_sl,0),hfe_sl)</f>
        <v/>
      </c>
      <c r="BI65">
        <f>bw_sl*BG65*(BF65-BG65/2)+ov_sl*BH65*(BF65-af_sl-BH65/2)+(aeL_sl-(BF65&gt;y1_sl))*A1_sl*(BF65-y1_sl)+(aeL_sl-(BF65&gt;y2_sl))*A2_sl*(BF65-y2_sl)</f>
        <v/>
      </c>
      <c r="BJ65">
        <f>bw_sl*(BF65*yc_sl*BG65-(BF65+yc_sl)*BG65^2/2+BG65^3/3)+ov_sl*((BF65-af_sl)*(yc_sl-af_sl)*BH65-(BF65+yc_sl-2*af_sl)*BH65^2/2+BH65^3/3)+(aeL_sl-(BF65&gt;y1_sl))*A1_sl*(BF65-y1_sl)*(yc_sl-y1_sl)+(aeL_sl-(BF65&gt;y2_sl))*A2_sl*(BF65-y2_sl)*(yc_sl-y2_sl)</f>
        <v/>
      </c>
      <c r="BK65">
        <f>Nqp_sl*1000*BJ65-Mqp_sl*1E6*BI65</f>
        <v/>
      </c>
      <c r="BM65">
        <f>IF(BT64&gt;0,BO64,BM64)</f>
        <v/>
      </c>
      <c r="BN65">
        <f>IF(BT64&gt;0,BN64,BO64)</f>
        <v/>
      </c>
      <c r="BO65">
        <f>(BM65+BN65)/2</f>
        <v/>
      </c>
      <c r="BP65">
        <f>MIN(MAX(BO65,0),h_sl)</f>
        <v/>
      </c>
      <c r="BQ65">
        <f>MIN(MAX(BO65-af_sl,0),hfe_sl)</f>
        <v/>
      </c>
      <c r="BR65">
        <f>bw_sl*BP65*(BO65-BP65/2)+ov_sl*BQ65*(BO65-af_sl-BQ65/2)+(aeS_sl-(BO65&gt;y1_sl))*A1_sl*(BO65-y1_sl)+(aeS_sl-(BO65&gt;y2_sl))*A2_sl*(BO65-y2_sl)</f>
        <v/>
      </c>
      <c r="BS65">
        <f>bw_sl*(BO65*yc_sl*BP65-(BO65+yc_sl)*BP65^2/2+BP65^3/3)+ov_sl*((BO65-af_sl)*(yc_sl-af_sl)*BQ65-(BO65+yc_sl-2*af_sl)*BQ65^2/2+BQ65^3/3)+(aeS_sl-(BO65&gt;y1_sl))*A1_sl*(BO65-y1_sl)*(yc_sl-y1_sl)+(aeS_sl-(BO65&gt;y2_sl))*A2_sl*(BO65-y2_sl)*(yc_sl-y2_sl)</f>
        <v/>
      </c>
      <c r="BT65">
        <f>dN_sl*1000*BS65-dM_sl*1E6*BR65</f>
        <v/>
      </c>
      <c r="BV65">
        <f>IF(CC64&gt;0,BX64,BV64)</f>
        <v/>
      </c>
      <c r="BW65">
        <f>IF(CC64&gt;0,BW64,BX64)</f>
        <v/>
      </c>
      <c r="BX65">
        <f>(BV65+BW65)/2</f>
        <v/>
      </c>
      <c r="BY65">
        <f>MIN(MAX(BX65,0),h_sl)</f>
        <v/>
      </c>
      <c r="BZ65">
        <f>MIN(MAX(BX65-af_sl,0),hfe_sl)</f>
        <v/>
      </c>
      <c r="CA65">
        <f>bw_sl*BY65*(BX65-BY65/2)+ov_sl*BZ65*(BX65-af_sl-BZ65/2)+(aeM_sl-(BX65&gt;y1_sl))*A1_sl*(BX65-y1_sl)+(aeM_sl-(BX65&gt;y2_sl))*A2_sl*(BX65-y2_sl)</f>
        <v/>
      </c>
      <c r="CB65">
        <f>bw_sl*(BX65*yc_sl*BY65-(BX65+yc_sl)*BY65^2/2+BY65^3/3)+ov_sl*((BX65-af_sl)*(yc_sl-af_sl)*BZ65-(BX65+yc_sl-2*af_sl)*BZ65^2/2+BZ65^3/3)+(aeM_sl-(BX65&gt;y1_sl))*A1_sl*(BX65-y1_sl)*(yc_sl-y1_sl)+(aeM_sl-(BX65&gt;y2_sl))*A2_sl*(BX65-y2_sl)*(yc_sl-y2_sl)</f>
        <v/>
      </c>
      <c r="CC65">
        <f>Nk_sl*1000*CB65-Mk_sl*1E6*CA65</f>
        <v/>
      </c>
    </row>
  </sheetData>
  <sheetProtection selectLockedCells="0" selectUnlockedCells="0" sheet="1" objects="1" insertRows="1" insertHyperlinks="1" autoFilter="1" scenarios="0" formatColumns="1" deleteColumns="1" insertColumns="1" pivotTables="1" deleteRows="1" formatCells="1" formatRows="1" sort="1" password="AA0A"/>
  <pageMargins left="0.75" right="0.75" top="1" bottom="1" header="0.5" footer="0.5"/>
</worksheet>
</file>

<file path=xl/worksheets/sheet5.xml><?xml version="1.0" encoding="utf-8"?>
<worksheet xmlns="http://schemas.openxmlformats.org/spreadsheetml/2006/main">
  <sheetPr>
    <outlinePr summaryBelow="1" summaryRight="1"/>
    <pageSetUpPr fitToPage="1"/>
  </sheetPr>
  <dimension ref="B2:F28"/>
  <sheetViews>
    <sheetView showGridLines="0" tabSelected="0" workbookViewId="0">
      <selection activeCell="A1" sqref="A1"/>
    </sheetView>
  </sheetViews>
  <sheetFormatPr baseColWidth="8" defaultRowHeight="15"/>
  <cols>
    <col width="2.5" customWidth="1" min="1" max="1"/>
    <col width="34" customWidth="1" min="2" max="2"/>
    <col width="16" customWidth="1" min="3" max="3"/>
    <col width="12" customWidth="1" min="4" max="4"/>
    <col width="12" customWidth="1" min="5" max="5"/>
    <col width="60" customWidth="1" min="6" max="6"/>
  </cols>
  <sheetData>
    <row r="2">
      <c r="B2" s="49" t="inlineStr">
        <is>
          <t>Nationally Determined Parameters</t>
        </is>
      </c>
    </row>
    <row r="3">
      <c r="B3" s="16" t="inlineStr">
        <is>
          <t>Values used by the Calculation sheet for the selected National Annex. Sources: UK NA to BS EN 1992-1-1:2004, Table NA.1; PN-EN 1992-1-1:2008, Załącznik krajowy NA. Edit only if your project specifies different values.</t>
        </is>
      </c>
    </row>
    <row r="5">
      <c r="B5" s="50" t="inlineStr">
        <is>
          <t>Parameter</t>
        </is>
      </c>
      <c r="C5" s="50" t="inlineStr">
        <is>
          <t>Clause</t>
        </is>
      </c>
      <c r="D5" s="50" t="inlineStr">
        <is>
          <t>UK NA</t>
        </is>
      </c>
      <c r="E5" s="50" t="inlineStr">
        <is>
          <t>PL NA</t>
        </is>
      </c>
      <c r="F5" s="50" t="inlineStr">
        <is>
          <t>Notes</t>
        </is>
      </c>
    </row>
    <row r="6">
      <c r="B6" s="51" t="inlineStr">
        <is>
          <t>Partial factor, concrete  γc</t>
        </is>
      </c>
      <c r="C6" s="52" t="inlineStr">
        <is>
          <t>2.4.2.4(1)</t>
        </is>
      </c>
      <c r="D6" s="53" t="n">
        <v>1.5</v>
      </c>
      <c r="E6" s="53" t="n">
        <v>1.4</v>
      </c>
      <c r="F6" s="52" t="inlineStr">
        <is>
          <t>Persistent &amp; transient. UK NA: recommended; PL: NA.2, Table NA.2</t>
        </is>
      </c>
    </row>
    <row r="7">
      <c r="B7" s="51" t="inlineStr">
        <is>
          <t>Partial factor, reinforcement  γs</t>
        </is>
      </c>
      <c r="C7" s="52" t="inlineStr">
        <is>
          <t>2.4.2.4(1)</t>
        </is>
      </c>
      <c r="D7" s="53" t="n">
        <v>1.15</v>
      </c>
      <c r="E7" s="53" t="n">
        <v>1.15</v>
      </c>
      <c r="F7" s="52" t="inlineStr">
        <is>
          <t>UK NA: recommended; PL: NA.2, Table NA.2</t>
        </is>
      </c>
    </row>
    <row r="8">
      <c r="B8" s="51" t="inlineStr">
        <is>
          <t>αcc  (compression in flexure / axial)</t>
        </is>
      </c>
      <c r="C8" s="52" t="inlineStr">
        <is>
          <t>3.1.6(1)</t>
        </is>
      </c>
      <c r="D8" s="53" t="n">
        <v>0.85</v>
      </c>
      <c r="E8" s="53" t="n">
        <v>1</v>
      </c>
      <c r="F8" s="52" t="inlineStr">
        <is>
          <t>UK NA: 0.85; PL: recommended (NA.9)</t>
        </is>
      </c>
    </row>
    <row r="9">
      <c r="B9" s="51" t="inlineStr">
        <is>
          <t>αcc,pl  (plain concrete, compression)</t>
        </is>
      </c>
      <c r="C9" s="52" t="inlineStr">
        <is>
          <t>12.3.1(1)</t>
        </is>
      </c>
      <c r="D9" s="53" t="n">
        <v>0.6</v>
      </c>
      <c r="E9" s="53" t="n">
        <v>0.8</v>
      </c>
      <c r="F9" s="52" t="inlineStr">
        <is>
          <t>UK NA Table NA.1: 0.6; PL: recommended (NA.9)</t>
        </is>
      </c>
    </row>
    <row r="10">
      <c r="B10" s="51" t="inlineStr">
        <is>
          <t>αcc  (shear and punching)</t>
        </is>
      </c>
      <c r="C10" s="52" t="inlineStr">
        <is>
          <t>3.1.6(1)</t>
        </is>
      </c>
      <c r="D10" s="53" t="n">
        <v>1</v>
      </c>
      <c r="E10" s="53" t="n">
        <v>1</v>
      </c>
      <c r="F10" s="52" t="inlineStr">
        <is>
          <t>UK NA: 1.0 for other phenomena; PL: recommended (NA.9)</t>
        </is>
      </c>
    </row>
    <row r="11">
      <c r="B11" s="51" t="inlineStr">
        <is>
          <t>αct  (design tensile strength)</t>
        </is>
      </c>
      <c r="C11" s="52" t="inlineStr">
        <is>
          <t>3.1.6(2)</t>
        </is>
      </c>
      <c r="D11" s="53" t="n">
        <v>1</v>
      </c>
      <c r="E11" s="53" t="n">
        <v>1</v>
      </c>
      <c r="F11" s="52" t="inlineStr">
        <is>
          <t>Recommended value in both annexes</t>
        </is>
      </c>
    </row>
    <row r="12">
      <c r="B12" s="51" t="inlineStr">
        <is>
          <t>CRd,c numerator  (CRd,c = value / γc)</t>
        </is>
      </c>
      <c r="C12" s="52" t="inlineStr">
        <is>
          <t>6.2.2(1), 6.4.4(1)</t>
        </is>
      </c>
      <c r="D12" s="53" t="n">
        <v>0.18</v>
      </c>
      <c r="E12" s="53" t="n">
        <v>0.18</v>
      </c>
      <c r="F12" s="52" t="inlineStr">
        <is>
          <t>Recommended value in both annexes</t>
        </is>
      </c>
    </row>
    <row r="13">
      <c r="B13" s="51" t="inlineStr">
        <is>
          <t>k1  (axial stress term, punching)</t>
        </is>
      </c>
      <c r="C13" s="52" t="inlineStr">
        <is>
          <t>6.4.4(1)</t>
        </is>
      </c>
      <c r="D13" s="53" t="n">
        <v>0.1</v>
      </c>
      <c r="E13" s="53" t="n">
        <v>0.1</v>
      </c>
      <c r="F13" s="52" t="inlineStr">
        <is>
          <t>Recommended value in both annexes</t>
        </is>
      </c>
    </row>
    <row r="14">
      <c r="B14" s="51" t="inlineStr">
        <is>
          <t>vRd,max factor  (vRd,max = factor · ν · fcd)</t>
        </is>
      </c>
      <c r="C14" s="52" t="inlineStr">
        <is>
          <t>6.4.5(3)</t>
        </is>
      </c>
      <c r="D14" s="53" t="n">
        <v>0.5</v>
      </c>
      <c r="E14" s="53" t="n">
        <v>0.4</v>
      </c>
      <c r="F14" s="52" t="inlineStr">
        <is>
          <t>UK NA: 0.5 ν fcd; PL: recommended value (NA.9), 0.4 ν fcd since EN 1992-1-1 AC:2010 (PN-EN 1992-1-1:2008/AC:2011)</t>
        </is>
      </c>
    </row>
    <row r="15">
      <c r="B15" s="51" t="inlineStr">
        <is>
          <t>kmax  (vEd ≤ kmax · vRd,c at u1)</t>
        </is>
      </c>
      <c r="C15" s="52" t="inlineStr">
        <is>
          <t>6.4.5</t>
        </is>
      </c>
      <c r="D15" s="53" t="n">
        <v>2</v>
      </c>
      <c r="E15" s="53" t="n">
        <v>1.5</v>
      </c>
      <c r="F15" s="52" t="inlineStr">
        <is>
          <t>UK NA 6.4.5(3): 2 vRd,c. PL: no limit in PN-EN 1992-1-1:2008; 1.5 (A1:2014 recommendation) applied conservatively</t>
        </is>
      </c>
    </row>
    <row r="16">
      <c r="B16" s="51" t="inlineStr">
        <is>
          <t>φlarge  (large bar threshold, mm)</t>
        </is>
      </c>
      <c r="C16" s="52" t="inlineStr">
        <is>
          <t>8.8(1)</t>
        </is>
      </c>
      <c r="D16" s="53" t="n">
        <v>40</v>
      </c>
      <c r="E16" s="53" t="n">
        <v>32</v>
      </c>
      <c r="F16" s="52" t="inlineStr">
        <is>
          <t>UK NA: 40 mm; PL: 32 mm recommended (NA.9)</t>
        </is>
      </c>
    </row>
    <row r="17">
      <c r="B17" s="51" t="inlineStr">
        <is>
          <t>cot θ upper limit  (variable strut)</t>
        </is>
      </c>
      <c r="C17" s="52" t="inlineStr">
        <is>
          <t>6.2.3(2)</t>
        </is>
      </c>
      <c r="D17" s="53" t="n">
        <v>2.5</v>
      </c>
      <c r="E17" s="53" t="n">
        <v>2</v>
      </c>
      <c r="F17" s="52" t="inlineStr">
        <is>
          <t>UK NA: 2.5 (1.25 with axial tension); PL: NA.4, 1 ≤ cot θ ≤ 2.0</t>
        </is>
      </c>
    </row>
    <row r="18">
      <c r="B18" s="51" t="inlineStr">
        <is>
          <t>k1  (x/d limit, δ ≥ k1 + k2 xu/d)</t>
        </is>
      </c>
      <c r="C18" s="52" t="inlineStr">
        <is>
          <t>5.5(4)</t>
        </is>
      </c>
      <c r="D18" s="53" t="n">
        <v>0.4</v>
      </c>
      <c r="E18" s="53" t="n">
        <v>0.44</v>
      </c>
      <c r="F18" s="52" t="inlineStr">
        <is>
          <t>UK NA for fyk ≤ 500 MPa; PL: recommended (NA.9)</t>
        </is>
      </c>
    </row>
    <row r="19">
      <c r="B19" s="51" t="inlineStr">
        <is>
          <t>k2  (x/d limit, εcu2 = 0.0035)</t>
        </is>
      </c>
      <c r="C19" s="52" t="inlineStr">
        <is>
          <t>5.5(4)</t>
        </is>
      </c>
      <c r="D19" s="53" t="n">
        <v>1</v>
      </c>
      <c r="E19" s="53" t="n">
        <v>1.25</v>
      </c>
      <c r="F19" s="52" t="inlineStr">
        <is>
          <t>UK NA: 0.6 + 0.0014/εcu2; PL: 1.25(0.6 + 0.0014/εcu2)</t>
        </is>
      </c>
    </row>
    <row r="20">
      <c r="B20" s="51" t="inlineStr">
        <is>
          <t>Upper limit on the (310/σs) factor  (0 = none)</t>
        </is>
      </c>
      <c r="C20" s="52" t="inlineStr">
        <is>
          <t>7.4.2(2)</t>
        </is>
      </c>
      <c r="D20" s="53" t="n">
        <v>1.5</v>
      </c>
      <c r="E20" s="53" t="n">
        <v>0</v>
      </c>
      <c r="F20" s="52" t="inlineStr">
        <is>
          <t>UK NA Table NA.5 Note 5: (310/σs) or (500/fyk)(As,prov/As,req) ≤ 1.5; PL: none</t>
        </is>
      </c>
    </row>
    <row r="21">
      <c r="B21" s="51" t="inlineStr">
        <is>
          <t>L/d not to exceed 40 K  (1 = applies)</t>
        </is>
      </c>
      <c r="C21" s="52" t="inlineStr">
        <is>
          <t>7.4.2(2)</t>
        </is>
      </c>
      <c r="D21" s="53" t="n">
        <v>1</v>
      </c>
      <c r="E21" s="53" t="n">
        <v>0</v>
      </c>
      <c r="F21" s="52" t="inlineStr">
        <is>
          <t>UK NA Table NA.5 Note 6; not in EN text</t>
        </is>
      </c>
    </row>
    <row r="22">
      <c r="B22" s="51" t="inlineStr">
        <is>
          <t>φmin  (longitudinal bars in columns, mm)</t>
        </is>
      </c>
      <c r="C22" s="52" t="inlineStr">
        <is>
          <t>9.5.2(1)</t>
        </is>
      </c>
      <c r="D22" s="53" t="n">
        <v>12</v>
      </c>
      <c r="E22" s="53" t="n">
        <v>6</v>
      </c>
      <c r="F22" s="52" t="inlineStr">
        <is>
          <t>UK NA: 12 mm; PL: NA.6, 6 mm</t>
        </is>
      </c>
    </row>
    <row r="23">
      <c r="B23" s="51" t="inlineStr">
        <is>
          <t>k3  (crack spacing)</t>
        </is>
      </c>
      <c r="C23" s="52" t="inlineStr">
        <is>
          <t>7.3.4(3)</t>
        </is>
      </c>
      <c r="D23" s="53" t="n">
        <v>3.4</v>
      </c>
      <c r="E23" s="53" t="n">
        <v>3.4</v>
      </c>
      <c r="F23" s="52" t="inlineStr">
        <is>
          <t>Recommended value in both annexes</t>
        </is>
      </c>
    </row>
    <row r="24">
      <c r="B24" s="51" t="inlineStr">
        <is>
          <t>k4  (crack spacing)</t>
        </is>
      </c>
      <c r="C24" s="52" t="inlineStr">
        <is>
          <t>7.3.4(3)</t>
        </is>
      </c>
      <c r="D24" s="53" t="n">
        <v>0.425</v>
      </c>
      <c r="E24" s="53" t="n">
        <v>0.425</v>
      </c>
      <c r="F24" s="52" t="inlineStr">
        <is>
          <t>Recommended value in both annexes</t>
        </is>
      </c>
    </row>
    <row r="25">
      <c r="B25" s="51" t="inlineStr">
        <is>
          <t>k1  (concrete stress, characteristic; XD, XF, XS)</t>
        </is>
      </c>
      <c r="C25" s="52" t="inlineStr">
        <is>
          <t>7.2(2)</t>
        </is>
      </c>
      <c r="D25" s="53" t="n">
        <v>0.6</v>
      </c>
      <c r="E25" s="53" t="n">
        <v>1</v>
      </c>
      <c r="F25" s="52" t="inlineStr">
        <is>
          <t>UK NA: recommended; PL: NA.5, k1 = 1.0</t>
        </is>
      </c>
    </row>
    <row r="26">
      <c r="B26" s="51" t="inlineStr">
        <is>
          <t>k2  (concrete stress, quasi-permanent; linear creep)</t>
        </is>
      </c>
      <c r="C26" s="52" t="inlineStr">
        <is>
          <t>7.2(3)</t>
        </is>
      </c>
      <c r="D26" s="53" t="n">
        <v>0.45</v>
      </c>
      <c r="E26" s="53" t="n">
        <v>0.45</v>
      </c>
      <c r="F26" s="52" t="inlineStr">
        <is>
          <t>Recommended value in both annexes (UK NA; PL NA.9)</t>
        </is>
      </c>
    </row>
    <row r="27">
      <c r="B27" s="51" t="inlineStr">
        <is>
          <t>k3  (steel stress, characteristic)</t>
        </is>
      </c>
      <c r="C27" s="52" t="inlineStr">
        <is>
          <t>7.2(5)</t>
        </is>
      </c>
      <c r="D27" s="53" t="n">
        <v>0.8</v>
      </c>
      <c r="E27" s="53" t="n">
        <v>0.8</v>
      </c>
      <c r="F27" s="52" t="inlineStr">
        <is>
          <t>Recommended value in both annexes (UK NA; PL NA.9)</t>
        </is>
      </c>
    </row>
    <row r="28">
      <c r="B28" s="51" t="inlineStr">
        <is>
          <t>k4  (steel stress, imposed deformation)</t>
        </is>
      </c>
      <c r="C28" s="52" t="inlineStr">
        <is>
          <t>7.2(5)</t>
        </is>
      </c>
      <c r="D28" s="53" t="n">
        <v>1</v>
      </c>
      <c r="E28" s="53" t="n">
        <v>1</v>
      </c>
      <c r="F28" s="52" t="inlineStr">
        <is>
          <t>Recommended value in both annexes (UK NA; PL NA.9)</t>
        </is>
      </c>
    </row>
  </sheetData>
  <sheetProtection selectLockedCells="0" selectUnlockedCells="0" sheet="1" objects="1" insertRows="1" insertHyperlinks="1" autoFilter="1" scenarios="0" formatColumns="1" deleteColumns="1" insertColumns="1" pivotTables="1" deleteRows="1" formatCells="1" formatRows="1" sort="1" password="AA0A"/>
  <printOptions horizontalCentered="1"/>
  <pageMargins left="0.4" right="0.4" top="0.4" bottom="0.6" header="0.5" footer="0.5"/>
  <pageSetup orientation="landscape" paperSize="9" fitToHeight="0" fitToWidth="1"/>
  <headerFooter>
    <oddHeader/>
    <oddFooter>&amp;L&amp;7 &amp;K8A8A8ANA Engineering sp. z o.o.  ·  naengineering.uk  ·  adrian@naengineering.uk  ·  +48 505 844 422&amp;C&amp;7 &amp;K8A8A8A&amp;P / &amp;N&amp;R&amp;7 &amp;K8A8A8ANAE-RC-047  v1.0</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NA Engineering sp. z o.o.</dc:creator>
  <dc:title xmlns:dc="http://purl.org/dc/elements/1.1/">NAE-RC-047 Stress limitation</dc:title>
  <dc:subject xmlns:dc="http://purl.org/dc/elements/1.1/">Serviceability stresses  ·  EN 1992-1-1 §7.2  ·  UK NA / PN-EN</dc:subject>
  <dcterms:created xmlns:dcterms="http://purl.org/dc/terms/" xmlns:xsi="http://www.w3.org/2001/XMLSchema-instance" xsi:type="dcterms:W3CDTF">2026-10-30T10:58:43Z</dcterms:created>
  <dcterms:modified xmlns:dcterms="http://purl.org/dc/terms/" xmlns:xsi="http://www.w3.org/2001/XMLSchema-instance" xsi:type="dcterms:W3CDTF">2026-10-30T10:58:43Z</dcterms:modified>
  <cp:lastModifiedBy>NA Engineering sp. z o.o.</cp:lastModifiedBy>
  <cp:keywords>NA Engineering; Eurocode 2; EN 1992-1-1</cp:keywords>
</cp:coreProperties>
</file>