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hj_fyk">'Calculation'!$E$13</definedName>
    <definedName name="hj_dg">'Calculation'!$E$14</definedName>
    <definedName name="hj_b">'Calculation'!$E$15</definedName>
    <definedName name="hj_h">'Calculation'!$E$16</definedName>
    <definedName name="hj_hn">'Calculation'!$E$17</definedName>
    <definedName name="hj_ln">'Calculation'!$E$18</definedName>
    <definedName name="hj_xb">'Calculation'!$E$19</definedName>
    <definedName name="hj_lp">'Calculation'!$E$20</definedName>
    <definedName name="hj_bp">'Calculation'!$E$21</definedName>
    <definedName name="hj_c">'Calculation'!$E$22</definedName>
    <definedName name="hj_pt">'Calculation'!$E$25</definedName>
    <definedName name="hj_nt">'Calculation'!$E$26</definedName>
    <definedName name="hj_lt">'Calculation'!$E$27</definedName>
    <definedName name="hj_ph">'Calculation'!$E$28</definedName>
    <definedName name="hj_leg">'Calculation'!$E$29</definedName>
    <definedName name="hj_nh">'Calculation'!$E$30</definedName>
    <definedName name="hj_sh">'Calculation'!$E$31</definedName>
    <definedName name="hj_pb">'Calculation'!$E$32</definedName>
    <definedName name="hj_nb">'Calculation'!$E$33</definedName>
    <definedName name="hj_form">'Calculation'!$E$34</definedName>
    <definedName name="hj_pl">'Calculation'!$E$35</definedName>
    <definedName name="hj_nlv">'Calculation'!$E$36</definedName>
    <definedName name="hj_nlh">'Calculation'!$E$37</definedName>
    <definedName name="hj_cot">'Calculation'!$E$38</definedName>
    <definedName name="hj_VEd">'Calculation'!$E$41</definedName>
    <definedName name="hj_HEd">'Calculation'!$E$42</definedName>
    <definedName name="cotmax_hj">ndp_cot_max</definedName>
    <definedName name="inputs_ok">IFERROR(AND(OR(NA_sel="UK NA (BS EN)",NA_sel="PL NA (PN-EN)"),OR(conc_class="C20/25",conc_class="C25/30",conc_class="C28/35",conc_class="C30/37",conc_class="C32/40",conc_class="C35/45",conc_class="C40/50",conc_class="C45/55",conc_class="C50/60"),ISNUMBER(hj_fyk),hj_fyk&gt;0,ISNUMBER(hj_dg),hj_dg&gt;0,ISNUMBER(hj_b),hj_b&gt;0,ISNUMBER(hj_h),hj_h&gt;0,ISNUMBER(hj_hn),hj_hn&gt;0,ISNUMBER(hj_ln),hj_ln&gt;0,ISNUMBER(hj_xb),hj_xb&gt;0,ISNUMBER(hj_lp),hj_lp&gt;0,ISNUMBER(hj_bp),hj_bp&gt;0,ISNUMBER(hj_c),hj_c&gt;0,OR(AND(ISNUMBER(hj_pt),hj_pt=8),AND(ISNUMBER(hj_pt),hj_pt=10),AND(ISNUMBER(hj_pt),hj_pt=12),AND(ISNUMBER(hj_pt),hj_pt=16),AND(ISNUMBER(hj_pt),hj_pt=20),AND(ISNUMBER(hj_pt),hj_pt=25),AND(ISNUMBER(hj_pt),hj_pt=32),AND(ISNUMBER(hj_pt),hj_pt=40)),OR(AND(ISNUMBER(hj_nt),hj_nt=2),AND(ISNUMBER(hj_nt),hj_nt=3),AND(ISNUMBER(hj_nt),hj_nt=4),AND(ISNUMBER(hj_nt),hj_nt=5),AND(ISNUMBER(hj_nt),hj_nt=6),AND(ISNUMBER(hj_nt),hj_nt=7),AND(ISNUMBER(hj_nt),hj_nt=8),AND(ISNUMBER(hj_nt),hj_nt=9),AND(ISNUMBER(hj_nt),hj_nt=10)),ISNUMBER(hj_lt),hj_lt&gt;0,OR(AND(ISNUMBER(hj_ph),hj_ph=8),AND(ISNUMBER(hj_ph),hj_ph=10),AND(ISNUMBER(hj_ph),hj_ph=12),AND(ISNUMBER(hj_ph),hj_ph=16)),OR(AND(ISNUMBER(hj_leg),hj_leg=2),AND(ISNUMBER(hj_leg),hj_leg=4)),OR(AND(ISNUMBER(hj_nh),hj_nh=1),AND(ISNUMBER(hj_nh),hj_nh=2),AND(ISNUMBER(hj_nh),hj_nh=3),AND(ISNUMBER(hj_nh),hj_nh=4),AND(ISNUMBER(hj_nh),hj_nh=5),AND(ISNUMBER(hj_nh),hj_nh=6),AND(ISNUMBER(hj_nh),hj_nh=7),AND(ISNUMBER(hj_nh),hj_nh=8)),ISNUMBER(hj_sh),hj_sh&gt;0,OR(AND(ISNUMBER(hj_pb),hj_pb=8),AND(ISNUMBER(hj_pb),hj_pb=10),AND(ISNUMBER(hj_pb),hj_pb=12),AND(ISNUMBER(hj_pb),hj_pb=16),AND(ISNUMBER(hj_pb),hj_pb=20),AND(ISNUMBER(hj_pb),hj_pb=25),AND(ISNUMBER(hj_pb),hj_pb=32),AND(ISNUMBER(hj_pb),hj_pb=40)),OR(AND(ISNUMBER(hj_nb),hj_nb=2),AND(ISNUMBER(hj_nb),hj_nb=3),AND(ISNUMBER(hj_nb),hj_nb=4),AND(ISNUMBER(hj_nb),hj_nb=5),AND(ISNUMBER(hj_nb),hj_nb=6),AND(ISNUMBER(hj_nb),hj_nb=7),AND(ISNUMBER(hj_nb),hj_nb=8),AND(ISNUMBER(hj_nb),hj_nb=9),AND(ISNUMBER(hj_nb),hj_nb=10)),OR(hj_form="Straight",hj_form="U-bars bent up"),OR(AND(ISNUMBER(hj_pl),hj_pl=8),AND(ISNUMBER(hj_pl),hj_pl=10),AND(ISNUMBER(hj_pl),hj_pl=12),AND(ISNUMBER(hj_pl),hj_pl=16)),OR(AND(ISNUMBER(hj_nlv),hj_nlv=0),AND(ISNUMBER(hj_nlv),hj_nlv=1),AND(ISNUMBER(hj_nlv),hj_nlv=2),AND(ISNUMBER(hj_nlv),hj_nlv=3),AND(ISNUMBER(hj_nlv),hj_nlv=4),AND(ISNUMBER(hj_nlv),hj_nlv=5),AND(ISNUMBER(hj_nlv),hj_nlv=6),AND(ISNUMBER(hj_nlv),hj_nlv=7),AND(ISNUMBER(hj_nlv),hj_nlv=8)),OR(AND(ISNUMBER(hj_nlh),hj_nlh=0),AND(ISNUMBER(hj_nlh),hj_nlh=1),AND(ISNUMBER(hj_nlh),hj_nlh=2),AND(ISNUMBER(hj_nlh),hj_nlh=3),AND(ISNUMBER(hj_nlh),hj_nlh=4),AND(ISNUMBER(hj_nlh),hj_nlh=5),AND(ISNUMBER(hj_nlh),hj_nlh=6),AND(ISNUMBER(hj_nlh),hj_nlh=7),AND(ISNUMBER(hj_nlh),hj_nlh=8)),ISNUMBER(hj_cot),hj_cot&gt;0,ISNUMBER(hj_VEd),hj_VEd&gt;0,ISNUMBER(hj_HEd),hj_HEd&gt;=0,AND(hj_fyk&gt;=400,hj_fyk&lt;=500,hj_hn&lt;hj_h,hj_hn&gt;2*hj_c+2*hj_pl+hj_pt,hj_h-hj_hn&gt;hj_c+hj_ph+hj_pb,hj_xb-hj_lp/2&gt;=0,hj_xb+hj_lp/2&lt;=hj_ln,hj_bp&lt;=hj_b,hj_b&gt;2*(hj_c+hj_pl)+hj_nt*hj_pt,hj_b&gt;2*(hj_c+hj_ph)+hj_nb*hj_pb,hj_b&gt;2*hj_c+hj_leg*hj_ph,hj_sh&gt;hj_ph,hj_cot&gt;=1,hj_cot&lt;=cotmax_hj,hj_c&gt;=10,hj_c&gt;=hj_ph,hj_c&gt;=hj_pl,hj_c+hj_pl&gt;=hj_pt,hj_c+hj_ph&gt;=hj_pb)),FALSE)</definedName>
    <definedName name="input_status">'Calculation'!$G$43</definedName>
    <definedName name="xte_hj">hj_c+hj_pl+hj_pt/2</definedName>
    <definedName name="yt_hj">hj_h-hj_hn+ct_hj</definedName>
    <definedName name="xh1_hj">hj_ln+hj_c+hj_ph/2</definedName>
    <definedName name="xbe_hj">hj_ln+hj_c+IF(hj_form="U-bars bent up",hj_pb/2,0)</definedName>
    <definedName name="XE_hj">hj_ln+MAX(1.5*hj_h,hj_lt+0.3*hj_h,xhf_hj-hj_ln+0.6*hj_h,xhf_hj-hj_ln+hj_h*hj_cot+0.1*hj_h)</definedName>
    <definedName name="hj_ok">IFERROR(AND(inputs_ok,ISNUMBER(y0_hj),tanraw_hj&gt;1,tant_hj&gt;=1,yu_hj&lt;=dn_hj,xA_hj&gt;=xte_hj),FALSE)</definedName>
    <definedName name="bend_hj">hj_form="U-bars bent up"</definedName>
    <definedName name="xv_hj">hj_ln+hj_c+hj_ph+hj_pb/2</definedName>
    <definedName name="et_hj">IF(bend_hj,MAX(hj_c+hj_pl,hj_c+hj_ph+hj_pb),hj_c+hj_pl)</definedName>
    <definedName name="ytop_hj">hj_h-hj_c-hj_pb/2</definedName>
    <definedName name="tie_status">'Calculation'!$G$46</definedName>
    <definedName name="hang_status">'Calculation'!$G$47</definedName>
    <definedName name="bot_status">'Calculation'!$G$48</definedName>
    <definedName name="node_status">'Calculation'!$G$49</definedName>
    <definedName name="noderat_hj">'Calculation'!$E$49</definedName>
    <definedName name="anch_status">'Calculation'!$G$50</definedName>
    <definedName name="shear_status">'Calculation'!$G$51</definedName>
    <definedName name="link_status">'Calculation'!$G$52</definedName>
    <definedName name="geom_status">'Calculation'!$G$53</definedName>
    <definedName name="gamma_c">'Calculation'!$E$80</definedName>
    <definedName name="gamma_s">'Calculation'!$E$81</definedName>
    <definedName name="alpha_cc">'Calculation'!$E$82</definedName>
    <definedName name="alpha_cc_shear">'Calculation'!$E$83</definedName>
    <definedName name="alpha_ct">'Calculation'!$E$84</definedName>
    <definedName name="C_Rdc">'Calculation'!$E$85</definedName>
    <definedName name="cot_max">'Calculation'!$E$86</definedName>
    <definedName name="f_ck">'Calculation'!$E$87</definedName>
    <definedName name="f_ctm">'Calculation'!$E$88</definedName>
    <definedName name="fcd_hj">'Calculation'!$E$89</definedName>
    <definedName name="fyd_hj">'Calculation'!$E$90</definedName>
    <definedName name="nup_hj">'Calculation'!$E$91</definedName>
    <definedName name="scct_hj">'Calculation'!$E$92</definedName>
    <definedName name="sctt_hj">'Calculation'!$E$93</definedName>
    <definedName name="sstr_hj">'Calculation'!$E$94</definedName>
    <definedName name="ct_hj">'Calculation'!$E$97</definedName>
    <definedName name="dn_hj">'Calculation'!$E$98</definedName>
    <definedName name="xh_hj">'Calculation'!$E$100</definedName>
    <definedName name="xhf_hj">'Calculation'!$E$101</definedName>
    <definedName name="av_hj">'Calculation'!$E$102</definedName>
    <definedName name="Mt_hj">'Calculation'!$E$103</definedName>
    <definedName name="aeq_hj">'Calculation'!$E$104</definedName>
    <definedName name="y0_hj">'Calculation'!$E$105</definedName>
    <definedName name="z0_hj">'Calculation'!$E$106</definedName>
    <definedName name="tanraw_hj">'Calculation'!$E$107</definedName>
    <definedName name="zu_hj">'Calculation'!$E$108</definedName>
    <definedName name="yu_hj">'Calculation'!$E$109</definedName>
    <definedName name="tant_hj">'Calculation'!$E$110</definedName>
    <definedName name="xA_hj">'Calculation'!$E$111</definedName>
    <definedName name="C_hj">'Calculation'!$E$112</definedName>
    <definedName name="T_hj">'Calculation'!$E$113</definedName>
    <definedName name="Fs_hj">'Calculation'!$E$114</definedName>
    <definedName name="At_req_hj">'Calculation'!$E$117</definedName>
    <definedName name="At_prov_hj">'Calculation'!$E$118</definedName>
    <definedName name="Atmin_hj">'Calculation'!$E$119</definedName>
    <definedName name="Atmax_hj">'Calculation'!$E$120</definedName>
    <definedName name="gmint_hj">'Calculation'!$E$121</definedName>
    <definedName name="gapt_hj">'Calculation'!$E$123</definedName>
    <definedName name="Ah_req_hj">'Calculation'!$E$125</definedName>
    <definedName name="Ah_prov_hj">'Calculation'!$E$126</definedName>
    <definedName name="zone_hj">'Calculation'!$E$127</definedName>
    <definedName name="gminh_hj">'Calculation'!$E$128</definedName>
    <definedName name="gaph_hj">'Calculation'!$E$129</definedName>
    <definedName name="gaphb_hj">'Calculation'!$E$130</definedName>
    <definedName name="hang_ok_hj">AND(Ah_prov_hj&gt;=Ah_req_hj,zone_hj&lt;=hj_hn/2,IF(hj_nh&gt;1,gaph_hj&gt;=gminh_hj,TRUE),gaphb_hj&gt;=gminh_hj)</definedName>
    <definedName name="Fb_hj">'Calculation'!$E$132</definedName>
    <definedName name="Ab_req_hj">'Calculation'!$E$133</definedName>
    <definedName name="Ab_prov_hj">'Calculation'!$E$134</definedName>
    <definedName name="gminb_hj">'Calculation'!$E$135</definedName>
    <definedName name="gapb_hj">'Calculation'!$E$136</definedName>
    <definedName name="sigbr_hj">'Calculation'!$E$140</definedName>
    <definedName name="wA_hj">'Calculation'!$E$142</definedName>
    <definedName name="sigA_hj">'Calculation'!$E$143</definedName>
    <definedName name="sigB_hj">'Calculation'!$E$145</definedName>
    <definedName name="lhz_hj">'Calculation'!$E$147</definedName>
    <definedName name="wB_hj">'Calculation'!$E$148</definedName>
    <definedName name="sigAB_hj">'Calculation'!$E$149</definedName>
    <definedName name="yC_hj">'Calculation'!$E$151</definedName>
    <definedName name="Fc2_hj">'Calculation'!$E$152</definedName>
    <definedName name="wC_hj">'Calculation'!$E$153</definedName>
    <definedName name="sigC_hj">'Calculation'!$E$154</definedName>
    <definedName name="fctd_hj">'Calculation'!$E$158</definedName>
    <definedName name="eta1t_hj">'Calculation'!$E$160</definedName>
    <definedName name="fbdt_hj">'Calculation'!$E$161</definedName>
    <definedName name="sigt_hj">'Calculation'!$E$162</definedName>
    <definedName name="lbrt_hj">'Calculation'!$E$163</definedName>
    <definedName name="cdt_hj">'Calculation'!$E$164</definedName>
    <definedName name="a2t_hj">'Calculation'!$E$165</definedName>
    <definedName name="lbdt_hj">'Calculation'!$E$166</definedName>
    <definedName name="lavt_hj">'Calculation'!$E$167</definedName>
    <definedName name="eta1b_hj">'Calculation'!$E$169</definedName>
    <definedName name="fbdb_hj">'Calculation'!$E$170</definedName>
    <definedName name="sigbt_hj">'Calculation'!$E$171</definedName>
    <definedName name="lbrb_hj">'Calculation'!$E$172</definedName>
    <definedName name="cdb_hj">'Calculation'!$E$173</definedName>
    <definedName name="a1b_hj">'Calculation'!$E$174</definedName>
    <definedName name="a2b_hj">'Calculation'!$E$175</definedName>
    <definedName name="lbdb_hj">'Calculation'!$E$176</definedName>
    <definedName name="Fbt_hj">'Calculation'!$E$178</definedName>
    <definedName name="abb_hj">'Calculation'!$E$179</definedName>
    <definedName name="pmc_hj">'Calculation'!$E$180</definedName>
    <definedName name="pm_hj">'Calculation'!$E$181</definedName>
    <definedName name="rb_hj">'Calculation'!$E$182</definedName>
    <definedName name="bfit_hj">IF(bend_hj,AND(xhf_hj-xv_hj&gt;=rb_hj,ytop_hj-yC_hj&gt;=rb_hj),TRUE)</definedName>
    <definedName name="lavb_hj">'Calculation'!$E$183</definedName>
    <definedName name="fcdv_hj">'Calculation'!$E$187</definedName>
    <definedName name="nuv_hj">'Calculation'!$E$188</definedName>
    <definedName name="Vmax_hj">'Calculation'!$E$189</definedName>
    <definedName name="k_hj">'Calculation'!$E$191</definedName>
    <definedName name="rho_hj">'Calculation'!$E$192</definedName>
    <definedName name="VRdc_hj">'Calculation'!$E$193</definedName>
    <definedName name="ac_hj">'Calculation'!$E$194</definedName>
    <definedName name="lnkc_hj">IF(ac_hj&lt;=0.5*hj_hn,1,IF(hj_VEd&gt;VRdc_hj,2,0))</definedName>
    <definedName name="Alh_req_hj">'Calculation'!$E$195</definedName>
    <definedName name="Alh_prov_hj">'Calculation'!$E$196</definedName>
    <definedName name="Alv_req_hj">'Calculation'!$E$197</definedName>
    <definedName name="Alv_prov_hj">'Calculation'!$E$198</definedName>
    <definedName name="gminl_hj">'Calculation'!$E$199</definedName>
    <definedName name="gaplh_hj">'Calculation'!$E$200</definedName>
    <definedName name="gaplt_hj">'Calculation'!$E$201</definedName>
    <definedName name="gaplv_hj">'Calculation'!$E$202</definedName>
    <definedName name="Ttr_hj">'Calculation'!$E$203</definedName>
    <definedName name="Atr_req_hj">'Calculation'!$E$204</definedName>
    <definedName name="Atr_prov_hj">'Calculation'!$E$205</definedName>
    <definedName name="lnk_ok_hj">AND(Alh_prov_hj&gt;=Alh_req_hj,Alv_prov_hj&gt;=Alv_req_hj,Atr_prov_hj&gt;=Atr_req_hj,IF(hj_nlh&gt;0,AND(gaplh_hj&gt;=gminl_hj,gaplt_hj&gt;=MAX(gminl_hj,hj_pt),yt_hj+2*dn_hj/3+hj_pl/2&lt;=hj_h-hj_c),TRUE),IF(hj_nlv&gt;1,gaplv_hj&gt;=gminl_hj,IF(hj_nlv=1,hj_ln-2*hj_c-hj_pl&gt;=0,TRUE)))</definedName>
    <definedName name="lnktxt_hj">CHOOSE(lnkc_hj+1,"none required","horizontal","vertical")</definedName>
    <definedName name="hrat_status">'Calculation'!$G$207</definedName>
    <definedName name="cot_status">'Calculation'!$G$208</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'Calculation'!$A$1:$H$212</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00"/>
    <numFmt numFmtId="166" formatCode="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3">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0" fontId="18" fillId="0" borderId="0" applyAlignment="1" pivotButton="0" quotePrefix="0" xfId="0">
      <alignment vertical="top" wrapText="1"/>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 fontId="12"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outline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'Geometry'!$D$3:$D$8</f>
            </numRef>
          </xVal>
          <yVal>
            <numRef>
              <f>'Geometry'!$E$3:$E$8</f>
            </numRef>
          </yVal>
          <smooth val="0"/>
        </ser>
        <ser>
          <idx val="2"/>
          <order val="2"/>
          <tx>
            <v>break</v>
          </tx>
          <spPr>
            <a:ln xmlns:a="http://schemas.openxmlformats.org/drawingml/2006/main" w="9525">
              <a:solidFill>
                <a:srgbClr val="9A9A9A"/>
              </a:solidFill>
              <a:prstDash val="dashDot"/>
            </a:ln>
          </spPr>
          <marker>
            <symbol val="none"/>
            <spPr>
              <a:ln xmlns:a="http://schemas.openxmlformats.org/drawingml/2006/main">
                <a:prstDash val="solid"/>
              </a:ln>
            </spPr>
          </marker>
          <xVal>
            <numRef>
              <f>'Geometry'!$G$3:$G$4</f>
            </numRef>
          </xVal>
          <yVal>
            <numRef>
              <f>'Geometry'!$H$3:$H$4</f>
            </numRef>
          </yVal>
          <smooth val="0"/>
        </ser>
        <ser>
          <idx val="3"/>
          <order val="3"/>
          <tx>
            <v>pad</v>
          </tx>
          <spPr>
            <a:ln xmlns:a="http://schemas.openxmlformats.org/drawingml/2006/main" w="19050">
              <a:solidFill>
                <a:srgbClr val="9A9A9A"/>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V</v>
          </tx>
          <spPr>
            <a:ln xmlns:a="http://schemas.openxmlformats.org/drawingml/2006/main" w="25400">
              <a:solidFill>
                <a:srgbClr val="B3261E"/>
              </a:solidFill>
              <a:prstDash val="solid"/>
              <a:tailEnd type="triangle" w="sm" len="sm"/>
            </a:ln>
          </spPr>
          <marker>
            <symbol val="none"/>
            <spPr>
              <a:ln xmlns:a="http://schemas.openxmlformats.org/drawingml/2006/main">
                <a:prstDash val="solid"/>
              </a:ln>
            </spPr>
          </marker>
          <xVal>
            <numRef>
              <f>'Geometry'!$M$3:$M$4</f>
            </numRef>
          </xVal>
          <yVal>
            <numRef>
              <f>'Geometry'!$N$3:$N$4</f>
            </numRef>
          </yVal>
          <smooth val="0"/>
        </ser>
        <ser>
          <idx val="5"/>
          <order val="5"/>
          <tx>
            <v>H</v>
          </tx>
          <spPr>
            <a:ln xmlns:a="http://schemas.openxmlformats.org/drawingml/2006/main" w="19050">
              <a:solidFill>
                <a:srgbClr val="B3261E"/>
              </a:solidFill>
              <a:prstDash val="solid"/>
              <a:tailEnd type="triangle" w="sm" len="sm"/>
            </a:ln>
          </spPr>
          <marker>
            <symbol val="none"/>
            <spPr>
              <a:ln xmlns:a="http://schemas.openxmlformats.org/drawingml/2006/main">
                <a:prstDash val="solid"/>
              </a:ln>
            </spPr>
          </marker>
          <xVal>
            <numRef>
              <f>'Geometry'!$P$3:$P$4</f>
            </numRef>
          </xVal>
          <yVal>
            <numRef>
              <f>'Geometry'!$Q$3:$Q$4</f>
            </numRef>
          </yVal>
          <smooth val="0"/>
        </ser>
        <ser>
          <idx val="6"/>
          <order val="6"/>
          <tx>
            <v>nib tie</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'Geometry'!$S$3:$S$5</f>
            </numRef>
          </xVal>
          <yVal>
            <numRef>
              <f>'Geometry'!$T$3:$T$5</f>
            </numRef>
          </yVal>
          <smooth val="0"/>
        </ser>
        <ser>
          <idx val="7"/>
          <order val="7"/>
          <tx>
            <v>hanger 0</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hanger 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hanger 2</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hanger 3</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hanger 4</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hanger 5</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hanger 6</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hanger 7</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bottom tie</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'Geometry'!$AT$3:$AT$13</f>
            </numRef>
          </xVal>
          <yVal>
            <numRef>
              <f>'Geometry'!$AU$3:$AU$13</f>
            </numRef>
          </yVal>
          <smooth val="0"/>
        </ser>
        <ser>
          <idx val="16"/>
          <order val="16"/>
          <tx>
            <v>nib v link 0</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nib h link 0</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'Geometry'!$AZ$3:$AZ$4</f>
            </numRef>
          </xVal>
          <yVal>
            <numRef>
              <f>'Geometry'!$BA$3:$BA$4</f>
            </numRef>
          </yVal>
          <smooth val="0"/>
        </ser>
        <ser>
          <idx val="18"/>
          <order val="18"/>
          <tx>
            <v>nib v link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v>nib h link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v>nib v link 2</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'Geometry'!$BI$3:$BI$4</f>
            </numRef>
          </xVal>
          <yVal>
            <numRef>
              <f>'Geometry'!$BJ$3:$BJ$4</f>
            </numRef>
          </yVal>
          <smooth val="0"/>
        </ser>
        <ser>
          <idx val="21"/>
          <order val="21"/>
          <tx>
            <v>nib h link 2</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'Geometry'!$BL$3:$BL$4</f>
            </numRef>
          </xVal>
          <yVal>
            <numRef>
              <f>'Geometry'!$BM$3:$BM$4</f>
            </numRef>
          </yVal>
          <smooth val="0"/>
        </ser>
        <ser>
          <idx val="22"/>
          <order val="22"/>
          <tx>
            <v>nib v link 3</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'Geometry'!$BO$3:$BO$4</f>
            </numRef>
          </xVal>
          <yVal>
            <numRef>
              <f>'Geometry'!$BP$3:$BP$4</f>
            </numRef>
          </yVal>
          <smooth val="0"/>
        </ser>
        <ser>
          <idx val="23"/>
          <order val="23"/>
          <tx>
            <v>nib h link 3</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'Geometry'!$BR$3:$BR$4</f>
            </numRef>
          </xVal>
          <yVal>
            <numRef>
              <f>'Geometry'!$BS$3:$BS$4</f>
            </numRef>
          </yVal>
          <smooth val="0"/>
        </ser>
        <ser>
          <idx val="24"/>
          <order val="24"/>
          <tx>
            <v>nib v link 4</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'Geometry'!$BU$3:$BU$4</f>
            </numRef>
          </xVal>
          <yVal>
            <numRef>
              <f>'Geometry'!$BV$3:$BV$4</f>
            </numRef>
          </yVal>
          <smooth val="0"/>
        </ser>
        <ser>
          <idx val="25"/>
          <order val="25"/>
          <tx>
            <v>nib h link 4</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'Geometry'!$BX$3:$BX$4</f>
            </numRef>
          </xVal>
          <yVal>
            <numRef>
              <f>'Geometry'!$BY$3:$BY$4</f>
            </numRef>
          </yVal>
          <smooth val="0"/>
        </ser>
        <ser>
          <idx val="26"/>
          <order val="26"/>
          <tx>
            <v>nib v link 5</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'Geometry'!$CA$3:$CA$4</f>
            </numRef>
          </xVal>
          <yVal>
            <numRef>
              <f>'Geometry'!$CB$3:$CB$4</f>
            </numRef>
          </yVal>
          <smooth val="0"/>
        </ser>
        <ser>
          <idx val="27"/>
          <order val="27"/>
          <tx>
            <v>nib h link 5</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'Geometry'!$CD$3:$CD$4</f>
            </numRef>
          </xVal>
          <yVal>
            <numRef>
              <f>'Geometry'!$CE$3:$CE$4</f>
            </numRef>
          </yVal>
          <smooth val="0"/>
        </ser>
        <ser>
          <idx val="28"/>
          <order val="28"/>
          <tx>
            <v>nib v link 6</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'Geometry'!$CG$3:$CG$4</f>
            </numRef>
          </xVal>
          <yVal>
            <numRef>
              <f>'Geometry'!$CH$3:$CH$4</f>
            </numRef>
          </yVal>
          <smooth val="0"/>
        </ser>
        <ser>
          <idx val="29"/>
          <order val="29"/>
          <tx>
            <v>nib h link 6</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'Geometry'!$CJ$3:$CJ$4</f>
            </numRef>
          </xVal>
          <yVal>
            <numRef>
              <f>'Geometry'!$CK$3:$CK$4</f>
            </numRef>
          </yVal>
          <smooth val="0"/>
        </ser>
        <ser>
          <idx val="30"/>
          <order val="30"/>
          <tx>
            <v>nib v link 7</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'Geometry'!$CM$3:$CM$4</f>
            </numRef>
          </xVal>
          <yVal>
            <numRef>
              <f>'Geometry'!$CN$3:$CN$4</f>
            </numRef>
          </yVal>
          <smooth val="0"/>
        </ser>
        <ser>
          <idx val="31"/>
          <order val="31"/>
          <tx>
            <v>nib h link 7</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v>resultant</v>
          </tx>
          <spPr>
            <a:ln xmlns:a="http://schemas.openxmlformats.org/drawingml/2006/main" w="9525">
              <a:solidFill>
                <a:srgbClr val="B3261E"/>
              </a:solidFill>
              <a:prstDash val="sysDot"/>
            </a:ln>
          </spPr>
          <marker>
            <symbol val="none"/>
            <spPr>
              <a:ln xmlns:a="http://schemas.openxmlformats.org/drawingml/2006/main">
                <a:prstDash val="solid"/>
              </a:ln>
            </spPr>
          </marker>
          <xVal>
            <numRef>
              <f>'Geometry'!$CS$3:$CS$4</f>
            </numRef>
          </xVal>
          <yVal>
            <numRef>
              <f>'Geometry'!$CT$3:$CT$4</f>
            </numRef>
          </yVal>
          <smooth val="0"/>
        </ser>
        <ser>
          <idx val="33"/>
          <order val="33"/>
          <tx>
            <v>strut AB</v>
          </tx>
          <spPr>
            <a:ln xmlns:a="http://schemas.openxmlformats.org/drawingml/2006/main" w="19050">
              <a:solidFill>
                <a:srgbClr val="5B7F8A"/>
              </a:solidFill>
              <a:prstDash val="dash"/>
            </a:ln>
          </spPr>
          <marker>
            <symbol val="none"/>
            <spPr>
              <a:ln xmlns:a="http://schemas.openxmlformats.org/drawingml/2006/main">
                <a:prstDash val="solid"/>
              </a:ln>
            </spPr>
          </marker>
          <xVal>
            <numRef>
              <f>'Geometry'!$CV$3:$CV$4</f>
            </numRef>
          </xVal>
          <yVal>
            <numRef>
              <f>'Geometry'!$CW$3:$CW$4</f>
            </numRef>
          </yVal>
          <smooth val="0"/>
        </ser>
        <ser>
          <idx val="34"/>
          <order val="34"/>
          <tx>
            <v>node B</v>
          </tx>
          <spPr>
            <a:ln xmlns:a="http://schemas.openxmlformats.org/drawingml/2006/main" w="50800">
              <a:solidFill>
                <a:srgbClr val="B3261E"/>
              </a:solidFill>
              <a:prstDash val="solid"/>
            </a:ln>
          </spPr>
          <marker>
            <symbol val="none"/>
            <spPr>
              <a:ln xmlns:a="http://schemas.openxmlformats.org/drawingml/2006/main">
                <a:prstDash val="solid"/>
              </a:ln>
            </spPr>
          </marker>
          <xVal>
            <numRef>
              <f>'Geometry'!$CY$3:$CY$4</f>
            </numRef>
          </xVal>
          <yVal>
            <numRef>
              <f>'Geometry'!$CZ$3:$CZ$4</f>
            </numRef>
          </yVal>
          <smooth val="0"/>
        </ser>
        <ser>
          <idx val="35"/>
          <order val="35"/>
          <tx>
            <v>hanger tie</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'Geometry'!$DB$3:$DB$4</f>
            </numRef>
          </xVal>
          <yVal>
            <numRef>
              <f>'Geometry'!$DC$3:$DC$4</f>
            </numRef>
          </yVal>
          <smooth val="0"/>
        </ser>
        <ser>
          <idx val="36"/>
          <order val="36"/>
          <tx>
            <v>strut CE</v>
          </tx>
          <spPr>
            <a:ln xmlns:a="http://schemas.openxmlformats.org/drawingml/2006/main" w="19050">
              <a:solidFill>
                <a:srgbClr val="5B7F8A"/>
              </a:solidFill>
              <a:prstDash val="dash"/>
            </a:ln>
          </spPr>
          <marker>
            <symbol val="none"/>
            <spPr>
              <a:ln xmlns:a="http://schemas.openxmlformats.org/drawingml/2006/main">
                <a:prstDash val="solid"/>
              </a:ln>
            </spPr>
          </marker>
          <xVal>
            <numRef>
              <f>'Geometry'!$DE$3:$DE$4</f>
            </numRef>
          </xVal>
          <yVal>
            <numRef>
              <f>'Geometry'!$DF$3:$DF$4</f>
            </numRef>
          </yVal>
          <smooth val="0"/>
        </ser>
        <ser>
          <idx val="37"/>
          <order val="3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'Geometry'!$DH$3:$DH$4</f>
            </numRef>
          </xVal>
          <yVal>
            <numRef>
              <f>'Geometry'!$DI$3:$DI$4</f>
            </numRef>
          </yVal>
          <smooth val="0"/>
        </ser>
        <ser>
          <idx val="38"/>
          <order val="38"/>
          <tx>
            <strRef>
              <f>'Geometry'!$DK$2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'Geometry'!$DK$3</f>
            </numRef>
          </xVal>
          <yVal>
            <numRef>
              <f>'Geometry'!$DL$3</f>
            </numRef>
          </yVal>
          <smooth val="0"/>
        </ser>
        <ser>
          <idx val="39"/>
          <order val="3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'Geometry'!$DN$3:$DN$4</f>
            </numRef>
          </xVal>
          <yVal>
            <numRef>
              <f>'Geometry'!$DO$3:$DO$4</f>
            </numRef>
          </yVal>
          <smooth val="0"/>
        </ser>
        <ser>
          <idx val="40"/>
          <order val="40"/>
          <tx>
            <strRef>
              <f>'Geometry'!$DQ$2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'Geometry'!$DQ$3</f>
            </numRef>
          </xVal>
          <yVal>
            <numRef>
              <f>'Geometry'!$DR$3</f>
            </numRef>
          </yVal>
          <smooth val="0"/>
        </ser>
        <ser>
          <idx val="41"/>
          <order val="4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'Geometry'!$DT$3:$DT$4</f>
            </numRef>
          </xVal>
          <yVal>
            <numRef>
              <f>'Geometry'!$DU$3:$DU$4</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'Geometry'!$DW$3</f>
            </numRef>
          </xVal>
          <yVal>
            <numRef>
              <f>'Geometry'!$DX$3</f>
            </numRef>
          </yVal>
          <smooth val="0"/>
        </ser>
        <ser>
          <idx val="43"/>
          <order val="4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'Geometry'!$DZ$3:$DZ$4</f>
            </numRef>
          </xVal>
          <yVal>
            <numRef>
              <f>'Geometry'!$EA$3:$EA$4</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'Geometry'!$EC$3</f>
            </numRef>
          </xVal>
          <yVal>
            <numRef>
              <f>'Geometry'!$ED$3</f>
            </numRef>
          </yVal>
          <smooth val="0"/>
        </ser>
        <ser>
          <idx val="45"/>
          <order val="45"/>
          <tx>
            <strRef>
              <f>'Geometry'!$EF$2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'Geometry'!$EF$3</f>
            </numRef>
          </xVal>
          <yVal>
            <numRef>
              <f>'Geometry'!$EG$3</f>
            </numRef>
          </yVal>
          <smooth val="0"/>
        </ser>
        <ser>
          <idx val="46"/>
          <order val="46"/>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'Geometry'!$EI$3</f>
            </numRef>
          </xVal>
          <yVal>
            <numRef>
              <f>'Geometry'!$EJ$3</f>
            </numRef>
          </yVal>
          <smooth val="0"/>
        </ser>
        <ser>
          <idx val="47"/>
          <order val="47"/>
          <tx>
            <strRef>
              <f>'Geometry'!$EL$2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'Geometry'!$EL$3</f>
            </numRef>
          </xVal>
          <yVal>
            <numRef>
              <f>'Geometry'!$EM$3</f>
            </numRef>
          </yVal>
          <smooth val="0"/>
        </ser>
        <ser>
          <idx val="48"/>
          <order val="48"/>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'Geometry'!$EO$3</f>
            </numRef>
          </xVal>
          <yVal>
            <numRef>
              <f>'Geometry'!$EP$3</f>
            </numRef>
          </yVal>
          <smooth val="0"/>
        </ser>
        <ser>
          <idx val="49"/>
          <order val="49"/>
          <tx>
            <strRef>
              <f>'Geometry'!$ER$2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l"/>
            <showLegendKey val="0"/>
            <showVal val="0"/>
            <showCatName val="0"/>
            <showSerName val="1"/>
            <showPercent val="0"/>
          </dLbls>
          <xVal>
            <numRef>
              <f>'Geometry'!$ER$3</f>
            </numRef>
          </xVal>
          <yVal>
            <numRef>
              <f>'Geometry'!$ES$3</f>
            </numRef>
          </yVal>
          <smooth val="0"/>
        </ser>
        <ser>
          <idx val="50"/>
          <order val="50"/>
          <tx>
            <strRef>
              <f>'Geometry'!$EU$2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'Geometry'!$EU$3</f>
            </numRef>
          </xVal>
          <yVal>
            <numRef>
              <f>'Geometry'!$EV$3</f>
            </numRef>
          </yVal>
          <smooth val="0"/>
        </ser>
        <ser>
          <idx val="51"/>
          <order val="51"/>
          <tx>
            <v>frame</v>
          </tx>
          <spPr>
            <a:ln xmlns:a="http://schemas.openxmlformats.org/drawingml/2006/main">
              <a:noFill/>
              <a:prstDash val="solid"/>
            </a:ln>
          </spPr>
          <marker>
            <symbol val="none"/>
            <spPr>
              <a:ln xmlns:a="http://schemas.openxmlformats.org/drawingml/2006/main">
                <a:prstDash val="solid"/>
              </a:ln>
            </spPr>
          </marker>
          <xVal>
            <numRef>
              <f>'Geometry'!$EX$3:$EX$4</f>
            </numRef>
          </xVal>
          <yVal>
            <numRef>
              <f>'Geometry'!$EY$3:$EY$4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55</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Half joint</t>
        </is>
      </c>
    </row>
    <row r="8" ht="20" customHeight="1">
      <c r="B8" s="4" t="inlineStr">
        <is>
          <t>Dapped end of a beam  ·  strut-and-tie, EN 1992-1-1 §6.5, §10.9.4.6  ·  UK NA / PN-EN</t>
        </is>
      </c>
    </row>
    <row r="10">
      <c r="B10" s="5" t="inlineStr">
        <is>
          <t>Reference</t>
        </is>
      </c>
      <c r="C10" s="6" t="inlineStr">
        <is>
          <t>NAE-RC-046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Design of the dapped end (half joint) of a reinforced concrete beam resting on a bearing under its nib, for a vertical reaction and a horizontal force: the strut-and-tie model with a vertical hanger, the nib tie, the hanger links, the bottom tie of the full-depth beam, the node and strut stresses, the anchorages and the nib links.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95.5" customHeight="1">
      <c r="B22" s="7" t="inlineStr">
        <is>
          <t>Rectangular beam of constant width; the nib has the full width and the bearing sits under the nib. One model only: model (a) of Figure 10.4, vertical hanger links next to the re-entrant corner and a horizontal tie in the nib. Inclined bars (model (b)) and a combination of the two are not covered: the hanger carries the whole VEd. The nib is treated as an inverted corbel (6.5, Annex J.3 by analogy): moments about the nib tie at the hanger centroid, VEd a + HEd aH = C z, with the top node at k2 ν' fcd (CCT, the hanger anchored in it), z = dn − y/2 and 1 ≤ tan θ1 ≤ 2.5 (z kept at 2.5 a_eq when the node is shallower; tan θ1 &lt; 1 is outside the model: FAIL). HEd acts at the bearing, aH below the nib tie; enter at least 0.2 VEd for bearings without a controlled sliding surface (common practice, flagged). Nib tie Ftd = C + HEd, hanger VEd / fyd, bottom tie at the foot of the hanger VEd cot θ2 + HEd (HEd added on the safe side), θ2 the strut into the beam (1 ≤ cot θ2 ≤ the NA limit of 6.2.3(2)). Bearing at k2 ν' fcd and the strut from the bearing at 0.6 ν' fcd on its width there (6.5.2(2), 6.5.4(4)b); the node at the foot of the hanger at k3 ν' fcd (CTT, 6.5.4(4)c); the strut from the bearing also on the inclined face of the top node at 0.6 ν' fcd (both ends of the strut, on the safe side); k1 = 1.0, k2 = 0.85, k3 = 0.75 and ν' = 1 − fck / 250, the recommended values, kept by the UK NA and the PL NA. Anchorage to 8.4 beyond the last hanger link: the nib tie straight, the bottom bars straight or bent up the re-entrant face as U-bars on a mandrel of at least Table 8.1N and (8.1) with the full bar force at the bend (8.3(3), no credit for the exemptions; length along the centreline, the bend within the hanger zone), α3 = α4 = α5 = 1. Nib tie within As,min and As,max of 9.2.1.1. UK NA 6.2.3(2) (as amended 2009): cot θ = 1.25 where shear coexists with externally applied tension; a restraint force at the bearing is not external tension, so cot θ2 &gt; 1.25 with HEd &gt; 0 is flagged for the user to confirm. U-bar legs inside the first hanger link, the nib tie inside the U-bar legs; transverse tie for the strut spreading from the bearing width to b by (6.58), taken by one transverse leg of each nib link set. Covers to the links at least 10 mm and their own size, and the bars inside them at least theirs (bond, 4.4.1.2(3)); durability covers are the user's. The anchorage of the hanger links in the top node and round the bottom tie (closed links, 8.5) is not verified. Hanger links are counted within hn / 2 of the re-entrant face (this sheet's criterion: keep them close to the corner). Shear limit of the nib 0.5 b dn ν fcd (6.2.2(6)); nib links as for a corbel (J.3(2), (3)). A nib shallower than h / 2 is flagged (common guidance). Not covered: the shear design of the full-depth beam beyond the hanger (the strut into the beam and its links: RC-004), the bearing length (RC-034), the anchorage of the nib tie at the end (loops or welded bars, 10.9.4.6), crack widths, durability of the joint. Concrete classes up to C50/60, fyk 400 – 500 MPa.
The second-generation EN 1992-1-1:2023 is not yet implemented.</t>
        </is>
      </c>
    </row>
    <row r="24" ht="20" customHeight="1">
      <c r="B24" s="8" t="inlineStr">
        <is>
          <t>Further reading and independent cross-check</t>
        </is>
      </c>
      <c r="C24" s="9" t="n"/>
    </row>
    <row r="25" ht="91" customHeight="1">
      <c r="B25" s="10" t="inlineStr">
        <is>
          <t>•  EN 1992-1-1, 6.5, 10.9.4.6 and Figure 10.4.
•  fib Bulletin 61, Design examples for strut-and-tie models.
•  PCI Design Handbook, dapped-end connections.
•  Kim S. Elliott, Precast Concrete Structures, half joints.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&amp;K8A8A8ANAE-RC-046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211"/>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Half joint</t>
        </is>
      </c>
      <c r="H2" s="1" t="n"/>
    </row>
    <row r="3" ht="16" customHeight="1">
      <c r="A3" s="1" t="n"/>
      <c r="B3" s="1" t="n"/>
      <c r="C3" s="15" t="inlineStr">
        <is>
          <t>NAE-RC-046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beam and nib</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(400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Beam and nib width</t>
        </is>
      </c>
      <c r="D15" s="27" t="inlineStr">
        <is>
          <r>
            <rPr>
              <rFont val="Calibri"/>
              <i val="1"/>
              <color rgb="002B2B2B"/>
              <sz val="10"/>
            </rPr>
            <t>b</t>
          </r>
        </is>
      </c>
      <c r="E15" s="25" t="n">
        <v>400</v>
      </c>
      <c r="F15" s="28" t="inlineStr">
        <is>
          <t>mm</t>
        </is>
      </c>
      <c r="G15" s="23" t="n"/>
    </row>
    <row r="16" ht="17" customHeight="1">
      <c r="B16" s="23" t="n"/>
      <c r="C16" s="24" t="inlineStr">
        <is>
          <t>Full depth of the beam</t>
        </is>
      </c>
      <c r="D16" s="27" t="inlineStr">
        <is>
          <r>
            <rPr>
              <rFont val="Calibri"/>
              <i val="1"/>
              <color rgb="002B2B2B"/>
              <sz val="10"/>
            </rPr>
            <t>h</t>
          </r>
        </is>
      </c>
      <c r="E16" s="25" t="n">
        <v>800</v>
      </c>
      <c r="F16" s="28" t="inlineStr">
        <is>
          <t>mm</t>
        </is>
      </c>
      <c r="G16" s="23" t="n"/>
    </row>
    <row r="17" ht="17" customHeight="1">
      <c r="B17" s="23" t="n"/>
      <c r="C17" s="24" t="inlineStr">
        <is>
          <t>Depth of the nib</t>
        </is>
      </c>
      <c r="D17" s="27" t="inlineStr">
        <is>
          <r>
            <rPr>
              <rFont val="Calibri"/>
              <i val="1"/>
              <color rgb="002B2B2B"/>
              <sz val="10"/>
            </rPr>
            <t>h</t>
          </r>
          <r>
            <rPr>
              <rFont val="Calibri"/>
              <i val="1"/>
              <color rgb="002B2B2B"/>
              <sz val="10"/>
              <vertAlign val="subscript"/>
            </rPr>
            <t>n</t>
          </r>
        </is>
      </c>
      <c r="E17" s="25" t="n">
        <v>450</v>
      </c>
      <c r="F17" s="28" t="inlineStr">
        <is>
          <t>mm</t>
        </is>
      </c>
      <c r="G17" s="23" t="n"/>
    </row>
    <row r="18" ht="17" customHeight="1">
      <c r="B18" s="23" t="n"/>
      <c r="C18" s="24" t="inlineStr">
        <is>
          <t>Length of the nib  (end face to the re-entrant face)</t>
        </is>
      </c>
      <c r="D18" s="27" t="inlineStr">
        <is>
          <r>
            <rPr>
              <rFont val="Calibri"/>
              <i val="1"/>
              <color rgb="002B2B2B"/>
              <sz val="10"/>
            </rPr>
            <t>l</t>
          </r>
          <r>
            <rPr>
              <rFont val="Calibri"/>
              <i val="1"/>
              <color rgb="002B2B2B"/>
              <sz val="10"/>
              <vertAlign val="subscript"/>
            </rPr>
            <t>n</t>
          </r>
        </is>
      </c>
      <c r="E18" s="25" t="n">
        <v>300</v>
      </c>
      <c r="F18" s="28" t="inlineStr">
        <is>
          <t>mm</t>
        </is>
      </c>
      <c r="G18" s="23" t="n"/>
    </row>
    <row r="19" ht="17" customHeight="1">
      <c r="B19" s="23" t="n"/>
      <c r="C19" s="24" t="inlineStr">
        <is>
          <t>Bearing centre from the end of the nib</t>
        </is>
      </c>
      <c r="D19" s="27" t="inlineStr">
        <is>
          <r>
            <rPr>
              <rFont val="Calibri"/>
              <i val="1"/>
              <color rgb="002B2B2B"/>
              <sz val="10"/>
            </rPr>
            <t>x</t>
          </r>
          <r>
            <rPr>
              <rFont val="Calibri"/>
              <i val="1"/>
              <color rgb="002B2B2B"/>
              <sz val="10"/>
              <vertAlign val="subscript"/>
            </rPr>
            <t>b</t>
          </r>
        </is>
      </c>
      <c r="E19" s="25" t="n">
        <v>130</v>
      </c>
      <c r="F19" s="28" t="inlineStr">
        <is>
          <t>mm</t>
        </is>
      </c>
      <c r="G19" s="23" t="n"/>
    </row>
    <row r="20" ht="17" customHeight="1">
      <c r="B20" s="23" t="n"/>
      <c r="C20" s="24" t="inlineStr">
        <is>
          <t>Bearing pad length  (along the beam)</t>
        </is>
      </c>
      <c r="D20" s="27" t="inlineStr">
        <is>
          <r>
            <rPr>
              <rFont val="Calibri"/>
              <i val="1"/>
              <color rgb="002B2B2B"/>
              <sz val="10"/>
            </rPr>
            <t>l</t>
          </r>
          <r>
            <rPr>
              <rFont val="Calibri"/>
              <i val="1"/>
              <color rgb="002B2B2B"/>
              <sz val="10"/>
              <vertAlign val="subscript"/>
            </rPr>
            <t>p</t>
          </r>
        </is>
      </c>
      <c r="E20" s="25" t="n">
        <v>150</v>
      </c>
      <c r="F20" s="28" t="inlineStr">
        <is>
          <t>mm</t>
        </is>
      </c>
      <c r="G20" s="23" t="n"/>
    </row>
    <row r="21" ht="17" customHeight="1">
      <c r="B21" s="23" t="n"/>
      <c r="C21" s="24" t="inlineStr">
        <is>
          <t>Bearing pad width  (≤ b)</t>
        </is>
      </c>
      <c r="D21" s="27" t="inlineStr">
        <is>
          <r>
            <rPr>
              <rFont val="Calibri"/>
              <i val="1"/>
              <color rgb="002B2B2B"/>
              <sz val="10"/>
            </rPr>
            <t>b</t>
          </r>
          <r>
            <rPr>
              <rFont val="Calibri"/>
              <i val="1"/>
              <color rgb="002B2B2B"/>
              <sz val="10"/>
              <vertAlign val="subscript"/>
            </rPr>
            <t>p</t>
          </r>
        </is>
      </c>
      <c r="E21" s="25" t="n">
        <v>350</v>
      </c>
      <c r="F21" s="28" t="inlineStr">
        <is>
          <t>mm</t>
        </is>
      </c>
      <c r="G21" s="23" t="n"/>
    </row>
    <row r="22" ht="17" customHeight="1">
      <c r="B22" s="26" t="inlineStr">
        <is>
          <t>4.4.1</t>
        </is>
      </c>
      <c r="C22" s="24" t="inlineStr">
        <is>
          <t>Nominal cover to the links  (all faces)</t>
        </is>
      </c>
      <c r="D22" s="27" t="inlineStr">
        <is>
          <r>
            <rPr>
              <rFont val="Calibri"/>
              <i val="1"/>
              <color rgb="002B2B2B"/>
              <sz val="10"/>
            </rPr>
            <t>c</t>
          </r>
          <r>
            <rPr>
              <rFont val="Calibri"/>
              <i val="1"/>
              <color rgb="002B2B2B"/>
              <sz val="10"/>
              <vertAlign val="subscript"/>
            </rPr>
            <t>nom</t>
          </r>
        </is>
      </c>
      <c r="E22" s="25" t="n">
        <v>35</v>
      </c>
      <c r="F22" s="28" t="inlineStr">
        <is>
          <t>mm</t>
        </is>
      </c>
      <c r="G22" s="23" t="n"/>
    </row>
    <row r="24" ht="22" customHeight="1">
      <c r="B24" s="20" t="inlineStr">
        <is>
          <t>Inputs  ·  reinforcement</t>
        </is>
      </c>
      <c r="C24" s="21" t="n"/>
      <c r="D24" s="21" t="n"/>
      <c r="E24" s="21" t="n"/>
      <c r="F24" s="21" t="n"/>
      <c r="G24" s="21" t="n"/>
    </row>
    <row r="25" ht="17" customHeight="1">
      <c r="B25" s="23" t="n"/>
      <c r="C25" s="24" t="inlineStr">
        <is>
          <t>Nib tie: bar diameter</t>
        </is>
      </c>
      <c r="D25" s="27" t="inlineStr">
        <is>
          <r>
            <rPr>
              <rFont val="Calibri"/>
              <i val="1"/>
              <color rgb="002B2B2B"/>
              <sz val="10"/>
            </rPr>
            <t>φ</t>
          </r>
          <r>
            <rPr>
              <rFont val="Calibri"/>
              <i val="1"/>
              <color rgb="002B2B2B"/>
              <sz val="10"/>
              <vertAlign val="subscript"/>
            </rPr>
            <t>t</t>
          </r>
        </is>
      </c>
      <c r="E25" s="25" t="n">
        <v>16</v>
      </c>
      <c r="F25" s="28" t="inlineStr">
        <is>
          <t>mm</t>
        </is>
      </c>
      <c r="G25" s="23" t="n"/>
    </row>
    <row r="26" ht="17" customHeight="1">
      <c r="B26" s="23" t="n"/>
      <c r="C26" s="24" t="inlineStr">
        <is>
          <t>Nib tie: number of bars  (one layer)</t>
        </is>
      </c>
      <c r="D26" s="27" t="inlineStr">
        <is>
          <r>
            <rPr>
              <rFont val="Calibri"/>
              <i val="1"/>
              <color rgb="002B2B2B"/>
              <sz val="10"/>
            </rPr>
            <t>n</t>
          </r>
          <r>
            <rPr>
              <rFont val="Calibri"/>
              <i val="1"/>
              <color rgb="002B2B2B"/>
              <sz val="10"/>
              <vertAlign val="subscript"/>
            </rPr>
            <t>t</t>
          </r>
        </is>
      </c>
      <c r="E26" s="25" t="n">
        <v>5</v>
      </c>
      <c r="F26" s="23" t="n"/>
      <c r="G26" s="23" t="n"/>
    </row>
    <row r="27" ht="17" customHeight="1">
      <c r="B27" s="26" t="inlineStr">
        <is>
          <t>8.4</t>
        </is>
      </c>
      <c r="C27" s="24" t="inlineStr">
        <is>
          <t>Nib tie: length beyond the re-entrant face</t>
        </is>
      </c>
      <c r="D27" s="27" t="inlineStr">
        <is>
          <r>
            <rPr>
              <rFont val="Calibri"/>
              <i val="1"/>
              <color rgb="002B2B2B"/>
              <sz val="10"/>
            </rPr>
            <t>l</t>
          </r>
          <r>
            <rPr>
              <rFont val="Calibri"/>
              <i val="1"/>
              <color rgb="002B2B2B"/>
              <sz val="10"/>
              <vertAlign val="subscript"/>
            </rPr>
            <t>t</t>
          </r>
        </is>
      </c>
      <c r="E27" s="25" t="n">
        <v>800</v>
      </c>
      <c r="F27" s="28" t="inlineStr">
        <is>
          <t>mm</t>
        </is>
      </c>
      <c r="G27" s="23" t="n"/>
    </row>
    <row r="28" ht="17" customHeight="1">
      <c r="B28" s="23" t="n"/>
      <c r="C28" s="24" t="inlineStr">
        <is>
          <t>Hanger links: diameter</t>
        </is>
      </c>
      <c r="D28" s="27" t="inlineStr">
        <is>
          <r>
            <rPr>
              <rFont val="Calibri"/>
              <i val="1"/>
              <color rgb="002B2B2B"/>
              <sz val="10"/>
            </rPr>
            <t>φ</t>
          </r>
          <r>
            <rPr>
              <rFont val="Calibri"/>
              <i val="1"/>
              <color rgb="002B2B2B"/>
              <sz val="10"/>
              <vertAlign val="subscript"/>
            </rPr>
            <t>h</t>
          </r>
        </is>
      </c>
      <c r="E28" s="25" t="n">
        <v>12</v>
      </c>
      <c r="F28" s="28" t="inlineStr">
        <is>
          <t>mm</t>
        </is>
      </c>
      <c r="G28" s="23" t="n"/>
    </row>
    <row r="29" ht="17" customHeight="1">
      <c r="B29" s="23" t="n"/>
      <c r="C29" s="24" t="inlineStr">
        <is>
          <t>Hanger links: legs per set</t>
        </is>
      </c>
      <c r="D29" s="23" t="n"/>
      <c r="E29" s="25" t="n">
        <v>4</v>
      </c>
      <c r="F29" s="23" t="n"/>
      <c r="G29" s="23" t="n"/>
    </row>
    <row r="30" ht="17" customHeight="1">
      <c r="B30" s="23" t="n"/>
      <c r="C30" s="24" t="inlineStr">
        <is>
          <t>Hanger links: number of sets</t>
        </is>
      </c>
      <c r="D30" s="27" t="inlineStr">
        <is>
          <r>
            <rPr>
              <rFont val="Calibri"/>
              <i val="1"/>
              <color rgb="002B2B2B"/>
              <sz val="10"/>
            </rPr>
            <t>n</t>
          </r>
          <r>
            <rPr>
              <rFont val="Calibri"/>
              <i val="1"/>
              <color rgb="002B2B2B"/>
              <sz val="10"/>
              <vertAlign val="subscript"/>
            </rPr>
            <t>h</t>
          </r>
        </is>
      </c>
      <c r="E30" s="25" t="n">
        <v>4</v>
      </c>
      <c r="F30" s="23" t="n"/>
      <c r="G30" s="23" t="n"/>
    </row>
    <row r="31" ht="17" customHeight="1">
      <c r="B31" s="23" t="n"/>
      <c r="C31" s="24" t="inlineStr">
        <is>
          <t>Hanger links: spacing of the sets</t>
        </is>
      </c>
      <c r="D31" s="27" t="inlineStr">
        <is>
          <r>
            <rPr>
              <rFont val="Calibri"/>
              <i val="1"/>
              <color rgb="002B2B2B"/>
              <sz val="10"/>
            </rPr>
            <t>s</t>
          </r>
          <r>
            <rPr>
              <rFont val="Calibri"/>
              <i val="1"/>
              <color rgb="002B2B2B"/>
              <sz val="10"/>
              <vertAlign val="subscript"/>
            </rPr>
            <t>h</t>
          </r>
        </is>
      </c>
      <c r="E31" s="25" t="n">
        <v>58</v>
      </c>
      <c r="F31" s="28" t="inlineStr">
        <is>
          <t>mm</t>
        </is>
      </c>
      <c r="G31" s="23" t="n"/>
    </row>
    <row r="32" ht="17" customHeight="1">
      <c r="B32" s="23" t="n"/>
      <c r="C32" s="24" t="inlineStr">
        <is>
          <t>Bottom tie of the beam: bar diameter</t>
        </is>
      </c>
      <c r="D32" s="27" t="inlineStr">
        <is>
          <r>
            <rPr>
              <rFont val="Calibri"/>
              <i val="1"/>
              <color rgb="002B2B2B"/>
              <sz val="10"/>
            </rPr>
            <t>φ</t>
          </r>
          <r>
            <rPr>
              <rFont val="Calibri"/>
              <i val="1"/>
              <color rgb="002B2B2B"/>
              <sz val="10"/>
              <vertAlign val="subscript"/>
            </rPr>
            <t>b</t>
          </r>
        </is>
      </c>
      <c r="E32" s="25" t="n">
        <v>20</v>
      </c>
      <c r="F32" s="28" t="inlineStr">
        <is>
          <t>mm</t>
        </is>
      </c>
      <c r="G32" s="23" t="n"/>
    </row>
    <row r="33" ht="17" customHeight="1">
      <c r="B33" s="23" t="n"/>
      <c r="C33" s="24" t="inlineStr">
        <is>
          <t>Bottom tie: number of bars  (one layer)</t>
        </is>
      </c>
      <c r="D33" s="27" t="inlineStr">
        <is>
          <r>
            <rPr>
              <rFont val="Calibri"/>
              <i val="1"/>
              <color rgb="002B2B2B"/>
              <sz val="10"/>
            </rPr>
            <t>n</t>
          </r>
          <r>
            <rPr>
              <rFont val="Calibri"/>
              <i val="1"/>
              <color rgb="002B2B2B"/>
              <sz val="10"/>
              <vertAlign val="subscript"/>
            </rPr>
            <t>b</t>
          </r>
        </is>
      </c>
      <c r="E33" s="25" t="n">
        <v>4</v>
      </c>
      <c r="F33" s="23" t="n"/>
      <c r="G33" s="23" t="n"/>
    </row>
    <row r="34" ht="17" customHeight="1">
      <c r="B34" s="26" t="inlineStr">
        <is>
          <t>Table 8.2</t>
        </is>
      </c>
      <c r="C34" s="24" t="inlineStr">
        <is>
          <t>Bottom tie at the re-entrant face</t>
        </is>
      </c>
      <c r="D34" s="23" t="n"/>
      <c r="E34" s="25" t="inlineStr">
        <is>
          <t>U-bars bent up</t>
        </is>
      </c>
      <c r="F34" s="23" t="n"/>
      <c r="G34" s="23" t="n"/>
    </row>
    <row r="35" ht="17" customHeight="1">
      <c r="B35" s="23" t="n"/>
      <c r="C35" s="24" t="inlineStr">
        <is>
          <t>Nib links: diameter</t>
        </is>
      </c>
      <c r="D35" s="27" t="inlineStr">
        <is>
          <r>
            <rPr>
              <rFont val="Calibri"/>
              <i val="1"/>
              <color rgb="002B2B2B"/>
              <sz val="10"/>
            </rPr>
            <t>φ</t>
          </r>
          <r>
            <rPr>
              <rFont val="Calibri"/>
              <i val="1"/>
              <color rgb="002B2B2B"/>
              <sz val="10"/>
              <vertAlign val="subscript"/>
            </rPr>
            <t>l</t>
          </r>
        </is>
      </c>
      <c r="E35" s="25" t="n">
        <v>10</v>
      </c>
      <c r="F35" s="28" t="inlineStr">
        <is>
          <t>mm</t>
        </is>
      </c>
      <c r="G35" s="23" t="n"/>
    </row>
    <row r="36" ht="17" customHeight="1">
      <c r="B36" s="26" t="inlineStr">
        <is>
          <t>J.3(3)</t>
        </is>
      </c>
      <c r="C36" s="24" t="inlineStr">
        <is>
          <t>Nib links: vertical sets  (2 legs each)</t>
        </is>
      </c>
      <c r="D36" s="27" t="inlineStr">
        <is>
          <r>
            <rPr>
              <rFont val="Calibri"/>
              <i val="1"/>
              <color rgb="002B2B2B"/>
              <sz val="10"/>
            </rPr>
            <t>n</t>
          </r>
          <r>
            <rPr>
              <rFont val="Calibri"/>
              <i val="1"/>
              <color rgb="002B2B2B"/>
              <sz val="10"/>
              <vertAlign val="subscript"/>
            </rPr>
            <t>lv</t>
          </r>
        </is>
      </c>
      <c r="E36" s="25" t="n">
        <v>2</v>
      </c>
      <c r="F36" s="23" t="n"/>
      <c r="G36" s="23" t="n"/>
    </row>
    <row r="37" ht="17" customHeight="1">
      <c r="B37" s="26" t="inlineStr">
        <is>
          <t>J.3(2)</t>
        </is>
      </c>
      <c r="C37" s="24" t="inlineStr">
        <is>
          <t>Nib links: horizontal sets  (2 legs each)</t>
        </is>
      </c>
      <c r="D37" s="27" t="inlineStr">
        <is>
          <r>
            <rPr>
              <rFont val="Calibri"/>
              <i val="1"/>
              <color rgb="002B2B2B"/>
              <sz val="10"/>
            </rPr>
            <t>n</t>
          </r>
          <r>
            <rPr>
              <rFont val="Calibri"/>
              <i val="1"/>
              <color rgb="002B2B2B"/>
              <sz val="10"/>
              <vertAlign val="subscript"/>
            </rPr>
            <t>lh</t>
          </r>
        </is>
      </c>
      <c r="E37" s="25" t="n">
        <v>4</v>
      </c>
      <c r="F37" s="23" t="n"/>
      <c r="G37" s="23" t="n"/>
    </row>
    <row r="38" ht="17" customHeight="1">
      <c r="B38" s="26" t="inlineStr">
        <is>
          <t>6.2.3(2)</t>
        </is>
      </c>
      <c r="C38" s="24" t="inlineStr">
        <is>
          <t>Strut into the beam at the foot of the hanger  cot θ2</t>
        </is>
      </c>
      <c r="D38" s="27" t="inlineStr">
        <is>
          <r>
            <rPr>
              <rFont val="Calibri"/>
              <i val="1"/>
              <color rgb="002B2B2B"/>
              <sz val="10"/>
            </rPr>
            <t>cot θ</t>
          </r>
          <r>
            <rPr>
              <rFont val="Calibri"/>
              <i val="1"/>
              <color rgb="002B2B2B"/>
              <sz val="10"/>
              <vertAlign val="subscript"/>
            </rPr>
            <t>2</t>
          </r>
        </is>
      </c>
      <c r="E38" s="29" t="n">
        <v>1</v>
      </c>
      <c r="F38" s="23" t="n"/>
      <c r="G38" s="23" t="n"/>
    </row>
    <row r="40" ht="22" customHeight="1">
      <c r="B40" s="20" t="inlineStr">
        <is>
          <t>Inputs  ·  actions</t>
        </is>
      </c>
      <c r="C40" s="21" t="n"/>
      <c r="D40" s="21" t="n"/>
      <c r="E40" s="21" t="n"/>
      <c r="F40" s="21" t="n"/>
      <c r="G40" s="22" t="inlineStr">
        <is>
          <t>ULS design values</t>
        </is>
      </c>
    </row>
    <row r="41" ht="17" customHeight="1">
      <c r="B41" s="23" t="n"/>
      <c r="C41" s="24" t="inlineStr">
        <is>
          <t>Vertical reaction on the bearing</t>
        </is>
      </c>
      <c r="D41" s="27" t="inlineStr">
        <is>
          <r>
            <rPr>
              <rFont val="Calibri"/>
              <i val="1"/>
              <color rgb="002B2B2B"/>
              <sz val="10"/>
            </rPr>
            <t>V</t>
          </r>
          <r>
            <rPr>
              <rFont val="Calibri"/>
              <i val="1"/>
              <color rgb="002B2B2B"/>
              <sz val="10"/>
              <vertAlign val="subscript"/>
            </rPr>
            <t>Ed</t>
          </r>
        </is>
      </c>
      <c r="E41" s="30" t="n">
        <v>400</v>
      </c>
      <c r="F41" s="28" t="inlineStr">
        <is>
          <t>kN</t>
        </is>
      </c>
      <c r="G41" s="23" t="n"/>
    </row>
    <row r="42" ht="17" customHeight="1">
      <c r="B42" s="23" t="n"/>
      <c r="C42" s="24" t="inlineStr">
        <is>
          <t>Horizontal force at the bearing  (outwards, ≥ 0.2 VEd advised)</t>
        </is>
      </c>
      <c r="D42" s="27" t="inlineStr">
        <is>
          <r>
            <rPr>
              <rFont val="Calibri"/>
              <i val="1"/>
              <color rgb="002B2B2B"/>
              <sz val="10"/>
            </rPr>
            <t>H</t>
          </r>
          <r>
            <rPr>
              <rFont val="Calibri"/>
              <i val="1"/>
              <color rgb="002B2B2B"/>
              <sz val="10"/>
              <vertAlign val="subscript"/>
            </rPr>
            <t>Ed</t>
          </r>
        </is>
      </c>
      <c r="E42" s="30" t="n">
        <v>80</v>
      </c>
      <c r="F42" s="28" t="inlineStr">
        <is>
          <t>kN</t>
        </is>
      </c>
      <c r="G42" s="23" t="n"/>
    </row>
    <row r="43" ht="17" customHeight="1">
      <c r="B43" s="23" t="n"/>
      <c r="C43" s="24" t="inlineStr">
        <is>
          <t>Inputs valid and consistent</t>
        </is>
      </c>
      <c r="D43" s="23" t="n"/>
      <c r="E43" s="9" t="n"/>
      <c r="F43" s="23" t="n"/>
      <c r="G43" s="31">
        <f>IF(inputs_ok,"OK","FAIL")</f>
        <v/>
      </c>
    </row>
    <row r="45" ht="22" customHeight="1">
      <c r="B45" s="20" t="inlineStr">
        <is>
          <t>Results</t>
        </is>
      </c>
      <c r="C45" s="21" t="n"/>
      <c r="D45" s="21" t="n"/>
      <c r="E45" s="21" t="n"/>
      <c r="F45" s="21" t="n"/>
      <c r="G45" s="21" t="n"/>
    </row>
    <row r="46" ht="26" customHeight="1">
      <c r="B46" s="32" t="n"/>
      <c r="C46" s="33" t="inlineStr">
        <is>
          <t>Nib tie  As,prov / max(As,req; As,min)</t>
        </is>
      </c>
      <c r="D46" s="34" t="inlineStr">
        <is>
          <r>
            <rPr>
              <rFont val="Calibri"/>
              <i val="1"/>
              <color rgb="002B2B2B"/>
              <sz val="11"/>
            </rPr>
            <t>A</t>
          </r>
          <r>
            <rPr>
              <rFont val="Calibri"/>
              <i val="1"/>
              <color rgb="002B2B2B"/>
              <sz val="11"/>
              <vertAlign val="subscript"/>
            </rPr>
            <t>s,t</t>
          </r>
        </is>
      </c>
      <c r="E46" s="35">
        <f>IF(inputs_ok,IF(hj_ok,At_prov_hj/MAX(At_req_hj,Atmin_hj),"–"),"–")</f>
        <v/>
      </c>
      <c r="F46" s="36" t="inlineStr"/>
      <c r="G46" s="37">
        <f>IF(NOT(inputs_ok),"FAIL",IF(hj_ok,IF(AND(At_prov_hj&gt;=MAX(At_req_hj,Atmin_hj),At_prov_hj&lt;=Atmax_hj,gapt_hj&gt;=gmint_hj),"OK","FAIL"),"FAIL"))</f>
        <v/>
      </c>
    </row>
    <row r="47" ht="26" customHeight="1">
      <c r="B47" s="32" t="n"/>
      <c r="C47" s="33" t="inlineStr">
        <is>
          <t>Hanger  As,prov / (VEd / fyd)  (zone ≤ hn / 2)</t>
        </is>
      </c>
      <c r="D47" s="34" t="inlineStr">
        <is>
          <r>
            <rPr>
              <rFont val="Calibri"/>
              <i val="1"/>
              <color rgb="002B2B2B"/>
              <sz val="11"/>
            </rPr>
            <t>A</t>
          </r>
          <r>
            <rPr>
              <rFont val="Calibri"/>
              <i val="1"/>
              <color rgb="002B2B2B"/>
              <sz val="11"/>
              <vertAlign val="subscript"/>
            </rPr>
            <t>s,h</t>
          </r>
        </is>
      </c>
      <c r="E47" s="35">
        <f>IF(inputs_ok,Ah_prov_hj/Ah_req_hj,"–")</f>
        <v/>
      </c>
      <c r="F47" s="36" t="inlineStr"/>
      <c r="G47" s="37">
        <f>IF(NOT(inputs_ok),"FAIL",IF(hang_ok_hj,"OK","FAIL"))</f>
        <v/>
      </c>
    </row>
    <row r="48" ht="26" customHeight="1">
      <c r="B48" s="32" t="n"/>
      <c r="C48" s="33" t="inlineStr">
        <is>
          <t>Bottom tie  As,prov / As,req</t>
        </is>
      </c>
      <c r="D48" s="34" t="inlineStr">
        <is>
          <r>
            <rPr>
              <rFont val="Calibri"/>
              <i val="1"/>
              <color rgb="002B2B2B"/>
              <sz val="11"/>
            </rPr>
            <t>A</t>
          </r>
          <r>
            <rPr>
              <rFont val="Calibri"/>
              <i val="1"/>
              <color rgb="002B2B2B"/>
              <sz val="11"/>
              <vertAlign val="subscript"/>
            </rPr>
            <t>s,b</t>
          </r>
        </is>
      </c>
      <c r="E48" s="35">
        <f>IF(inputs_ok,Ab_prov_hj/Ab_req_hj,"–")</f>
        <v/>
      </c>
      <c r="F48" s="36" t="inlineStr"/>
      <c r="G48" s="37">
        <f>IF(NOT(inputs_ok),"FAIL",IF(AND(Ab_prov_hj&gt;=Ab_req_hj,gapb_hj&gt;=gminb_hj),"OK","FAIL"))</f>
        <v/>
      </c>
    </row>
    <row r="49" ht="26" customHeight="1">
      <c r="B49" s="32" t="n"/>
      <c r="C49" s="33" t="inlineStr">
        <is>
          <t>Nodes and struts  largest σ / limit  (top node: 1.00 unless capped)</t>
        </is>
      </c>
      <c r="D49" s="32" t="n"/>
      <c r="E49" s="35">
        <f>IF(inputs_ok,IF(hj_ok,MAX(sigbr_hj/scct_hj,sigA_hj/sstr_hj,sigB_hj/scct_hj,sigAB_hj/sstr_hj,sigC_hj/sctt_hj),MAX(sigbr_hj/scct_hj,sigC_hj/sctt_hj)),"–")</f>
        <v/>
      </c>
      <c r="F49" s="36" t="inlineStr"/>
      <c r="G49" s="37">
        <f>IF(NOT(inputs_ok),"FAIL",IF(hj_ok,IF(AND(sigbr_hj&lt;=scct_hj,sigA_hj&lt;=sstr_hj,sigB_hj&lt;=scct_hj*(1+1E-9),sigAB_hj&lt;=sstr_hj,sigC_hj&lt;=sctt_hj),"OK","FAIL"),"FAIL"))</f>
        <v/>
      </c>
    </row>
    <row r="50" ht="26" customHeight="1">
      <c r="B50" s="32" t="n"/>
      <c r="C50" s="33" t="inlineStr">
        <is>
          <t>Anchorage beyond the hanger  smallest margin  (available − lbd)</t>
        </is>
      </c>
      <c r="D50" s="32" t="n"/>
      <c r="E50" s="38">
        <f>IF(inputs_ok,IF(hj_ok,MIN(lavt_hj-lbdt_hj,lavb_hj-lbdb_hj),"–"),"–")</f>
        <v/>
      </c>
      <c r="F50" s="36" t="inlineStr">
        <is>
          <t>mm</t>
        </is>
      </c>
      <c r="G50" s="37">
        <f>IF(NOT(inputs_ok),"FAIL",IF(hj_ok,IF(AND(lavt_hj&gt;=lbdt_hj,lavb_hj&gt;=lbdb_hj,bfit_hj),"OK","FAIL"),"FAIL"))</f>
        <v/>
      </c>
    </row>
    <row r="51" ht="26" customHeight="1">
      <c r="B51" s="32" t="n"/>
      <c r="C51" s="33" t="inlineStr">
        <is>
          <t>Shear limit of the nib  VEd / (0.5 b dn ν fcd)</t>
        </is>
      </c>
      <c r="D51" s="32" t="n"/>
      <c r="E51" s="35">
        <f>IF(inputs_ok,hj_VEd/Vmax_hj,"–")</f>
        <v/>
      </c>
      <c r="F51" s="36" t="inlineStr"/>
      <c r="G51" s="37">
        <f>IF(NOT(inputs_ok),"FAIL",IF(hj_VEd&lt;=Vmax_hj,"OK","FAIL"))</f>
        <v/>
      </c>
    </row>
    <row r="52" ht="26" customHeight="1">
      <c r="B52" s="32" t="n"/>
      <c r="C52" s="33" t="inlineStr">
        <is>
          <t>Nib links  (Annex J.3 by analogy)</t>
        </is>
      </c>
      <c r="D52" s="32" t="n"/>
      <c r="E52" s="38">
        <f>IF(inputs_ok,IF(hj_ok,lnktxt_hj,"–"),"–")</f>
        <v/>
      </c>
      <c r="F52" s="36" t="inlineStr"/>
      <c r="G52" s="37">
        <f>IF(NOT(inputs_ok),"FAIL",IF(hj_ok,IF(lnk_ok_hj,"OK","FAIL"),"FAIL"))</f>
        <v/>
      </c>
    </row>
    <row r="53" ht="26" customHeight="1">
      <c r="B53" s="32" t="n"/>
      <c r="C53" s="33" t="inlineStr">
        <is>
          <t>Truss valid  (1 ≤ tan θ1; top node within dn)  ·  z0 / a</t>
        </is>
      </c>
      <c r="D53" s="34" t="inlineStr">
        <is>
          <r>
            <rPr>
              <rFont val="Calibri"/>
              <i val="1"/>
              <color rgb="002B2B2B"/>
              <sz val="11"/>
            </rPr>
            <t>z</t>
          </r>
          <r>
            <rPr>
              <rFont val="Calibri"/>
              <i val="1"/>
              <color rgb="002B2B2B"/>
              <sz val="11"/>
              <vertAlign val="subscript"/>
            </rPr>
            <t>0 / a</t>
          </r>
        </is>
      </c>
      <c r="E53" s="35">
        <f>IF(inputs_ok,IF(ISNUMBER(tanraw_hj),tanraw_hj,"–"),"–")</f>
        <v/>
      </c>
      <c r="F53" s="36" t="inlineStr"/>
      <c r="G53" s="37">
        <f>IF(NOT(inputs_ok),"FAIL",IF(hj_ok,IF(hj_hn&gt;=hj_h/2,"OK","! hn &lt; h/2"),"FAIL"))</f>
        <v/>
      </c>
    </row>
    <row r="54"/>
    <row r="55">
      <c r="B55" s="39" t="inlineStr">
        <is>
          <t>Your half joint, to scale  ·  elevation  ·  struts (dashed), hanger tie (red) and the top node of the truss; bars and links as entered</t>
        </is>
      </c>
    </row>
    <row r="56"/>
    <row r="57"/>
    <row r="58"/>
    <row r="59"/>
    <row r="60"/>
    <row r="61"/>
    <row r="62"/>
    <row r="63"/>
    <row r="64"/>
    <row r="65"/>
    <row r="66"/>
    <row r="67"/>
    <row r="68"/>
    <row r="69"/>
    <row r="70"/>
    <row r="71"/>
    <row r="72"/>
    <row r="73"/>
    <row r="74"/>
    <row r="75"/>
    <row r="76"/>
    <row r="77" ht="29" customHeight="1">
      <c r="B77" s="40" t="inlineStr">
        <is>
          <t>No real y: the compression at the top of the nib exceeds the node strength — widen the beam, deepen the nib or raise the concrete class. z0 / a ≤ 1: the nib is too slender for the model — deepen the nib or bring the bearing and the hanger closer together.</t>
        </is>
      </c>
    </row>
    <row r="78"/>
    <row r="79" ht="22" customHeight="1">
      <c r="B79" s="20" t="inlineStr">
        <is>
          <t>Calculation  ·  materials</t>
        </is>
      </c>
      <c r="C79" s="21" t="n"/>
      <c r="D79" s="21" t="n"/>
      <c r="E79" s="21" t="n"/>
      <c r="F79" s="21" t="n"/>
      <c r="G79" s="21" t="n"/>
    </row>
    <row r="80" ht="17" customHeight="1">
      <c r="B80" s="26" t="inlineStr">
        <is>
          <t>2.4.2.4(1)</t>
        </is>
      </c>
      <c r="C80" s="24" t="inlineStr">
        <is>
          <t>Partial factor, concrete</t>
        </is>
      </c>
      <c r="D80" s="27" t="inlineStr">
        <is>
          <r>
            <rPr>
              <rFont val="Calibri"/>
              <i val="1"/>
              <color rgb="002B2B2B"/>
              <sz val="10"/>
            </rPr>
            <t>γ</t>
          </r>
          <r>
            <rPr>
              <rFont val="Calibri"/>
              <i val="1"/>
              <color rgb="002B2B2B"/>
              <sz val="10"/>
              <vertAlign val="subscript"/>
            </rPr>
            <t>c</t>
          </r>
        </is>
      </c>
      <c r="E80" s="41">
        <f>IF(inputs_ok,ndp_gamma_c,NA())</f>
        <v/>
      </c>
      <c r="F80" s="23" t="n"/>
      <c r="G80" s="26" t="inlineStr">
        <is>
          <t>NDP sheet</t>
        </is>
      </c>
    </row>
    <row r="81" ht="17" customHeight="1">
      <c r="B81" s="26" t="inlineStr">
        <is>
          <t>2.4.2.4(1)</t>
        </is>
      </c>
      <c r="C81" s="24" t="inlineStr">
        <is>
          <t>Partial factor, reinforcement</t>
        </is>
      </c>
      <c r="D81" s="27" t="inlineStr">
        <is>
          <r>
            <rPr>
              <rFont val="Calibri"/>
              <i val="1"/>
              <color rgb="002B2B2B"/>
              <sz val="10"/>
            </rPr>
            <t>γ</t>
          </r>
          <r>
            <rPr>
              <rFont val="Calibri"/>
              <i val="1"/>
              <color rgb="002B2B2B"/>
              <sz val="10"/>
              <vertAlign val="subscript"/>
            </rPr>
            <t>s</t>
          </r>
        </is>
      </c>
      <c r="E81" s="41">
        <f>IF(inputs_ok,ndp_gamma_s,NA())</f>
        <v/>
      </c>
      <c r="F81" s="23" t="n"/>
      <c r="G81" s="26" t="inlineStr">
        <is>
          <t>NDP sheet</t>
        </is>
      </c>
    </row>
    <row r="82" ht="17" customHeight="1">
      <c r="B82" s="26" t="inlineStr">
        <is>
          <t>3.1.6(1)</t>
        </is>
      </c>
      <c r="C82" s="24" t="inlineStr">
        <is>
          <t>Coefficient on compressive strength (flexure)</t>
        </is>
      </c>
      <c r="D82" s="27" t="inlineStr">
        <is>
          <r>
            <rPr>
              <rFont val="Calibri"/>
              <i val="1"/>
              <color rgb="002B2B2B"/>
              <sz val="10"/>
            </rPr>
            <t>α</t>
          </r>
          <r>
            <rPr>
              <rFont val="Calibri"/>
              <i val="1"/>
              <color rgb="002B2B2B"/>
              <sz val="10"/>
              <vertAlign val="subscript"/>
            </rPr>
            <t>cc</t>
          </r>
        </is>
      </c>
      <c r="E82" s="41">
        <f>IF(inputs_ok,ndp_alpha_cc,NA())</f>
        <v/>
      </c>
      <c r="F82" s="23" t="n"/>
      <c r="G82" s="26" t="inlineStr">
        <is>
          <t>NDP sheet</t>
        </is>
      </c>
    </row>
    <row r="83" ht="17" customHeight="1">
      <c r="B83" s="26" t="inlineStr">
        <is>
          <t>3.1.6(1)</t>
        </is>
      </c>
      <c r="C83" s="24" t="inlineStr">
        <is>
          <t>Coefficient on compressive strength (shear)</t>
        </is>
      </c>
      <c r="D83" s="27" t="inlineStr">
        <is>
          <r>
            <rPr>
              <rFont val="Calibri"/>
              <i val="1"/>
              <color rgb="002B2B2B"/>
              <sz val="10"/>
            </rPr>
            <t>α</t>
          </r>
          <r>
            <rPr>
              <rFont val="Calibri"/>
              <i val="1"/>
              <color rgb="002B2B2B"/>
              <sz val="10"/>
              <vertAlign val="subscript"/>
            </rPr>
            <t>cc</t>
          </r>
        </is>
      </c>
      <c r="E83" s="41">
        <f>IF(inputs_ok,ndp_alpha_cc_shear,NA())</f>
        <v/>
      </c>
      <c r="F83" s="23" t="n"/>
      <c r="G83" s="26" t="inlineStr">
        <is>
          <t>NDP sheet</t>
        </is>
      </c>
    </row>
    <row r="84" ht="17" customHeight="1">
      <c r="B84" s="26" t="inlineStr">
        <is>
          <t>3.1.6(2)</t>
        </is>
      </c>
      <c r="C84" s="24" t="inlineStr">
        <is>
          <t>Coefficient on tensile strength</t>
        </is>
      </c>
      <c r="D84" s="27" t="inlineStr">
        <is>
          <r>
            <rPr>
              <rFont val="Calibri"/>
              <i val="1"/>
              <color rgb="002B2B2B"/>
              <sz val="10"/>
            </rPr>
            <t>α</t>
          </r>
          <r>
            <rPr>
              <rFont val="Calibri"/>
              <i val="1"/>
              <color rgb="002B2B2B"/>
              <sz val="10"/>
              <vertAlign val="subscript"/>
            </rPr>
            <t>ct</t>
          </r>
        </is>
      </c>
      <c r="E84" s="41">
        <f>IF(inputs_ok,ndp_alpha_ct,NA())</f>
        <v/>
      </c>
      <c r="F84" s="23" t="n"/>
      <c r="G84" s="26" t="inlineStr">
        <is>
          <t>NDP sheet</t>
        </is>
      </c>
    </row>
    <row r="85" ht="17" customHeight="1">
      <c r="B85" s="26" t="inlineStr">
        <is>
          <t>6.2.2(1), 6.4.4(1)</t>
        </is>
      </c>
      <c r="C85" s="24" t="inlineStr">
        <is>
          <t>Coefficient  0.18 / γc</t>
        </is>
      </c>
      <c r="D85" s="27" t="inlineStr">
        <is>
          <r>
            <rPr>
              <rFont val="Calibri"/>
              <i val="1"/>
              <color rgb="002B2B2B"/>
              <sz val="10"/>
            </rPr>
            <t>C</t>
          </r>
          <r>
            <rPr>
              <rFont val="Calibri"/>
              <i val="1"/>
              <color rgb="002B2B2B"/>
              <sz val="10"/>
              <vertAlign val="subscript"/>
            </rPr>
            <t>Rd,c</t>
          </r>
        </is>
      </c>
      <c r="E85" s="42">
        <f>IF(inputs_ok,ndp_C_Rdc/ndp_gamma_c,NA())</f>
        <v/>
      </c>
      <c r="F85" s="23" t="n"/>
      <c r="G85" s="26" t="inlineStr">
        <is>
          <t>NDP sheet</t>
        </is>
      </c>
    </row>
    <row r="86" ht="17" customHeight="1">
      <c r="B86" s="26" t="inlineStr">
        <is>
          <t>6.2.3(2)</t>
        </is>
      </c>
      <c r="C86" s="24" t="inlineStr">
        <is>
          <t>Upper limit of cot θ</t>
        </is>
      </c>
      <c r="D86" s="27" t="inlineStr">
        <is>
          <r>
            <rPr>
              <rFont val="Calibri"/>
              <i val="1"/>
              <color rgb="002B2B2B"/>
              <sz val="10"/>
            </rPr>
            <t>cot θ</t>
          </r>
          <r>
            <rPr>
              <rFont val="Calibri"/>
              <i val="1"/>
              <color rgb="002B2B2B"/>
              <sz val="10"/>
              <vertAlign val="subscript"/>
            </rPr>
            <t>max</t>
          </r>
        </is>
      </c>
      <c r="E86" s="41">
        <f>IF(inputs_ok,ndp_cot_max,NA())</f>
        <v/>
      </c>
      <c r="F86" s="23" t="n"/>
      <c r="G86" s="26" t="inlineStr">
        <is>
          <t>NDP sheet</t>
        </is>
      </c>
    </row>
    <row r="87" ht="17" customHeight="1">
      <c r="B87" s="26" t="inlineStr">
        <is>
          <t>Table 3.1</t>
        </is>
      </c>
      <c r="C87" s="24" t="inlineStr">
        <is>
          <t>Characteristic cylinder strength</t>
        </is>
      </c>
      <c r="D87" s="27" t="inlineStr">
        <is>
          <r>
            <rPr>
              <rFont val="Calibri"/>
              <i val="1"/>
              <color rgb="002B2B2B"/>
              <sz val="10"/>
            </rPr>
            <t>f</t>
          </r>
          <r>
            <rPr>
              <rFont val="Calibri"/>
              <i val="1"/>
              <color rgb="002B2B2B"/>
              <sz val="10"/>
              <vertAlign val="subscript"/>
            </rPr>
            <t>ck</t>
          </r>
        </is>
      </c>
      <c r="E87" s="43">
        <f>IF(inputs_ok,VALUE(MID(conc_class,2,FIND("/",conc_class)-2)),NA())</f>
        <v/>
      </c>
      <c r="F87" s="28" t="inlineStr">
        <is>
          <t>MPa</t>
        </is>
      </c>
      <c r="G87" s="23" t="n"/>
    </row>
    <row r="88" ht="17" customHeight="1">
      <c r="B88" s="26" t="inlineStr">
        <is>
          <t>Table 3.1</t>
        </is>
      </c>
      <c r="C88" s="24" t="inlineStr">
        <is>
          <t>Mean tensile strength</t>
        </is>
      </c>
      <c r="D88" s="27" t="inlineStr">
        <is>
          <r>
            <rPr>
              <rFont val="Calibri"/>
              <i val="1"/>
              <color rgb="002B2B2B"/>
              <sz val="10"/>
            </rPr>
            <t>f</t>
          </r>
          <r>
            <rPr>
              <rFont val="Calibri"/>
              <i val="1"/>
              <color rgb="002B2B2B"/>
              <sz val="10"/>
              <vertAlign val="subscript"/>
            </rPr>
            <t>ctm</t>
          </r>
        </is>
      </c>
      <c r="E88" s="41">
        <f>IF(inputs_ok,IF(f_ck&lt;=50,0.3*f_ck^(2/3),2.12*LN(1+(f_ck+8)/10)),NA())</f>
        <v/>
      </c>
      <c r="F88" s="28" t="inlineStr">
        <is>
          <t>MPa</t>
        </is>
      </c>
      <c r="G88" s="23" t="n"/>
    </row>
    <row r="89" ht="17" customHeight="1">
      <c r="B89" s="26" t="inlineStr">
        <is>
          <t>3.1.6(1)</t>
        </is>
      </c>
      <c r="C89" s="24" t="inlineStr">
        <is>
          <t>Design compressive strength  αcc fck / γc</t>
        </is>
      </c>
      <c r="D89" s="27" t="inlineStr">
        <is>
          <r>
            <rPr>
              <rFont val="Calibri"/>
              <i val="1"/>
              <color rgb="002B2B2B"/>
              <sz val="10"/>
            </rPr>
            <t>f</t>
          </r>
          <r>
            <rPr>
              <rFont val="Calibri"/>
              <i val="1"/>
              <color rgb="002B2B2B"/>
              <sz val="10"/>
              <vertAlign val="subscript"/>
            </rPr>
            <t>cd</t>
          </r>
        </is>
      </c>
      <c r="E89" s="41">
        <f>IF(inputs_ok,alpha_cc*f_ck/gamma_c,NA())</f>
        <v/>
      </c>
      <c r="F89" s="28" t="inlineStr">
        <is>
          <t>MPa</t>
        </is>
      </c>
      <c r="G89" s="23" t="n"/>
    </row>
    <row r="90" ht="17" customHeight="1">
      <c r="B90" s="26" t="inlineStr">
        <is>
          <t>3.2.7</t>
        </is>
      </c>
      <c r="C90" s="24" t="inlineStr">
        <is>
          <t>Design yield strength</t>
        </is>
      </c>
      <c r="D90" s="27" t="inlineStr">
        <is>
          <r>
            <rPr>
              <rFont val="Calibri"/>
              <i val="1"/>
              <color rgb="002B2B2B"/>
              <sz val="10"/>
            </rPr>
            <t>f</t>
          </r>
          <r>
            <rPr>
              <rFont val="Calibri"/>
              <i val="1"/>
              <color rgb="002B2B2B"/>
              <sz val="10"/>
              <vertAlign val="subscript"/>
            </rPr>
            <t>yd</t>
          </r>
        </is>
      </c>
      <c r="E90" s="44">
        <f>IF(inputs_ok,hj_fyk/gamma_s,NA())</f>
        <v/>
      </c>
      <c r="F90" s="28" t="inlineStr">
        <is>
          <t>MPa</t>
        </is>
      </c>
      <c r="G90" s="23" t="n"/>
    </row>
    <row r="91" ht="17" customHeight="1">
      <c r="B91" s="26" t="inlineStr">
        <is>
          <t>(6.57N)</t>
        </is>
      </c>
      <c r="C91" s="24" t="inlineStr">
        <is>
          <t>ν' = 1 − fck / 250</t>
        </is>
      </c>
      <c r="D91" s="27" t="inlineStr">
        <is>
          <r>
            <rPr>
              <rFont val="Calibri"/>
              <i val="1"/>
              <color rgb="002B2B2B"/>
              <sz val="10"/>
            </rPr>
            <t>ν'</t>
          </r>
        </is>
      </c>
      <c r="E91" s="42">
        <f>IF(inputs_ok,1-f_ck/250,NA())</f>
        <v/>
      </c>
      <c r="F91" s="23" t="n"/>
      <c r="G91" s="23" t="n"/>
    </row>
    <row r="92" ht="17" customHeight="1">
      <c r="B92" s="26" t="inlineStr">
        <is>
          <t>6.5.4(4)b</t>
        </is>
      </c>
      <c r="C92" s="24" t="inlineStr">
        <is>
          <t>CCT node limit  k2 ν' fcd,  k2 = 0.85</t>
        </is>
      </c>
      <c r="D92" s="27" t="inlineStr">
        <is>
          <r>
            <rPr>
              <rFont val="Calibri"/>
              <i val="1"/>
              <color rgb="002B2B2B"/>
              <sz val="10"/>
            </rPr>
            <t>σ</t>
          </r>
          <r>
            <rPr>
              <rFont val="Calibri"/>
              <i val="1"/>
              <color rgb="002B2B2B"/>
              <sz val="10"/>
              <vertAlign val="subscript"/>
            </rPr>
            <t>Rd,CCT</t>
          </r>
        </is>
      </c>
      <c r="E92" s="41">
        <f>IF(inputs_ok,0.85*nup_hj*fcd_hj,NA())</f>
        <v/>
      </c>
      <c r="F92" s="28" t="inlineStr">
        <is>
          <t>MPa</t>
        </is>
      </c>
      <c r="G92" s="23" t="n"/>
    </row>
    <row r="93" ht="17" customHeight="1">
      <c r="B93" s="26" t="inlineStr">
        <is>
          <t>6.5.4(4)c</t>
        </is>
      </c>
      <c r="C93" s="24" t="inlineStr">
        <is>
          <t>CTT node limit  k3 ν' fcd,  k3 = 0.75</t>
        </is>
      </c>
      <c r="D93" s="27" t="inlineStr">
        <is>
          <r>
            <rPr>
              <rFont val="Calibri"/>
              <i val="1"/>
              <color rgb="002B2B2B"/>
              <sz val="10"/>
            </rPr>
            <t>σ</t>
          </r>
          <r>
            <rPr>
              <rFont val="Calibri"/>
              <i val="1"/>
              <color rgb="002B2B2B"/>
              <sz val="10"/>
              <vertAlign val="subscript"/>
            </rPr>
            <t>Rd,CTT</t>
          </r>
        </is>
      </c>
      <c r="E93" s="41">
        <f>IF(inputs_ok,0.75*nup_hj*fcd_hj,NA())</f>
        <v/>
      </c>
      <c r="F93" s="28" t="inlineStr">
        <is>
          <t>MPa</t>
        </is>
      </c>
      <c r="G93" s="23" t="n"/>
    </row>
    <row r="94" ht="17" customHeight="1">
      <c r="B94" s="26" t="inlineStr">
        <is>
          <t>6.5.2(2)</t>
        </is>
      </c>
      <c r="C94" s="24" t="inlineStr">
        <is>
          <t>Strut in a cracked zone  0.6 ν' fcd</t>
        </is>
      </c>
      <c r="D94" s="27" t="inlineStr">
        <is>
          <r>
            <rPr>
              <rFont val="Calibri"/>
              <i val="1"/>
              <color rgb="002B2B2B"/>
              <sz val="10"/>
            </rPr>
            <t>σ</t>
          </r>
          <r>
            <rPr>
              <rFont val="Calibri"/>
              <i val="1"/>
              <color rgb="002B2B2B"/>
              <sz val="10"/>
              <vertAlign val="subscript"/>
            </rPr>
            <t>Rd,max</t>
          </r>
        </is>
      </c>
      <c r="E94" s="41">
        <f>IF(inputs_ok,0.6*nup_hj*fcd_hj,NA())</f>
        <v/>
      </c>
      <c r="F94" s="28" t="inlineStr">
        <is>
          <t>MPa</t>
        </is>
      </c>
      <c r="G94" s="23" t="n"/>
    </row>
    <row r="95"/>
    <row r="96" ht="22" customHeight="1">
      <c r="B96" s="20" t="inlineStr">
        <is>
          <t>Calculation  ·  nib as an inverted corbel</t>
        </is>
      </c>
      <c r="C96" s="21" t="n"/>
      <c r="D96" s="21" t="n"/>
      <c r="E96" s="21" t="n"/>
      <c r="F96" s="21" t="n"/>
      <c r="G96" s="21" t="n"/>
    </row>
    <row r="97" ht="17" customHeight="1">
      <c r="B97" s="23" t="n"/>
      <c r="C97" s="24" t="inlineStr">
        <is>
          <t>Nib tie above the nib soffit  c + φl + φt / 2</t>
        </is>
      </c>
      <c r="D97" s="27" t="inlineStr">
        <is>
          <r>
            <rPr>
              <rFont val="Calibri"/>
              <i val="1"/>
              <color rgb="002B2B2B"/>
              <sz val="10"/>
            </rPr>
            <t>a</t>
          </r>
          <r>
            <rPr>
              <rFont val="Calibri"/>
              <i val="1"/>
              <color rgb="002B2B2B"/>
              <sz val="10"/>
              <vertAlign val="subscript"/>
            </rPr>
            <t>H</t>
          </r>
        </is>
      </c>
      <c r="E97" s="44">
        <f>IF(inputs_ok,hj_c+hj_pl+hj_pt/2,NA())</f>
        <v/>
      </c>
      <c r="F97" s="28" t="inlineStr">
        <is>
          <t>mm</t>
        </is>
      </c>
      <c r="G97" s="23" t="n"/>
    </row>
    <row r="98" ht="17" customHeight="1">
      <c r="B98" s="23" t="n"/>
      <c r="C98" s="24" t="inlineStr">
        <is>
          <t>Effective depth of the nib  hn − aH</t>
        </is>
      </c>
      <c r="D98" s="27" t="inlineStr">
        <is>
          <r>
            <rPr>
              <rFont val="Calibri"/>
              <i val="1"/>
              <color rgb="002B2B2B"/>
              <sz val="10"/>
            </rPr>
            <t>d</t>
          </r>
          <r>
            <rPr>
              <rFont val="Calibri"/>
              <i val="1"/>
              <color rgb="002B2B2B"/>
              <sz val="10"/>
              <vertAlign val="subscript"/>
            </rPr>
            <t>n</t>
          </r>
        </is>
      </c>
      <c r="E98" s="44">
        <f>IF(inputs_ok,hj_hn-ct_hj,NA())</f>
        <v/>
      </c>
      <c r="F98" s="28" t="inlineStr">
        <is>
          <t>mm</t>
        </is>
      </c>
      <c r="G98" s="23" t="n"/>
    </row>
    <row r="99" ht="17" customHeight="1">
      <c r="B99" s="23" t="n"/>
      <c r="C99" s="24" t="inlineStr">
        <is>
          <t>First hanger set from the end  ln + c + φh / 2</t>
        </is>
      </c>
      <c r="D99" s="27" t="inlineStr">
        <is>
          <r>
            <rPr>
              <rFont val="Calibri"/>
              <i val="1"/>
              <color rgb="002B2B2B"/>
              <sz val="10"/>
            </rPr>
            <t>x</t>
          </r>
          <r>
            <rPr>
              <rFont val="Calibri"/>
              <i val="1"/>
              <color rgb="002B2B2B"/>
              <sz val="10"/>
              <vertAlign val="subscript"/>
            </rPr>
            <t>h1</t>
          </r>
        </is>
      </c>
      <c r="E99" s="44">
        <f>IF(inputs_ok,xh1_hj,NA())</f>
        <v/>
      </c>
      <c r="F99" s="28" t="inlineStr">
        <is>
          <t>mm</t>
        </is>
      </c>
      <c r="G99" s="23" t="n"/>
    </row>
    <row r="100" ht="17" customHeight="1">
      <c r="B100" s="23" t="n"/>
      <c r="C100" s="24" t="inlineStr">
        <is>
          <t>Hanger centroid  xh1 + (nh − 1) sh / 2</t>
        </is>
      </c>
      <c r="D100" s="27" t="inlineStr">
        <is>
          <r>
            <rPr>
              <rFont val="Calibri"/>
              <i val="1"/>
              <color rgb="002B2B2B"/>
              <sz val="10"/>
            </rPr>
            <t>x</t>
          </r>
          <r>
            <rPr>
              <rFont val="Calibri"/>
              <i val="1"/>
              <color rgb="002B2B2B"/>
              <sz val="10"/>
              <vertAlign val="subscript"/>
            </rPr>
            <t>h</t>
          </r>
        </is>
      </c>
      <c r="E100" s="44">
        <f>IF(inputs_ok,xh1_hj+(hj_nh-1)*hj_sh/2,NA())</f>
        <v/>
      </c>
      <c r="F100" s="28" t="inlineStr">
        <is>
          <t>mm</t>
        </is>
      </c>
      <c r="G100" s="23" t="n"/>
    </row>
    <row r="101" ht="17" customHeight="1">
      <c r="B101" s="23" t="n"/>
      <c r="C101" s="24" t="inlineStr">
        <is>
          <t>Last hanger link, far face  xh1 + (nh − 1) sh + φh / 2</t>
        </is>
      </c>
      <c r="D101" s="27" t="inlineStr">
        <is>
          <r>
            <rPr>
              <rFont val="Calibri"/>
              <i val="1"/>
              <color rgb="002B2B2B"/>
              <sz val="10"/>
            </rPr>
            <t>x</t>
          </r>
          <r>
            <rPr>
              <rFont val="Calibri"/>
              <i val="1"/>
              <color rgb="002B2B2B"/>
              <sz val="10"/>
              <vertAlign val="subscript"/>
            </rPr>
            <t>hf</t>
          </r>
        </is>
      </c>
      <c r="E101" s="44">
        <f>IF(inputs_ok,xh1_hj+(hj_nh-1)*hj_sh+hj_ph/2,NA())</f>
        <v/>
      </c>
      <c r="F101" s="28" t="inlineStr">
        <is>
          <t>mm</t>
        </is>
      </c>
      <c r="G101" s="23" t="n"/>
    </row>
    <row r="102" ht="17" customHeight="1">
      <c r="B102" s="23" t="n"/>
      <c r="C102" s="24" t="inlineStr">
        <is>
          <t>Lever of VEd  a = xh − xb</t>
        </is>
      </c>
      <c r="D102" s="27" t="inlineStr">
        <is>
          <r>
            <rPr>
              <rFont val="Calibri"/>
              <i val="1"/>
              <color rgb="002B2B2B"/>
              <sz val="10"/>
            </rPr>
            <t>a</t>
          </r>
        </is>
      </c>
      <c r="E102" s="44">
        <f>IF(inputs_ok,xh_hj-hj_xb,NA())</f>
        <v/>
      </c>
      <c r="F102" s="28" t="inlineStr">
        <is>
          <t>mm</t>
        </is>
      </c>
      <c r="G102" s="23" t="n"/>
    </row>
    <row r="103" ht="17" customHeight="1">
      <c r="B103" s="26" t="inlineStr">
        <is>
          <t>6.5</t>
        </is>
      </c>
      <c r="C103" s="24" t="inlineStr">
        <is>
          <t>Moment about the nib tie at the hanger  VEd a + HEd aH</t>
        </is>
      </c>
      <c r="D103" s="27" t="inlineStr">
        <is>
          <r>
            <rPr>
              <rFont val="Calibri"/>
              <i val="1"/>
              <color rgb="002B2B2B"/>
              <sz val="10"/>
            </rPr>
            <t>M</t>
          </r>
          <r>
            <rPr>
              <rFont val="Calibri"/>
              <i val="1"/>
              <color rgb="002B2B2B"/>
              <sz val="10"/>
              <vertAlign val="subscript"/>
            </rPr>
            <t>t</t>
          </r>
        </is>
      </c>
      <c r="E103" s="43">
        <f>IF(inputs_ok,hj_VEd*av_hj+hj_HEd*ct_hj,NA())</f>
        <v/>
      </c>
      <c r="F103" s="28" t="inlineStr">
        <is>
          <t>kNmm</t>
        </is>
      </c>
      <c r="G103" s="23" t="n"/>
    </row>
    <row r="104" ht="17" customHeight="1">
      <c r="B104" s="26" t="inlineStr">
        <is>
          <t>6.5</t>
        </is>
      </c>
      <c r="C104" s="24" t="inlineStr">
        <is>
          <t>Where the resultant of VEd and HEd meets the tie  Mt / VEd</t>
        </is>
      </c>
      <c r="D104" s="27" t="inlineStr">
        <is>
          <r>
            <rPr>
              <rFont val="Calibri"/>
              <i val="1"/>
              <color rgb="002B2B2B"/>
              <sz val="10"/>
            </rPr>
            <t>a</t>
          </r>
          <r>
            <rPr>
              <rFont val="Calibri"/>
              <i val="1"/>
              <color rgb="002B2B2B"/>
              <sz val="10"/>
              <vertAlign val="subscript"/>
            </rPr>
            <t>eq</t>
          </r>
        </is>
      </c>
      <c r="E104" s="44">
        <f>IF(inputs_ok,Mt_hj/hj_VEd,NA())</f>
        <v/>
      </c>
      <c r="F104" s="28" t="inlineStr">
        <is>
          <t>mm</t>
        </is>
      </c>
      <c r="G104" s="26" t="inlineStr">
        <is>
          <t>a_eq = a when HEd = 0</t>
        </is>
      </c>
    </row>
    <row r="105" ht="17" customHeight="1">
      <c r="B105" s="26" t="inlineStr">
        <is>
          <t>6.5.4(4)b</t>
        </is>
      </c>
      <c r="C105" s="24" t="inlineStr">
        <is>
          <t>Top node depth  dn − √(dn² − 2 Mt / (b σRd,CCT))</t>
        </is>
      </c>
      <c r="D105" s="27" t="inlineStr">
        <is>
          <r>
            <rPr>
              <rFont val="Calibri"/>
              <i val="1"/>
              <color rgb="002B2B2B"/>
              <sz val="10"/>
            </rPr>
            <t>y</t>
          </r>
          <r>
            <rPr>
              <rFont val="Calibri"/>
              <i val="1"/>
              <color rgb="002B2B2B"/>
              <sz val="10"/>
              <vertAlign val="subscript"/>
            </rPr>
            <t>0</t>
          </r>
        </is>
      </c>
      <c r="E105" s="44">
        <f>IF(inputs_ok,IF(dn_hj^2-2*Mt_hj*1000/(hj_b*scct_hj)&gt;=0,(2*Mt_hj*1000/(hj_b*scct_hj))/(dn_hj+SQRT(dn_hj^2-2*Mt_hj*1000/(hj_b*scct_hj))),NA()),NA())</f>
        <v/>
      </c>
      <c r="F105" s="28" t="inlineStr">
        <is>
          <t>mm</t>
        </is>
      </c>
      <c r="G105" s="26" t="inlineStr">
        <is>
          <t>N/A: node crushed</t>
        </is>
      </c>
    </row>
    <row r="106" ht="17" customHeight="1">
      <c r="B106" s="26" t="inlineStr">
        <is>
          <t>J.3(1)</t>
        </is>
      </c>
      <c r="C106" s="24" t="inlineStr">
        <is>
          <t>Lever arm  z0 = dn − y0 / 2</t>
        </is>
      </c>
      <c r="D106" s="27" t="inlineStr">
        <is>
          <r>
            <rPr>
              <rFont val="Calibri"/>
              <i val="1"/>
              <color rgb="002B2B2B"/>
              <sz val="10"/>
            </rPr>
            <t>z</t>
          </r>
          <r>
            <rPr>
              <rFont val="Calibri"/>
              <i val="1"/>
              <color rgb="002B2B2B"/>
              <sz val="10"/>
              <vertAlign val="subscript"/>
            </rPr>
            <t>0</t>
          </r>
        </is>
      </c>
      <c r="E106" s="44">
        <f>IF(inputs_ok,dn_hj-y0_hj/2,NA())</f>
        <v/>
      </c>
      <c r="F106" s="28" t="inlineStr">
        <is>
          <t>mm</t>
        </is>
      </c>
      <c r="G106" s="23" t="n"/>
    </row>
    <row r="107" ht="17" customHeight="1">
      <c r="B107" s="26" t="inlineStr">
        <is>
          <t>J.3(1)</t>
        </is>
      </c>
      <c r="C107" s="24" t="inlineStr">
        <is>
          <t>z0 / a_eq  (&gt; 1.0: short nib)</t>
        </is>
      </c>
      <c r="D107" s="27" t="inlineStr">
        <is>
          <r>
            <rPr>
              <rFont val="Calibri"/>
              <i val="1"/>
              <color rgb="002B2B2B"/>
              <sz val="10"/>
            </rPr>
            <t>z</t>
          </r>
          <r>
            <rPr>
              <rFont val="Calibri"/>
              <i val="1"/>
              <color rgb="002B2B2B"/>
              <sz val="10"/>
              <vertAlign val="subscript"/>
            </rPr>
            <t>0/a</t>
          </r>
        </is>
      </c>
      <c r="E107" s="42">
        <f>IF(inputs_ok,z0_hj/aeq_hj,NA())</f>
        <v/>
      </c>
      <c r="F107" s="23" t="n"/>
      <c r="G107" s="23" t="n"/>
    </row>
    <row r="108" ht="17" customHeight="1">
      <c r="B108" s="26" t="inlineStr">
        <is>
          <t>J.3(1)</t>
        </is>
      </c>
      <c r="C108" s="24" t="inlineStr">
        <is>
          <t>Lever arm used  min(z0; 2.5 a_eq)  (tan θ1 ≤ 2.5)</t>
        </is>
      </c>
      <c r="D108" s="27" t="inlineStr">
        <is>
          <r>
            <rPr>
              <rFont val="Calibri"/>
              <i val="1"/>
              <color rgb="002B2B2B"/>
              <sz val="10"/>
            </rPr>
            <t>z</t>
          </r>
        </is>
      </c>
      <c r="E108" s="44">
        <f>IF(inputs_ok,MIN(z0_hj,2.5*aeq_hj),NA())</f>
        <v/>
      </c>
      <c r="F108" s="28" t="inlineStr">
        <is>
          <t>mm</t>
        </is>
      </c>
      <c r="G108" s="23" t="n"/>
    </row>
    <row r="109" ht="17" customHeight="1">
      <c r="B109" s="23" t="n"/>
      <c r="C109" s="24" t="inlineStr">
        <is>
          <t>Top node depth used  2 (dn − z)  (= y0 unless capped)</t>
        </is>
      </c>
      <c r="D109" s="27" t="inlineStr">
        <is>
          <r>
            <rPr>
              <rFont val="Calibri"/>
              <i val="1"/>
              <color rgb="002B2B2B"/>
              <sz val="10"/>
            </rPr>
            <t>y</t>
          </r>
        </is>
      </c>
      <c r="E109" s="44">
        <f>IF(inputs_ok,IF(z0_hj&lt;=2.5*aeq_hj,y0_hj,2*(dn_hj-zu_hj)),NA())</f>
        <v/>
      </c>
      <c r="F109" s="28" t="inlineStr">
        <is>
          <t>mm</t>
        </is>
      </c>
      <c r="G109" s="23" t="n"/>
    </row>
    <row r="110" ht="17" customHeight="1">
      <c r="B110" s="26" t="inlineStr">
        <is>
          <t>J.3(1)</t>
        </is>
      </c>
      <c r="C110" s="24" t="inlineStr">
        <is>
          <t>Strut inclination  tan θ1 = z / a_eq</t>
        </is>
      </c>
      <c r="D110" s="27" t="inlineStr">
        <is>
          <r>
            <rPr>
              <rFont val="Calibri"/>
              <i val="1"/>
              <color rgb="002B2B2B"/>
              <sz val="10"/>
            </rPr>
            <t>tan θ</t>
          </r>
          <r>
            <rPr>
              <rFont val="Calibri"/>
              <i val="1"/>
              <color rgb="002B2B2B"/>
              <sz val="10"/>
              <vertAlign val="subscript"/>
            </rPr>
            <t>1</t>
          </r>
        </is>
      </c>
      <c r="E110" s="42">
        <f>IF(inputs_ok,zu_hj/aeq_hj,NA())</f>
        <v/>
      </c>
      <c r="F110" s="23" t="n"/>
      <c r="G110" s="23" t="n"/>
    </row>
    <row r="111" ht="17" customHeight="1">
      <c r="B111" s="23" t="n"/>
      <c r="C111" s="24" t="inlineStr">
        <is>
          <t>Tie node from the end  xh − a_eq  (≥ c + φl + φt / 2)</t>
        </is>
      </c>
      <c r="D111" s="27" t="inlineStr">
        <is>
          <r>
            <rPr>
              <rFont val="Calibri"/>
              <i val="1"/>
              <color rgb="002B2B2B"/>
              <sz val="10"/>
            </rPr>
            <t>x</t>
          </r>
          <r>
            <rPr>
              <rFont val="Calibri"/>
              <i val="1"/>
              <color rgb="002B2B2B"/>
              <sz val="10"/>
              <vertAlign val="subscript"/>
            </rPr>
            <t>A</t>
          </r>
        </is>
      </c>
      <c r="E111" s="44">
        <f>IF(inputs_ok,xh_hj-aeq_hj,NA())</f>
        <v/>
      </c>
      <c r="F111" s="28" t="inlineStr">
        <is>
          <t>mm</t>
        </is>
      </c>
      <c r="G111" s="23" t="n"/>
    </row>
    <row r="112" ht="17" customHeight="1">
      <c r="B112" s="26" t="inlineStr">
        <is>
          <t>6.5</t>
        </is>
      </c>
      <c r="C112" s="24" t="inlineStr">
        <is>
          <t>Compression at the top node  Mt / z</t>
        </is>
      </c>
      <c r="D112" s="27" t="inlineStr">
        <is>
          <r>
            <rPr>
              <rFont val="Calibri"/>
              <i val="1"/>
              <color rgb="002B2B2B"/>
              <sz val="10"/>
            </rPr>
            <t>C</t>
          </r>
        </is>
      </c>
      <c r="E112" s="44">
        <f>IF(inputs_ok,Mt_hj/zu_hj,NA())</f>
        <v/>
      </c>
      <c r="F112" s="28" t="inlineStr">
        <is>
          <t>kN</t>
        </is>
      </c>
      <c r="G112" s="23" t="n"/>
    </row>
    <row r="113" ht="17" customHeight="1">
      <c r="B113" s="26" t="inlineStr">
        <is>
          <t>6.5</t>
        </is>
      </c>
      <c r="C113" s="24" t="inlineStr">
        <is>
          <t>Nib tie force  C + HEd</t>
        </is>
      </c>
      <c r="D113" s="27" t="inlineStr">
        <is>
          <r>
            <rPr>
              <rFont val="Calibri"/>
              <i val="1"/>
              <color rgb="002B2B2B"/>
              <sz val="10"/>
            </rPr>
            <t>F</t>
          </r>
          <r>
            <rPr>
              <rFont val="Calibri"/>
              <i val="1"/>
              <color rgb="002B2B2B"/>
              <sz val="10"/>
              <vertAlign val="subscript"/>
            </rPr>
            <t>td</t>
          </r>
        </is>
      </c>
      <c r="E113" s="45">
        <f>IF(inputs_ok,C_hj+hj_HEd,NA())</f>
        <v/>
      </c>
      <c r="F113" s="28" t="inlineStr">
        <is>
          <t>kN</t>
        </is>
      </c>
      <c r="G113" s="23" t="n"/>
    </row>
    <row r="114" ht="17" customHeight="1">
      <c r="B114" s="26" t="inlineStr">
        <is>
          <t>6.5</t>
        </is>
      </c>
      <c r="C114" s="24" t="inlineStr">
        <is>
          <t>Strut force  √(VEd² + C²)</t>
        </is>
      </c>
      <c r="D114" s="27" t="inlineStr">
        <is>
          <r>
            <rPr>
              <rFont val="Calibri"/>
              <i val="1"/>
              <color rgb="002B2B2B"/>
              <sz val="10"/>
            </rPr>
            <t>F</t>
          </r>
          <r>
            <rPr>
              <rFont val="Calibri"/>
              <i val="1"/>
              <color rgb="002B2B2B"/>
              <sz val="10"/>
              <vertAlign val="subscript"/>
            </rPr>
            <t>c</t>
          </r>
        </is>
      </c>
      <c r="E114" s="44">
        <f>IF(inputs_ok,SQRT(hj_VEd^2+C_hj^2),NA())</f>
        <v/>
      </c>
      <c r="F114" s="28" t="inlineStr">
        <is>
          <t>kN</t>
        </is>
      </c>
      <c r="G114" s="23" t="n"/>
    </row>
    <row r="115"/>
    <row r="116" ht="22" customHeight="1">
      <c r="B116" s="20" t="inlineStr">
        <is>
          <t>Calculation  ·  ties</t>
        </is>
      </c>
      <c r="C116" s="21" t="n"/>
      <c r="D116" s="21" t="n"/>
      <c r="E116" s="21" t="n"/>
      <c r="F116" s="21" t="n"/>
      <c r="G116" s="21" t="n"/>
    </row>
    <row r="117" ht="17" customHeight="1">
      <c r="B117" s="23" t="n"/>
      <c r="C117" s="24" t="inlineStr">
        <is>
          <t>Nib tie required  Ftd / fyd</t>
        </is>
      </c>
      <c r="D117" s="27" t="inlineStr">
        <is>
          <r>
            <rPr>
              <rFont val="Calibri"/>
              <i val="1"/>
              <color rgb="002B2B2B"/>
              <sz val="10"/>
            </rPr>
            <t>A</t>
          </r>
          <r>
            <rPr>
              <rFont val="Calibri"/>
              <i val="1"/>
              <color rgb="002B2B2B"/>
              <sz val="10"/>
              <vertAlign val="subscript"/>
            </rPr>
            <t>s,t,req</t>
          </r>
        </is>
      </c>
      <c r="E117" s="43">
        <f>IF(inputs_ok,T_hj*1000/fyd_hj,NA())</f>
        <v/>
      </c>
      <c r="F117" s="28" t="inlineStr">
        <is>
          <t>mm²</t>
        </is>
      </c>
      <c r="G117" s="23" t="n"/>
    </row>
    <row r="118" ht="17" customHeight="1">
      <c r="B118" s="23" t="n"/>
      <c r="C118" s="24" t="inlineStr">
        <is>
          <t>Nib tie provided  nt π φt² / 4</t>
        </is>
      </c>
      <c r="D118" s="27" t="inlineStr">
        <is>
          <r>
            <rPr>
              <rFont val="Calibri"/>
              <i val="1"/>
              <color rgb="002B2B2B"/>
              <sz val="10"/>
            </rPr>
            <t>A</t>
          </r>
          <r>
            <rPr>
              <rFont val="Calibri"/>
              <i val="1"/>
              <color rgb="002B2B2B"/>
              <sz val="10"/>
              <vertAlign val="subscript"/>
            </rPr>
            <t>s,t</t>
          </r>
        </is>
      </c>
      <c r="E118" s="43">
        <f>IF(inputs_ok,hj_nt*PI()*hj_pt^2/4,NA())</f>
        <v/>
      </c>
      <c r="F118" s="28" t="inlineStr">
        <is>
          <t>mm²</t>
        </is>
      </c>
      <c r="G118" s="23" t="n"/>
    </row>
    <row r="119" ht="17" customHeight="1">
      <c r="B119" s="26" t="inlineStr">
        <is>
          <t>9.2.1.1(1)</t>
        </is>
      </c>
      <c r="C119" s="24" t="inlineStr">
        <is>
          <t>Minimum  max(0.26 fctm / fyk; 0.0013) b dn</t>
        </is>
      </c>
      <c r="D119" s="27" t="inlineStr">
        <is>
          <r>
            <rPr>
              <rFont val="Calibri"/>
              <i val="1"/>
              <color rgb="002B2B2B"/>
              <sz val="10"/>
            </rPr>
            <t>A</t>
          </r>
          <r>
            <rPr>
              <rFont val="Calibri"/>
              <i val="1"/>
              <color rgb="002B2B2B"/>
              <sz val="10"/>
              <vertAlign val="subscript"/>
            </rPr>
            <t>s,min</t>
          </r>
        </is>
      </c>
      <c r="E119" s="43">
        <f>IF(inputs_ok,MAX(0.26*f_ctm/hj_fyk,0.0013)*hj_b*dn_hj,NA())</f>
        <v/>
      </c>
      <c r="F119" s="28" t="inlineStr">
        <is>
          <t>mm²</t>
        </is>
      </c>
      <c r="G119" s="23" t="n"/>
    </row>
    <row r="120" ht="17" customHeight="1">
      <c r="B120" s="26" t="inlineStr">
        <is>
          <t>9.2.1.1(3)</t>
        </is>
      </c>
      <c r="C120" s="24" t="inlineStr">
        <is>
          <t>Maximum  0.04 b hn</t>
        </is>
      </c>
      <c r="D120" s="27" t="inlineStr">
        <is>
          <r>
            <rPr>
              <rFont val="Calibri"/>
              <i val="1"/>
              <color rgb="002B2B2B"/>
              <sz val="10"/>
            </rPr>
            <t>A</t>
          </r>
          <r>
            <rPr>
              <rFont val="Calibri"/>
              <i val="1"/>
              <color rgb="002B2B2B"/>
              <sz val="10"/>
              <vertAlign val="subscript"/>
            </rPr>
            <t>s,max</t>
          </r>
        </is>
      </c>
      <c r="E120" s="43">
        <f>IF(inputs_ok,0.04*hj_b*hj_hn,NA())</f>
        <v/>
      </c>
      <c r="F120" s="28" t="inlineStr">
        <is>
          <t>mm²</t>
        </is>
      </c>
      <c r="G120" s="23" t="n"/>
    </row>
    <row r="121" ht="17" customHeight="1">
      <c r="B121" s="26" t="inlineStr">
        <is>
          <t>8.2(2)</t>
        </is>
      </c>
      <c r="C121" s="24" t="inlineStr">
        <is>
          <t>Minimum clear gap  max(φt; dg + 5; 20)</t>
        </is>
      </c>
      <c r="D121" s="27" t="inlineStr">
        <is>
          <r>
            <rPr>
              <rFont val="Calibri"/>
              <i val="1"/>
              <color rgb="002B2B2B"/>
              <sz val="10"/>
            </rPr>
            <t>a</t>
          </r>
          <r>
            <rPr>
              <rFont val="Calibri"/>
              <i val="1"/>
              <color rgb="002B2B2B"/>
              <sz val="10"/>
              <vertAlign val="subscript"/>
            </rPr>
            <t>min</t>
          </r>
        </is>
      </c>
      <c r="E121" s="43">
        <f>IF(inputs_ok,MAX(hj_pt,hj_dg+5,20),NA())</f>
        <v/>
      </c>
      <c r="F121" s="28" t="inlineStr">
        <is>
          <t>mm</t>
        </is>
      </c>
      <c r="G121" s="23" t="n"/>
    </row>
    <row r="122" ht="17" customHeight="1">
      <c r="B122" s="23" t="n"/>
      <c r="C122" s="24" t="inlineStr">
        <is>
          <t>Side offset of the nib tie  c + φl  (U-bars: inside their legs, c + φh + φb)</t>
        </is>
      </c>
      <c r="D122" s="27" t="inlineStr">
        <is>
          <r>
            <rPr>
              <rFont val="Calibri"/>
              <i val="1"/>
              <color rgb="002B2B2B"/>
              <sz val="10"/>
            </rPr>
            <t>e</t>
          </r>
          <r>
            <rPr>
              <rFont val="Calibri"/>
              <i val="1"/>
              <color rgb="002B2B2B"/>
              <sz val="10"/>
              <vertAlign val="subscript"/>
            </rPr>
            <t>t</t>
          </r>
        </is>
      </c>
      <c r="E122" s="43">
        <f>IF(inputs_ok,et_hj,NA())</f>
        <v/>
      </c>
      <c r="F122" s="28" t="inlineStr">
        <is>
          <t>mm</t>
        </is>
      </c>
      <c r="G122" s="23" t="n"/>
    </row>
    <row r="123" ht="17" customHeight="1">
      <c r="B123" s="23" t="n"/>
      <c r="C123" s="24" t="inlineStr">
        <is>
          <t>Clear gap of the nib tie bars  (b − 2 et − nt φt) / (nt − 1)</t>
        </is>
      </c>
      <c r="D123" s="27" t="inlineStr">
        <is>
          <r>
            <rPr>
              <rFont val="Calibri"/>
              <i val="1"/>
              <color rgb="002B2B2B"/>
              <sz val="10"/>
            </rPr>
            <t>a</t>
          </r>
          <r>
            <rPr>
              <rFont val="Calibri"/>
              <i val="1"/>
              <color rgb="002B2B2B"/>
              <sz val="10"/>
              <vertAlign val="subscript"/>
            </rPr>
            <t>t</t>
          </r>
        </is>
      </c>
      <c r="E123" s="43">
        <f>IF(inputs_ok,(hj_b-2*et_hj-hj_nt*hj_pt)/(hj_nt-1),NA())</f>
        <v/>
      </c>
      <c r="F123" s="28" t="inlineStr">
        <is>
          <t>mm</t>
        </is>
      </c>
      <c r="G123" s="23" t="n"/>
    </row>
    <row r="124" ht="17" customHeight="1">
      <c r="B124" s="26" t="inlineStr">
        <is>
          <t>6.5, 9.2.1.1</t>
        </is>
      </c>
      <c r="C124" s="24" t="inlineStr">
        <is>
          <t>Nib tie  max(As,req; As,min) ≤ As,t ≤ As,max, bars fit</t>
        </is>
      </c>
      <c r="D124" s="27" t="inlineStr">
        <is>
          <r>
            <rPr>
              <rFont val="Calibri"/>
              <i val="1"/>
              <color rgb="002B2B2B"/>
              <sz val="10"/>
            </rPr>
            <t>A</t>
          </r>
          <r>
            <rPr>
              <rFont val="Calibri"/>
              <i val="1"/>
              <color rgb="002B2B2B"/>
              <sz val="10"/>
              <vertAlign val="subscript"/>
            </rPr>
            <t>s,t</t>
          </r>
        </is>
      </c>
      <c r="E124" s="43">
        <f>IF(inputs_ok,At_prov_hj,NA())</f>
        <v/>
      </c>
      <c r="F124" s="28" t="inlineStr">
        <is>
          <t>mm²</t>
        </is>
      </c>
      <c r="G124" s="31">
        <f>IF(NOT(inputs_ok),"FAIL",IF(IF(hj_ok,AND(At_prov_hj&gt;=MAX(At_req_hj,Atmin_hj),At_prov_hj&lt;=Atmax_hj,gapt_hj&gt;=gmint_hj),FALSE),"OK","FAIL"))</f>
        <v/>
      </c>
    </row>
    <row r="125" ht="17" customHeight="1">
      <c r="B125" s="26" t="inlineStr">
        <is>
          <t>10.9.4.6</t>
        </is>
      </c>
      <c r="C125" s="24" t="inlineStr">
        <is>
          <t>Hanger required  VEd / fyd  (model (a): all of VEd)</t>
        </is>
      </c>
      <c r="D125" s="27" t="inlineStr">
        <is>
          <r>
            <rPr>
              <rFont val="Calibri"/>
              <i val="1"/>
              <color rgb="002B2B2B"/>
              <sz val="10"/>
            </rPr>
            <t>A</t>
          </r>
          <r>
            <rPr>
              <rFont val="Calibri"/>
              <i val="1"/>
              <color rgb="002B2B2B"/>
              <sz val="10"/>
              <vertAlign val="subscript"/>
            </rPr>
            <t>s,h,req</t>
          </r>
        </is>
      </c>
      <c r="E125" s="43">
        <f>IF(inputs_ok,hj_VEd*1000/fyd_hj,NA())</f>
        <v/>
      </c>
      <c r="F125" s="28" t="inlineStr">
        <is>
          <t>mm²</t>
        </is>
      </c>
      <c r="G125" s="23" t="n"/>
    </row>
    <row r="126" ht="17" customHeight="1">
      <c r="B126" s="23" t="n"/>
      <c r="C126" s="24" t="inlineStr">
        <is>
          <t>Hanger provided  nh · legs · π φh² / 4</t>
        </is>
      </c>
      <c r="D126" s="27" t="inlineStr">
        <is>
          <r>
            <rPr>
              <rFont val="Calibri"/>
              <i val="1"/>
              <color rgb="002B2B2B"/>
              <sz val="10"/>
            </rPr>
            <t>A</t>
          </r>
          <r>
            <rPr>
              <rFont val="Calibri"/>
              <i val="1"/>
              <color rgb="002B2B2B"/>
              <sz val="10"/>
              <vertAlign val="subscript"/>
            </rPr>
            <t>s,h</t>
          </r>
        </is>
      </c>
      <c r="E126" s="43">
        <f>IF(inputs_ok,hj_nh*hj_leg*PI()*hj_ph^2/4,NA())</f>
        <v/>
      </c>
      <c r="F126" s="28" t="inlineStr">
        <is>
          <t>mm²</t>
        </is>
      </c>
      <c r="G126" s="23" t="n"/>
    </row>
    <row r="127" ht="17" customHeight="1">
      <c r="B127" s="23" t="n"/>
      <c r="C127" s="24" t="inlineStr">
        <is>
          <t>Hanger zone from the re-entrant face  xhf − ln  (≤ hn / 2)</t>
        </is>
      </c>
      <c r="D127" s="27" t="inlineStr">
        <is>
          <r>
            <rPr>
              <rFont val="Calibri"/>
              <i val="1"/>
              <color rgb="002B2B2B"/>
              <sz val="10"/>
            </rPr>
            <t>l</t>
          </r>
          <r>
            <rPr>
              <rFont val="Calibri"/>
              <i val="1"/>
              <color rgb="002B2B2B"/>
              <sz val="10"/>
              <vertAlign val="subscript"/>
            </rPr>
            <t>hz</t>
          </r>
        </is>
      </c>
      <c r="E127" s="44">
        <f>IF(inputs_ok,xhf_hj-hj_ln,NA())</f>
        <v/>
      </c>
      <c r="F127" s="28" t="inlineStr">
        <is>
          <t>mm</t>
        </is>
      </c>
      <c r="G127" s="23" t="n"/>
    </row>
    <row r="128" ht="17" customHeight="1">
      <c r="B128" s="26" t="inlineStr">
        <is>
          <t>8.2(2)</t>
        </is>
      </c>
      <c r="C128" s="24" t="inlineStr">
        <is>
          <t>Minimum clear gap  max(φh; dg + 5; 20)</t>
        </is>
      </c>
      <c r="D128" s="27" t="inlineStr">
        <is>
          <r>
            <rPr>
              <rFont val="Calibri"/>
              <i val="1"/>
              <color rgb="002B2B2B"/>
              <sz val="10"/>
            </rPr>
            <t>a</t>
          </r>
          <r>
            <rPr>
              <rFont val="Calibri"/>
              <i val="1"/>
              <color rgb="002B2B2B"/>
              <sz val="10"/>
              <vertAlign val="subscript"/>
            </rPr>
            <t>h,min</t>
          </r>
        </is>
      </c>
      <c r="E128" s="43">
        <f>IF(inputs_ok,MAX(hj_ph,hj_dg+5,20),NA())</f>
        <v/>
      </c>
      <c r="F128" s="28" t="inlineStr">
        <is>
          <t>mm</t>
        </is>
      </c>
      <c r="G128" s="23" t="n"/>
    </row>
    <row r="129" ht="17" customHeight="1">
      <c r="B129" s="23" t="n"/>
      <c r="C129" s="24" t="inlineStr">
        <is>
          <t>Clear gap between hanger sets  sh − φh</t>
        </is>
      </c>
      <c r="D129" s="27" t="inlineStr">
        <is>
          <r>
            <rPr>
              <rFont val="Calibri"/>
              <i val="1"/>
              <color rgb="002B2B2B"/>
              <sz val="10"/>
            </rPr>
            <t>a</t>
          </r>
          <r>
            <rPr>
              <rFont val="Calibri"/>
              <i val="1"/>
              <color rgb="002B2B2B"/>
              <sz val="10"/>
              <vertAlign val="subscript"/>
            </rPr>
            <t>h</t>
          </r>
        </is>
      </c>
      <c r="E129" s="43">
        <f>IF(inputs_ok,IF(hj_nh&gt;1,hj_sh-hj_ph,"–"),NA())</f>
        <v/>
      </c>
      <c r="F129" s="28" t="inlineStr">
        <is>
          <t>mm</t>
        </is>
      </c>
      <c r="G129" s="23" t="n"/>
    </row>
    <row r="130" ht="17" customHeight="1">
      <c r="B130" s="23" t="n"/>
      <c r="C130" s="24" t="inlineStr">
        <is>
          <t>Gap of the legs across  (b − 2c − legs φh) / (legs − 1)</t>
        </is>
      </c>
      <c r="D130" s="27" t="inlineStr">
        <is>
          <r>
            <rPr>
              <rFont val="Calibri"/>
              <i val="1"/>
              <color rgb="002B2B2B"/>
              <sz val="10"/>
            </rPr>
            <t>a</t>
          </r>
          <r>
            <rPr>
              <rFont val="Calibri"/>
              <i val="1"/>
              <color rgb="002B2B2B"/>
              <sz val="10"/>
              <vertAlign val="subscript"/>
            </rPr>
            <t>h,b</t>
          </r>
        </is>
      </c>
      <c r="E130" s="43">
        <f>IF(inputs_ok,(hj_b-2*hj_c-hj_leg*hj_ph)/(hj_leg-1),NA())</f>
        <v/>
      </c>
      <c r="F130" s="28" t="inlineStr">
        <is>
          <t>mm</t>
        </is>
      </c>
      <c r="G130" s="23" t="n"/>
    </row>
    <row r="131" ht="17" customHeight="1">
      <c r="B131" s="26" t="inlineStr">
        <is>
          <t>10.9.4.6, 8.2(2)</t>
        </is>
      </c>
      <c r="C131" s="24" t="inlineStr">
        <is>
          <t>Hanger  As,h ≥ VEd / fyd, within hn / 2, links fit</t>
        </is>
      </c>
      <c r="D131" s="27" t="inlineStr">
        <is>
          <r>
            <rPr>
              <rFont val="Calibri"/>
              <i val="1"/>
              <color rgb="002B2B2B"/>
              <sz val="10"/>
            </rPr>
            <t>A</t>
          </r>
          <r>
            <rPr>
              <rFont val="Calibri"/>
              <i val="1"/>
              <color rgb="002B2B2B"/>
              <sz val="10"/>
              <vertAlign val="subscript"/>
            </rPr>
            <t>s,h</t>
          </r>
        </is>
      </c>
      <c r="E131" s="43">
        <f>IF(inputs_ok,Ah_prov_hj,NA())</f>
        <v/>
      </c>
      <c r="F131" s="28" t="inlineStr">
        <is>
          <t>mm²</t>
        </is>
      </c>
      <c r="G131" s="31">
        <f>IF(NOT(inputs_ok),"FAIL",IF(hang_ok_hj,"OK","FAIL"))</f>
        <v/>
      </c>
    </row>
    <row r="132" ht="17" customHeight="1">
      <c r="B132" s="26" t="inlineStr">
        <is>
          <t>6.5</t>
        </is>
      </c>
      <c r="C132" s="24" t="inlineStr">
        <is>
          <t>Bottom tie at the foot of the hanger  VEd cot θ2 + HEd</t>
        </is>
      </c>
      <c r="D132" s="27" t="inlineStr">
        <is>
          <r>
            <rPr>
              <rFont val="Calibri"/>
              <i val="1"/>
              <color rgb="002B2B2B"/>
              <sz val="10"/>
            </rPr>
            <t>F</t>
          </r>
          <r>
            <rPr>
              <rFont val="Calibri"/>
              <i val="1"/>
              <color rgb="002B2B2B"/>
              <sz val="10"/>
              <vertAlign val="subscript"/>
            </rPr>
            <t>b</t>
          </r>
        </is>
      </c>
      <c r="E132" s="45">
        <f>IF(inputs_ok,hj_VEd*hj_cot+hj_HEd,NA())</f>
        <v/>
      </c>
      <c r="F132" s="28" t="inlineStr">
        <is>
          <t>kN</t>
        </is>
      </c>
      <c r="G132" s="23" t="n"/>
    </row>
    <row r="133" ht="17" customHeight="1">
      <c r="B133" s="23" t="n"/>
      <c r="C133" s="24" t="inlineStr">
        <is>
          <t>Bottom tie required  Fb / fyd</t>
        </is>
      </c>
      <c r="D133" s="27" t="inlineStr">
        <is>
          <r>
            <rPr>
              <rFont val="Calibri"/>
              <i val="1"/>
              <color rgb="002B2B2B"/>
              <sz val="10"/>
            </rPr>
            <t>A</t>
          </r>
          <r>
            <rPr>
              <rFont val="Calibri"/>
              <i val="1"/>
              <color rgb="002B2B2B"/>
              <sz val="10"/>
              <vertAlign val="subscript"/>
            </rPr>
            <t>s,b,req</t>
          </r>
        </is>
      </c>
      <c r="E133" s="43">
        <f>IF(inputs_ok,Fb_hj*1000/fyd_hj,NA())</f>
        <v/>
      </c>
      <c r="F133" s="28" t="inlineStr">
        <is>
          <t>mm²</t>
        </is>
      </c>
      <c r="G133" s="23" t="n"/>
    </row>
    <row r="134" ht="17" customHeight="1">
      <c r="B134" s="23" t="n"/>
      <c r="C134" s="24" t="inlineStr">
        <is>
          <t>Bottom tie provided  nb π φb² / 4</t>
        </is>
      </c>
      <c r="D134" s="27" t="inlineStr">
        <is>
          <r>
            <rPr>
              <rFont val="Calibri"/>
              <i val="1"/>
              <color rgb="002B2B2B"/>
              <sz val="10"/>
            </rPr>
            <t>A</t>
          </r>
          <r>
            <rPr>
              <rFont val="Calibri"/>
              <i val="1"/>
              <color rgb="002B2B2B"/>
              <sz val="10"/>
              <vertAlign val="subscript"/>
            </rPr>
            <t>s,b</t>
          </r>
        </is>
      </c>
      <c r="E134" s="43">
        <f>IF(inputs_ok,hj_nb*PI()*hj_pb^2/4,NA())</f>
        <v/>
      </c>
      <c r="F134" s="28" t="inlineStr">
        <is>
          <t>mm²</t>
        </is>
      </c>
      <c r="G134" s="23" t="n"/>
    </row>
    <row r="135" ht="17" customHeight="1">
      <c r="B135" s="26" t="inlineStr">
        <is>
          <t>8.2(2)</t>
        </is>
      </c>
      <c r="C135" s="24" t="inlineStr">
        <is>
          <t>Minimum clear gap  max(φb; dg + 5; 20)</t>
        </is>
      </c>
      <c r="D135" s="27" t="inlineStr">
        <is>
          <r>
            <rPr>
              <rFont val="Calibri"/>
              <i val="1"/>
              <color rgb="002B2B2B"/>
              <sz val="10"/>
            </rPr>
            <t>a</t>
          </r>
          <r>
            <rPr>
              <rFont val="Calibri"/>
              <i val="1"/>
              <color rgb="002B2B2B"/>
              <sz val="10"/>
              <vertAlign val="subscript"/>
            </rPr>
            <t>b,min</t>
          </r>
        </is>
      </c>
      <c r="E135" s="43">
        <f>IF(inputs_ok,MAX(hj_pb,hj_dg+5,20),NA())</f>
        <v/>
      </c>
      <c r="F135" s="28" t="inlineStr">
        <is>
          <t>mm</t>
        </is>
      </c>
      <c r="G135" s="23" t="n"/>
    </row>
    <row r="136" ht="17" customHeight="1">
      <c r="B136" s="23" t="n"/>
      <c r="C136" s="24" t="inlineStr">
        <is>
          <t>Clear gap of the bottom bars  (b − 2(c + φh) − nb φb) / (nb − 1)</t>
        </is>
      </c>
      <c r="D136" s="27" t="inlineStr">
        <is>
          <r>
            <rPr>
              <rFont val="Calibri"/>
              <i val="1"/>
              <color rgb="002B2B2B"/>
              <sz val="10"/>
            </rPr>
            <t>a</t>
          </r>
          <r>
            <rPr>
              <rFont val="Calibri"/>
              <i val="1"/>
              <color rgb="002B2B2B"/>
              <sz val="10"/>
              <vertAlign val="subscript"/>
            </rPr>
            <t>b</t>
          </r>
        </is>
      </c>
      <c r="E136" s="43">
        <f>IF(inputs_ok,(hj_b-2*(hj_c+hj_ph)-hj_nb*hj_pb)/(hj_nb-1),NA())</f>
        <v/>
      </c>
      <c r="F136" s="28" t="inlineStr">
        <is>
          <t>mm</t>
        </is>
      </c>
      <c r="G136" s="23" t="n"/>
    </row>
    <row r="137" ht="17" customHeight="1">
      <c r="B137" s="26" t="inlineStr">
        <is>
          <t>6.5, 8.2(2)</t>
        </is>
      </c>
      <c r="C137" s="24" t="inlineStr">
        <is>
          <t>Bottom tie  As,b ≥ As,b,req and the bars fit</t>
        </is>
      </c>
      <c r="D137" s="27" t="inlineStr">
        <is>
          <r>
            <rPr>
              <rFont val="Calibri"/>
              <i val="1"/>
              <color rgb="002B2B2B"/>
              <sz val="10"/>
            </rPr>
            <t>A</t>
          </r>
          <r>
            <rPr>
              <rFont val="Calibri"/>
              <i val="1"/>
              <color rgb="002B2B2B"/>
              <sz val="10"/>
              <vertAlign val="subscript"/>
            </rPr>
            <t>s,b</t>
          </r>
        </is>
      </c>
      <c r="E137" s="43">
        <f>IF(inputs_ok,Ab_prov_hj,NA())</f>
        <v/>
      </c>
      <c r="F137" s="28" t="inlineStr">
        <is>
          <t>mm²</t>
        </is>
      </c>
      <c r="G137" s="31">
        <f>IF(NOT(inputs_ok),"FAIL",IF(AND(Ab_prov_hj&gt;=Ab_req_hj,gapb_hj&gt;=gminb_hj),"OK","FAIL"))</f>
        <v/>
      </c>
    </row>
    <row r="138"/>
    <row r="139" ht="22" customHeight="1">
      <c r="B139" s="20" t="inlineStr">
        <is>
          <t>Calculation  ·  nodes and struts</t>
        </is>
      </c>
      <c r="C139" s="21" t="n"/>
      <c r="D139" s="21" t="n"/>
      <c r="E139" s="21" t="n"/>
      <c r="F139" s="21" t="n"/>
      <c r="G139" s="21" t="n"/>
    </row>
    <row r="140" ht="17" customHeight="1">
      <c r="B140" s="26" t="inlineStr">
        <is>
          <t>6.5.4(4)b</t>
        </is>
      </c>
      <c r="C140" s="24" t="inlineStr">
        <is>
          <t>Bearing stress  VEd / (lp bp)</t>
        </is>
      </c>
      <c r="D140" s="27" t="inlineStr">
        <is>
          <r>
            <rPr>
              <rFont val="Calibri"/>
              <i val="1"/>
              <color rgb="002B2B2B"/>
              <sz val="10"/>
            </rPr>
            <t>σ</t>
          </r>
          <r>
            <rPr>
              <rFont val="Calibri"/>
              <i val="1"/>
              <color rgb="002B2B2B"/>
              <sz val="10"/>
              <vertAlign val="subscript"/>
            </rPr>
            <t>Ed</t>
          </r>
        </is>
      </c>
      <c r="E140" s="41">
        <f>IF(inputs_ok,hj_VEd*1000/(hj_lp*hj_bp),NA())</f>
        <v/>
      </c>
      <c r="F140" s="28" t="inlineStr">
        <is>
          <t>MPa</t>
        </is>
      </c>
      <c r="G140" s="23" t="n"/>
    </row>
    <row r="141" ht="17" customHeight="1">
      <c r="B141" s="26" t="inlineStr">
        <is>
          <t>6.5.4(4)b</t>
        </is>
      </c>
      <c r="C141" s="24" t="inlineStr">
        <is>
          <t>Bearing node  σEd ≤ σRd,CCT</t>
        </is>
      </c>
      <c r="D141" s="27" t="inlineStr">
        <is>
          <r>
            <rPr>
              <rFont val="Calibri"/>
              <i val="1"/>
              <color rgb="002B2B2B"/>
              <sz val="10"/>
            </rPr>
            <t>σ</t>
          </r>
          <r>
            <rPr>
              <rFont val="Calibri"/>
              <i val="1"/>
              <color rgb="002B2B2B"/>
              <sz val="10"/>
              <vertAlign val="subscript"/>
            </rPr>
            <t>Ed</t>
          </r>
        </is>
      </c>
      <c r="E141" s="41">
        <f>IF(inputs_ok,sigbr_hj,NA())</f>
        <v/>
      </c>
      <c r="F141" s="28" t="inlineStr">
        <is>
          <t>MPa</t>
        </is>
      </c>
      <c r="G141" s="31">
        <f>IF(NOT(inputs_ok),"FAIL",IF(sigbr_hj&lt;=scct_hj,"OK","FAIL"))</f>
        <v/>
      </c>
    </row>
    <row r="142" ht="17" customHeight="1">
      <c r="B142" s="26" t="inlineStr">
        <is>
          <t>6.5.4(4)b</t>
        </is>
      </c>
      <c r="C142" s="24" t="inlineStr">
        <is>
          <t>Strut width at the bearing  lp sin θ1 + 2 aH cos θ1</t>
        </is>
      </c>
      <c r="D142" s="27" t="inlineStr">
        <is>
          <r>
            <rPr>
              <rFont val="Calibri"/>
              <i val="1"/>
              <color rgb="002B2B2B"/>
              <sz val="10"/>
            </rPr>
            <t>w</t>
          </r>
          <r>
            <rPr>
              <rFont val="Calibri"/>
              <i val="1"/>
              <color rgb="002B2B2B"/>
              <sz val="10"/>
              <vertAlign val="subscript"/>
            </rPr>
            <t>A</t>
          </r>
        </is>
      </c>
      <c r="E142" s="44">
        <f>IF(inputs_ok,hj_lp*SIN(ATAN(tant_hj))+2*ct_hj*COS(ATAN(tant_hj)),NA())</f>
        <v/>
      </c>
      <c r="F142" s="28" t="inlineStr">
        <is>
          <t>mm</t>
        </is>
      </c>
      <c r="G142" s="23" t="n"/>
    </row>
    <row r="143" ht="17" customHeight="1">
      <c r="B143" s="26" t="inlineStr">
        <is>
          <t>6.5.2(2)</t>
        </is>
      </c>
      <c r="C143" s="24" t="inlineStr">
        <is>
          <t>Strut stress at the bearing  Fc / (bp wA)</t>
        </is>
      </c>
      <c r="D143" s="27" t="inlineStr">
        <is>
          <r>
            <rPr>
              <rFont val="Calibri"/>
              <i val="1"/>
              <color rgb="002B2B2B"/>
              <sz val="10"/>
            </rPr>
            <t>σ</t>
          </r>
          <r>
            <rPr>
              <rFont val="Calibri"/>
              <i val="1"/>
              <color rgb="002B2B2B"/>
              <sz val="10"/>
              <vertAlign val="subscript"/>
            </rPr>
            <t>A</t>
          </r>
        </is>
      </c>
      <c r="E143" s="41">
        <f>IF(inputs_ok,Fs_hj*1000/(hj_bp*wA_hj),NA())</f>
        <v/>
      </c>
      <c r="F143" s="28" t="inlineStr">
        <is>
          <t>MPa</t>
        </is>
      </c>
      <c r="G143" s="23" t="n"/>
    </row>
    <row r="144" ht="17" customHeight="1">
      <c r="B144" s="26" t="inlineStr">
        <is>
          <t>6.5.2(2)</t>
        </is>
      </c>
      <c r="C144" s="24" t="inlineStr">
        <is>
          <t>Strut  σA ≤ 0.6 ν' fcd</t>
        </is>
      </c>
      <c r="D144" s="27" t="inlineStr">
        <is>
          <r>
            <rPr>
              <rFont val="Calibri"/>
              <i val="1"/>
              <color rgb="002B2B2B"/>
              <sz val="10"/>
            </rPr>
            <t>σ</t>
          </r>
          <r>
            <rPr>
              <rFont val="Calibri"/>
              <i val="1"/>
              <color rgb="002B2B2B"/>
              <sz val="10"/>
              <vertAlign val="subscript"/>
            </rPr>
            <t>A</t>
          </r>
        </is>
      </c>
      <c r="E144" s="41">
        <f>IF(inputs_ok,sigA_hj,NA())</f>
        <v/>
      </c>
      <c r="F144" s="28" t="inlineStr">
        <is>
          <t>MPa</t>
        </is>
      </c>
      <c r="G144" s="31">
        <f>IF(NOT(inputs_ok),"FAIL",IF(IF(hj_ok,sigA_hj&lt;=sstr_hj,FALSE),"OK","FAIL"))</f>
        <v/>
      </c>
    </row>
    <row r="145" ht="17" customHeight="1">
      <c r="B145" s="26" t="inlineStr">
        <is>
          <t>6.5.4(4)b</t>
        </is>
      </c>
      <c r="C145" s="24" t="inlineStr">
        <is>
          <t>Top node  C / (b y)  (≤ σRd,CCT; hydrostatic)</t>
        </is>
      </c>
      <c r="D145" s="27" t="inlineStr">
        <is>
          <r>
            <rPr>
              <rFont val="Calibri"/>
              <i val="1"/>
              <color rgb="002B2B2B"/>
              <sz val="10"/>
            </rPr>
            <t>σ</t>
          </r>
          <r>
            <rPr>
              <rFont val="Calibri"/>
              <i val="1"/>
              <color rgb="002B2B2B"/>
              <sz val="10"/>
              <vertAlign val="subscript"/>
            </rPr>
            <t>B</t>
          </r>
        </is>
      </c>
      <c r="E145" s="41">
        <f>IF(inputs_ok,C_hj*1000/(hj_b*yu_hj),NA())</f>
        <v/>
      </c>
      <c r="F145" s="28" t="inlineStr">
        <is>
          <t>MPa</t>
        </is>
      </c>
      <c r="G145" s="23" t="n"/>
    </row>
    <row r="146" ht="17" customHeight="1">
      <c r="B146" s="26" t="inlineStr">
        <is>
          <t>6.5.4(4)b</t>
        </is>
      </c>
      <c r="C146" s="24" t="inlineStr">
        <is>
          <t>Top node  σB ≤ σRd,CCT</t>
        </is>
      </c>
      <c r="D146" s="27" t="inlineStr">
        <is>
          <r>
            <rPr>
              <rFont val="Calibri"/>
              <i val="1"/>
              <color rgb="002B2B2B"/>
              <sz val="10"/>
            </rPr>
            <t>σ</t>
          </r>
          <r>
            <rPr>
              <rFont val="Calibri"/>
              <i val="1"/>
              <color rgb="002B2B2B"/>
              <sz val="10"/>
              <vertAlign val="subscript"/>
            </rPr>
            <t>B</t>
          </r>
        </is>
      </c>
      <c r="E146" s="41">
        <f>IF(inputs_ok,sigB_hj,NA())</f>
        <v/>
      </c>
      <c r="F146" s="28" t="inlineStr">
        <is>
          <t>MPa</t>
        </is>
      </c>
      <c r="G146" s="31">
        <f>IF(NOT(inputs_ok),"FAIL",IF(IF(hj_ok,sigB_hj&lt;=scct_hj*(1+1E-9),FALSE),"OK","FAIL"))</f>
        <v/>
      </c>
    </row>
    <row r="147" ht="17" customHeight="1">
      <c r="B147" s="23" t="n"/>
      <c r="C147" s="24" t="inlineStr">
        <is>
          <t>Width of the hanger zone  (nh − 1) sh + φh</t>
        </is>
      </c>
      <c r="D147" s="27" t="inlineStr">
        <is>
          <r>
            <rPr>
              <rFont val="Calibri"/>
              <i val="1"/>
              <color rgb="002B2B2B"/>
              <sz val="10"/>
            </rPr>
            <t>l</t>
          </r>
          <r>
            <rPr>
              <rFont val="Calibri"/>
              <i val="1"/>
              <color rgb="002B2B2B"/>
              <sz val="10"/>
              <vertAlign val="subscript"/>
            </rPr>
            <t>h</t>
          </r>
        </is>
      </c>
      <c r="E147" s="44">
        <f>IF(inputs_ok,(hj_nh-1)*hj_sh+hj_ph,NA())</f>
        <v/>
      </c>
      <c r="F147" s="28" t="inlineStr">
        <is>
          <t>mm</t>
        </is>
      </c>
      <c r="G147" s="23" t="n"/>
    </row>
    <row r="148" ht="17" customHeight="1">
      <c r="B148" s="26" t="inlineStr">
        <is>
          <t>6.5.4(4)b</t>
        </is>
      </c>
      <c r="C148" s="24" t="inlineStr">
        <is>
          <t>Strut face at the top node  y cos θ1 + lh sin θ1</t>
        </is>
      </c>
      <c r="D148" s="27" t="inlineStr">
        <is>
          <r>
            <rPr>
              <rFont val="Calibri"/>
              <i val="1"/>
              <color rgb="002B2B2B"/>
              <sz val="10"/>
            </rPr>
            <t>w</t>
          </r>
          <r>
            <rPr>
              <rFont val="Calibri"/>
              <i val="1"/>
              <color rgb="002B2B2B"/>
              <sz val="10"/>
              <vertAlign val="subscript"/>
            </rPr>
            <t>B</t>
          </r>
        </is>
      </c>
      <c r="E148" s="44">
        <f>IF(inputs_ok,yu_hj*COS(ATAN(tant_hj))+lhz_hj*SIN(ATAN(tant_hj)),NA())</f>
        <v/>
      </c>
      <c r="F148" s="28" t="inlineStr">
        <is>
          <t>mm</t>
        </is>
      </c>
      <c r="G148" s="23" t="n"/>
    </row>
    <row r="149" ht="17" customHeight="1">
      <c r="B149" s="26" t="inlineStr">
        <is>
          <t>6.5.2(2)</t>
        </is>
      </c>
      <c r="C149" s="24" t="inlineStr">
        <is>
          <t>Strut stress on that face  Fc / (b wB)</t>
        </is>
      </c>
      <c r="D149" s="27" t="inlineStr">
        <is>
          <r>
            <rPr>
              <rFont val="Calibri"/>
              <i val="1"/>
              <color rgb="002B2B2B"/>
              <sz val="10"/>
            </rPr>
            <t>σ</t>
          </r>
          <r>
            <rPr>
              <rFont val="Calibri"/>
              <i val="1"/>
              <color rgb="002B2B2B"/>
              <sz val="10"/>
              <vertAlign val="subscript"/>
            </rPr>
            <t>AB</t>
          </r>
        </is>
      </c>
      <c r="E149" s="41">
        <f>IF(inputs_ok,Fs_hj*1000/(hj_b*wB_hj),NA())</f>
        <v/>
      </c>
      <c r="F149" s="28" t="inlineStr">
        <is>
          <t>MPa</t>
        </is>
      </c>
      <c r="G149" s="23" t="n"/>
    </row>
    <row r="150" ht="17" customHeight="1">
      <c r="B150" s="26" t="inlineStr">
        <is>
          <t>6.5.2(2)</t>
        </is>
      </c>
      <c r="C150" s="24" t="inlineStr">
        <is>
          <t>Strut at the top node  σAB ≤ 0.6 ν' fcd</t>
        </is>
      </c>
      <c r="D150" s="27" t="inlineStr">
        <is>
          <r>
            <rPr>
              <rFont val="Calibri"/>
              <i val="1"/>
              <color rgb="002B2B2B"/>
              <sz val="10"/>
            </rPr>
            <t>σ</t>
          </r>
          <r>
            <rPr>
              <rFont val="Calibri"/>
              <i val="1"/>
              <color rgb="002B2B2B"/>
              <sz val="10"/>
              <vertAlign val="subscript"/>
            </rPr>
            <t>AB</t>
          </r>
        </is>
      </c>
      <c r="E150" s="41">
        <f>IF(inputs_ok,sigAB_hj,NA())</f>
        <v/>
      </c>
      <c r="F150" s="28" t="inlineStr">
        <is>
          <t>MPa</t>
        </is>
      </c>
      <c r="G150" s="31">
        <f>IF(NOT(inputs_ok),"FAIL",IF(IF(hj_ok,sigAB_hj&lt;=sstr_hj,FALSE),"OK","FAIL"))</f>
        <v/>
      </c>
    </row>
    <row r="151" ht="17" customHeight="1">
      <c r="B151" s="23" t="n"/>
      <c r="C151" s="24" t="inlineStr">
        <is>
          <t>Bottom tie above the soffit  c + φh + φb / 2</t>
        </is>
      </c>
      <c r="D151" s="27" t="inlineStr">
        <is>
          <r>
            <rPr>
              <rFont val="Calibri"/>
              <i val="1"/>
              <color rgb="002B2B2B"/>
              <sz val="10"/>
            </rPr>
            <t>u</t>
          </r>
          <r>
            <rPr>
              <rFont val="Calibri"/>
              <i val="1"/>
              <color rgb="002B2B2B"/>
              <sz val="10"/>
              <vertAlign val="subscript"/>
            </rPr>
            <t>b</t>
          </r>
        </is>
      </c>
      <c r="E151" s="44">
        <f>IF(inputs_ok,hj_c+hj_ph+hj_pb/2,NA())</f>
        <v/>
      </c>
      <c r="F151" s="28" t="inlineStr">
        <is>
          <t>mm</t>
        </is>
      </c>
      <c r="G151" s="23" t="n"/>
    </row>
    <row r="152" ht="17" customHeight="1">
      <c r="B152" s="26" t="inlineStr">
        <is>
          <t>6.5</t>
        </is>
      </c>
      <c r="C152" s="24" t="inlineStr">
        <is>
          <t>Strut into the beam  VEd / sin θ2 = VEd √(1 + cot² θ2)</t>
        </is>
      </c>
      <c r="D152" s="27" t="inlineStr">
        <is>
          <r>
            <rPr>
              <rFont val="Calibri"/>
              <i val="1"/>
              <color rgb="002B2B2B"/>
              <sz val="10"/>
            </rPr>
            <t>F</t>
          </r>
          <r>
            <rPr>
              <rFont val="Calibri"/>
              <i val="1"/>
              <color rgb="002B2B2B"/>
              <sz val="10"/>
              <vertAlign val="subscript"/>
            </rPr>
            <t>c2</t>
          </r>
        </is>
      </c>
      <c r="E152" s="44">
        <f>IF(inputs_ok,hj_VEd*SQRT(1+hj_cot^2),NA())</f>
        <v/>
      </c>
      <c r="F152" s="28" t="inlineStr">
        <is>
          <t>kN</t>
        </is>
      </c>
      <c r="G152" s="23" t="n"/>
    </row>
    <row r="153" ht="17" customHeight="1">
      <c r="B153" s="26" t="inlineStr">
        <is>
          <t>6.5.4(4)c</t>
        </is>
      </c>
      <c r="C153" s="24" t="inlineStr">
        <is>
          <t>Strut width, foot of the hanger  lh sin θ2 + 2 ub cos θ2</t>
        </is>
      </c>
      <c r="D153" s="27" t="inlineStr">
        <is>
          <r>
            <rPr>
              <rFont val="Calibri"/>
              <i val="1"/>
              <color rgb="002B2B2B"/>
              <sz val="10"/>
            </rPr>
            <t>w</t>
          </r>
          <r>
            <rPr>
              <rFont val="Calibri"/>
              <i val="1"/>
              <color rgb="002B2B2B"/>
              <sz val="10"/>
              <vertAlign val="subscript"/>
            </rPr>
            <t>C</t>
          </r>
        </is>
      </c>
      <c r="E153" s="44">
        <f>IF(inputs_ok,lhz_hj/SQRT(1+hj_cot^2)+2*yC_hj*hj_cot/SQRT(1+hj_cot^2),NA())</f>
        <v/>
      </c>
      <c r="F153" s="28" t="inlineStr">
        <is>
          <t>mm</t>
        </is>
      </c>
      <c r="G153" s="23" t="n"/>
    </row>
    <row r="154" ht="17" customHeight="1">
      <c r="B154" s="26" t="inlineStr">
        <is>
          <t>6.5.4(4)c</t>
        </is>
      </c>
      <c r="C154" s="24" t="inlineStr">
        <is>
          <t>Node at the foot of the hanger  Fc2 / (b wC)</t>
        </is>
      </c>
      <c r="D154" s="27" t="inlineStr">
        <is>
          <r>
            <rPr>
              <rFont val="Calibri"/>
              <i val="1"/>
              <color rgb="002B2B2B"/>
              <sz val="10"/>
            </rPr>
            <t>σ</t>
          </r>
          <r>
            <rPr>
              <rFont val="Calibri"/>
              <i val="1"/>
              <color rgb="002B2B2B"/>
              <sz val="10"/>
              <vertAlign val="subscript"/>
            </rPr>
            <t>C</t>
          </r>
        </is>
      </c>
      <c r="E154" s="41">
        <f>IF(inputs_ok,Fc2_hj*1000/(hj_b*wC_hj),NA())</f>
        <v/>
      </c>
      <c r="F154" s="28" t="inlineStr">
        <is>
          <t>MPa</t>
        </is>
      </c>
      <c r="G154" s="23" t="n"/>
    </row>
    <row r="155" ht="17" customHeight="1">
      <c r="B155" s="26" t="inlineStr">
        <is>
          <t>6.5.4(4)c</t>
        </is>
      </c>
      <c r="C155" s="24" t="inlineStr">
        <is>
          <t>CTT node  σC ≤ σRd,CTT</t>
        </is>
      </c>
      <c r="D155" s="27" t="inlineStr">
        <is>
          <r>
            <rPr>
              <rFont val="Calibri"/>
              <i val="1"/>
              <color rgb="002B2B2B"/>
              <sz val="10"/>
            </rPr>
            <t>σ</t>
          </r>
          <r>
            <rPr>
              <rFont val="Calibri"/>
              <i val="1"/>
              <color rgb="002B2B2B"/>
              <sz val="10"/>
              <vertAlign val="subscript"/>
            </rPr>
            <t>C</t>
          </r>
        </is>
      </c>
      <c r="E155" s="41">
        <f>IF(inputs_ok,sigC_hj,NA())</f>
        <v/>
      </c>
      <c r="F155" s="28" t="inlineStr">
        <is>
          <t>MPa</t>
        </is>
      </c>
      <c r="G155" s="31">
        <f>IF(NOT(inputs_ok),"FAIL",IF(sigC_hj&lt;=sctt_hj,"OK","FAIL"))</f>
        <v/>
      </c>
    </row>
    <row r="156"/>
    <row r="157" ht="22" customHeight="1">
      <c r="B157" s="20" t="inlineStr">
        <is>
          <t>Calculation  ·  anchorage beyond the hanger, 8.4</t>
        </is>
      </c>
      <c r="C157" s="21" t="n"/>
      <c r="D157" s="21" t="n"/>
      <c r="E157" s="21" t="n"/>
      <c r="F157" s="21" t="n"/>
      <c r="G157" s="21" t="n"/>
    </row>
    <row r="158" ht="17" customHeight="1">
      <c r="B158" s="26" t="inlineStr">
        <is>
          <t>3.1.6(2), 8.4.2(2)</t>
        </is>
      </c>
      <c r="C158" s="24" t="inlineStr">
        <is>
          <t>fctd  (fctk,0.05 not above the C60/75 value)</t>
        </is>
      </c>
      <c r="D158" s="27" t="inlineStr">
        <is>
          <r>
            <rPr>
              <rFont val="Calibri"/>
              <i val="1"/>
              <color rgb="002B2B2B"/>
              <sz val="10"/>
            </rPr>
            <t>f</t>
          </r>
          <r>
            <rPr>
              <rFont val="Calibri"/>
              <i val="1"/>
              <color rgb="002B2B2B"/>
              <sz val="10"/>
              <vertAlign val="subscript"/>
            </rPr>
            <t>ctd</t>
          </r>
        </is>
      </c>
      <c r="E158" s="41">
        <f>IF(inputs_ok,alpha_ct*MIN(0.7*f_ctm,0.7*2.12*LN(1+68/10))/gamma_c,NA())</f>
        <v/>
      </c>
      <c r="F158" s="28" t="inlineStr">
        <is>
          <t>MPa</t>
        </is>
      </c>
      <c r="G158" s="23" t="n"/>
    </row>
    <row r="159" ht="29" customHeight="1">
      <c r="B159" s="40" t="inlineStr">
        <is>
          <t>Bond (Figure 8.2, cast horizontally): η1 = 1 if h ≤ 250, if the bar is within 250 of the bottom (h ≤ 600) or at least 300 below the top (h &gt; 600); 0.7 otherwise.</t>
        </is>
      </c>
    </row>
    <row r="160" ht="17" customHeight="1">
      <c r="B160" s="26" t="inlineStr">
        <is>
          <t>Figure 8.2</t>
        </is>
      </c>
      <c r="C160" s="24" t="inlineStr">
        <is>
          <t>η1, nib tie  (good bond 1.0, else 0.7)</t>
        </is>
      </c>
      <c r="D160" s="27" t="inlineStr">
        <is>
          <r>
            <rPr>
              <rFont val="Calibri"/>
              <i val="1"/>
              <color rgb="002B2B2B"/>
              <sz val="10"/>
            </rPr>
            <t>η</t>
          </r>
          <r>
            <rPr>
              <rFont val="Calibri"/>
              <i val="1"/>
              <color rgb="002B2B2B"/>
              <sz val="10"/>
              <vertAlign val="subscript"/>
            </rPr>
            <t>1,t</t>
          </r>
        </is>
      </c>
      <c r="E160" s="44">
        <f>IF(inputs_ok,IF(OR(hj_h&lt;=250,IF(hj_h&lt;=600,yt_hj&lt;=250,hj_h-yt_hj&gt;=300)),1,0.7),NA())</f>
        <v/>
      </c>
      <c r="F160" s="23" t="n"/>
      <c r="G160" s="23" t="n"/>
    </row>
    <row r="161" ht="17" customHeight="1">
      <c r="B161" s="26" t="inlineStr">
        <is>
          <t>(8.2)</t>
        </is>
      </c>
      <c r="C161" s="24" t="inlineStr">
        <is>
          <t>Bond stress, nib tie  2.25 η1 η2 fctd</t>
        </is>
      </c>
      <c r="D161" s="27" t="inlineStr">
        <is>
          <r>
            <rPr>
              <rFont val="Calibri"/>
              <i val="1"/>
              <color rgb="002B2B2B"/>
              <sz val="10"/>
            </rPr>
            <t>f</t>
          </r>
          <r>
            <rPr>
              <rFont val="Calibri"/>
              <i val="1"/>
              <color rgb="002B2B2B"/>
              <sz val="10"/>
              <vertAlign val="subscript"/>
            </rPr>
            <t>bd,t</t>
          </r>
        </is>
      </c>
      <c r="E161" s="41">
        <f>IF(inputs_ok,2.25*eta1t_hj*IF(hj_pt&lt;=32,1,(132-hj_pt)/100)*fctd_hj,NA())</f>
        <v/>
      </c>
      <c r="F161" s="28" t="inlineStr">
        <is>
          <t>MPa</t>
        </is>
      </c>
      <c r="G161" s="23" t="n"/>
    </row>
    <row r="162" ht="17" customHeight="1">
      <c r="B162" s="26" t="inlineStr">
        <is>
          <t>8.4.3(2)</t>
        </is>
      </c>
      <c r="C162" s="24" t="inlineStr">
        <is>
          <t>Stress in the nib tie  Ftd / As,t  (≤ fyd)</t>
        </is>
      </c>
      <c r="D162" s="27" t="inlineStr">
        <is>
          <r>
            <rPr>
              <rFont val="Calibri"/>
              <i val="1"/>
              <color rgb="002B2B2B"/>
              <sz val="10"/>
            </rPr>
            <t>σ</t>
          </r>
          <r>
            <rPr>
              <rFont val="Calibri"/>
              <i val="1"/>
              <color rgb="002B2B2B"/>
              <sz val="10"/>
              <vertAlign val="subscript"/>
            </rPr>
            <t>sd,t</t>
          </r>
        </is>
      </c>
      <c r="E162" s="44">
        <f>IF(inputs_ok,MIN(fyd_hj,T_hj*1000/At_prov_hj),NA())</f>
        <v/>
      </c>
      <c r="F162" s="28" t="inlineStr">
        <is>
          <t>MPa</t>
        </is>
      </c>
      <c r="G162" s="23" t="n"/>
    </row>
    <row r="163" ht="17" customHeight="1">
      <c r="B163" s="26" t="inlineStr">
        <is>
          <t>(8.3)</t>
        </is>
      </c>
      <c r="C163" s="24" t="inlineStr">
        <is>
          <t>Basic length  φt σsd / (4 fbd)</t>
        </is>
      </c>
      <c r="D163" s="27" t="inlineStr">
        <is>
          <r>
            <rPr>
              <rFont val="Calibri"/>
              <i val="1"/>
              <color rgb="002B2B2B"/>
              <sz val="10"/>
            </rPr>
            <t>l</t>
          </r>
          <r>
            <rPr>
              <rFont val="Calibri"/>
              <i val="1"/>
              <color rgb="002B2B2B"/>
              <sz val="10"/>
              <vertAlign val="subscript"/>
            </rPr>
            <t>b,rqd,t</t>
          </r>
        </is>
      </c>
      <c r="E163" s="43">
        <f>IF(inputs_ok,hj_pt/4*sigt_hj/fbdt_hj,NA())</f>
        <v/>
      </c>
      <c r="F163" s="28" t="inlineStr">
        <is>
          <t>mm</t>
        </is>
      </c>
      <c r="G163" s="23" t="n"/>
    </row>
    <row r="164" ht="17" customHeight="1">
      <c r="B164" s="26" t="inlineStr">
        <is>
          <t>Figure 8.3</t>
        </is>
      </c>
      <c r="C164" s="24" t="inlineStr">
        <is>
          <t>Cover dimension  min(at / 2; et)</t>
        </is>
      </c>
      <c r="D164" s="27" t="inlineStr">
        <is>
          <r>
            <rPr>
              <rFont val="Calibri"/>
              <i val="1"/>
              <color rgb="002B2B2B"/>
              <sz val="10"/>
            </rPr>
            <t>c</t>
          </r>
          <r>
            <rPr>
              <rFont val="Calibri"/>
              <i val="1"/>
              <color rgb="002B2B2B"/>
              <sz val="10"/>
              <vertAlign val="subscript"/>
            </rPr>
            <t>d,t</t>
          </r>
        </is>
      </c>
      <c r="E164" s="43">
        <f>IF(inputs_ok,MIN(gapt_hj/2,et_hj),NA())</f>
        <v/>
      </c>
      <c r="F164" s="28" t="inlineStr">
        <is>
          <t>mm</t>
        </is>
      </c>
      <c r="G164" s="23" t="n"/>
    </row>
    <row r="165" ht="17" customHeight="1">
      <c r="B165" s="26" t="inlineStr">
        <is>
          <t>Table 8.2</t>
        </is>
      </c>
      <c r="C165" s="24" t="inlineStr">
        <is>
          <t>α2  straight  1 − 0.15 (cd − φ) / φ  (0.7 – 1.0)</t>
        </is>
      </c>
      <c r="D165" s="27" t="inlineStr">
        <is>
          <r>
            <rPr>
              <rFont val="Calibri"/>
              <i val="1"/>
              <color rgb="002B2B2B"/>
              <sz val="10"/>
            </rPr>
            <t>α</t>
          </r>
          <r>
            <rPr>
              <rFont val="Calibri"/>
              <i val="1"/>
              <color rgb="002B2B2B"/>
              <sz val="10"/>
              <vertAlign val="subscript"/>
            </rPr>
            <t>2,t</t>
          </r>
        </is>
      </c>
      <c r="E165" s="42">
        <f>IF(inputs_ok,MIN(1,MAX(0.7,1-0.15*(cdt_hj-hj_pt)/hj_pt)),NA())</f>
        <v/>
      </c>
      <c r="F165" s="23" t="n"/>
      <c r="G165" s="23" t="n"/>
    </row>
    <row r="166" ht="17" customHeight="1">
      <c r="B166" s="26" t="inlineStr">
        <is>
          <t>(8.4), (8.6)</t>
        </is>
      </c>
      <c r="C166" s="24" t="inlineStr">
        <is>
          <t>lbd = max(α2 lb,rqd; 0.3 lb,rqd; 10 φ; 100)</t>
        </is>
      </c>
      <c r="D166" s="27" t="inlineStr">
        <is>
          <r>
            <rPr>
              <rFont val="Calibri"/>
              <i val="1"/>
              <color rgb="002B2B2B"/>
              <sz val="10"/>
            </rPr>
            <t>l</t>
          </r>
          <r>
            <rPr>
              <rFont val="Calibri"/>
              <i val="1"/>
              <color rgb="002B2B2B"/>
              <sz val="10"/>
              <vertAlign val="subscript"/>
            </rPr>
            <t>bd,t</t>
          </r>
        </is>
      </c>
      <c r="E166" s="46">
        <f>IF(inputs_ok,MAX(a2t_hj*lbrt_hj,0.3*lbrt_hj,10*hj_pt,100),NA())</f>
        <v/>
      </c>
      <c r="F166" s="28" t="inlineStr">
        <is>
          <t>mm</t>
        </is>
      </c>
      <c r="G166" s="23" t="n"/>
    </row>
    <row r="167" ht="17" customHeight="1">
      <c r="B167" s="23" t="n"/>
      <c r="C167" s="24" t="inlineStr">
        <is>
          <t>Available beyond the last hanger link  lt − (xhf − ln)</t>
        </is>
      </c>
      <c r="D167" s="27" t="inlineStr">
        <is>
          <r>
            <rPr>
              <rFont val="Calibri"/>
              <i val="1"/>
              <color rgb="002B2B2B"/>
              <sz val="10"/>
            </rPr>
            <t>l</t>
          </r>
          <r>
            <rPr>
              <rFont val="Calibri"/>
              <i val="1"/>
              <color rgb="002B2B2B"/>
              <sz val="10"/>
              <vertAlign val="subscript"/>
            </rPr>
            <t>av,t</t>
          </r>
        </is>
      </c>
      <c r="E167" s="43">
        <f>IF(inputs_ok,hj_lt-zone_hj,NA())</f>
        <v/>
      </c>
      <c r="F167" s="28" t="inlineStr">
        <is>
          <t>mm</t>
        </is>
      </c>
      <c r="G167" s="23" t="n"/>
    </row>
    <row r="168" ht="17" customHeight="1">
      <c r="B168" s="26" t="inlineStr">
        <is>
          <t>8.4</t>
        </is>
      </c>
      <c r="C168" s="24" t="inlineStr">
        <is>
          <t>Nib tie  available ≥ lbd</t>
        </is>
      </c>
      <c r="D168" s="23" t="n"/>
      <c r="E168" s="43">
        <f>IF(inputs_ok,lavt_hj,NA())</f>
        <v/>
      </c>
      <c r="F168" s="28" t="inlineStr">
        <is>
          <t>mm</t>
        </is>
      </c>
      <c r="G168" s="31">
        <f>IF(NOT(inputs_ok),"FAIL",IF(IF(hj_ok,lavt_hj&gt;=lbdt_hj,FALSE),"OK","FAIL"))</f>
        <v/>
      </c>
    </row>
    <row r="169" ht="17" customHeight="1">
      <c r="B169" s="26" t="inlineStr">
        <is>
          <t>Figure 8.2</t>
        </is>
      </c>
      <c r="C169" s="24" t="inlineStr">
        <is>
          <t>η1, bottom tie  (at ub from the bottom)</t>
        </is>
      </c>
      <c r="D169" s="27" t="inlineStr">
        <is>
          <r>
            <rPr>
              <rFont val="Calibri"/>
              <i val="1"/>
              <color rgb="002B2B2B"/>
              <sz val="10"/>
            </rPr>
            <t>η</t>
          </r>
          <r>
            <rPr>
              <rFont val="Calibri"/>
              <i val="1"/>
              <color rgb="002B2B2B"/>
              <sz val="10"/>
              <vertAlign val="subscript"/>
            </rPr>
            <t>1,b</t>
          </r>
        </is>
      </c>
      <c r="E169" s="44">
        <f>IF(inputs_ok,IF(OR(hj_h&lt;=250,IF(hj_h&lt;=600,yC_hj&lt;=250,hj_h-yC_hj&gt;=300)),1,0.7),NA())</f>
        <v/>
      </c>
      <c r="F169" s="23" t="n"/>
      <c r="G169" s="23" t="n"/>
    </row>
    <row r="170" ht="17" customHeight="1">
      <c r="B170" s="26" t="inlineStr">
        <is>
          <t>(8.2)</t>
        </is>
      </c>
      <c r="C170" s="24" t="inlineStr">
        <is>
          <t>Bond stress, bottom tie  2.25 η1 η2 fctd</t>
        </is>
      </c>
      <c r="D170" s="27" t="inlineStr">
        <is>
          <r>
            <rPr>
              <rFont val="Calibri"/>
              <i val="1"/>
              <color rgb="002B2B2B"/>
              <sz val="10"/>
            </rPr>
            <t>f</t>
          </r>
          <r>
            <rPr>
              <rFont val="Calibri"/>
              <i val="1"/>
              <color rgb="002B2B2B"/>
              <sz val="10"/>
              <vertAlign val="subscript"/>
            </rPr>
            <t>bd,b</t>
          </r>
        </is>
      </c>
      <c r="E170" s="41">
        <f>IF(inputs_ok,2.25*eta1b_hj*IF(hj_pb&lt;=32,1,(132-hj_pb)/100)*fctd_hj,NA())</f>
        <v/>
      </c>
      <c r="F170" s="28" t="inlineStr">
        <is>
          <t>MPa</t>
        </is>
      </c>
      <c r="G170" s="23" t="n"/>
    </row>
    <row r="171" ht="17" customHeight="1">
      <c r="B171" s="26" t="inlineStr">
        <is>
          <t>8.4.3(2)</t>
        </is>
      </c>
      <c r="C171" s="24" t="inlineStr">
        <is>
          <t>Stress in the bottom tie  Fb / As,b  (≤ fyd)</t>
        </is>
      </c>
      <c r="D171" s="27" t="inlineStr">
        <is>
          <r>
            <rPr>
              <rFont val="Calibri"/>
              <i val="1"/>
              <color rgb="002B2B2B"/>
              <sz val="10"/>
            </rPr>
            <t>σ</t>
          </r>
          <r>
            <rPr>
              <rFont val="Calibri"/>
              <i val="1"/>
              <color rgb="002B2B2B"/>
              <sz val="10"/>
              <vertAlign val="subscript"/>
            </rPr>
            <t>sd,b</t>
          </r>
        </is>
      </c>
      <c r="E171" s="44">
        <f>IF(inputs_ok,MIN(fyd_hj,Fb_hj*1000/Ab_prov_hj),NA())</f>
        <v/>
      </c>
      <c r="F171" s="28" t="inlineStr">
        <is>
          <t>MPa</t>
        </is>
      </c>
      <c r="G171" s="23" t="n"/>
    </row>
    <row r="172" ht="17" customHeight="1">
      <c r="B172" s="26" t="inlineStr">
        <is>
          <t>(8.3)</t>
        </is>
      </c>
      <c r="C172" s="24" t="inlineStr">
        <is>
          <t>Basic length  φb σsd / (4 fbd)</t>
        </is>
      </c>
      <c r="D172" s="27" t="inlineStr">
        <is>
          <r>
            <rPr>
              <rFont val="Calibri"/>
              <i val="1"/>
              <color rgb="002B2B2B"/>
              <sz val="10"/>
            </rPr>
            <t>l</t>
          </r>
          <r>
            <rPr>
              <rFont val="Calibri"/>
              <i val="1"/>
              <color rgb="002B2B2B"/>
              <sz val="10"/>
              <vertAlign val="subscript"/>
            </rPr>
            <t>b,rqd,b</t>
          </r>
        </is>
      </c>
      <c r="E172" s="43">
        <f>IF(inputs_ok,hj_pb/4*sigbt_hj/fbdb_hj,NA())</f>
        <v/>
      </c>
      <c r="F172" s="28" t="inlineStr">
        <is>
          <t>mm</t>
        </is>
      </c>
      <c r="G172" s="23" t="n"/>
    </row>
    <row r="173" ht="17" customHeight="1">
      <c r="B173" s="26" t="inlineStr">
        <is>
          <t>Figure 8.3</t>
        </is>
      </c>
      <c r="C173" s="24" t="inlineStr">
        <is>
          <t>Cover dimension  min(ab / 2; c + φh)</t>
        </is>
      </c>
      <c r="D173" s="27" t="inlineStr">
        <is>
          <r>
            <rPr>
              <rFont val="Calibri"/>
              <i val="1"/>
              <color rgb="002B2B2B"/>
              <sz val="10"/>
            </rPr>
            <t>c</t>
          </r>
          <r>
            <rPr>
              <rFont val="Calibri"/>
              <i val="1"/>
              <color rgb="002B2B2B"/>
              <sz val="10"/>
              <vertAlign val="subscript"/>
            </rPr>
            <t>d,b</t>
          </r>
        </is>
      </c>
      <c r="E173" s="43">
        <f>IF(inputs_ok,MIN(gapb_hj/2,hj_c+hj_ph),NA())</f>
        <v/>
      </c>
      <c r="F173" s="28" t="inlineStr">
        <is>
          <t>mm</t>
        </is>
      </c>
      <c r="G173" s="23" t="n"/>
    </row>
    <row r="174" ht="17" customHeight="1">
      <c r="B174" s="26" t="inlineStr">
        <is>
          <t>Table 8.2</t>
        </is>
      </c>
      <c r="C174" s="24" t="inlineStr">
        <is>
          <t>α1  (U-bar with cd &gt; 3 φ: 0.7)</t>
        </is>
      </c>
      <c r="D174" s="27" t="inlineStr">
        <is>
          <r>
            <rPr>
              <rFont val="Calibri"/>
              <i val="1"/>
              <color rgb="002B2B2B"/>
              <sz val="10"/>
            </rPr>
            <t>α</t>
          </r>
          <r>
            <rPr>
              <rFont val="Calibri"/>
              <i val="1"/>
              <color rgb="002B2B2B"/>
              <sz val="10"/>
              <vertAlign val="subscript"/>
            </rPr>
            <t>1,b</t>
          </r>
        </is>
      </c>
      <c r="E174" s="41">
        <f>IF(inputs_ok,IF(AND(bend_hj,cdb_hj&gt;3*hj_pb),0.7,1),NA())</f>
        <v/>
      </c>
      <c r="F174" s="23" t="n"/>
      <c r="G174" s="23" t="n"/>
    </row>
    <row r="175" ht="17" customHeight="1">
      <c r="B175" s="26" t="inlineStr">
        <is>
          <t>Table 8.2</t>
        </is>
      </c>
      <c r="C175" s="24" t="inlineStr">
        <is>
          <t>α2  straight (cd − φ), U-bar (cd − 3φ):  1 − 0.15 (…) / φ</t>
        </is>
      </c>
      <c r="D175" s="27" t="inlineStr">
        <is>
          <r>
            <rPr>
              <rFont val="Calibri"/>
              <i val="1"/>
              <color rgb="002B2B2B"/>
              <sz val="10"/>
            </rPr>
            <t>α</t>
          </r>
          <r>
            <rPr>
              <rFont val="Calibri"/>
              <i val="1"/>
              <color rgb="002B2B2B"/>
              <sz val="10"/>
              <vertAlign val="subscript"/>
            </rPr>
            <t>2,b</t>
          </r>
        </is>
      </c>
      <c r="E175" s="42">
        <f>IF(inputs_ok,MIN(1,MAX(0.7,1-0.15*(cdb_hj-IF(bend_hj,3,1)*hj_pb)/hj_pb)),NA())</f>
        <v/>
      </c>
      <c r="F175" s="23" t="n"/>
      <c r="G175" s="23" t="n"/>
    </row>
    <row r="176" ht="17" customHeight="1">
      <c r="B176" s="26" t="inlineStr">
        <is>
          <t>(8.4), (8.6)</t>
        </is>
      </c>
      <c r="C176" s="24" t="inlineStr">
        <is>
          <t>lbd = max(α1 α2 lb,rqd; 0.3 lb,rqd; 10 φ; 100)</t>
        </is>
      </c>
      <c r="D176" s="27" t="inlineStr">
        <is>
          <r>
            <rPr>
              <rFont val="Calibri"/>
              <i val="1"/>
              <color rgb="002B2B2B"/>
              <sz val="10"/>
            </rPr>
            <t>l</t>
          </r>
          <r>
            <rPr>
              <rFont val="Calibri"/>
              <i val="1"/>
              <color rgb="002B2B2B"/>
              <sz val="10"/>
              <vertAlign val="subscript"/>
            </rPr>
            <t>bd,b</t>
          </r>
        </is>
      </c>
      <c r="E176" s="46">
        <f>IF(inputs_ok,MAX(a1b_hj*a2b_hj*lbrb_hj,0.3*lbrb_hj,10*hj_pb,100),NA())</f>
        <v/>
      </c>
      <c r="F176" s="28" t="inlineStr">
        <is>
          <t>mm</t>
        </is>
      </c>
      <c r="G176" s="23" t="n"/>
    </row>
    <row r="177" ht="41.5" customHeight="1">
      <c r="B177" s="40" t="inlineStr">
        <is>
          <t>Bottom tie length available from the far face of the last hanger link (6.5.4(7)): straight bars to the end cover at the re-entrant face; U-bars along the centreline round the mandrel φm (the larger of Table 8.1N, 4 φ up to φ16 and 7 φ above, and (8.1) for the concrete inside the bend with the full bar force) and up the re-entrant face to the top cover.</t>
        </is>
      </c>
    </row>
    <row r="178" ht="17" customHeight="1">
      <c r="B178" s="26" t="inlineStr">
        <is>
          <t>8.3(3)</t>
        </is>
      </c>
      <c r="C178" s="24" t="inlineStr">
        <is>
          <t>Force in one bar at the bend  σsd π φb² / 4  (no bond credit)</t>
        </is>
      </c>
      <c r="D178" s="27" t="inlineStr">
        <is>
          <r>
            <rPr>
              <rFont val="Calibri"/>
              <i val="1"/>
              <color rgb="002B2B2B"/>
              <sz val="10"/>
            </rPr>
            <t>F</t>
          </r>
          <r>
            <rPr>
              <rFont val="Calibri"/>
              <i val="1"/>
              <color rgb="002B2B2B"/>
              <sz val="10"/>
              <vertAlign val="subscript"/>
            </rPr>
            <t>bt</t>
          </r>
        </is>
      </c>
      <c r="E178" s="44">
        <f>IF(inputs_ok,sigbt_hj*PI()*hj_pb^2/4000,NA())</f>
        <v/>
      </c>
      <c r="F178" s="28" t="inlineStr">
        <is>
          <t>kN</t>
        </is>
      </c>
      <c r="G178" s="23" t="n"/>
    </row>
    <row r="179" ht="17" customHeight="1">
      <c r="B179" s="26" t="inlineStr">
        <is>
          <t>8.3(3)</t>
        </is>
      </c>
      <c r="C179" s="24" t="inlineStr">
        <is>
          <t>ab  min(half the bar spacing; c + φh + φb / 2)</t>
        </is>
      </c>
      <c r="D179" s="27" t="inlineStr">
        <is>
          <r>
            <rPr>
              <rFont val="Calibri"/>
              <i val="1"/>
              <color rgb="002B2B2B"/>
              <sz val="10"/>
            </rPr>
            <t>a</t>
          </r>
          <r>
            <rPr>
              <rFont val="Calibri"/>
              <i val="1"/>
              <color rgb="002B2B2B"/>
              <sz val="10"/>
              <vertAlign val="subscript"/>
            </rPr>
            <t>b</t>
          </r>
        </is>
      </c>
      <c r="E179" s="44">
        <f>IF(inputs_ok,MIN((gapb_hj+hj_pb)/2,hj_c+hj_ph+hj_pb/2),NA())</f>
        <v/>
      </c>
      <c r="F179" s="28" t="inlineStr">
        <is>
          <t>mm</t>
        </is>
      </c>
      <c r="G179" s="23" t="n"/>
    </row>
    <row r="180" ht="17" customHeight="1">
      <c r="B180" s="26" t="inlineStr">
        <is>
          <t>(8.1)</t>
        </is>
      </c>
      <c r="C180" s="24" t="inlineStr">
        <is>
          <t>Mandrel for the concrete  Fbt (1/ab + 1/(2 φb)) / fcd</t>
        </is>
      </c>
      <c r="D180" s="27" t="inlineStr">
        <is>
          <r>
            <rPr>
              <rFont val="Calibri"/>
              <i val="1"/>
              <color rgb="002B2B2B"/>
              <sz val="10"/>
            </rPr>
            <t>φ</t>
          </r>
          <r>
            <rPr>
              <rFont val="Calibri"/>
              <i val="1"/>
              <color rgb="002B2B2B"/>
              <sz val="10"/>
              <vertAlign val="subscript"/>
            </rPr>
            <t>m,c</t>
          </r>
        </is>
      </c>
      <c r="E180" s="43">
        <f>IF(inputs_ok,Fbt_hj*1000*(1/abb_hj+1/(2*hj_pb))/fcd_hj,NA())</f>
        <v/>
      </c>
      <c r="F180" s="28" t="inlineStr">
        <is>
          <t>mm</t>
        </is>
      </c>
      <c r="G180" s="23" t="n"/>
    </row>
    <row r="181" ht="17" customHeight="1">
      <c r="B181" s="26" t="inlineStr">
        <is>
          <t>Table 8.1N, 8.3</t>
        </is>
      </c>
      <c r="C181" s="24" t="inlineStr">
        <is>
          <t>Mandrel  max(Table 8.1N; (8.1))</t>
        </is>
      </c>
      <c r="D181" s="27" t="inlineStr">
        <is>
          <r>
            <rPr>
              <rFont val="Calibri"/>
              <i val="1"/>
              <color rgb="002B2B2B"/>
              <sz val="10"/>
            </rPr>
            <t>φ</t>
          </r>
          <r>
            <rPr>
              <rFont val="Calibri"/>
              <i val="1"/>
              <color rgb="002B2B2B"/>
              <sz val="10"/>
              <vertAlign val="subscript"/>
            </rPr>
            <t>m</t>
          </r>
        </is>
      </c>
      <c r="E181" s="43">
        <f>IF(inputs_ok,MAX(IF(hj_pb&lt;=16,4,7)*hj_pb,pmc_hj),NA())</f>
        <v/>
      </c>
      <c r="F181" s="28" t="inlineStr">
        <is>
          <t>mm</t>
        </is>
      </c>
      <c r="G181" s="23" t="n"/>
    </row>
    <row r="182" ht="17" customHeight="1">
      <c r="B182" s="23" t="n"/>
      <c r="C182" s="24" t="inlineStr">
        <is>
          <t>U-bar: centreline radius of the bend  φm / 2 + φb / 2</t>
        </is>
      </c>
      <c r="D182" s="27" t="inlineStr">
        <is>
          <r>
            <rPr>
              <rFont val="Calibri"/>
              <i val="1"/>
              <color rgb="002B2B2B"/>
              <sz val="10"/>
            </rPr>
            <t>r</t>
          </r>
          <r>
            <rPr>
              <rFont val="Calibri"/>
              <i val="1"/>
              <color rgb="002B2B2B"/>
              <sz val="10"/>
              <vertAlign val="subscript"/>
            </rPr>
            <t>b</t>
          </r>
        </is>
      </c>
      <c r="E182" s="44">
        <f>IF(inputs_ok,pm_hj/2+hj_pb/2,NA())</f>
        <v/>
      </c>
      <c r="F182" s="28" t="inlineStr">
        <is>
          <t>mm</t>
        </is>
      </c>
      <c r="G182" s="23" t="n"/>
    </row>
    <row r="183" ht="17" customHeight="1">
      <c r="B183" s="26" t="inlineStr">
        <is>
          <t>8.4.4</t>
        </is>
      </c>
      <c r="C183" s="24" t="inlineStr">
        <is>
          <t>Available along the bar from the last hanger link</t>
        </is>
      </c>
      <c r="D183" s="27" t="inlineStr">
        <is>
          <r>
            <rPr>
              <rFont val="Calibri"/>
              <i val="1"/>
              <color rgb="002B2B2B"/>
              <sz val="10"/>
            </rPr>
            <t>l</t>
          </r>
          <r>
            <rPr>
              <rFont val="Calibri"/>
              <i val="1"/>
              <color rgb="002B2B2B"/>
              <sz val="10"/>
              <vertAlign val="subscript"/>
            </rPr>
            <t>av,b</t>
          </r>
        </is>
      </c>
      <c r="E183" s="43">
        <f>IF(inputs_ok,IF(bend_hj,(xhf_hj-xv_hj)+(ytop_hj-yC_hj)-(2-PI()/2)*rb_hj,xhf_hj-hj_ln-hj_c),NA())</f>
        <v/>
      </c>
      <c r="F183" s="28" t="inlineStr">
        <is>
          <t>mm</t>
        </is>
      </c>
      <c r="G183" s="23" t="n"/>
    </row>
    <row r="184" ht="17" customHeight="1">
      <c r="B184" s="26" t="inlineStr">
        <is>
          <t>8.4, 8.3</t>
        </is>
      </c>
      <c r="C184" s="24" t="inlineStr">
        <is>
          <t>Bottom tie  available ≥ lbd; a U-bar's bend within the hanger zone</t>
        </is>
      </c>
      <c r="D184" s="23" t="n"/>
      <c r="E184" s="43">
        <f>IF(inputs_ok,lavb_hj,NA())</f>
        <v/>
      </c>
      <c r="F184" s="28" t="inlineStr">
        <is>
          <t>mm</t>
        </is>
      </c>
      <c r="G184" s="31">
        <f>IF(NOT(inputs_ok),"FAIL",IF(IF(hj_ok,AND(lavb_hj&gt;=lbdb_hj,bfit_hj),FALSE),"OK","FAIL"))</f>
        <v/>
      </c>
    </row>
    <row r="185"/>
    <row r="186" ht="22" customHeight="1">
      <c r="B186" s="20" t="inlineStr">
        <is>
          <t>Calculation  ·  shear of the nib and nib links</t>
        </is>
      </c>
      <c r="C186" s="21" t="n"/>
      <c r="D186" s="21" t="n"/>
      <c r="E186" s="21" t="n"/>
      <c r="F186" s="21" t="n"/>
      <c r="G186" s="21" t="n"/>
    </row>
    <row r="187" ht="17" customHeight="1">
      <c r="B187" s="26" t="inlineStr">
        <is>
          <t>3.1.6(1)</t>
        </is>
      </c>
      <c r="C187" s="24" t="inlineStr">
        <is>
          <t>Design compressive strength for shear</t>
        </is>
      </c>
      <c r="D187" s="27" t="inlineStr">
        <is>
          <r>
            <rPr>
              <rFont val="Calibri"/>
              <i val="1"/>
              <color rgb="002B2B2B"/>
              <sz val="10"/>
            </rPr>
            <t>f</t>
          </r>
          <r>
            <rPr>
              <rFont val="Calibri"/>
              <i val="1"/>
              <color rgb="002B2B2B"/>
              <sz val="10"/>
              <vertAlign val="subscript"/>
            </rPr>
            <t>cd,v</t>
          </r>
        </is>
      </c>
      <c r="E187" s="41">
        <f>IF(inputs_ok,alpha_cc_shear*f_ck/gamma_c,NA())</f>
        <v/>
      </c>
      <c r="F187" s="28" t="inlineStr">
        <is>
          <t>MPa</t>
        </is>
      </c>
      <c r="G187" s="23" t="n"/>
    </row>
    <row r="188" ht="17" customHeight="1">
      <c r="B188" s="26" t="inlineStr">
        <is>
          <t>(6.6N)</t>
        </is>
      </c>
      <c r="C188" s="24" t="inlineStr">
        <is>
          <t>ν = 0.6 (1 − fck / 250)</t>
        </is>
      </c>
      <c r="D188" s="27" t="inlineStr">
        <is>
          <r>
            <rPr>
              <rFont val="Calibri"/>
              <i val="1"/>
              <color rgb="002B2B2B"/>
              <sz val="10"/>
            </rPr>
            <t>ν</t>
          </r>
        </is>
      </c>
      <c r="E188" s="42">
        <f>IF(inputs_ok,0.6*(1-f_ck/250),NA())</f>
        <v/>
      </c>
      <c r="F188" s="23" t="n"/>
      <c r="G188" s="23" t="n"/>
    </row>
    <row r="189" ht="17" customHeight="1">
      <c r="B189" s="26" t="inlineStr">
        <is>
          <t>6.2.2(6)</t>
        </is>
      </c>
      <c r="C189" s="24" t="inlineStr">
        <is>
          <t>Shear limit  0.5 b dn ν fcd</t>
        </is>
      </c>
      <c r="D189" s="27" t="inlineStr">
        <is>
          <r>
            <rPr>
              <rFont val="Calibri"/>
              <i val="1"/>
              <color rgb="002B2B2B"/>
              <sz val="10"/>
            </rPr>
            <t>V</t>
          </r>
          <r>
            <rPr>
              <rFont val="Calibri"/>
              <i val="1"/>
              <color rgb="002B2B2B"/>
              <sz val="10"/>
              <vertAlign val="subscript"/>
            </rPr>
            <t>max</t>
          </r>
        </is>
      </c>
      <c r="E189" s="44">
        <f>IF(inputs_ok,0.5*hj_b*dn_hj*nuv_hj*fcdv_hj/1000,NA())</f>
        <v/>
      </c>
      <c r="F189" s="28" t="inlineStr">
        <is>
          <t>kN</t>
        </is>
      </c>
      <c r="G189" s="23" t="n"/>
    </row>
    <row r="190" ht="17" customHeight="1">
      <c r="B190" s="26" t="inlineStr">
        <is>
          <t>6.2.2(6)</t>
        </is>
      </c>
      <c r="C190" s="24" t="inlineStr">
        <is>
          <t>Shear  VEd ≤ 0.5 b dn ν fcd</t>
        </is>
      </c>
      <c r="D190" s="27" t="inlineStr">
        <is>
          <r>
            <rPr>
              <rFont val="Calibri"/>
              <i val="1"/>
              <color rgb="002B2B2B"/>
              <sz val="10"/>
            </rPr>
            <t>V</t>
          </r>
          <r>
            <rPr>
              <rFont val="Calibri"/>
              <i val="1"/>
              <color rgb="002B2B2B"/>
              <sz val="10"/>
              <vertAlign val="subscript"/>
            </rPr>
            <t>Ed</t>
          </r>
        </is>
      </c>
      <c r="E190" s="43">
        <f>IF(inputs_ok,hj_VEd,NA())</f>
        <v/>
      </c>
      <c r="F190" s="28" t="inlineStr">
        <is>
          <t>kN</t>
        </is>
      </c>
      <c r="G190" s="31">
        <f>IF(NOT(inputs_ok),"FAIL",IF(hj_VEd&lt;=Vmax_hj,"OK","FAIL"))</f>
        <v/>
      </c>
    </row>
    <row r="191" ht="17" customHeight="1">
      <c r="B191" s="26" t="inlineStr">
        <is>
          <t>6.2.2(1)</t>
        </is>
      </c>
      <c r="C191" s="24" t="inlineStr">
        <is>
          <t>Size factor  1 + √(200 / dn) ≤ 2</t>
        </is>
      </c>
      <c r="D191" s="27" t="inlineStr">
        <is>
          <r>
            <rPr>
              <rFont val="Calibri"/>
              <i val="1"/>
              <color rgb="002B2B2B"/>
              <sz val="10"/>
            </rPr>
            <t>k</t>
          </r>
        </is>
      </c>
      <c r="E191" s="42">
        <f>IF(inputs_ok,MIN(2,1+SQRT(200/dn_hj)),NA())</f>
        <v/>
      </c>
      <c r="F191" s="23" t="n"/>
      <c r="G191" s="23" t="n"/>
    </row>
    <row r="192" ht="17" customHeight="1">
      <c r="B192" s="26" t="inlineStr">
        <is>
          <t>6.2.2(1)</t>
        </is>
      </c>
      <c r="C192" s="24" t="inlineStr">
        <is>
          <t>ρl = As,t / (b dn) ≤ 0.02</t>
        </is>
      </c>
      <c r="D192" s="27" t="inlineStr">
        <is>
          <r>
            <rPr>
              <rFont val="Calibri"/>
              <i val="1"/>
              <color rgb="002B2B2B"/>
              <sz val="10"/>
            </rPr>
            <t>ρ</t>
          </r>
          <r>
            <rPr>
              <rFont val="Calibri"/>
              <i val="1"/>
              <color rgb="002B2B2B"/>
              <sz val="10"/>
              <vertAlign val="subscript"/>
            </rPr>
            <t>l</t>
          </r>
        </is>
      </c>
      <c r="E192" s="47">
        <f>IF(inputs_ok,MIN(0.02,At_prov_hj/(hj_b*dn_hj)),NA())</f>
        <v/>
      </c>
      <c r="F192" s="23" t="n"/>
      <c r="G192" s="23" t="n"/>
    </row>
    <row r="193" ht="17" customHeight="1">
      <c r="B193" s="26" t="inlineStr">
        <is>
          <t>(6.2)</t>
        </is>
      </c>
      <c r="C193" s="24" t="inlineStr">
        <is>
          <t>Shear resistance of the nib without links</t>
        </is>
      </c>
      <c r="D193" s="27" t="inlineStr">
        <is>
          <r>
            <rPr>
              <rFont val="Calibri"/>
              <i val="1"/>
              <color rgb="002B2B2B"/>
              <sz val="10"/>
            </rPr>
            <t>V</t>
          </r>
          <r>
            <rPr>
              <rFont val="Calibri"/>
              <i val="1"/>
              <color rgb="002B2B2B"/>
              <sz val="10"/>
              <vertAlign val="subscript"/>
            </rPr>
            <t>Rd,c</t>
          </r>
        </is>
      </c>
      <c r="E193" s="44">
        <f>IF(inputs_ok,MAX(C_Rdc*k_hj*(100*rho_hj*f_ck)^(1/3),0.035*k_hj^1.5*SQRT(f_ck))*hj_b*dn_hj/1000,NA())</f>
        <v/>
      </c>
      <c r="F193" s="28" t="inlineStr">
        <is>
          <t>kN</t>
        </is>
      </c>
      <c r="G193" s="23" t="n"/>
    </row>
    <row r="194" ht="17" customHeight="1">
      <c r="B194" s="26" t="inlineStr">
        <is>
          <t>J.3</t>
        </is>
      </c>
      <c r="C194" s="24" t="inlineStr">
        <is>
          <t>Bearing centre to the re-entrant face  ln − xb</t>
        </is>
      </c>
      <c r="D194" s="27" t="inlineStr">
        <is>
          <r>
            <rPr>
              <rFont val="Calibri"/>
              <i val="1"/>
              <color rgb="002B2B2B"/>
              <sz val="10"/>
            </rPr>
            <t>a</t>
          </r>
          <r>
            <rPr>
              <rFont val="Calibri"/>
              <i val="1"/>
              <color rgb="002B2B2B"/>
              <sz val="10"/>
              <vertAlign val="subscript"/>
            </rPr>
            <t>c</t>
          </r>
        </is>
      </c>
      <c r="E194" s="44">
        <f>IF(inputs_ok,hj_ln-hj_xb,NA())</f>
        <v/>
      </c>
      <c r="F194" s="28" t="inlineStr">
        <is>
          <t>mm</t>
        </is>
      </c>
      <c r="G194" s="23" t="n"/>
    </row>
    <row r="195" ht="17" customHeight="1">
      <c r="B195" s="26" t="inlineStr">
        <is>
          <t>J.3(2)</t>
        </is>
      </c>
      <c r="C195" s="24" t="inlineStr">
        <is>
          <t>Horizontal links  (ac ≤ 0.5 hn)  0.5 As,t  (PL NA.8; UK PD 6687)</t>
        </is>
      </c>
      <c r="D195" s="27" t="inlineStr">
        <is>
          <r>
            <rPr>
              <rFont val="Calibri"/>
              <i val="1"/>
              <color rgb="002B2B2B"/>
              <sz val="10"/>
            </rPr>
            <t>A</t>
          </r>
          <r>
            <rPr>
              <rFont val="Calibri"/>
              <i val="1"/>
              <color rgb="002B2B2B"/>
              <sz val="10"/>
              <vertAlign val="subscript"/>
            </rPr>
            <t>s,lnk,h</t>
          </r>
        </is>
      </c>
      <c r="E195" s="43">
        <f>IF(inputs_ok,IF(lnkc_hj=1,0.5*At_prov_hj,0),NA())</f>
        <v/>
      </c>
      <c r="F195" s="28" t="inlineStr">
        <is>
          <t>mm²</t>
        </is>
      </c>
      <c r="G195" s="23" t="n"/>
    </row>
    <row r="196" ht="17" customHeight="1">
      <c r="B196" s="23" t="n"/>
      <c r="C196" s="24" t="inlineStr">
        <is>
          <t>Horizontal links provided  nlh · 2 π φl² / 4</t>
        </is>
      </c>
      <c r="D196" s="27" t="inlineStr">
        <is>
          <r>
            <rPr>
              <rFont val="Calibri"/>
              <i val="1"/>
              <color rgb="002B2B2B"/>
              <sz val="10"/>
            </rPr>
            <t>A</t>
          </r>
          <r>
            <rPr>
              <rFont val="Calibri"/>
              <i val="1"/>
              <color rgb="002B2B2B"/>
              <sz val="10"/>
              <vertAlign val="subscript"/>
            </rPr>
            <t>s,lnk,h</t>
          </r>
        </is>
      </c>
      <c r="E196" s="43">
        <f>IF(inputs_ok,hj_nlh*2*PI()*hj_pl^2/4,NA())</f>
        <v/>
      </c>
      <c r="F196" s="28" t="inlineStr">
        <is>
          <t>mm²</t>
        </is>
      </c>
      <c r="G196" s="23" t="n"/>
    </row>
    <row r="197" ht="17" customHeight="1">
      <c r="B197" s="26" t="inlineStr">
        <is>
          <t>J.3(3)</t>
        </is>
      </c>
      <c r="C197" s="24" t="inlineStr">
        <is>
          <t>Vertical links  (ac &gt; 0.5 hn, VEd &gt; VRd,c)  0.5 VEd / fyd</t>
        </is>
      </c>
      <c r="D197" s="27" t="inlineStr">
        <is>
          <r>
            <rPr>
              <rFont val="Calibri"/>
              <i val="1"/>
              <color rgb="002B2B2B"/>
              <sz val="10"/>
            </rPr>
            <t>A</t>
          </r>
          <r>
            <rPr>
              <rFont val="Calibri"/>
              <i val="1"/>
              <color rgb="002B2B2B"/>
              <sz val="10"/>
              <vertAlign val="subscript"/>
            </rPr>
            <t>s,lnk,v</t>
          </r>
        </is>
      </c>
      <c r="E197" s="43">
        <f>IF(inputs_ok,IF(lnkc_hj=2,0.5*hj_VEd*1000/fyd_hj,0),NA())</f>
        <v/>
      </c>
      <c r="F197" s="28" t="inlineStr">
        <is>
          <t>mm²</t>
        </is>
      </c>
      <c r="G197" s="23" t="n"/>
    </row>
    <row r="198" ht="17" customHeight="1">
      <c r="B198" s="23" t="n"/>
      <c r="C198" s="24" t="inlineStr">
        <is>
          <t>Vertical links provided  nlv · 2 π φl² / 4</t>
        </is>
      </c>
      <c r="D198" s="27" t="inlineStr">
        <is>
          <r>
            <rPr>
              <rFont val="Calibri"/>
              <i val="1"/>
              <color rgb="002B2B2B"/>
              <sz val="10"/>
            </rPr>
            <t>A</t>
          </r>
          <r>
            <rPr>
              <rFont val="Calibri"/>
              <i val="1"/>
              <color rgb="002B2B2B"/>
              <sz val="10"/>
              <vertAlign val="subscript"/>
            </rPr>
            <t>s,lnk,v</t>
          </r>
        </is>
      </c>
      <c r="E198" s="43">
        <f>IF(inputs_ok,hj_nlv*2*PI()*hj_pl^2/4,NA())</f>
        <v/>
      </c>
      <c r="F198" s="28" t="inlineStr">
        <is>
          <t>mm²</t>
        </is>
      </c>
      <c r="G198" s="23" t="n"/>
    </row>
    <row r="199" ht="17" customHeight="1">
      <c r="B199" s="26" t="inlineStr">
        <is>
          <t>8.2(2)</t>
        </is>
      </c>
      <c r="C199" s="24" t="inlineStr">
        <is>
          <t>Minimum clear gap between links  max(φl; dg + 5; 20)</t>
        </is>
      </c>
      <c r="D199" s="27" t="inlineStr">
        <is>
          <r>
            <rPr>
              <rFont val="Calibri"/>
              <i val="1"/>
              <color rgb="002B2B2B"/>
              <sz val="10"/>
            </rPr>
            <t>a</t>
          </r>
          <r>
            <rPr>
              <rFont val="Calibri"/>
              <i val="1"/>
              <color rgb="002B2B2B"/>
              <sz val="10"/>
              <vertAlign val="subscript"/>
            </rPr>
            <t>l,min</t>
          </r>
        </is>
      </c>
      <c r="E199" s="43">
        <f>IF(inputs_ok,MAX(hj_pl,hj_dg+5,20),NA())</f>
        <v/>
      </c>
      <c r="F199" s="28" t="inlineStr">
        <is>
          <t>mm</t>
        </is>
      </c>
      <c r="G199" s="23" t="n"/>
    </row>
    <row r="200" ht="17" customHeight="1">
      <c r="B200" s="23" t="n"/>
      <c r="C200" s="24" t="inlineStr">
        <is>
          <t>Clear gap, horizontal links  (2 dn / 3) / nlh − φl</t>
        </is>
      </c>
      <c r="D200" s="27" t="inlineStr">
        <is>
          <r>
            <rPr>
              <rFont val="Calibri"/>
              <i val="1"/>
              <color rgb="002B2B2B"/>
              <sz val="10"/>
            </rPr>
            <t>a</t>
          </r>
          <r>
            <rPr>
              <rFont val="Calibri"/>
              <i val="1"/>
              <color rgb="002B2B2B"/>
              <sz val="10"/>
              <vertAlign val="subscript"/>
            </rPr>
            <t>lh</t>
          </r>
        </is>
      </c>
      <c r="E200" s="43">
        <f>IF(inputs_ok,IF(hj_nlh&gt;0,(2*dn_hj/3)/hj_nlh-hj_pl,"–"),NA())</f>
        <v/>
      </c>
      <c r="F200" s="28" t="inlineStr">
        <is>
          <t>mm</t>
        </is>
      </c>
      <c r="G200" s="23" t="n"/>
    </row>
    <row r="201" ht="17" customHeight="1">
      <c r="B201" s="26" t="inlineStr">
        <is>
          <t>8.2(2)</t>
        </is>
      </c>
      <c r="C201" s="24" t="inlineStr">
        <is>
          <t>Clear gap, first horizontal link above the nib tie</t>
        </is>
      </c>
      <c r="D201" s="27" t="inlineStr">
        <is>
          <r>
            <rPr>
              <rFont val="Calibri"/>
              <i val="1"/>
              <color rgb="002B2B2B"/>
              <sz val="10"/>
            </rPr>
            <t>a</t>
          </r>
          <r>
            <rPr>
              <rFont val="Calibri"/>
              <i val="1"/>
              <color rgb="002B2B2B"/>
              <sz val="10"/>
              <vertAlign val="subscript"/>
            </rPr>
            <t>lt</t>
          </r>
        </is>
      </c>
      <c r="E201" s="43">
        <f>IF(inputs_ok,IF(hj_nlh&gt;0,(2*dn_hj/3)/hj_nlh-(hj_pl+hj_pt)/2,"–"),NA())</f>
        <v/>
      </c>
      <c r="F201" s="28" t="inlineStr">
        <is>
          <t>mm</t>
        </is>
      </c>
      <c r="G201" s="23" t="n"/>
    </row>
    <row r="202" ht="17" customHeight="1">
      <c r="B202" s="23" t="n"/>
      <c r="C202" s="24" t="inlineStr">
        <is>
          <t>Clear gap, vertical links  (ln − 2c − nlv φl) / (nlv − 1)</t>
        </is>
      </c>
      <c r="D202" s="27" t="inlineStr">
        <is>
          <r>
            <rPr>
              <rFont val="Calibri"/>
              <i val="1"/>
              <color rgb="002B2B2B"/>
              <sz val="10"/>
            </rPr>
            <t>a</t>
          </r>
          <r>
            <rPr>
              <rFont val="Calibri"/>
              <i val="1"/>
              <color rgb="002B2B2B"/>
              <sz val="10"/>
              <vertAlign val="subscript"/>
            </rPr>
            <t>lv</t>
          </r>
        </is>
      </c>
      <c r="E202" s="43">
        <f>IF(inputs_ok,IF(hj_nlv&gt;1,(hj_ln-2*hj_c-hj_nlv*hj_pl)/(hj_nlv-1),"–"),NA())</f>
        <v/>
      </c>
      <c r="F202" s="28" t="inlineStr">
        <is>
          <t>mm</t>
        </is>
      </c>
      <c r="G202" s="23" t="n"/>
    </row>
    <row r="203" ht="17" customHeight="1">
      <c r="B203" s="26" t="inlineStr">
        <is>
          <t>(6.58)</t>
        </is>
      </c>
      <c r="C203" s="24" t="inlineStr">
        <is>
          <t>Transverse tie, strut spreading from bp to b  0.25 (1 − bp / b) Fc</t>
        </is>
      </c>
      <c r="D203" s="27" t="inlineStr">
        <is>
          <r>
            <rPr>
              <rFont val="Calibri"/>
              <i val="1"/>
              <color rgb="002B2B2B"/>
              <sz val="10"/>
            </rPr>
            <t>T</t>
          </r>
          <r>
            <rPr>
              <rFont val="Calibri"/>
              <i val="1"/>
              <color rgb="002B2B2B"/>
              <sz val="10"/>
              <vertAlign val="subscript"/>
            </rPr>
            <t>tr</t>
          </r>
        </is>
      </c>
      <c r="E203" s="44">
        <f>IF(inputs_ok,0.25*(1-hj_bp/hj_b)*Fs_hj,NA())</f>
        <v/>
      </c>
      <c r="F203" s="28" t="inlineStr">
        <is>
          <t>kN</t>
        </is>
      </c>
      <c r="G203" s="23" t="n"/>
    </row>
    <row r="204" ht="17" customHeight="1">
      <c r="B204" s="26" t="inlineStr">
        <is>
          <t>6.5.3(3)</t>
        </is>
      </c>
      <c r="C204" s="24" t="inlineStr">
        <is>
          <t>Needed across the nib  Ttr / fyd</t>
        </is>
      </c>
      <c r="D204" s="27" t="inlineStr">
        <is>
          <r>
            <rPr>
              <rFont val="Calibri"/>
              <i val="1"/>
              <color rgb="002B2B2B"/>
              <sz val="10"/>
            </rPr>
            <t>A</t>
          </r>
          <r>
            <rPr>
              <rFont val="Calibri"/>
              <i val="1"/>
              <color rgb="002B2B2B"/>
              <sz val="10"/>
              <vertAlign val="subscript"/>
            </rPr>
            <t>s,tr</t>
          </r>
        </is>
      </c>
      <c r="E204" s="43">
        <f>IF(inputs_ok,Ttr_hj*1000/fyd_hj,NA())</f>
        <v/>
      </c>
      <c r="F204" s="28" t="inlineStr">
        <is>
          <t>mm²</t>
        </is>
      </c>
      <c r="G204" s="23" t="n"/>
    </row>
    <row r="205" ht="17" customHeight="1">
      <c r="B205" s="23" t="n"/>
      <c r="C205" s="24" t="inlineStr">
        <is>
          <t>Provided: one transverse leg per nib link set  (nlv + nlh) π φl² / 4</t>
        </is>
      </c>
      <c r="D205" s="27" t="inlineStr">
        <is>
          <r>
            <rPr>
              <rFont val="Calibri"/>
              <i val="1"/>
              <color rgb="002B2B2B"/>
              <sz val="10"/>
            </rPr>
            <t>A</t>
          </r>
          <r>
            <rPr>
              <rFont val="Calibri"/>
              <i val="1"/>
              <color rgb="002B2B2B"/>
              <sz val="10"/>
              <vertAlign val="subscript"/>
            </rPr>
            <t>s,tr</t>
          </r>
        </is>
      </c>
      <c r="E205" s="43">
        <f>IF(inputs_ok,(hj_nlv+hj_nlh)*PI()*hj_pl^2/4,NA())</f>
        <v/>
      </c>
      <c r="F205" s="28" t="inlineStr">
        <is>
          <t>mm²</t>
        </is>
      </c>
      <c r="G205" s="23" t="n"/>
    </row>
    <row r="206" ht="17" customHeight="1">
      <c r="B206" s="26" t="inlineStr">
        <is>
          <t>J.3, 6.5.3(3)</t>
        </is>
      </c>
      <c r="C206" s="24" t="inlineStr">
        <is>
          <t>Nib links provided ≥ needed (J.3 and transverse), they fit</t>
        </is>
      </c>
      <c r="D206" s="23" t="n"/>
      <c r="E206" s="43">
        <f>IF(inputs_ok,MAX(Alh_req_hj,Alv_req_hj),NA())</f>
        <v/>
      </c>
      <c r="F206" s="28" t="inlineStr">
        <is>
          <t>mm²</t>
        </is>
      </c>
      <c r="G206" s="31">
        <f>IF(NOT(inputs_ok),"FAIL",IF(IF(hj_ok,lnk_ok_hj,FALSE),"OK","FAIL"))</f>
        <v/>
      </c>
    </row>
    <row r="207" ht="17" customHeight="1">
      <c r="B207" s="23" t="n"/>
      <c r="C207" s="24" t="inlineStr">
        <is>
          <t>Horizontal force  HEd ≥ 0.2 VEd  (common practice, no sliding surface)</t>
        </is>
      </c>
      <c r="D207" s="23" t="n"/>
      <c r="E207" s="9" t="n"/>
      <c r="F207" s="23" t="n"/>
      <c r="G207" s="31">
        <f>IF(NOT(inputs_ok),"FAIL",IF(hj_HEd&gt;=0.2*hj_VEd,"OK","! HEd &lt; 0.2 VEd"))</f>
        <v/>
      </c>
    </row>
    <row r="208" ht="17" customHeight="1">
      <c r="B208" s="26" t="inlineStr">
        <is>
          <t>6.2.3(2)</t>
        </is>
      </c>
      <c r="C208" s="24" t="inlineStr">
        <is>
          <t>UK NA: cot θ ≤ 1.25 with external tension; HEd from restraint?</t>
        </is>
      </c>
      <c r="D208" s="23" t="n"/>
      <c r="E208" s="9" t="n"/>
      <c r="F208" s="23" t="n"/>
      <c r="G208" s="31">
        <f>IF(NOT(inputs_ok),"FAIL",IF(AND(NA_sel="UK NA (BS EN)",hj_HEd&gt;0,hj_cot&gt;1.25),"! confirm","OK"))</f>
        <v/>
      </c>
    </row>
    <row r="209" ht="54" customHeight="1">
      <c r="B209" s="40" t="inlineStr">
        <is>
          <t>Anchor the nib tie at the end of the nib beyond the outer edge of the bearing with loops or welded transverse bars (10.9.4.6, Figure 10.4), and close the hanger links round the top bars and the bottom tie (8.5; not verified by this sheet). The strut into the beam at θ2 and the links beyond the hanger belong to the shear design of the beam (6.2.3, with the same cot θ2). A nib shallower than about half the beam depth is unusual; consider inclined bars (model (b) of Figure 10.4) as well, not covered here.</t>
        </is>
      </c>
    </row>
    <row r="210"/>
    <row r="211" ht="29" customHeight="1">
      <c r="B211" s="40"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10">
    <mergeCell ref="B77:G77"/>
    <mergeCell ref="B159:G159"/>
    <mergeCell ref="E5:G5"/>
    <mergeCell ref="B211:G211"/>
    <mergeCell ref="B177:G177"/>
    <mergeCell ref="D2:G2"/>
    <mergeCell ref="E7:G7"/>
    <mergeCell ref="B209:G209"/>
    <mergeCell ref="E6:G6"/>
    <mergeCell ref="C3:G3"/>
  </mergeCells>
  <conditionalFormatting sqref="G9:G212">
    <cfRule type="expression" priority="1" dxfId="0">
      <formula>G9="OK"</formula>
    </cfRule>
    <cfRule type="expression" priority="2" dxfId="1">
      <formula>G9="FAIL"</formula>
    </cfRule>
    <cfRule type="expression" priority="3" dxfId="2">
      <formula>LEFT(G9,1)="!"</formula>
    </cfRule>
  </conditionalFormatting>
  <dataValidations count="24">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5 E32" showDropDown="0" showInputMessage="0" showErrorMessage="1" allowBlank="0" errorTitle="NA Engineering" error="Pick a value from the list." type="list" errorStyle="stop">
      <formula1>"8,10,12,16,20,25,32,40"</formula1>
    </dataValidation>
    <dataValidation sqref="E26 E33" showDropDown="0" showInputMessage="0" showErrorMessage="1" allowBlank="0" errorTitle="NA Engineering" error="Pick a value from the list." type="list" errorStyle="stop">
      <formula1>"2,3,4,5,6,7,8,9,10"</formula1>
    </dataValidation>
    <dataValidation sqref="E27" showDropDown="0" showInputMessage="0" showErrorMessage="1" allowBlank="0" errorTitle="NA Engineering" error="Enter a number greater than 0." type="decimal" errorStyle="stop" operator="greaterThan">
      <formula1>0</formula1>
    </dataValidation>
    <dataValidation sqref="E28 E35" showDropDown="0" showInputMessage="0" showErrorMessage="1" allowBlank="0" errorTitle="NA Engineering" error="Pick a value from the list." type="list" errorStyle="stop">
      <formula1>"8,10,12,16"</formula1>
    </dataValidation>
    <dataValidation sqref="E29" showDropDown="0" showInputMessage="0" showErrorMessage="1" allowBlank="0" errorTitle="NA Engineering" error="Pick a value from the list." type="list" errorStyle="stop">
      <formula1>"2,4"</formula1>
    </dataValidation>
    <dataValidation sqref="E30" showDropDown="0" showInputMessage="0" showErrorMessage="1" allowBlank="0" errorTitle="NA Engineering" error="Pick a value from the list." type="list" errorStyle="stop">
      <formula1>"1,2,3,4,5,6,7,8"</formula1>
    </dataValidation>
    <dataValidation sqref="E31"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Pick a value from the list." type="list" errorStyle="stop">
      <formula1>"Straight,U-bars bent up"</formula1>
    </dataValidation>
    <dataValidation sqref="E36 E37" showDropDown="0" showInputMessage="0" showErrorMessage="1" allowBlank="0" errorTitle="NA Engineering" error="Pick a value from the list." type="list" errorStyle="stop">
      <formula1>"0,1,2,3,4,5,6,7,8"</formula1>
    </dataValidation>
    <dataValidation sqref="E38" showDropDown="0" showInputMessage="0" showErrorMessage="1" allowBlank="0" errorTitle="NA Engineering" error="Enter a number greater than 0." type="decimal" errorStyle="stop" operator="greaterThan">
      <formula1>0</formula1>
    </dataValidation>
    <dataValidation sqref="E41" showDropDown="0" showInputMessage="0" showErrorMessage="1" allowBlank="0" errorTitle="NA Engineering" error="Enter a number greater than 0." type="decimal" errorStyle="stop" operator="greaterThan">
      <formula1>0</formula1>
    </dataValidation>
    <dataValidation sqref="E42"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&amp;K8A8A8ANAE-RC-046  v1.0</oddFooter>
    <evenHeader/>
    <evenFooter/>
    <firstHeader/>
    <firstFooter/>
  </headerFooter>
  <rowBreaks count="1" manualBreakCount="1">
    <brk id="44"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Y13"/>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outline</t>
        </is>
      </c>
      <c r="G2" t="inlineStr">
        <is>
          <t>break</t>
        </is>
      </c>
      <c r="J2" t="inlineStr">
        <is>
          <t>pad</t>
        </is>
      </c>
      <c r="M2" t="inlineStr">
        <is>
          <t>V</t>
        </is>
      </c>
      <c r="P2" t="inlineStr">
        <is>
          <t>H</t>
        </is>
      </c>
      <c r="S2" t="inlineStr">
        <is>
          <t>nib tie</t>
        </is>
      </c>
      <c r="V2" t="inlineStr">
        <is>
          <t>hanger 0</t>
        </is>
      </c>
      <c r="Y2" t="inlineStr">
        <is>
          <t>hanger 1</t>
        </is>
      </c>
      <c r="AB2" t="inlineStr">
        <is>
          <t>hanger 2</t>
        </is>
      </c>
      <c r="AE2" t="inlineStr">
        <is>
          <t>hanger 3</t>
        </is>
      </c>
      <c r="AH2" t="inlineStr">
        <is>
          <t>hanger 4</t>
        </is>
      </c>
      <c r="AK2" t="inlineStr">
        <is>
          <t>hanger 5</t>
        </is>
      </c>
      <c r="AN2" t="inlineStr">
        <is>
          <t>hanger 6</t>
        </is>
      </c>
      <c r="AQ2" t="inlineStr">
        <is>
          <t>hanger 7</t>
        </is>
      </c>
      <c r="AT2" t="inlineStr">
        <is>
          <t>bottom tie</t>
        </is>
      </c>
      <c r="AW2" t="inlineStr">
        <is>
          <t>nib v link 0</t>
        </is>
      </c>
      <c r="AZ2" t="inlineStr">
        <is>
          <t>nib h link 0</t>
        </is>
      </c>
      <c r="BC2" t="inlineStr">
        <is>
          <t>nib v link 1</t>
        </is>
      </c>
      <c r="BF2" t="inlineStr">
        <is>
          <t>nib h link 1</t>
        </is>
      </c>
      <c r="BI2" t="inlineStr">
        <is>
          <t>nib v link 2</t>
        </is>
      </c>
      <c r="BL2" t="inlineStr">
        <is>
          <t>nib h link 2</t>
        </is>
      </c>
      <c r="BO2" t="inlineStr">
        <is>
          <t>nib v link 3</t>
        </is>
      </c>
      <c r="BR2" t="inlineStr">
        <is>
          <t>nib h link 3</t>
        </is>
      </c>
      <c r="BU2" t="inlineStr">
        <is>
          <t>nib v link 4</t>
        </is>
      </c>
      <c r="BX2" t="inlineStr">
        <is>
          <t>nib h link 4</t>
        </is>
      </c>
      <c r="CA2" t="inlineStr">
        <is>
          <t>nib v link 5</t>
        </is>
      </c>
      <c r="CD2" t="inlineStr">
        <is>
          <t>nib h link 5</t>
        </is>
      </c>
      <c r="CG2" t="inlineStr">
        <is>
          <t>nib v link 6</t>
        </is>
      </c>
      <c r="CJ2" t="inlineStr">
        <is>
          <t>nib h link 6</t>
        </is>
      </c>
      <c r="CM2" t="inlineStr">
        <is>
          <t>nib v link 7</t>
        </is>
      </c>
      <c r="CP2" t="inlineStr">
        <is>
          <t>nib h link 7</t>
        </is>
      </c>
      <c r="CS2" t="inlineStr">
        <is>
          <t>resultant</t>
        </is>
      </c>
      <c r="CV2" t="inlineStr">
        <is>
          <t>strut AB</t>
        </is>
      </c>
      <c r="CY2" t="inlineStr">
        <is>
          <t>node B</t>
        </is>
      </c>
      <c r="DB2" t="inlineStr">
        <is>
          <t>hanger tie</t>
        </is>
      </c>
      <c r="DE2" t="inlineStr">
        <is>
          <t>strut CE</t>
        </is>
      </c>
      <c r="DH2" t="inlineStr">
        <is>
          <t>dim</t>
        </is>
      </c>
      <c r="DK2">
        <f>IF(inputs_ok,"h = "&amp;TEXT(hj_h,"0"),"")</f>
        <v/>
      </c>
      <c r="DN2" t="inlineStr">
        <is>
          <t>dim</t>
        </is>
      </c>
      <c r="DQ2">
        <f>IF(inputs_ok,"h_n = "&amp;TEXT(hj_hn,"0"),"")</f>
        <v/>
      </c>
      <c r="DT2" t="inlineStr">
        <is>
          <t>dim</t>
        </is>
      </c>
      <c r="DW2">
        <f>IF(inputs_ok,"l_n = "&amp;TEXT(hj_ln,"0"),"")</f>
        <v/>
      </c>
      <c r="DZ2" t="inlineStr">
        <is>
          <t>dim</t>
        </is>
      </c>
      <c r="EC2">
        <f>IF(inputs_ok,"a = "&amp;TEXT(av_hj,"0"),"")</f>
        <v/>
      </c>
      <c r="EF2">
        <f>IF(inputs_ok,hj_nh&amp;" × "&amp;hj_leg&amp;" legs φ"&amp;hj_ph&amp;" hanger","")</f>
        <v/>
      </c>
      <c r="EI2">
        <f>IF(inputs_ok,hj_nt&amp;" × φ"&amp;hj_pt&amp;" nib tie","")</f>
        <v/>
      </c>
      <c r="EL2">
        <f>IF(inputs_ok,hj_nb&amp;" × φ"&amp;hj_pb&amp;" bottom tie","")</f>
        <v/>
      </c>
      <c r="EO2">
        <f>IF(inputs_ok,"VEd = "&amp;TEXT(hj_VEd,"0")&amp;" kN","")</f>
        <v/>
      </c>
      <c r="ER2">
        <f>IF(inputs_ok,IF(hj_HEd&gt;0,"HEd = "&amp;TEXT(hj_HEd,"0"),""),"")</f>
        <v/>
      </c>
      <c r="EU2">
        <f>IF(inputs_ok,IF(hj_ok,"θ1 = "&amp;TEXT(DEGREES(ATAN(tant_hj)),"0")&amp;"°  ·  z = "&amp;TEXT(zu_hj,"0"),""),"")</f>
        <v/>
      </c>
      <c r="EX2" t="inlineStr">
        <is>
          <t>frame</t>
        </is>
      </c>
    </row>
    <row r="3">
      <c r="A3">
        <f>0</f>
        <v/>
      </c>
      <c r="B3">
        <f>0</f>
        <v/>
      </c>
      <c r="D3">
        <f>IF(inputs_ok,XE_hj,NA())</f>
        <v/>
      </c>
      <c r="E3">
        <f>0</f>
        <v/>
      </c>
      <c r="G3">
        <f>IF(inputs_ok,XE_hj,NA())</f>
        <v/>
      </c>
      <c r="H3">
        <f>-0.05*hj_h</f>
        <v/>
      </c>
      <c r="J3">
        <f>IF(inputs_ok,hj_xb-hj_lp/2,NA())</f>
        <v/>
      </c>
      <c r="K3">
        <f>(hj_h-hj_hn)</f>
        <v/>
      </c>
      <c r="M3">
        <f>IF(inputs_ok,hj_xb,NA())</f>
        <v/>
      </c>
      <c r="N3">
        <f>0.15*(hj_h-hj_hn)</f>
        <v/>
      </c>
      <c r="P3">
        <f>IF(inputs_ok,IF(hj_HEd&gt;0,hj_xb,NA()),NA())</f>
        <v/>
      </c>
      <c r="Q3">
        <f>IF(hj_HEd&gt;0,(hj_h-hj_hn)-0.04*hj_h/2,NA())</f>
        <v/>
      </c>
      <c r="S3">
        <f>IF(inputs_ok,xte_hj,NA())</f>
        <v/>
      </c>
      <c r="T3">
        <f>yt_hj+MIN(6*hj_pt,0.5*dn_hj)</f>
        <v/>
      </c>
      <c r="V3">
        <f>IF(inputs_ok,IF(0&lt;hj_nh,(xh1_hj+0*hj_sh),NA()),NA())</f>
        <v/>
      </c>
      <c r="W3">
        <f>IF(0&lt;hj_nh,hj_c,NA())</f>
        <v/>
      </c>
      <c r="Y3">
        <f>IF(inputs_ok,IF(1&lt;hj_nh,(xh1_hj+1*hj_sh),NA()),NA())</f>
        <v/>
      </c>
      <c r="Z3">
        <f>IF(1&lt;hj_nh,hj_c,NA())</f>
        <v/>
      </c>
      <c r="AB3">
        <f>IF(inputs_ok,IF(2&lt;hj_nh,(xh1_hj+2*hj_sh),NA()),NA())</f>
        <v/>
      </c>
      <c r="AC3">
        <f>IF(2&lt;hj_nh,hj_c,NA())</f>
        <v/>
      </c>
      <c r="AE3">
        <f>IF(inputs_ok,IF(3&lt;hj_nh,(xh1_hj+3*hj_sh),NA()),NA())</f>
        <v/>
      </c>
      <c r="AF3">
        <f>IF(3&lt;hj_nh,hj_c,NA())</f>
        <v/>
      </c>
      <c r="AH3">
        <f>IF(inputs_ok,IF(4&lt;hj_nh,(xh1_hj+4*hj_sh),NA()),NA())</f>
        <v/>
      </c>
      <c r="AI3">
        <f>IF(4&lt;hj_nh,hj_c,NA())</f>
        <v/>
      </c>
      <c r="AK3">
        <f>IF(inputs_ok,IF(5&lt;hj_nh,(xh1_hj+5*hj_sh),NA()),NA())</f>
        <v/>
      </c>
      <c r="AL3">
        <f>IF(5&lt;hj_nh,hj_c,NA())</f>
        <v/>
      </c>
      <c r="AN3">
        <f>IF(inputs_ok,IF(6&lt;hj_nh,(xh1_hj+6*hj_sh),NA()),NA())</f>
        <v/>
      </c>
      <c r="AO3">
        <f>IF(6&lt;hj_nh,hj_c,NA())</f>
        <v/>
      </c>
      <c r="AQ3">
        <f>IF(inputs_ok,IF(7&lt;hj_nh,(xh1_hj+7*hj_sh),NA()),NA())</f>
        <v/>
      </c>
      <c r="AR3">
        <f>IF(7&lt;hj_nh,hj_c,NA())</f>
        <v/>
      </c>
      <c r="AT3">
        <f>IF(inputs_ok,XE_hj,NA())</f>
        <v/>
      </c>
      <c r="AU3">
        <f>yC_hj</f>
        <v/>
      </c>
      <c r="AW3">
        <f>IF(inputs_ok,IF(0&lt;hj_nlv,IF(hj_nlv=1,hj_ln/2,(hj_c+hj_pl/2)+0*(hj_ln-2*hj_c-hj_pl)/MAX(1,hj_nlv-1)),NA()),NA())</f>
        <v/>
      </c>
      <c r="AX3">
        <f>IF(0&lt;hj_nlv,(hj_h-hj_hn)+hj_c,NA())</f>
        <v/>
      </c>
      <c r="AZ3">
        <f>IF(inputs_ok,IF(0&lt;hj_nlh,hj_c,NA()),NA())</f>
        <v/>
      </c>
      <c r="BA3">
        <f>IF(0&lt;hj_nlh,(yt_hj+(0+1)*(2*dn_hj/3)/hj_nlh),NA())</f>
        <v/>
      </c>
      <c r="BC3">
        <f>IF(inputs_ok,IF(1&lt;hj_nlv,IF(hj_nlv=1,hj_ln/2,(hj_c+hj_pl/2)+1*(hj_ln-2*hj_c-hj_pl)/MAX(1,hj_nlv-1)),NA()),NA())</f>
        <v/>
      </c>
      <c r="BD3">
        <f>IF(1&lt;hj_nlv,(hj_h-hj_hn)+hj_c,NA())</f>
        <v/>
      </c>
      <c r="BF3">
        <f>IF(inputs_ok,IF(1&lt;hj_nlh,hj_c,NA()),NA())</f>
        <v/>
      </c>
      <c r="BG3">
        <f>IF(1&lt;hj_nlh,(yt_hj+(1+1)*(2*dn_hj/3)/hj_nlh),NA())</f>
        <v/>
      </c>
      <c r="BI3">
        <f>IF(inputs_ok,IF(2&lt;hj_nlv,IF(hj_nlv=1,hj_ln/2,(hj_c+hj_pl/2)+2*(hj_ln-2*hj_c-hj_pl)/MAX(1,hj_nlv-1)),NA()),NA())</f>
        <v/>
      </c>
      <c r="BJ3">
        <f>IF(2&lt;hj_nlv,(hj_h-hj_hn)+hj_c,NA())</f>
        <v/>
      </c>
      <c r="BL3">
        <f>IF(inputs_ok,IF(2&lt;hj_nlh,hj_c,NA()),NA())</f>
        <v/>
      </c>
      <c r="BM3">
        <f>IF(2&lt;hj_nlh,(yt_hj+(2+1)*(2*dn_hj/3)/hj_nlh),NA())</f>
        <v/>
      </c>
      <c r="BO3">
        <f>IF(inputs_ok,IF(3&lt;hj_nlv,IF(hj_nlv=1,hj_ln/2,(hj_c+hj_pl/2)+3*(hj_ln-2*hj_c-hj_pl)/MAX(1,hj_nlv-1)),NA()),NA())</f>
        <v/>
      </c>
      <c r="BP3">
        <f>IF(3&lt;hj_nlv,(hj_h-hj_hn)+hj_c,NA())</f>
        <v/>
      </c>
      <c r="BR3">
        <f>IF(inputs_ok,IF(3&lt;hj_nlh,hj_c,NA()),NA())</f>
        <v/>
      </c>
      <c r="BS3">
        <f>IF(3&lt;hj_nlh,(yt_hj+(3+1)*(2*dn_hj/3)/hj_nlh),NA())</f>
        <v/>
      </c>
      <c r="BU3">
        <f>IF(inputs_ok,IF(4&lt;hj_nlv,IF(hj_nlv=1,hj_ln/2,(hj_c+hj_pl/2)+4*(hj_ln-2*hj_c-hj_pl)/MAX(1,hj_nlv-1)),NA()),NA())</f>
        <v/>
      </c>
      <c r="BV3">
        <f>IF(4&lt;hj_nlv,(hj_h-hj_hn)+hj_c,NA())</f>
        <v/>
      </c>
      <c r="BX3">
        <f>IF(inputs_ok,IF(4&lt;hj_nlh,hj_c,NA()),NA())</f>
        <v/>
      </c>
      <c r="BY3">
        <f>IF(4&lt;hj_nlh,(yt_hj+(4+1)*(2*dn_hj/3)/hj_nlh),NA())</f>
        <v/>
      </c>
      <c r="CA3">
        <f>IF(inputs_ok,IF(5&lt;hj_nlv,IF(hj_nlv=1,hj_ln/2,(hj_c+hj_pl/2)+5*(hj_ln-2*hj_c-hj_pl)/MAX(1,hj_nlv-1)),NA()),NA())</f>
        <v/>
      </c>
      <c r="CB3">
        <f>IF(5&lt;hj_nlv,(hj_h-hj_hn)+hj_c,NA())</f>
        <v/>
      </c>
      <c r="CD3">
        <f>IF(inputs_ok,IF(5&lt;hj_nlh,hj_c,NA()),NA())</f>
        <v/>
      </c>
      <c r="CE3">
        <f>IF(5&lt;hj_nlh,(yt_hj+(5+1)*(2*dn_hj/3)/hj_nlh),NA())</f>
        <v/>
      </c>
      <c r="CG3">
        <f>IF(inputs_ok,IF(6&lt;hj_nlv,IF(hj_nlv=1,hj_ln/2,(hj_c+hj_pl/2)+6*(hj_ln-2*hj_c-hj_pl)/MAX(1,hj_nlv-1)),NA()),NA())</f>
        <v/>
      </c>
      <c r="CH3">
        <f>IF(6&lt;hj_nlv,(hj_h-hj_hn)+hj_c,NA())</f>
        <v/>
      </c>
      <c r="CJ3">
        <f>IF(inputs_ok,IF(6&lt;hj_nlh,hj_c,NA()),NA())</f>
        <v/>
      </c>
      <c r="CK3">
        <f>IF(6&lt;hj_nlh,(yt_hj+(6+1)*(2*dn_hj/3)/hj_nlh),NA())</f>
        <v/>
      </c>
      <c r="CM3">
        <f>IF(inputs_ok,IF(7&lt;hj_nlv,IF(hj_nlv=1,hj_ln/2,(hj_c+hj_pl/2)+7*(hj_ln-2*hj_c-hj_pl)/MAX(1,hj_nlv-1)),NA()),NA())</f>
        <v/>
      </c>
      <c r="CN3">
        <f>IF(7&lt;hj_nlv,(hj_h-hj_hn)+hj_c,NA())</f>
        <v/>
      </c>
      <c r="CP3">
        <f>IF(inputs_ok,IF(7&lt;hj_nlh,hj_c,NA()),NA())</f>
        <v/>
      </c>
      <c r="CQ3">
        <f>IF(7&lt;hj_nlh,(yt_hj+(7+1)*(2*dn_hj/3)/hj_nlh),NA())</f>
        <v/>
      </c>
      <c r="CS3">
        <f>IF(inputs_ok,IF(AND(hj_ok,hj_HEd&gt;0),hj_xb,NA()),NA())</f>
        <v/>
      </c>
      <c r="CT3">
        <f>IF(AND(hj_ok,hj_HEd&gt;0),(hj_h-hj_hn),NA())</f>
        <v/>
      </c>
      <c r="CV3">
        <f>IF(inputs_ok,IF(hj_ok,xA_hj,NA()),NA())</f>
        <v/>
      </c>
      <c r="CW3">
        <f>IF(hj_ok,yt_hj,NA())</f>
        <v/>
      </c>
      <c r="CY3">
        <f>IF(inputs_ok,IF(hj_ok,xh_hj,NA()),NA())</f>
        <v/>
      </c>
      <c r="CZ3">
        <f>IF(hj_ok,hj_h,NA())</f>
        <v/>
      </c>
      <c r="DB3">
        <f>IF(inputs_ok,IF(hj_ok,xh_hj,NA()),NA())</f>
        <v/>
      </c>
      <c r="DC3">
        <f>IF(hj_ok,(hj_h-yu_hj/2),NA())</f>
        <v/>
      </c>
      <c r="DE3">
        <f>IF(inputs_ok,IF(hj_ok,xh_hj,NA()),NA())</f>
        <v/>
      </c>
      <c r="DF3">
        <f>IF(hj_ok,yC_hj,NA())</f>
        <v/>
      </c>
      <c r="DH3">
        <f>IF(inputs_ok,IF(TRUE,XE_hj+0.1*hj_h,NA()),NA())</f>
        <v/>
      </c>
      <c r="DI3">
        <f>IF(TRUE,0,NA())</f>
        <v/>
      </c>
      <c r="DK3">
        <f>IF(inputs_ok,IF(TRUE,((XE_hj+0.1*hj_h)+(XE_hj+0.1*hj_h))/2,NA()),NA())</f>
        <v/>
      </c>
      <c r="DL3">
        <f>IF(TRUE,((0)+(hj_h))/2,NA())</f>
        <v/>
      </c>
      <c r="DN3">
        <f>IF(inputs_ok,IF(TRUE,-0.1*hj_h,NA()),NA())</f>
        <v/>
      </c>
      <c r="DO3">
        <f>IF(TRUE,(hj_h-hj_hn),NA())</f>
        <v/>
      </c>
      <c r="DQ3">
        <f>IF(inputs_ok,IF(TRUE,((-0.1*hj_h)+(-0.1*hj_h))/2,NA()),NA())</f>
        <v/>
      </c>
      <c r="DR3">
        <f>IF(TRUE,(((hj_h-hj_hn))+(hj_h))/2,NA())</f>
        <v/>
      </c>
      <c r="DT3">
        <f>IF(inputs_ok,IF(TRUE,0,NA()),NA())</f>
        <v/>
      </c>
      <c r="DU3">
        <f>IF(TRUE,hj_h+0.1*hj_h,NA())</f>
        <v/>
      </c>
      <c r="DW3">
        <f>IF(inputs_ok,IF(TRUE,((0)+(hj_ln))/2,NA()),NA())</f>
        <v/>
      </c>
      <c r="DX3">
        <f>IF(TRUE,((hj_h+0.1*hj_h)+(hj_h+0.1*hj_h))/2,NA())</f>
        <v/>
      </c>
      <c r="DZ3">
        <f>IF(inputs_ok,IF(TRUE,hj_xb,NA()),NA())</f>
        <v/>
      </c>
      <c r="EA3">
        <f>IF(TRUE,hj_h+3*0.1*hj_h,NA())</f>
        <v/>
      </c>
      <c r="EC3">
        <f>IF(inputs_ok,IF(TRUE,((hj_xb)+(xh_hj))/2,NA()),NA())</f>
        <v/>
      </c>
      <c r="ED3">
        <f>IF(TRUE,((hj_h+3*0.1*hj_h)+(hj_h+3*0.1*hj_h))/2,NA())</f>
        <v/>
      </c>
      <c r="EF3">
        <f>IF(inputs_ok,xhf_hj+0.5*0.1*hj_h,NA())</f>
        <v/>
      </c>
      <c r="EG3">
        <f>0.3*hj_h</f>
        <v/>
      </c>
      <c r="EI3">
        <f>IF(inputs_ok,hj_ln+hj_lt,NA())</f>
        <v/>
      </c>
      <c r="EJ3">
        <f>yt_hj</f>
        <v/>
      </c>
      <c r="EL3">
        <f>IF(inputs_ok,XE_hj-2*0.1*hj_h,NA())</f>
        <v/>
      </c>
      <c r="EM3">
        <f>yC_hj</f>
        <v/>
      </c>
      <c r="EO3">
        <f>IF(inputs_ok,hj_xb,NA())</f>
        <v/>
      </c>
      <c r="EP3">
        <f>0.15*(hj_h-hj_hn)</f>
        <v/>
      </c>
      <c r="ER3">
        <f>IF(inputs_ok,hj_xb-0.35*hj_hn,NA())</f>
        <v/>
      </c>
      <c r="ES3">
        <f>(hj_h-hj_hn)-0.04*hj_h/2</f>
        <v/>
      </c>
      <c r="EU3">
        <f>IF(inputs_ok,xh_hj+0.5*0.1*hj_h,NA())</f>
        <v/>
      </c>
      <c r="EV3">
        <f>hj_h-0.5*hj_hn</f>
        <v/>
      </c>
      <c r="EX3">
        <f>((MIN(-3*0.1*hj_h,hj_xb-0.35*hj_hn-0.1*hj_h))+(XE_hj+3*0.1*hj_h))/2-MAX((hj_h+4.2*0.1*hj_h)-(-1.5*0.1*hj_h),((XE_hj+3*0.1*hj_h)-(MIN(-3*0.1*hj_h,hj_xb-0.35*hj_hn-0.1*hj_h)))/1.55)*0.58*1.55</f>
        <v/>
      </c>
      <c r="EY3">
        <f>((-1.5*0.1*hj_h)+(hj_h+4.2*0.1*hj_h))/2-MAX((hj_h+4.2*0.1*hj_h)-(-1.5*0.1*hj_h),((XE_hj+3*0.1*hj_h)-(MIN(-3*0.1*hj_h,hj_xb-0.35*hj_hn-0.1*hj_h)))/1.55)*0.58</f>
        <v/>
      </c>
    </row>
    <row r="4">
      <c r="D4">
        <f>IF(inputs_ok,hj_ln,NA())</f>
        <v/>
      </c>
      <c r="E4">
        <f>0</f>
        <v/>
      </c>
      <c r="G4">
        <f>IF(inputs_ok,XE_hj,NA())</f>
        <v/>
      </c>
      <c r="H4">
        <f>1.05*hj_h</f>
        <v/>
      </c>
      <c r="J4">
        <f>IF(inputs_ok,hj_xb-hj_lp/2,NA())</f>
        <v/>
      </c>
      <c r="K4">
        <f>(hj_h-hj_hn)-0.04*hj_h</f>
        <v/>
      </c>
      <c r="M4">
        <f>IF(inputs_ok,hj_xb,NA())</f>
        <v/>
      </c>
      <c r="N4">
        <f>(hj_h-hj_hn)-0.04*hj_h</f>
        <v/>
      </c>
      <c r="P4">
        <f>IF(inputs_ok,IF(hj_HEd&gt;0,hj_xb-0.35*hj_hn,NA()),NA())</f>
        <v/>
      </c>
      <c r="Q4">
        <f>IF(hj_HEd&gt;0,(hj_h-hj_hn)-0.04*hj_h/2,NA())</f>
        <v/>
      </c>
      <c r="S4">
        <f>IF(inputs_ok,xte_hj,NA())</f>
        <v/>
      </c>
      <c r="T4">
        <f>yt_hj</f>
        <v/>
      </c>
      <c r="V4">
        <f>IF(inputs_ok,IF(0&lt;hj_nh,(xh1_hj+0*hj_sh),NA()),NA())</f>
        <v/>
      </c>
      <c r="W4">
        <f>IF(0&lt;hj_nh,hj_h-hj_c,NA())</f>
        <v/>
      </c>
      <c r="Y4">
        <f>IF(inputs_ok,IF(1&lt;hj_nh,(xh1_hj+1*hj_sh),NA()),NA())</f>
        <v/>
      </c>
      <c r="Z4">
        <f>IF(1&lt;hj_nh,hj_h-hj_c,NA())</f>
        <v/>
      </c>
      <c r="AB4">
        <f>IF(inputs_ok,IF(2&lt;hj_nh,(xh1_hj+2*hj_sh),NA()),NA())</f>
        <v/>
      </c>
      <c r="AC4">
        <f>IF(2&lt;hj_nh,hj_h-hj_c,NA())</f>
        <v/>
      </c>
      <c r="AE4">
        <f>IF(inputs_ok,IF(3&lt;hj_nh,(xh1_hj+3*hj_sh),NA()),NA())</f>
        <v/>
      </c>
      <c r="AF4">
        <f>IF(3&lt;hj_nh,hj_h-hj_c,NA())</f>
        <v/>
      </c>
      <c r="AH4">
        <f>IF(inputs_ok,IF(4&lt;hj_nh,(xh1_hj+4*hj_sh),NA()),NA())</f>
        <v/>
      </c>
      <c r="AI4">
        <f>IF(4&lt;hj_nh,hj_h-hj_c,NA())</f>
        <v/>
      </c>
      <c r="AK4">
        <f>IF(inputs_ok,IF(5&lt;hj_nh,(xh1_hj+5*hj_sh),NA()),NA())</f>
        <v/>
      </c>
      <c r="AL4">
        <f>IF(5&lt;hj_nh,hj_h-hj_c,NA())</f>
        <v/>
      </c>
      <c r="AN4">
        <f>IF(inputs_ok,IF(6&lt;hj_nh,(xh1_hj+6*hj_sh),NA()),NA())</f>
        <v/>
      </c>
      <c r="AO4">
        <f>IF(6&lt;hj_nh,hj_h-hj_c,NA())</f>
        <v/>
      </c>
      <c r="AQ4">
        <f>IF(inputs_ok,IF(7&lt;hj_nh,(xh1_hj+7*hj_sh),NA()),NA())</f>
        <v/>
      </c>
      <c r="AR4">
        <f>IF(7&lt;hj_nh,hj_h-hj_c,NA())</f>
        <v/>
      </c>
      <c r="AT4">
        <f>IF(inputs_ok,IF(bend_hj,(xv_hj+rb_hj)+(rb_hj)*-0.000000,(hj_ln+hj_c)),NA())</f>
        <v/>
      </c>
      <c r="AU4">
        <f>IF(bend_hj,(yC_hj+rb_hj)+(rb_hj)*-1.000000,yC_hj)</f>
        <v/>
      </c>
      <c r="AW4">
        <f>IF(inputs_ok,IF(0&lt;hj_nlv,IF(hj_nlv=1,hj_ln/2,(hj_c+hj_pl/2)+0*(hj_ln-2*hj_c-hj_pl)/MAX(1,hj_nlv-1)),NA()),NA())</f>
        <v/>
      </c>
      <c r="AX4">
        <f>IF(0&lt;hj_nlv,hj_h-hj_c,NA())</f>
        <v/>
      </c>
      <c r="AZ4">
        <f>IF(inputs_ok,IF(0&lt;hj_nlh,xhf_hj,NA()),NA())</f>
        <v/>
      </c>
      <c r="BA4">
        <f>IF(0&lt;hj_nlh,(yt_hj+(0+1)*(2*dn_hj/3)/hj_nlh),NA())</f>
        <v/>
      </c>
      <c r="BC4">
        <f>IF(inputs_ok,IF(1&lt;hj_nlv,IF(hj_nlv=1,hj_ln/2,(hj_c+hj_pl/2)+1*(hj_ln-2*hj_c-hj_pl)/MAX(1,hj_nlv-1)),NA()),NA())</f>
        <v/>
      </c>
      <c r="BD4">
        <f>IF(1&lt;hj_nlv,hj_h-hj_c,NA())</f>
        <v/>
      </c>
      <c r="BF4">
        <f>IF(inputs_ok,IF(1&lt;hj_nlh,xhf_hj,NA()),NA())</f>
        <v/>
      </c>
      <c r="BG4">
        <f>IF(1&lt;hj_nlh,(yt_hj+(1+1)*(2*dn_hj/3)/hj_nlh),NA())</f>
        <v/>
      </c>
      <c r="BI4">
        <f>IF(inputs_ok,IF(2&lt;hj_nlv,IF(hj_nlv=1,hj_ln/2,(hj_c+hj_pl/2)+2*(hj_ln-2*hj_c-hj_pl)/MAX(1,hj_nlv-1)),NA()),NA())</f>
        <v/>
      </c>
      <c r="BJ4">
        <f>IF(2&lt;hj_nlv,hj_h-hj_c,NA())</f>
        <v/>
      </c>
      <c r="BL4">
        <f>IF(inputs_ok,IF(2&lt;hj_nlh,xhf_hj,NA()),NA())</f>
        <v/>
      </c>
      <c r="BM4">
        <f>IF(2&lt;hj_nlh,(yt_hj+(2+1)*(2*dn_hj/3)/hj_nlh),NA())</f>
        <v/>
      </c>
      <c r="BO4">
        <f>IF(inputs_ok,IF(3&lt;hj_nlv,IF(hj_nlv=1,hj_ln/2,(hj_c+hj_pl/2)+3*(hj_ln-2*hj_c-hj_pl)/MAX(1,hj_nlv-1)),NA()),NA())</f>
        <v/>
      </c>
      <c r="BP4">
        <f>IF(3&lt;hj_nlv,hj_h-hj_c,NA())</f>
        <v/>
      </c>
      <c r="BR4">
        <f>IF(inputs_ok,IF(3&lt;hj_nlh,xhf_hj,NA()),NA())</f>
        <v/>
      </c>
      <c r="BS4">
        <f>IF(3&lt;hj_nlh,(yt_hj+(3+1)*(2*dn_hj/3)/hj_nlh),NA())</f>
        <v/>
      </c>
      <c r="BU4">
        <f>IF(inputs_ok,IF(4&lt;hj_nlv,IF(hj_nlv=1,hj_ln/2,(hj_c+hj_pl/2)+4*(hj_ln-2*hj_c-hj_pl)/MAX(1,hj_nlv-1)),NA()),NA())</f>
        <v/>
      </c>
      <c r="BV4">
        <f>IF(4&lt;hj_nlv,hj_h-hj_c,NA())</f>
        <v/>
      </c>
      <c r="BX4">
        <f>IF(inputs_ok,IF(4&lt;hj_nlh,xhf_hj,NA()),NA())</f>
        <v/>
      </c>
      <c r="BY4">
        <f>IF(4&lt;hj_nlh,(yt_hj+(4+1)*(2*dn_hj/3)/hj_nlh),NA())</f>
        <v/>
      </c>
      <c r="CA4">
        <f>IF(inputs_ok,IF(5&lt;hj_nlv,IF(hj_nlv=1,hj_ln/2,(hj_c+hj_pl/2)+5*(hj_ln-2*hj_c-hj_pl)/MAX(1,hj_nlv-1)),NA()),NA())</f>
        <v/>
      </c>
      <c r="CB4">
        <f>IF(5&lt;hj_nlv,hj_h-hj_c,NA())</f>
        <v/>
      </c>
      <c r="CD4">
        <f>IF(inputs_ok,IF(5&lt;hj_nlh,xhf_hj,NA()),NA())</f>
        <v/>
      </c>
      <c r="CE4">
        <f>IF(5&lt;hj_nlh,(yt_hj+(5+1)*(2*dn_hj/3)/hj_nlh),NA())</f>
        <v/>
      </c>
      <c r="CG4">
        <f>IF(inputs_ok,IF(6&lt;hj_nlv,IF(hj_nlv=1,hj_ln/2,(hj_c+hj_pl/2)+6*(hj_ln-2*hj_c-hj_pl)/MAX(1,hj_nlv-1)),NA()),NA())</f>
        <v/>
      </c>
      <c r="CH4">
        <f>IF(6&lt;hj_nlv,hj_h-hj_c,NA())</f>
        <v/>
      </c>
      <c r="CJ4">
        <f>IF(inputs_ok,IF(6&lt;hj_nlh,xhf_hj,NA()),NA())</f>
        <v/>
      </c>
      <c r="CK4">
        <f>IF(6&lt;hj_nlh,(yt_hj+(6+1)*(2*dn_hj/3)/hj_nlh),NA())</f>
        <v/>
      </c>
      <c r="CM4">
        <f>IF(inputs_ok,IF(7&lt;hj_nlv,IF(hj_nlv=1,hj_ln/2,(hj_c+hj_pl/2)+7*(hj_ln-2*hj_c-hj_pl)/MAX(1,hj_nlv-1)),NA()),NA())</f>
        <v/>
      </c>
      <c r="CN4">
        <f>IF(7&lt;hj_nlv,hj_h-hj_c,NA())</f>
        <v/>
      </c>
      <c r="CP4">
        <f>IF(inputs_ok,IF(7&lt;hj_nlh,xhf_hj,NA()),NA())</f>
        <v/>
      </c>
      <c r="CQ4">
        <f>IF(7&lt;hj_nlh,(yt_hj+(7+1)*(2*dn_hj/3)/hj_nlh),NA())</f>
        <v/>
      </c>
      <c r="CS4">
        <f>IF(inputs_ok,IF(AND(hj_ok,hj_HEd&gt;0),xA_hj,NA()),NA())</f>
        <v/>
      </c>
      <c r="CT4">
        <f>IF(AND(hj_ok,hj_HEd&gt;0),yt_hj,NA())</f>
        <v/>
      </c>
      <c r="CV4">
        <f>IF(inputs_ok,IF(hj_ok,xh_hj,NA()),NA())</f>
        <v/>
      </c>
      <c r="CW4">
        <f>IF(hj_ok,(hj_h-yu_hj/2),NA())</f>
        <v/>
      </c>
      <c r="CY4">
        <f>IF(inputs_ok,IF(hj_ok,xh_hj,NA()),NA())</f>
        <v/>
      </c>
      <c r="CZ4">
        <f>IF(hj_ok,hj_h-yu_hj,NA())</f>
        <v/>
      </c>
      <c r="DB4">
        <f>IF(inputs_ok,IF(hj_ok,xh_hj,NA()),NA())</f>
        <v/>
      </c>
      <c r="DC4">
        <f>IF(hj_ok,yC_hj,NA())</f>
        <v/>
      </c>
      <c r="DE4">
        <f>IF(inputs_ok,IF(hj_ok,xh_hj+((hj_h-yu_hj/2)-yC_hj)*hj_cot,NA()),NA())</f>
        <v/>
      </c>
      <c r="DF4">
        <f>IF(hj_ok,(hj_h-yu_hj/2),NA())</f>
        <v/>
      </c>
      <c r="DH4">
        <f>IF(inputs_ok,IF(TRUE,XE_hj+0.1*hj_h,NA()),NA())</f>
        <v/>
      </c>
      <c r="DI4">
        <f>IF(TRUE,hj_h,NA())</f>
        <v/>
      </c>
      <c r="DN4">
        <f>IF(inputs_ok,IF(TRUE,-0.1*hj_h,NA()),NA())</f>
        <v/>
      </c>
      <c r="DO4">
        <f>IF(TRUE,hj_h,NA())</f>
        <v/>
      </c>
      <c r="DT4">
        <f>IF(inputs_ok,IF(TRUE,hj_ln,NA()),NA())</f>
        <v/>
      </c>
      <c r="DU4">
        <f>IF(TRUE,hj_h+0.1*hj_h,NA())</f>
        <v/>
      </c>
      <c r="DZ4">
        <f>IF(inputs_ok,IF(TRUE,xh_hj,NA()),NA())</f>
        <v/>
      </c>
      <c r="EA4">
        <f>IF(TRUE,hj_h+3*0.1*hj_h,NA())</f>
        <v/>
      </c>
      <c r="EX4">
        <f>((MIN(-3*0.1*hj_h,hj_xb-0.35*hj_hn-0.1*hj_h))+(XE_hj+3*0.1*hj_h))/2+MAX((hj_h+4.2*0.1*hj_h)-(-1.5*0.1*hj_h),((XE_hj+3*0.1*hj_h)-(MIN(-3*0.1*hj_h,hj_xb-0.35*hj_hn-0.1*hj_h)))/1.55)*0.58*1.55</f>
        <v/>
      </c>
      <c r="EY4">
        <f>((-1.5*0.1*hj_h)+(hj_h+4.2*0.1*hj_h))/2+MAX((hj_h+4.2*0.1*hj_h)-(-1.5*0.1*hj_h),((XE_hj+3*0.1*hj_h)-(MIN(-3*0.1*hj_h,hj_xb-0.35*hj_hn-0.1*hj_h)))/1.55)*0.58</f>
        <v/>
      </c>
    </row>
    <row r="5">
      <c r="D5">
        <f>IF(inputs_ok,hj_ln,NA())</f>
        <v/>
      </c>
      <c r="E5">
        <f>(hj_h-hj_hn)</f>
        <v/>
      </c>
      <c r="J5">
        <f>IF(inputs_ok,hj_xb+hj_lp/2,NA())</f>
        <v/>
      </c>
      <c r="K5">
        <f>(hj_h-hj_hn)-0.04*hj_h</f>
        <v/>
      </c>
      <c r="S5">
        <f>IF(inputs_ok,hj_ln+hj_lt,NA())</f>
        <v/>
      </c>
      <c r="T5">
        <f>yt_hj</f>
        <v/>
      </c>
      <c r="AT5">
        <f>IF(inputs_ok,IF(bend_hj,(xv_hj+rb_hj)+(rb_hj)*-0.195090,(hj_ln+hj_c)),NA())</f>
        <v/>
      </c>
      <c r="AU5">
        <f>IF(bend_hj,(yC_hj+rb_hj)+(rb_hj)*-0.980785,yC_hj)</f>
        <v/>
      </c>
    </row>
    <row r="6">
      <c r="D6">
        <f>IF(inputs_ok,0,NA())</f>
        <v/>
      </c>
      <c r="E6">
        <f>(hj_h-hj_hn)</f>
        <v/>
      </c>
      <c r="J6">
        <f>IF(inputs_ok,hj_xb+hj_lp/2,NA())</f>
        <v/>
      </c>
      <c r="K6">
        <f>(hj_h-hj_hn)</f>
        <v/>
      </c>
      <c r="AT6">
        <f>IF(inputs_ok,IF(bend_hj,(xv_hj+rb_hj)+(rb_hj)*-0.382683,(hj_ln+hj_c)),NA())</f>
        <v/>
      </c>
      <c r="AU6">
        <f>IF(bend_hj,(yC_hj+rb_hj)+(rb_hj)*-0.923880,yC_hj)</f>
        <v/>
      </c>
    </row>
    <row r="7">
      <c r="D7">
        <f>IF(inputs_ok,0,NA())</f>
        <v/>
      </c>
      <c r="E7">
        <f>hj_h</f>
        <v/>
      </c>
      <c r="AT7">
        <f>IF(inputs_ok,IF(bend_hj,(xv_hj+rb_hj)+(rb_hj)*-0.555570,(hj_ln+hj_c)),NA())</f>
        <v/>
      </c>
      <c r="AU7">
        <f>IF(bend_hj,(yC_hj+rb_hj)+(rb_hj)*-0.831470,yC_hj)</f>
        <v/>
      </c>
    </row>
    <row r="8">
      <c r="D8">
        <f>IF(inputs_ok,XE_hj,NA())</f>
        <v/>
      </c>
      <c r="E8">
        <f>hj_h</f>
        <v/>
      </c>
      <c r="AT8">
        <f>IF(inputs_ok,IF(bend_hj,(xv_hj+rb_hj)+(rb_hj)*-0.707107,(hj_ln+hj_c)),NA())</f>
        <v/>
      </c>
      <c r="AU8">
        <f>IF(bend_hj,(yC_hj+rb_hj)+(rb_hj)*-0.707107,yC_hj)</f>
        <v/>
      </c>
    </row>
    <row r="9">
      <c r="AT9">
        <f>IF(inputs_ok,IF(bend_hj,(xv_hj+rb_hj)+(rb_hj)*-0.831470,(hj_ln+hj_c)),NA())</f>
        <v/>
      </c>
      <c r="AU9">
        <f>IF(bend_hj,(yC_hj+rb_hj)+(rb_hj)*-0.555570,yC_hj)</f>
        <v/>
      </c>
    </row>
    <row r="10">
      <c r="AT10">
        <f>IF(inputs_ok,IF(bend_hj,(xv_hj+rb_hj)+(rb_hj)*-0.923880,(hj_ln+hj_c)),NA())</f>
        <v/>
      </c>
      <c r="AU10">
        <f>IF(bend_hj,(yC_hj+rb_hj)+(rb_hj)*-0.382683,yC_hj)</f>
        <v/>
      </c>
    </row>
    <row r="11">
      <c r="AT11">
        <f>IF(inputs_ok,IF(bend_hj,(xv_hj+rb_hj)+(rb_hj)*-0.980785,(hj_ln+hj_c)),NA())</f>
        <v/>
      </c>
      <c r="AU11">
        <f>IF(bend_hj,(yC_hj+rb_hj)+(rb_hj)*-0.195090,yC_hj)</f>
        <v/>
      </c>
    </row>
    <row r="12">
      <c r="AT12">
        <f>IF(inputs_ok,IF(bend_hj,(xv_hj+rb_hj)+(rb_hj)*-1.000000,(hj_ln+hj_c)),NA())</f>
        <v/>
      </c>
      <c r="AU12">
        <f>IF(bend_hj,(yC_hj+rb_hj)+(rb_hj)*0.000000,yC_hj)</f>
        <v/>
      </c>
    </row>
    <row r="13">
      <c r="AT13">
        <f>IF(inputs_ok,IF(bend_hj,xv_hj,(hj_ln+hj_c)),NA())</f>
        <v/>
      </c>
      <c r="AU13">
        <f>IF(bend_hj,ytop_hj,yC_hj)</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8"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9" t="inlineStr">
        <is>
          <t>Parameter</t>
        </is>
      </c>
      <c r="C5" s="49" t="inlineStr">
        <is>
          <t>Clause</t>
        </is>
      </c>
      <c r="D5" s="49" t="inlineStr">
        <is>
          <t>UK NA</t>
        </is>
      </c>
      <c r="E5" s="49" t="inlineStr">
        <is>
          <t>PL NA</t>
        </is>
      </c>
      <c r="F5" s="49" t="inlineStr">
        <is>
          <t>Notes</t>
        </is>
      </c>
    </row>
    <row r="6">
      <c r="B6" s="50" t="inlineStr">
        <is>
          <t>Partial factor, concrete  γc</t>
        </is>
      </c>
      <c r="C6" s="51" t="inlineStr">
        <is>
          <t>2.4.2.4(1)</t>
        </is>
      </c>
      <c r="D6" s="52" t="n">
        <v>1.5</v>
      </c>
      <c r="E6" s="52" t="n">
        <v>1.4</v>
      </c>
      <c r="F6" s="51" t="inlineStr">
        <is>
          <t>Persistent &amp; transient. UK NA: recommended; PL: NA.2, Table NA.2</t>
        </is>
      </c>
    </row>
    <row r="7">
      <c r="B7" s="50" t="inlineStr">
        <is>
          <t>Partial factor, reinforcement  γs</t>
        </is>
      </c>
      <c r="C7" s="51" t="inlineStr">
        <is>
          <t>2.4.2.4(1)</t>
        </is>
      </c>
      <c r="D7" s="52" t="n">
        <v>1.15</v>
      </c>
      <c r="E7" s="52" t="n">
        <v>1.15</v>
      </c>
      <c r="F7" s="51" t="inlineStr">
        <is>
          <t>UK NA: recommended; PL: NA.2, Table NA.2</t>
        </is>
      </c>
    </row>
    <row r="8">
      <c r="B8" s="50" t="inlineStr">
        <is>
          <t>αcc  (compression in flexure / axial)</t>
        </is>
      </c>
      <c r="C8" s="51" t="inlineStr">
        <is>
          <t>3.1.6(1)</t>
        </is>
      </c>
      <c r="D8" s="52" t="n">
        <v>0.85</v>
      </c>
      <c r="E8" s="52" t="n">
        <v>1</v>
      </c>
      <c r="F8" s="51" t="inlineStr">
        <is>
          <t>UK NA: 0.85; PL: recommended (NA.9)</t>
        </is>
      </c>
    </row>
    <row r="9">
      <c r="B9" s="50" t="inlineStr">
        <is>
          <t>αcc,pl  (plain concrete, compression)</t>
        </is>
      </c>
      <c r="C9" s="51" t="inlineStr">
        <is>
          <t>12.3.1(1)</t>
        </is>
      </c>
      <c r="D9" s="52" t="n">
        <v>0.6</v>
      </c>
      <c r="E9" s="52" t="n">
        <v>0.8</v>
      </c>
      <c r="F9" s="51" t="inlineStr">
        <is>
          <t>UK NA Table NA.1: 0.6; PL: recommended (NA.9)</t>
        </is>
      </c>
    </row>
    <row r="10">
      <c r="B10" s="50" t="inlineStr">
        <is>
          <t>αcc  (shear and punching)</t>
        </is>
      </c>
      <c r="C10" s="51" t="inlineStr">
        <is>
          <t>3.1.6(1)</t>
        </is>
      </c>
      <c r="D10" s="52" t="n">
        <v>1</v>
      </c>
      <c r="E10" s="52" t="n">
        <v>1</v>
      </c>
      <c r="F10" s="51" t="inlineStr">
        <is>
          <t>UK NA: 1.0 for other phenomena; PL: recommended (NA.9)</t>
        </is>
      </c>
    </row>
    <row r="11">
      <c r="B11" s="50" t="inlineStr">
        <is>
          <t>αct  (design tensile strength)</t>
        </is>
      </c>
      <c r="C11" s="51" t="inlineStr">
        <is>
          <t>3.1.6(2)</t>
        </is>
      </c>
      <c r="D11" s="52" t="n">
        <v>1</v>
      </c>
      <c r="E11" s="52" t="n">
        <v>1</v>
      </c>
      <c r="F11" s="51" t="inlineStr">
        <is>
          <t>Recommended value in both annexes</t>
        </is>
      </c>
    </row>
    <row r="12">
      <c r="B12" s="50" t="inlineStr">
        <is>
          <t>CRd,c numerator  (CRd,c = value / γc)</t>
        </is>
      </c>
      <c r="C12" s="51" t="inlineStr">
        <is>
          <t>6.2.2(1), 6.4.4(1)</t>
        </is>
      </c>
      <c r="D12" s="52" t="n">
        <v>0.18</v>
      </c>
      <c r="E12" s="52" t="n">
        <v>0.18</v>
      </c>
      <c r="F12" s="51" t="inlineStr">
        <is>
          <t>Recommended value in both annexes</t>
        </is>
      </c>
    </row>
    <row r="13">
      <c r="B13" s="50" t="inlineStr">
        <is>
          <t>k1  (axial stress term, punching)</t>
        </is>
      </c>
      <c r="C13" s="51" t="inlineStr">
        <is>
          <t>6.4.4(1)</t>
        </is>
      </c>
      <c r="D13" s="52" t="n">
        <v>0.1</v>
      </c>
      <c r="E13" s="52" t="n">
        <v>0.1</v>
      </c>
      <c r="F13" s="51" t="inlineStr">
        <is>
          <t>Recommended value in both annexes</t>
        </is>
      </c>
    </row>
    <row r="14">
      <c r="B14" s="50" t="inlineStr">
        <is>
          <t>vRd,max factor  (vRd,max = factor · ν · fcd)</t>
        </is>
      </c>
      <c r="C14" s="51" t="inlineStr">
        <is>
          <t>6.4.5(3)</t>
        </is>
      </c>
      <c r="D14" s="52" t="n">
        <v>0.5</v>
      </c>
      <c r="E14" s="52" t="n">
        <v>0.4</v>
      </c>
      <c r="F14" s="51" t="inlineStr">
        <is>
          <t>UK NA: 0.5 ν fcd; PL: recommended value (NA.9), 0.4 ν fcd since EN 1992-1-1 AC:2010 (PN-EN 1992-1-1:2008/AC:2011)</t>
        </is>
      </c>
    </row>
    <row r="15">
      <c r="B15" s="50" t="inlineStr">
        <is>
          <t>kmax  (vEd ≤ kmax · vRd,c at u1)</t>
        </is>
      </c>
      <c r="C15" s="51" t="inlineStr">
        <is>
          <t>6.4.5</t>
        </is>
      </c>
      <c r="D15" s="52" t="n">
        <v>2</v>
      </c>
      <c r="E15" s="52" t="n">
        <v>1.5</v>
      </c>
      <c r="F15" s="51" t="inlineStr">
        <is>
          <t>UK NA 6.4.5(3): 2 vRd,c. PL: no limit in PN-EN 1992-1-1:2008; 1.5 (A1:2014 recommendation) applied conservatively</t>
        </is>
      </c>
    </row>
    <row r="16">
      <c r="B16" s="50" t="inlineStr">
        <is>
          <t>φlarge  (large bar threshold, mm)</t>
        </is>
      </c>
      <c r="C16" s="51" t="inlineStr">
        <is>
          <t>8.8(1)</t>
        </is>
      </c>
      <c r="D16" s="52" t="n">
        <v>40</v>
      </c>
      <c r="E16" s="52" t="n">
        <v>32</v>
      </c>
      <c r="F16" s="51" t="inlineStr">
        <is>
          <t>UK NA: 40 mm; PL: 32 mm recommended (NA.9)</t>
        </is>
      </c>
    </row>
    <row r="17">
      <c r="B17" s="50" t="inlineStr">
        <is>
          <t>cot θ upper limit  (variable strut)</t>
        </is>
      </c>
      <c r="C17" s="51" t="inlineStr">
        <is>
          <t>6.2.3(2)</t>
        </is>
      </c>
      <c r="D17" s="52" t="n">
        <v>2.5</v>
      </c>
      <c r="E17" s="52" t="n">
        <v>2</v>
      </c>
      <c r="F17" s="51" t="inlineStr">
        <is>
          <t>UK NA: 2.5 (1.25 with axial tension); PL: NA.4, 1 ≤ cot θ ≤ 2.0</t>
        </is>
      </c>
    </row>
    <row r="18">
      <c r="B18" s="50" t="inlineStr">
        <is>
          <t>k1  (x/d limit, δ ≥ k1 + k2 xu/d)</t>
        </is>
      </c>
      <c r="C18" s="51" t="inlineStr">
        <is>
          <t>5.5(4)</t>
        </is>
      </c>
      <c r="D18" s="52" t="n">
        <v>0.4</v>
      </c>
      <c r="E18" s="52" t="n">
        <v>0.44</v>
      </c>
      <c r="F18" s="51" t="inlineStr">
        <is>
          <t>UK NA for fyk ≤ 500 MPa; PL: recommended (NA.9)</t>
        </is>
      </c>
    </row>
    <row r="19">
      <c r="B19" s="50" t="inlineStr">
        <is>
          <t>k2  (x/d limit, εcu2 = 0.0035)</t>
        </is>
      </c>
      <c r="C19" s="51" t="inlineStr">
        <is>
          <t>5.5(4)</t>
        </is>
      </c>
      <c r="D19" s="52" t="n">
        <v>1</v>
      </c>
      <c r="E19" s="52" t="n">
        <v>1.25</v>
      </c>
      <c r="F19" s="51" t="inlineStr">
        <is>
          <t>UK NA: 0.6 + 0.0014/εcu2; PL: 1.25(0.6 + 0.0014/εcu2)</t>
        </is>
      </c>
    </row>
    <row r="20">
      <c r="B20" s="50" t="inlineStr">
        <is>
          <t>Upper limit on the (310/σs) factor  (0 = none)</t>
        </is>
      </c>
      <c r="C20" s="51" t="inlineStr">
        <is>
          <t>7.4.2(2)</t>
        </is>
      </c>
      <c r="D20" s="52" t="n">
        <v>1.5</v>
      </c>
      <c r="E20" s="52" t="n">
        <v>0</v>
      </c>
      <c r="F20" s="51" t="inlineStr">
        <is>
          <t>UK NA Table NA.5 Note 5: (310/σs) or (500/fyk)(As,prov/As,req) ≤ 1.5; PL: none</t>
        </is>
      </c>
    </row>
    <row r="21">
      <c r="B21" s="50" t="inlineStr">
        <is>
          <t>L/d not to exceed 40 K  (1 = applies)</t>
        </is>
      </c>
      <c r="C21" s="51" t="inlineStr">
        <is>
          <t>7.4.2(2)</t>
        </is>
      </c>
      <c r="D21" s="52" t="n">
        <v>1</v>
      </c>
      <c r="E21" s="52" t="n">
        <v>0</v>
      </c>
      <c r="F21" s="51" t="inlineStr">
        <is>
          <t>UK NA Table NA.5 Note 6; not in EN text</t>
        </is>
      </c>
    </row>
    <row r="22">
      <c r="B22" s="50" t="inlineStr">
        <is>
          <t>φmin  (longitudinal bars in columns, mm)</t>
        </is>
      </c>
      <c r="C22" s="51" t="inlineStr">
        <is>
          <t>9.5.2(1)</t>
        </is>
      </c>
      <c r="D22" s="52" t="n">
        <v>12</v>
      </c>
      <c r="E22" s="52" t="n">
        <v>6</v>
      </c>
      <c r="F22" s="51" t="inlineStr">
        <is>
          <t>UK NA: 12 mm; PL: NA.6, 6 mm</t>
        </is>
      </c>
    </row>
    <row r="23">
      <c r="B23" s="50" t="inlineStr">
        <is>
          <t>k3  (crack spacing)</t>
        </is>
      </c>
      <c r="C23" s="51" t="inlineStr">
        <is>
          <t>7.3.4(3)</t>
        </is>
      </c>
      <c r="D23" s="52" t="n">
        <v>3.4</v>
      </c>
      <c r="E23" s="52" t="n">
        <v>3.4</v>
      </c>
      <c r="F23" s="51" t="inlineStr">
        <is>
          <t>Recommended value in both annexes</t>
        </is>
      </c>
    </row>
    <row r="24">
      <c r="B24" s="50" t="inlineStr">
        <is>
          <t>k4  (crack spacing)</t>
        </is>
      </c>
      <c r="C24" s="51" t="inlineStr">
        <is>
          <t>7.3.4(3)</t>
        </is>
      </c>
      <c r="D24" s="52" t="n">
        <v>0.425</v>
      </c>
      <c r="E24" s="52" t="n">
        <v>0.425</v>
      </c>
      <c r="F24" s="51" t="inlineStr">
        <is>
          <t>Recommended value in both annexes</t>
        </is>
      </c>
    </row>
    <row r="25">
      <c r="B25" s="50" t="inlineStr">
        <is>
          <t>k1  (concrete stress, characteristic; XD, XF, XS)</t>
        </is>
      </c>
      <c r="C25" s="51" t="inlineStr">
        <is>
          <t>7.2(2)</t>
        </is>
      </c>
      <c r="D25" s="52" t="n">
        <v>0.6</v>
      </c>
      <c r="E25" s="52" t="n">
        <v>1</v>
      </c>
      <c r="F25" s="51" t="inlineStr">
        <is>
          <t>UK NA: recommended; PL: NA.5, k1 = 1.0</t>
        </is>
      </c>
    </row>
    <row r="26">
      <c r="B26" s="50" t="inlineStr">
        <is>
          <t>k2  (concrete stress, quasi-permanent; linear creep)</t>
        </is>
      </c>
      <c r="C26" s="51" t="inlineStr">
        <is>
          <t>7.2(3)</t>
        </is>
      </c>
      <c r="D26" s="52" t="n">
        <v>0.45</v>
      </c>
      <c r="E26" s="52" t="n">
        <v>0.45</v>
      </c>
      <c r="F26" s="51" t="inlineStr">
        <is>
          <t>Recommended value in both annexes (UK NA; PL NA.9)</t>
        </is>
      </c>
    </row>
    <row r="27">
      <c r="B27" s="50" t="inlineStr">
        <is>
          <t>k3  (steel stress, characteristic)</t>
        </is>
      </c>
      <c r="C27" s="51" t="inlineStr">
        <is>
          <t>7.2(5)</t>
        </is>
      </c>
      <c r="D27" s="52" t="n">
        <v>0.8</v>
      </c>
      <c r="E27" s="52" t="n">
        <v>0.8</v>
      </c>
      <c r="F27" s="51" t="inlineStr">
        <is>
          <t>Recommended value in both annexes (UK NA; PL NA.9)</t>
        </is>
      </c>
    </row>
    <row r="28">
      <c r="B28" s="50" t="inlineStr">
        <is>
          <t>k4  (steel stress, imposed deformation)</t>
        </is>
      </c>
      <c r="C28" s="51" t="inlineStr">
        <is>
          <t>7.2(5)</t>
        </is>
      </c>
      <c r="D28" s="52" t="n">
        <v>1</v>
      </c>
      <c r="E28" s="52" t="n">
        <v>1</v>
      </c>
      <c r="F28" s="51"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&amp;K8A8A8ANAE-RC-046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NAE-RC-046 Half joint</dc:title>
  <dc:subject xmlns:dc="http://purl.org/dc/elements/1.1/">Dapped end of a beam  ·  strut-and-tie, EN 1992-1-1 §6.5, §10.9.4.6  ·  UK NA / PN-EN</dc:subject>
  <dcterms:created xmlns:dcterms="http://purl.org/dc/terms/" xmlns:xsi="http://www.w3.org/2001/XMLSchema-instance" xsi:type="dcterms:W3CDTF">2026-10-30T10:58:42Z</dcterms:created>
  <dcterms:modified xmlns:dcterms="http://purl.org/dc/terms/" xmlns:xsi="http://www.w3.org/2001/XMLSchema-instance" xsi:type="dcterms:W3CDTF">2026-10-30T10:58:42Z</dcterms:modified>
  <cp:lastModifiedBy>NA Engineering sp. z o.o.</cp:lastModifiedBy>
  <cp:keywords>NA Engineering; Eurocode 2; EN 1992-1-1</cp:keywords>
</cp:coreProperties>
</file>