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Interaction" sheetId="4" state="visible" r:id="rId4"/>
    <sheet xmlns:r="http://schemas.openxmlformats.org/officeDocument/2006/relationships" name="NDP" sheetId="5" state="visible" r:id="rId5"/>
  </sheets>
  <definedNames>
    <definedName name="NA_sel">'Calculation'!$E$11</definedName>
    <definedName name="conc_class">'Calculation'!$E$12</definedName>
    <definedName name="rw_fyk">'Calculation'!$E$13</definedName>
    <definedName name="rw_dg">'Calculation'!$E$14</definedName>
    <definedName name="rw_h">'Calculation'!$E$15</definedName>
    <definedName name="rw_c">'Calculation'!$E$16</definedName>
    <definedName name="rw_ph">'Calculation'!$E$17</definedName>
    <definedName name="rw_sh">'Calculation'!$E$18</definedName>
    <definedName name="rw_pv">'Calculation'!$E$19</definedName>
    <definedName name="rw_sv">'Calculation'!$E$20</definedName>
    <definedName name="rw_act">'Calculation'!$E$21</definedName>
    <definedName name="rw_N">'Calculation'!$E$24</definedName>
    <definedName name="rw_M02">'Calculation'!$E$25</definedName>
    <definedName name="rw_M01">'Calculation'!$E$26</definedName>
    <definedName name="rw_lw">'Calculation'!$E$27</definedName>
    <definedName name="rw_l0">'Calculation'!$E$28</definedName>
    <definedName name="rw_phief">'Calculation'!$E$29</definedName>
    <definedName name="rw_ccurv">'Calculation'!$E$30</definedName>
    <definedName name="d1_rw">rw_c+rw_ph+rw_pv/2</definedName>
    <definedName name="nbar_rw">CEILING((1000-rw_sv/2)/rw_sv,1)</definedName>
    <definedName name="flex_rw">rw_act="Predominantly out-of-plane bending  (9.6 + 9.3)"</definedName>
    <definedName name="inputs_ok">IFERROR(AND(OR(NA_sel="UK NA (BS EN)",NA_sel="PL NA (PN-EN)"),OR(conc_class="C20/25",conc_class="C25/30",conc_class="C28/35",conc_class="C30/37",conc_class="C32/40",conc_class="C35/45",conc_class="C40/50",conc_class="C45/55",conc_class="C50/60"),ISNUMBER(rw_fyk),rw_fyk&gt;0,ISNUMBER(rw_dg),rw_dg&gt;0,ISNUMBER(rw_h),rw_h&gt;0,ISNUMBER(rw_c),rw_c&gt;0,OR(AND(ISNUMBER(rw_ph),rw_ph=6),AND(ISNUMBER(rw_ph),rw_ph=8),AND(ISNUMBER(rw_ph),rw_ph=10),AND(ISNUMBER(rw_ph),rw_ph=12),AND(ISNUMBER(rw_ph),rw_ph=16),AND(ISNUMBER(rw_ph),rw_ph=20)),ISNUMBER(rw_sh),rw_sh&gt;0,OR(AND(ISNUMBER(rw_pv),rw_pv=8),AND(ISNUMBER(rw_pv),rw_pv=10),AND(ISNUMBER(rw_pv),rw_pv=12),AND(ISNUMBER(rw_pv),rw_pv=16),AND(ISNUMBER(rw_pv),rw_pv=20),AND(ISNUMBER(rw_pv),rw_pv=25),AND(ISNUMBER(rw_pv),rw_pv=32),AND(ISNUMBER(rw_pv),rw_pv=40)),ISNUMBER(rw_sv),rw_sv&gt;0,OR(rw_act="Predominantly axial  (9.6)",rw_act="Predominantly out-of-plane bending  (9.6 + 9.3)"),ISNUMBER(rw_N),rw_N&gt;0,ISNUMBER(rw_M02),rw_M02&gt;=0,ISNUMBER(rw_M01),rw_M01&gt;=-100000,ISNUMBER(rw_lw),rw_lw&gt;0,ISNUMBER(rw_l0),rw_l0&gt;0,ISNUMBER(rw_phief),rw_phief&gt;=0,OR(AND(ISNUMBER(rw_ccurv),rw_ccurv=10),AND(ISNUMBER(rw_ccurv),rw_ccurv=9),AND(ISNUMBER(rw_ccurv),rw_ccurv=8)),AND(rw_fyk&gt;=400,rw_fyk&lt;=500,ABS(rw_M01)&lt;=rw_M02,rw_sv&gt;=50,rw_sh&gt;=50,rw_h&gt;2*(rw_c+rw_ph+rw_pv))),FALSE)</definedName>
    <definedName name="input_status">'Calculation'!$G$31</definedName>
    <definedName name="res_rw">IFERROR(IF(AND(inputs_ok,rw_N&lt;=NRdmax_rw),IF(ISNUMBER(MRd_rw),MRd_rw&gt;0,FALSE),FALSE),FALSE)</definedName>
    <definedName name="bend_status">'Calculation'!$G$55</definedName>
    <definedName name="axial_status">'Calculation'!$G$56</definedName>
    <definedName name="slender_status">'Calculation'!$G$57</definedName>
    <definedName name="vert_status">'Calculation'!$G$59</definedName>
    <definedName name="horiz_status">'Calculation'!$G$60</definedName>
    <definedName name="links_status">'Calculation'!$G$61</definedName>
    <definedName name="gamma_c">'Calculation'!$E$85</definedName>
    <definedName name="gamma_s">'Calculation'!$E$86</definedName>
    <definedName name="alpha_cc">'Calculation'!$E$87</definedName>
    <definedName name="f_ck">'Calculation'!$E$88</definedName>
    <definedName name="f_ctm">'Calculation'!$E$89</definedName>
    <definedName name="fcd_rw">'Calculation'!$E$90</definedName>
    <definedName name="fyd_rw">'Calculation'!$E$91</definedName>
    <definedName name="Ac_rw">'Calculation'!$E$92</definedName>
    <definedName name="Asf_rw">'Calculation'!$E$93</definedName>
    <definedName name="As_rw">'Calculation'!$E$94</definedName>
    <definedName name="is_rw">'Calculation'!$E$96</definedName>
    <definedName name="omega_rw">'Calculation'!$E$97</definedName>
    <definedName name="n_rw">'Calculation'!$E$98</definedName>
    <definedName name="l0_status">'Calculation'!$G$101</definedName>
    <definedName name="i_rw">'Calculation'!$E$102</definedName>
    <definedName name="lam_rw">'Calculation'!$E$103</definedName>
    <definedName name="A_rw">'Calculation'!$E$104</definedName>
    <definedName name="B_rw">'Calculation'!$E$105</definedName>
    <definedName name="rm_rw">'Calculation'!$E$106</definedName>
    <definedName name="ei_rw">'Calculation'!$E$107</definedName>
    <definedName name="C_rw">'Calculation'!$E$108</definedName>
    <definedName name="lamlim_rw">'Calculation'!$E$109</definedName>
    <definedName name="slender_rw">lam_rw&gt;lamlim_rw</definedName>
    <definedName name="M02i_rw">'Calculation'!$E$110</definedName>
    <definedName name="M01i_rw">'Calculation'!$E$111</definedName>
    <definedName name="e0_rw">'Calculation'!$E$112</definedName>
    <definedName name="Kr_rw">'Calculation'!$E$113</definedName>
    <definedName name="beta_rw">'Calculation'!$E$114</definedName>
    <definedName name="Kphi_rw">'Calculation'!$E$115</definedName>
    <definedName name="d_rw">'Calculation'!$E$116</definedName>
    <definedName name="curv_rw">'Calculation'!$E$117</definedName>
    <definedName name="e2_rw">'Calculation'!$E$118</definedName>
    <definedName name="M2_rw">'Calculation'!$E$119</definedName>
    <definedName name="M0e_rw">'Calculation'!$E$120</definedName>
    <definedName name="MEd_rw">'Calculation'!$E$121</definedName>
    <definedName name="NRdmax_rw">'Calculation'!$E$124</definedName>
    <definedName name="NRdmin_rw">'Calculation'!$E$125</definedName>
    <definedName name="Mpk_rw">'Calculation'!$E$126</definedName>
    <definedName name="x_rw">'Calculation'!$E$127</definedName>
    <definedName name="MRd_rw">'Calculation'!$E$129</definedName>
    <definedName name="Asvmin_rw">'Calculation'!$E$134</definedName>
    <definedName name="Asvmax_rw">'Calculation'!$E$135</definedName>
    <definedName name="Asmin1_rw">'Calculation'!$E$136</definedName>
    <definedName name="svmax_rw">'Calculation'!$E$137</definedName>
    <definedName name="gapmin_rw">'Calculation'!$E$138</definedName>
    <definedName name="gapminh_rw">'Calculation'!$E$139</definedName>
    <definedName name="gapv_rw">'Calculation'!$E$140</definedName>
    <definedName name="gapt_rw">'Calculation'!$E$141</definedName>
    <definedName name="gaph_rw">'Calculation'!$E$142</definedName>
    <definedName name="cbv_rw">'Calculation'!$E$149</definedName>
    <definedName name="vert_rw">AND(As_rw&gt;=Asvmin_rw,As_rw&lt;=Asvmax_rw,OR(NOT(flex_rw),Asf_rw&gt;=Asmin1_rw),rw_sv&lt;=svmax_rw,gapv_rw&gt;=gapmin_rw,gapt_rw&gt;=gapmin_rw,rw_c+rw_ph&gt;=cbv_rw)</definedName>
    <definedName name="Ash_rw">'Calculation'!$E$151</definedName>
    <definedName name="Ashmin_rw">'Calculation'!$E$152</definedName>
    <definedName name="shmax_rw">'Calculation'!$E$153</definedName>
    <definedName name="cbh_rw">'Calculation'!$E$157</definedName>
    <definedName name="horiz_rw">AND(Ash_rw&gt;=Ashmin_rw,rw_sh&lt;=shmax_rw,gaph_rw&gt;=gapminh_rw,rw_c&gt;=cbh_rw)</definedName>
    <definedName name="links_rw">As_rw&gt;0.02*Ac_rw</definedName>
    <definedName name="pwmin_rw">'Calculation'!$E$160</definedName>
    <definedName name="swmax_rw">'Calculation'!$E$161</definedName>
    <definedName name="nmN_rw">'Interaction'!$E$15:$E$53</definedName>
    <definedName name="nmM_rw">'Interaction'!$F$15:$F$53</definedName>
    <definedName name="nmrows_rw">39</definedName>
    <definedName name="bisN_rw">'Interaction'!$G$117</definedName>
    <definedName name="bisM_rw">'Interaction'!$H$117</definedName>
    <definedName name="bisx_rw">'Interaction'!$E$117</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'Calculation'!$A$1:$H$165</definedName>
    <definedName name="_xlnm.Print_Area" localSheetId="3">'Interaction'!$A$1:$H$117</definedName>
    <definedName name="_xlnm.Print_Area" localSheetId="4">'NDP'!$A$1:$G$29</definedName>
  </definedNames>
  <calcPr calcId="124519" fullCalcOnLoad="1"/>
</workbook>
</file>

<file path=xl/styles.xml><?xml version="1.0" encoding="utf-8"?>
<styleSheet xmlns="http://schemas.openxmlformats.org/spreadsheetml/2006/main">
  <numFmts count="6">
    <numFmt numFmtId="164" formatCode="dd mmm yyyy"/>
    <numFmt numFmtId="165" formatCode="0.0"/>
    <numFmt numFmtId="166" formatCode="0.000"/>
    <numFmt numFmtId="167" formatCode="0;;0;@"/>
    <numFmt numFmtId="168" formatCode="[&gt;=1E6]&quot;compression&quot;;0"/>
    <numFmt numFmtId="169" formatCode="0.000000"/>
  </numFmts>
  <fonts count="24">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family val="2"/>
      <i val="1"/>
      <color rgb="008A8A8A"/>
      <sz val="9"/>
      <scheme val="minor"/>
    </font>
    <font>
      <name val="Calibri"/>
      <color rgb="002B2B2B"/>
      <sz val="11"/>
    </font>
    <font>
      <name val="Calibri"/>
      <b val="1"/>
      <color rgb="002B2B2B"/>
      <sz val="15"/>
    </font>
    <font>
      <name val="Calibri"/>
      <i val="1"/>
      <color rgb="008A8A8A"/>
      <sz val="8.5"/>
    </font>
    <font>
      <name val="Calibri"/>
      <i val="1"/>
      <color rgb="009A9A9A"/>
      <sz val="8.5"/>
    </font>
    <font>
      <name val="Calibri"/>
      <b val="1"/>
      <color rgb="008A8A8A"/>
      <sz val="9"/>
    </font>
    <font>
      <name val="Calibri"/>
      <color rgb="002B2B2B"/>
      <sz val="9.5"/>
    </font>
    <font>
      <name val="Calibri"/>
      <color rgb="002B2B2B"/>
      <sz val="9"/>
    </font>
    <font>
      <name val="Calibri"/>
      <b val="1"/>
      <color rgb="002B2B2B"/>
      <sz val="16"/>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67">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15" fillId="0" borderId="0" pivotButton="0" quotePrefix="0" xfId="0"/>
    <xf numFmtId="0" fontId="0" fillId="4" borderId="0" pivotButton="0" quotePrefix="0" xfId="0"/>
    <xf numFmtId="0" fontId="16" fillId="4" borderId="0" applyAlignment="1" pivotButton="0" quotePrefix="0" xfId="0">
      <alignment vertical="center"/>
    </xf>
    <xf numFmtId="2" fontId="17"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65" fontId="17" fillId="4" borderId="0" applyAlignment="1" pivotButton="0" quotePrefix="0" xfId="0">
      <alignment horizontal="center" vertical="center"/>
    </xf>
    <xf numFmtId="1" fontId="17" fillId="4" borderId="0" applyAlignment="1" pivotButton="0" quotePrefix="0" xfId="0">
      <alignment horizontal="center" vertical="center"/>
    </xf>
    <xf numFmtId="10" fontId="17" fillId="4" borderId="0" applyAlignment="1" pivotButton="0" quotePrefix="0" xfId="0">
      <alignment horizontal="center" vertical="center"/>
    </xf>
    <xf numFmtId="2" fontId="5" fillId="0" borderId="1" applyAlignment="1" pivotButton="0" quotePrefix="0" xfId="0">
      <alignment horizontal="center" vertical="center"/>
    </xf>
    <xf numFmtId="1" fontId="5" fillId="0" borderId="1" applyAlignment="1" pivotButton="0" quotePrefix="0" xfId="0">
      <alignment horizontal="center" vertical="center"/>
    </xf>
    <xf numFmtId="165" fontId="5" fillId="0" borderId="1" applyAlignment="1" pivotButton="0" quotePrefix="0" xfId="0">
      <alignment horizontal="center" vertical="center"/>
    </xf>
    <xf numFmtId="166" fontId="5" fillId="0" borderId="1" applyAlignment="1" pivotButton="0" quotePrefix="0" xfId="0">
      <alignment horizontal="center" vertical="center"/>
    </xf>
    <xf numFmtId="11" fontId="5" fillId="0" borderId="1" applyAlignment="1" pivotButton="0" quotePrefix="0" xfId="0">
      <alignment horizontal="center" vertical="center"/>
    </xf>
    <xf numFmtId="165" fontId="12" fillId="0" borderId="1" applyAlignment="1" pivotButton="0" quotePrefix="0" xfId="0">
      <alignment horizontal="center" vertical="center"/>
    </xf>
    <xf numFmtId="0" fontId="18" fillId="0" borderId="0" applyAlignment="1" pivotButton="0" quotePrefix="0" xfId="0">
      <alignment vertical="top" wrapText="1"/>
    </xf>
    <xf numFmtId="0" fontId="10" fillId="0" borderId="0" pivotButton="0" quotePrefix="0" xfId="0"/>
    <xf numFmtId="0" fontId="19" fillId="0" borderId="0" applyAlignment="1" pivotButton="0" quotePrefix="0" xfId="0">
      <alignment vertical="top" wrapText="1"/>
    </xf>
    <xf numFmtId="0" fontId="20" fillId="0" borderId="2" applyAlignment="1" pivotButton="0" quotePrefix="0" xfId="0">
      <alignment horizontal="center"/>
    </xf>
    <xf numFmtId="1" fontId="21" fillId="0" borderId="1" applyAlignment="1" pivotButton="0" quotePrefix="0" xfId="0">
      <alignment horizontal="center"/>
    </xf>
    <xf numFmtId="167" fontId="21" fillId="0" borderId="1" applyAlignment="1" pivotButton="0" quotePrefix="0" xfId="0">
      <alignment horizontal="center"/>
    </xf>
    <xf numFmtId="166" fontId="21" fillId="0" borderId="1" applyAlignment="1" pivotButton="0" quotePrefix="0" xfId="0">
      <alignment horizontal="center"/>
    </xf>
    <xf numFmtId="165" fontId="21" fillId="0" borderId="1" applyAlignment="1" pivotButton="0" quotePrefix="0" xfId="0">
      <alignment horizontal="center"/>
    </xf>
    <xf numFmtId="168" fontId="21" fillId="0" borderId="1" applyAlignment="1" pivotButton="0" quotePrefix="0" xfId="0">
      <alignment horizontal="center"/>
    </xf>
    <xf numFmtId="0" fontId="19" fillId="0" borderId="0" pivotButton="0" quotePrefix="0" xfId="0"/>
    <xf numFmtId="1" fontId="22" fillId="0" borderId="0" applyAlignment="1" pivotButton="0" quotePrefix="0" xfId="0">
      <alignment horizontal="center"/>
    </xf>
    <xf numFmtId="169" fontId="22" fillId="0" borderId="0" applyAlignment="1" pivotButton="0" quotePrefix="0" xfId="0">
      <alignment horizontal="center"/>
    </xf>
    <xf numFmtId="165" fontId="22" fillId="0" borderId="0" applyAlignment="1" pivotButton="0" quotePrefix="0" xfId="0">
      <alignment horizontal="center"/>
    </xf>
    <xf numFmtId="166" fontId="22" fillId="0" borderId="0" applyAlignment="1" pivotButton="0" quotePrefix="0" xfId="0">
      <alignment horizontal="center"/>
    </xf>
    <xf numFmtId="0" fontId="23"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wall</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horizontal bars face 1</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horizontal bars face 2</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'Geometry'!$J$3:$J$4</f>
            </numRef>
          </xVal>
          <yVal>
            <numRef>
              <f>'Geometry'!$K$3:$K$4</f>
            </numRef>
          </yVal>
          <smooth val="0"/>
        </ser>
        <ser>
          <idx val="4"/>
          <order val="4"/>
          <tx>
            <v>bar face 1 0</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'Geometry'!$M$3:$M$15</f>
            </numRef>
          </xVal>
          <yVal>
            <numRef>
              <f>'Geometry'!$N$3:$N$15</f>
            </numRef>
          </yVal>
          <smooth val="0"/>
        </ser>
        <ser>
          <idx val="5"/>
          <order val="5"/>
          <tx>
            <v>bar face 1 1</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'Geometry'!$P$3:$P$15</f>
            </numRef>
          </xVal>
          <yVal>
            <numRef>
              <f>'Geometry'!$Q$3:$Q$15</f>
            </numRef>
          </yVal>
          <smooth val="0"/>
        </ser>
        <ser>
          <idx val="6"/>
          <order val="6"/>
          <tx>
            <v>bar face 1 2</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'Geometry'!$S$3:$S$15</f>
            </numRef>
          </xVal>
          <yVal>
            <numRef>
              <f>'Geometry'!$T$3:$T$15</f>
            </numRef>
          </yVal>
          <smooth val="0"/>
        </ser>
        <ser>
          <idx val="7"/>
          <order val="7"/>
          <tx>
            <v>bar face 1 3</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'Geometry'!$V$3:$V$15</f>
            </numRef>
          </xVal>
          <yVal>
            <numRef>
              <f>'Geometry'!$W$3:$W$15</f>
            </numRef>
          </yVal>
          <smooth val="0"/>
        </ser>
        <ser>
          <idx val="8"/>
          <order val="8"/>
          <tx>
            <v>bar face 1 4</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'Geometry'!$Y$3:$Y$15</f>
            </numRef>
          </xVal>
          <yVal>
            <numRef>
              <f>'Geometry'!$Z$3:$Z$15</f>
            </numRef>
          </yVal>
          <smooth val="0"/>
        </ser>
        <ser>
          <idx val="9"/>
          <order val="9"/>
          <tx>
            <v>bar face 1 5</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'Geometry'!$AB$3:$AB$15</f>
            </numRef>
          </xVal>
          <yVal>
            <numRef>
              <f>'Geometry'!$AC$3:$AC$15</f>
            </numRef>
          </yVal>
          <smooth val="0"/>
        </ser>
        <ser>
          <idx val="10"/>
          <order val="10"/>
          <tx>
            <v>bar face 1 6</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'Geometry'!$AE$3:$AE$15</f>
            </numRef>
          </xVal>
          <yVal>
            <numRef>
              <f>'Geometry'!$AF$3:$AF$15</f>
            </numRef>
          </yVal>
          <smooth val="0"/>
        </ser>
        <ser>
          <idx val="11"/>
          <order val="11"/>
          <tx>
            <v>bar face 1 7</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'Geometry'!$AH$3:$AH$15</f>
            </numRef>
          </xVal>
          <yVal>
            <numRef>
              <f>'Geometry'!$AI$3:$AI$15</f>
            </numRef>
          </yVal>
          <smooth val="0"/>
        </ser>
        <ser>
          <idx val="12"/>
          <order val="12"/>
          <tx>
            <v>bar face 1 8</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'Geometry'!$AK$3:$AK$15</f>
            </numRef>
          </xVal>
          <yVal>
            <numRef>
              <f>'Geometry'!$AL$3:$AL$15</f>
            </numRef>
          </yVal>
          <smooth val="0"/>
        </ser>
        <ser>
          <idx val="13"/>
          <order val="13"/>
          <tx>
            <v>bar face 1 9</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'Geometry'!$AN$3:$AN$15</f>
            </numRef>
          </xVal>
          <yVal>
            <numRef>
              <f>'Geometry'!$AO$3:$AO$15</f>
            </numRef>
          </yVal>
          <smooth val="0"/>
        </ser>
        <ser>
          <idx val="14"/>
          <order val="14"/>
          <tx>
            <v>bar face 1 10</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'Geometry'!$AQ$3:$AQ$15</f>
            </numRef>
          </xVal>
          <yVal>
            <numRef>
              <f>'Geometry'!$AR$3:$AR$15</f>
            </numRef>
          </yVal>
          <smooth val="0"/>
        </ser>
        <ser>
          <idx val="15"/>
          <order val="15"/>
          <tx>
            <v>bar face 1 11</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'Geometry'!$AT$3:$AT$15</f>
            </numRef>
          </xVal>
          <yVal>
            <numRef>
              <f>'Geometry'!$AU$3:$AU$15</f>
            </numRef>
          </yVal>
          <smooth val="0"/>
        </ser>
        <ser>
          <idx val="16"/>
          <order val="16"/>
          <tx>
            <v>bar face 1 12</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'Geometry'!$AW$3:$AW$15</f>
            </numRef>
          </xVal>
          <yVal>
            <numRef>
              <f>'Geometry'!$AX$3:$AX$15</f>
            </numRef>
          </yVal>
          <smooth val="0"/>
        </ser>
        <ser>
          <idx val="17"/>
          <order val="17"/>
          <tx>
            <v>bar face 1 13</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'Geometry'!$AZ$3:$AZ$15</f>
            </numRef>
          </xVal>
          <yVal>
            <numRef>
              <f>'Geometry'!$BA$3:$BA$15</f>
            </numRef>
          </yVal>
          <smooth val="0"/>
        </ser>
        <ser>
          <idx val="18"/>
          <order val="18"/>
          <tx>
            <v>bar face 1 14</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'Geometry'!$BC$3:$BC$15</f>
            </numRef>
          </xVal>
          <yVal>
            <numRef>
              <f>'Geometry'!$BD$3:$BD$15</f>
            </numRef>
          </yVal>
          <smooth val="0"/>
        </ser>
        <ser>
          <idx val="19"/>
          <order val="19"/>
          <tx>
            <v>bar face 1 15</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'Geometry'!$BF$3:$BF$15</f>
            </numRef>
          </xVal>
          <yVal>
            <numRef>
              <f>'Geometry'!$BG$3:$BG$15</f>
            </numRef>
          </yVal>
          <smooth val="0"/>
        </ser>
        <ser>
          <idx val="20"/>
          <order val="20"/>
          <tx>
            <v>bar face 1 16</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'Geometry'!$BI$3:$BI$15</f>
            </numRef>
          </xVal>
          <yVal>
            <numRef>
              <f>'Geometry'!$BJ$3:$BJ$15</f>
            </numRef>
          </yVal>
          <smooth val="0"/>
        </ser>
        <ser>
          <idx val="21"/>
          <order val="21"/>
          <tx>
            <v>bar face 1 17</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'Geometry'!$BL$3:$BL$15</f>
            </numRef>
          </xVal>
          <yVal>
            <numRef>
              <f>'Geometry'!$BM$3:$BM$15</f>
            </numRef>
          </yVal>
          <smooth val="0"/>
        </ser>
        <ser>
          <idx val="22"/>
          <order val="22"/>
          <tx>
            <v>bar face 1 18</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'Geometry'!$BO$3:$BO$15</f>
            </numRef>
          </xVal>
          <yVal>
            <numRef>
              <f>'Geometry'!$BP$3:$BP$15</f>
            </numRef>
          </yVal>
          <smooth val="0"/>
        </ser>
        <ser>
          <idx val="23"/>
          <order val="23"/>
          <tx>
            <v>bar face 1 19</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'Geometry'!$BR$3:$BR$15</f>
            </numRef>
          </xVal>
          <yVal>
            <numRef>
              <f>'Geometry'!$BS$3:$BS$15</f>
            </numRef>
          </yVal>
          <smooth val="0"/>
        </ser>
        <ser>
          <idx val="24"/>
          <order val="24"/>
          <tx>
            <v>bar face 2 0</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'Geometry'!$BU$3:$BU$15</f>
            </numRef>
          </xVal>
          <yVal>
            <numRef>
              <f>'Geometry'!$BV$3:$BV$15</f>
            </numRef>
          </yVal>
          <smooth val="0"/>
        </ser>
        <ser>
          <idx val="25"/>
          <order val="25"/>
          <tx>
            <v>bar face 2 1</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'Geometry'!$BX$3:$BX$15</f>
            </numRef>
          </xVal>
          <yVal>
            <numRef>
              <f>'Geometry'!$BY$3:$BY$15</f>
            </numRef>
          </yVal>
          <smooth val="0"/>
        </ser>
        <ser>
          <idx val="26"/>
          <order val="26"/>
          <tx>
            <v>bar face 2 2</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27"/>
          <order val="27"/>
          <tx>
            <v>bar face 2 3</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'Geometry'!$CD$3:$CD$15</f>
            </numRef>
          </xVal>
          <yVal>
            <numRef>
              <f>'Geometry'!$CE$3:$CE$15</f>
            </numRef>
          </yVal>
          <smooth val="0"/>
        </ser>
        <ser>
          <idx val="28"/>
          <order val="28"/>
          <tx>
            <v>bar face 2 4</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'Geometry'!$CG$3:$CG$15</f>
            </numRef>
          </xVal>
          <yVal>
            <numRef>
              <f>'Geometry'!$CH$3:$CH$15</f>
            </numRef>
          </yVal>
          <smooth val="0"/>
        </ser>
        <ser>
          <idx val="29"/>
          <order val="29"/>
          <tx>
            <v>bar face 2 5</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'Geometry'!$CJ$3:$CJ$15</f>
            </numRef>
          </xVal>
          <yVal>
            <numRef>
              <f>'Geometry'!$CK$3:$CK$15</f>
            </numRef>
          </yVal>
          <smooth val="0"/>
        </ser>
        <ser>
          <idx val="30"/>
          <order val="30"/>
          <tx>
            <v>bar face 2 6</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'Geometry'!$CM$3:$CM$15</f>
            </numRef>
          </xVal>
          <yVal>
            <numRef>
              <f>'Geometry'!$CN$3:$CN$15</f>
            </numRef>
          </yVal>
          <smooth val="0"/>
        </ser>
        <ser>
          <idx val="31"/>
          <order val="31"/>
          <tx>
            <v>bar face 2 7</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'Geometry'!$CP$3:$CP$15</f>
            </numRef>
          </xVal>
          <yVal>
            <numRef>
              <f>'Geometry'!$CQ$3:$CQ$15</f>
            </numRef>
          </yVal>
          <smooth val="0"/>
        </ser>
        <ser>
          <idx val="32"/>
          <order val="32"/>
          <tx>
            <v>bar face 2 8</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'Geometry'!$CS$3:$CS$15</f>
            </numRef>
          </xVal>
          <yVal>
            <numRef>
              <f>'Geometry'!$CT$3:$CT$15</f>
            </numRef>
          </yVal>
          <smooth val="0"/>
        </ser>
        <ser>
          <idx val="33"/>
          <order val="33"/>
          <tx>
            <v>bar face 2 9</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'Geometry'!$CV$3:$CV$15</f>
            </numRef>
          </xVal>
          <yVal>
            <numRef>
              <f>'Geometry'!$CW$3:$CW$15</f>
            </numRef>
          </yVal>
          <smooth val="0"/>
        </ser>
        <ser>
          <idx val="34"/>
          <order val="34"/>
          <tx>
            <v>bar face 2 10</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'Geometry'!$CY$3:$CY$15</f>
            </numRef>
          </xVal>
          <yVal>
            <numRef>
              <f>'Geometry'!$CZ$3:$CZ$15</f>
            </numRef>
          </yVal>
          <smooth val="0"/>
        </ser>
        <ser>
          <idx val="35"/>
          <order val="35"/>
          <tx>
            <v>bar face 2 11</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'Geometry'!$DB$3:$DB$15</f>
            </numRef>
          </xVal>
          <yVal>
            <numRef>
              <f>'Geometry'!$DC$3:$DC$15</f>
            </numRef>
          </yVal>
          <smooth val="0"/>
        </ser>
        <ser>
          <idx val="36"/>
          <order val="36"/>
          <tx>
            <v>bar face 2 12</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'Geometry'!$DE$3:$DE$15</f>
            </numRef>
          </xVal>
          <yVal>
            <numRef>
              <f>'Geometry'!$DF$3:$DF$15</f>
            </numRef>
          </yVal>
          <smooth val="0"/>
        </ser>
        <ser>
          <idx val="37"/>
          <order val="37"/>
          <tx>
            <v>bar face 2 13</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'Geometry'!$DH$3:$DH$15</f>
            </numRef>
          </xVal>
          <yVal>
            <numRef>
              <f>'Geometry'!$DI$3:$DI$15</f>
            </numRef>
          </yVal>
          <smooth val="0"/>
        </ser>
        <ser>
          <idx val="38"/>
          <order val="38"/>
          <tx>
            <v>bar face 2 14</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'Geometry'!$DK$3:$DK$15</f>
            </numRef>
          </xVal>
          <yVal>
            <numRef>
              <f>'Geometry'!$DL$3:$DL$15</f>
            </numRef>
          </yVal>
          <smooth val="0"/>
        </ser>
        <ser>
          <idx val="39"/>
          <order val="39"/>
          <tx>
            <v>bar face 2 15</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'Geometry'!$DN$3:$DN$15</f>
            </numRef>
          </xVal>
          <yVal>
            <numRef>
              <f>'Geometry'!$DO$3:$DO$15</f>
            </numRef>
          </yVal>
          <smooth val="0"/>
        </ser>
        <ser>
          <idx val="40"/>
          <order val="40"/>
          <tx>
            <v>bar face 2 16</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'Geometry'!$DQ$3:$DQ$15</f>
            </numRef>
          </xVal>
          <yVal>
            <numRef>
              <f>'Geometry'!$DR$3:$DR$15</f>
            </numRef>
          </yVal>
          <smooth val="0"/>
        </ser>
        <ser>
          <idx val="41"/>
          <order val="41"/>
          <tx>
            <v>bar face 2 17</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'Geometry'!$DT$3:$DT$15</f>
            </numRef>
          </xVal>
          <yVal>
            <numRef>
              <f>'Geometry'!$DU$3:$DU$15</f>
            </numRef>
          </yVal>
          <smooth val="0"/>
        </ser>
        <ser>
          <idx val="42"/>
          <order val="42"/>
          <tx>
            <v>bar face 2 18</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'Geometry'!$DW$3:$DW$15</f>
            </numRef>
          </xVal>
          <yVal>
            <numRef>
              <f>'Geometry'!$DX$3:$DX$15</f>
            </numRef>
          </yVal>
          <smooth val="0"/>
        </ser>
        <ser>
          <idx val="43"/>
          <order val="43"/>
          <tx>
            <v>bar face 2 19</v>
          </tx>
          <spPr>
            <a:ln xmlns:a="http://schemas.openxmlformats.org/drawingml/2006/main" w="19050">
              <a:solidFill>
                <a:srgbClr val="2B2B2B"/>
              </a:solidFill>
              <a:prstDash val="solid"/>
            </a:ln>
          </spPr>
          <marker>
            <symbol val="none"/>
            <spPr>
              <a:ln xmlns:a="http://schemas.openxmlformats.org/drawingml/2006/main">
                <a:prstDash val="solid"/>
              </a:ln>
            </spPr>
          </marker>
          <xVal>
            <numRef>
              <f>'Geometry'!$DZ$3:$DZ$15</f>
            </numRef>
          </xVal>
          <yVal>
            <numRef>
              <f>'Geometry'!$EA$3:$EA$15</f>
            </numRef>
          </yVal>
          <smooth val="0"/>
        </ser>
        <ser>
          <idx val="44"/>
          <order val="44"/>
          <tx>
            <v>neutral axis</v>
          </tx>
          <spPr>
            <a:ln xmlns:a="http://schemas.openxmlformats.org/drawingml/2006/main" w="12700">
              <a:solidFill>
                <a:srgbClr val="5B7F8A"/>
              </a:solidFill>
              <a:prstDash val="dash"/>
            </a:ln>
          </spPr>
          <marker>
            <symbol val="none"/>
            <spPr>
              <a:ln xmlns:a="http://schemas.openxmlformats.org/drawingml/2006/main">
                <a:prstDash val="solid"/>
              </a:ln>
            </spPr>
          </marker>
          <xVal>
            <numRef>
              <f>'Geometry'!$EC$3:$EC$4</f>
            </numRef>
          </xVal>
          <yVal>
            <numRef>
              <f>'Geometry'!$ED$3:$ED$4</f>
            </numRef>
          </yVal>
          <smooth val="0"/>
        </ser>
        <ser>
          <idx val="45"/>
          <order val="45"/>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'Geometry'!$EF$3:$EF$4</f>
            </numRef>
          </xVal>
          <yVal>
            <numRef>
              <f>'Geometry'!$EG$3:$EG$4</f>
            </numRef>
          </yVal>
          <smooth val="0"/>
        </ser>
        <ser>
          <idx val="46"/>
          <order val="46"/>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'Geometry'!$EI$3</f>
            </numRef>
          </xVal>
          <yVal>
            <numRef>
              <f>'Geometry'!$EJ$3</f>
            </numRef>
          </yVal>
          <smooth val="0"/>
        </ser>
        <ser>
          <idx val="47"/>
          <order val="47"/>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'Geometry'!$EL$3:$EL$4</f>
            </numRef>
          </xVal>
          <yVal>
            <numRef>
              <f>'Geometry'!$EM$3:$EM$4</f>
            </numRef>
          </yVal>
          <smooth val="0"/>
        </ser>
        <ser>
          <idx val="48"/>
          <order val="48"/>
          <tx>
            <strRef>
              <f>'Geometry'!$EO$2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'Geometry'!$EO$3</f>
            </numRef>
          </xVal>
          <yVal>
            <numRef>
              <f>'Geometry'!$EP$3</f>
            </numRef>
          </yVal>
          <smooth val="0"/>
        </ser>
        <ser>
          <idx val="49"/>
          <order val="49"/>
          <tx>
            <strRef>
              <f>'Geometry'!$ER$2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'Geometry'!$ER$3</f>
            </numRef>
          </xVal>
          <yVal>
            <numRef>
              <f>'Geometry'!$ES$3</f>
            </numRef>
          </yVal>
          <smooth val="0"/>
        </ser>
        <ser>
          <idx val="50"/>
          <order val="50"/>
          <tx>
            <strRef>
              <f>'Geometry'!$EU$2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'Geometry'!$EU$3</f>
            </numRef>
          </xVal>
          <yVal>
            <numRef>
              <f>'Geometry'!$EV$3</f>
            </numRef>
          </yVal>
          <smooth val="0"/>
        </ser>
        <ser>
          <idx val="51"/>
          <order val="51"/>
          <tx>
            <strRef>
              <f>'Geometry'!$EX$2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'Geometry'!$EX$3</f>
            </numRef>
          </xVal>
          <yVal>
            <numRef>
              <f>'Geometry'!$EY$3</f>
            </numRef>
          </yVal>
          <smooth val="0"/>
        </ser>
        <ser>
          <idx val="52"/>
          <order val="52"/>
          <tx>
            <v>frame</v>
          </tx>
          <spPr>
            <a:ln xmlns:a="http://schemas.openxmlformats.org/drawingml/2006/main">
              <a:noFill/>
              <a:prstDash val="solid"/>
            </a:ln>
          </spPr>
          <marker>
            <symbol val="none"/>
            <spPr>
              <a:ln xmlns:a="http://schemas.openxmlformats.org/drawingml/2006/main">
                <a:prstDash val="solid"/>
              </a:ln>
            </spPr>
          </marker>
          <xVal>
            <numRef>
              <f>'Geometry'!$FA$3:$FA$4</f>
            </numRef>
          </xVal>
          <yVal>
            <numRef>
              <f>'Geometry'!$FB$3:$FB$4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strRef>
              <f>'Geometry'!$FD$2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'Geometry'!$FD$3</f>
            </numRef>
          </xVal>
          <yVal>
            <numRef>
              <f>'Geometry'!$FE$3</f>
            </numRef>
          </yVal>
          <smooth val="0"/>
        </ser>
        <ser>
          <idx val="1"/>
          <order val="1"/>
          <tx>
            <v>M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'Geometry'!$FG$3:$FG$4</f>
            </numRef>
          </xVal>
          <yVal>
            <numRef>
              <f>'Geometry'!$FH$3:$FH$4</f>
            </numRef>
          </yVal>
          <smooth val="0"/>
        </ser>
        <ser>
          <idx val="2"/>
          <order val="2"/>
          <tx>
            <v>N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'Geometry'!$FJ$3:$FJ$4</f>
            </numRef>
          </xVal>
          <yVal>
            <numRef>
              <f>'Geometry'!$FK$3:$FK$4</f>
            </numRef>
          </yVal>
          <smooth val="0"/>
        </ser>
        <ser>
          <idx val="3"/>
          <order val="3"/>
          <tx>
            <v>curve</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'Geometry'!$FM$3:$FM$41</f>
            </numRef>
          </xVal>
          <yVal>
            <numRef>
              <f>'Geometry'!$FN$3:$FN$41</f>
            </numRef>
          </yVal>
          <smooth val="0"/>
        </ser>
        <ser>
          <idx val="4"/>
          <order val="4"/>
          <tx>
            <v>NEd line</v>
          </tx>
          <spPr>
            <a:ln xmlns:a="http://schemas.openxmlformats.org/drawingml/2006/main" w="9525">
              <a:solidFill>
                <a:srgbClr val="9A9A9A"/>
              </a:solidFill>
              <a:prstDash val="dash"/>
            </a:ln>
          </spPr>
          <marker>
            <symbol val="none"/>
            <spPr>
              <a:ln xmlns:a="http://schemas.openxmlformats.org/drawingml/2006/main">
                <a:prstDash val="solid"/>
              </a:ln>
            </spPr>
          </marker>
          <xVal>
            <numRef>
              <f>'Geometry'!$FP$3:$FP$4</f>
            </numRef>
          </xVal>
          <yVal>
            <numRef>
              <f>'Geometry'!$FQ$3:$FQ$4</f>
            </numRef>
          </yVal>
          <smooth val="0"/>
        </ser>
        <ser>
          <idx val="5"/>
          <order val="5"/>
          <tx>
            <v>resistance</v>
          </tx>
          <spPr>
            <a:ln xmlns:a="http://schemas.openxmlformats.org/drawingml/2006/main">
              <a:noFill/>
              <a:prstDash val="solid"/>
            </a:ln>
          </spPr>
          <marker>
            <symbol val="circle"/>
            <size val="6"/>
            <spPr>
              <a:solidFill xmlns:a="http://schemas.openxmlformats.org/drawingml/2006/main">
                <a:srgbClr val="2B2B2B"/>
              </a:solidFill>
              <a:ln xmlns:a="http://schemas.openxmlformats.org/drawingml/2006/main">
                <a:solidFill>
                  <a:srgbClr val="2B2B2B"/>
                </a:solidFill>
                <a:prstDash val="solid"/>
              </a:ln>
            </spPr>
          </marker>
          <xVal>
            <numRef>
              <f>'Geometry'!$FS$3</f>
            </numRef>
          </xVal>
          <yVal>
            <numRef>
              <f>'Geometry'!$FT$3</f>
            </numRef>
          </yVal>
          <smooth val="0"/>
        </ser>
        <ser>
          <idx val="6"/>
          <order val="6"/>
          <tx>
            <v>design</v>
          </tx>
          <spPr>
            <a:ln xmlns:a="http://schemas.openxmlformats.org/drawingml/2006/main">
              <a:noFill/>
              <a:prstDash val="solid"/>
            </a:ln>
          </spPr>
          <marker>
            <symbol val="circle"/>
            <size val="8"/>
            <spPr>
              <a:solidFill xmlns:a="http://schemas.openxmlformats.org/drawingml/2006/main">
                <a:srgbClr val="B3261E"/>
              </a:solidFill>
              <a:ln xmlns:a="http://schemas.openxmlformats.org/drawingml/2006/main">
                <a:solidFill>
                  <a:srgbClr val="B3261E"/>
                </a:solidFill>
                <a:prstDash val="solid"/>
              </a:ln>
            </spPr>
          </marker>
          <xVal>
            <numRef>
              <f>'Geometry'!$FV$3</f>
            </numRef>
          </xVal>
          <yVal>
            <numRef>
              <f>'Geometry'!$FW$3</f>
            </numRef>
          </yVal>
          <smooth val="0"/>
        </ser>
        <ser>
          <idx val="7"/>
          <order val="7"/>
          <tx>
            <v>N (kN/m)</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t"/>
            <showLegendKey val="0"/>
            <showVal val="0"/>
            <showCatName val="0"/>
            <showSerName val="1"/>
            <showPercent val="0"/>
          </dLbls>
          <xVal>
            <numRef>
              <f>'Geometry'!$FY$3</f>
            </numRef>
          </xVal>
          <yVal>
            <numRef>
              <f>'Geometry'!$FZ$3</f>
            </numRef>
          </yVal>
          <smooth val="0"/>
        </ser>
        <ser>
          <idx val="8"/>
          <order val="8"/>
          <tx>
            <v>M (kNm/m)</v>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r"/>
            <showLegendKey val="0"/>
            <showVal val="0"/>
            <showCatName val="0"/>
            <showSerName val="1"/>
            <showPercent val="0"/>
          </dLbls>
          <xVal>
            <numRef>
              <f>'Geometry'!$GB$3</f>
            </numRef>
          </xVal>
          <yVal>
            <numRef>
              <f>'Geometry'!$GC$3</f>
            </numRef>
          </yVal>
          <smooth val="0"/>
        </ser>
        <ser>
          <idx val="9"/>
          <order val="9"/>
          <tx>
            <strRef>
              <f>'Geometry'!$GE$2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'Geometry'!$GE$3</f>
            </numRef>
          </xVal>
          <yVal>
            <numRef>
              <f>'Geometry'!$GF$3</f>
            </numRef>
          </yVal>
          <smooth val="0"/>
        </ser>
        <ser>
          <idx val="10"/>
          <order val="10"/>
          <tx>
            <strRef>
              <f>'Geometry'!$GH$2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9A9A9A"/>
                    </a:solidFill>
                  </a:defRPr>
                </a:pPr>
                <a:r>
                  <a:t/>
                </a:r>
                <a:endParaRPr sz="800">
                  <a:solidFill>
                    <a:srgbClr val="9A9A9A"/>
                  </a:solidFill>
                </a:endParaRPr>
              </a:p>
            </txPr>
            <dLblPos val="l"/>
            <showLegendKey val="0"/>
            <showVal val="0"/>
            <showCatName val="0"/>
            <showSerName val="1"/>
            <showPercent val="0"/>
          </dLbls>
          <xVal>
            <numRef>
              <f>'Geometry'!$GH$3</f>
            </numRef>
          </xVal>
          <yVal>
            <numRef>
              <f>'Geometry'!$GI$3</f>
            </numRef>
          </yVal>
          <smooth val="0"/>
        </ser>
        <ser>
          <idx val="11"/>
          <order val="11"/>
          <tx>
            <strRef>
              <f>'Geometry'!$GK$2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'Geometry'!$GK$3</f>
            </numRef>
          </xVal>
          <yVal>
            <numRef>
              <f>'Geometry'!$GL$3</f>
            </numRef>
          </yVal>
          <smooth val="0"/>
        </ser>
        <ser>
          <idx val="12"/>
          <order val="12"/>
          <tx>
            <strRef>
              <f>'Geometry'!$GN$2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r"/>
            <showLegendKey val="0"/>
            <showVal val="0"/>
            <showCatName val="0"/>
            <showSerName val="1"/>
            <showPercent val="0"/>
          </dLbls>
          <xVal>
            <numRef>
              <f>'Geometry'!$GN$3</f>
            </numRef>
          </xVal>
          <yVal>
            <numRef>
              <f>'Geometry'!$GO$3</f>
            </numRef>
          </yVal>
          <smooth val="0"/>
        </ser>
        <ser>
          <idx val="13"/>
          <order val="13"/>
          <tx>
            <v>frame</v>
          </tx>
          <spPr>
            <a:ln xmlns:a="http://schemas.openxmlformats.org/drawingml/2006/main">
              <a:noFill/>
              <a:prstDash val="solid"/>
            </a:ln>
          </spPr>
          <marker>
            <symbol val="none"/>
            <spPr>
              <a:ln xmlns:a="http://schemas.openxmlformats.org/drawingml/2006/main">
                <a:prstDash val="solid"/>
              </a:ln>
            </spPr>
          </marker>
          <xVal>
            <numRef>
              <f>'Geometry'!$GQ$3:$GQ$4</f>
            </numRef>
          </xVal>
          <yVal>
            <numRef>
              <f>'Geometry'!$GR$3:$GR$4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33</row>
      <rowOff>0</rowOff>
    </from>
    <ext cx="5301000" cy="34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63</row>
      <rowOff>0</rowOff>
    </from>
    <ext cx="5301000" cy="34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Reinforced wall</t>
        </is>
      </c>
    </row>
    <row r="8" ht="20" customHeight="1">
      <c r="B8" s="4" t="inlineStr">
        <is>
          <t>Braced reinforced concrete wall per metre run  ·  EN 1992-1-1 §5.8, §6.1, §9.6  ·  UK NA / PN-EN</t>
        </is>
      </c>
    </row>
    <row r="10">
      <c r="B10" s="5" t="inlineStr">
        <is>
          <t>Reference</t>
        </is>
      </c>
      <c r="C10" s="6" t="inlineStr">
        <is>
          <t>NAE-RC-045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Ultimate limit state design of a braced reinforced concrete wall per metre run under a vertical load and an out-of-plane moment: slenderness, imperfection, second order effects by the nominal curvature method, the moment resistance at the design axial force by strain compatibility, and the wall detailing rules of 9.6 (with the slab rules of 9.3 for walls mainly in bending).</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37.5" customHeight="1">
      <c r="B22" s="7" t="inlineStr">
        <is>
          <t>Braced wall of constant thickness h (length on plan at least 4 h, 9.6.1), designed as a 1 m strip bending out of its plane. Two equal layers of vertical bars, one at each face, with the horizontal bars outside them (9.6.3(1)). Compression only (NEd &gt; 0), first order end moments M02 ≥ |M01| about the wall's weak axis, no loads between the floors. Effective length l0 from the user (5.8.3.2: 0.5 lw to 1.0 lw for braced members; take lw where the floors do not restrain rotation). The β factors of Table 12.1 for walls restrained on their vertical edges are for plain concrete and are not applied. Imperfection ei = l0 / 400 (5.2(7), simplification of 5.2(9) for walls), added to both end moments in the sense of M02. Slenderness limit from (5.13N) with A, B and C worked out; C = 0.7 when M02 ≤ NEd ei. Second order moment by nominal curvature (5.8.8) with c = 10, or 8 for a constant first order moment; minimum eccentricity e0 = max(h / 30; 20 mm) (6.1(4)). Resistance by strain compatibility with the parabola-rectangle diagram of 3.1.7(1) (εc2 = 0.002, εcu2 = 0.0035, n = 2) for every neutral axis depth, integrated in closed form, and the strain limits of 6.1(5): 0.0035 at the compressed face while x ≤ h, then the pivot 0.002 at 3h/7 up to a uniform 0.002 (bars at min(fyd; 400)); the rectangular block of 3.1.7(3) is not used, since extended to a fully compressed section it overstates the moment near the squash load. A fine-strip numerical integration checks the closed form. Bars elastic-plastic, the concrete they displace deducted; the neutral axis is found by bisection so that N = NEd. Detailing: As,vmin = 0.002 Ac, As,vmax = 0.04 Ac outside laps, vertical spacing ≤ min(3 h; 400), As,hmin = max(25 % As,v; 0.001 Ac), horizontal spacing ≤ 400, clear gaps to 8.2(2) along each face and between the two layers, cover for bond and the 10 mm floor of 4.4.1.2 (durability, fire and the allowance Δcdev are the user's: enter the nominal cover), and the links of 9.6.4 flagged where As,v &gt; 0.02 Ac. A wall marked as predominantly in out-of-plane bending also takes the slab rules (9.6.1(1), 9.3.1.1): each face at least max(0.26 fctm / fyk; 0.0013) 1000 d, spacing ≤ min(2 h; 250) vertical and min(3 h; 400) horizontal (the maximum moment values). The user decides which action predominates. UK NA and PL NA: recommended values. In-plane bending, shear, concentrated loads, openings, crack widths and early-age thermal cracking are not covered. Concrete classes up to C50/60, fyk ≤ 500 MPa.
The second-generation EN 1992-1-1:2023 is not yet implemented.</t>
        </is>
      </c>
    </row>
    <row r="24" ht="20" customHeight="1">
      <c r="B24" s="8" t="inlineStr">
        <is>
          <t>Further reading and independent cross-check</t>
        </is>
      </c>
      <c r="C24" s="9" t="n"/>
    </row>
    <row r="25" ht="91" customHeight="1">
      <c r="B25" s="10" t="inlineStr">
        <is>
          <t>•  The Concrete Centre, How to design concrete structures using Eurocode 2: Columns (walls are designed in the same way).
•  IStructE, Manual for the design of concrete building structures to Eurocode 2 (walls).
•  The Concrete Centre, RC Spreadsheets v4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&amp;K8A8A8ANAE-RC-045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164"/>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Reinforced wall</t>
        </is>
      </c>
      <c r="H2" s="1" t="n"/>
    </row>
    <row r="3" ht="16" customHeight="1">
      <c r="A3" s="1" t="n"/>
      <c r="B3" s="1" t="n"/>
      <c r="C3" s="15" t="inlineStr">
        <is>
          <t>NAE-RC-045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wall</t>
        </is>
      </c>
      <c r="C10" s="21" t="n"/>
      <c r="D10" s="21" t="n"/>
      <c r="E10" s="21" t="n"/>
      <c r="F10" s="21" t="n"/>
      <c r="G10" s="22" t="inlineStr">
        <is>
          <t>Shaded cells only;  per metre run</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Wall thickness</t>
        </is>
      </c>
      <c r="D15" s="27" t="inlineStr">
        <is>
          <r>
            <rPr>
              <rFont val="Calibri"/>
              <i val="1"/>
              <color rgb="002B2B2B"/>
              <sz val="10"/>
            </rPr>
            <t>h</t>
          </r>
        </is>
      </c>
      <c r="E15" s="25" t="n">
        <v>200</v>
      </c>
      <c r="F15" s="28" t="inlineStr">
        <is>
          <t>mm</t>
        </is>
      </c>
      <c r="G15" s="23" t="n"/>
    </row>
    <row r="16" ht="17" customHeight="1">
      <c r="B16" s="26" t="inlineStr">
        <is>
          <t>4.4.1</t>
        </is>
      </c>
      <c r="C16" s="24" t="inlineStr">
        <is>
          <t>Nominal cover to the horizontal bars</t>
        </is>
      </c>
      <c r="D16" s="27" t="inlineStr">
        <is>
          <r>
            <rPr>
              <rFont val="Calibri"/>
              <i val="1"/>
              <color rgb="002B2B2B"/>
              <sz val="10"/>
            </rPr>
            <t>c</t>
          </r>
          <r>
            <rPr>
              <rFont val="Calibri"/>
              <i val="1"/>
              <color rgb="002B2B2B"/>
              <sz val="10"/>
              <vertAlign val="subscript"/>
            </rPr>
            <t>nom</t>
          </r>
        </is>
      </c>
      <c r="E16" s="25" t="n">
        <v>30</v>
      </c>
      <c r="F16" s="28" t="inlineStr">
        <is>
          <t>mm</t>
        </is>
      </c>
      <c r="G16" s="23" t="n"/>
    </row>
    <row r="17" ht="17" customHeight="1">
      <c r="B17" s="23" t="n"/>
      <c r="C17" s="24" t="inlineStr">
        <is>
          <t>Horizontal bars: diameter  (outer layer, each face)</t>
        </is>
      </c>
      <c r="D17" s="27" t="inlineStr">
        <is>
          <r>
            <rPr>
              <rFont val="Calibri"/>
              <i val="1"/>
              <color rgb="002B2B2B"/>
              <sz val="10"/>
            </rPr>
            <t>φ</t>
          </r>
          <r>
            <rPr>
              <rFont val="Calibri"/>
              <i val="1"/>
              <color rgb="002B2B2B"/>
              <sz val="10"/>
              <vertAlign val="subscript"/>
            </rPr>
            <t>h</t>
          </r>
        </is>
      </c>
      <c r="E17" s="25" t="n">
        <v>10</v>
      </c>
      <c r="F17" s="28" t="inlineStr">
        <is>
          <t>mm</t>
        </is>
      </c>
      <c r="G17" s="23" t="n"/>
    </row>
    <row r="18" ht="17" customHeight="1">
      <c r="B18" s="26" t="inlineStr">
        <is>
          <t>9.6.3</t>
        </is>
      </c>
      <c r="C18" s="24" t="inlineStr">
        <is>
          <t>Horizontal bars: spacing  (≥ 50)</t>
        </is>
      </c>
      <c r="D18" s="27" t="inlineStr">
        <is>
          <r>
            <rPr>
              <rFont val="Calibri"/>
              <i val="1"/>
              <color rgb="002B2B2B"/>
              <sz val="10"/>
            </rPr>
            <t>s</t>
          </r>
          <r>
            <rPr>
              <rFont val="Calibri"/>
              <i val="1"/>
              <color rgb="002B2B2B"/>
              <sz val="10"/>
              <vertAlign val="subscript"/>
            </rPr>
            <t>h</t>
          </r>
        </is>
      </c>
      <c r="E18" s="25" t="n">
        <v>250</v>
      </c>
      <c r="F18" s="28" t="inlineStr">
        <is>
          <t>mm</t>
        </is>
      </c>
      <c r="G18" s="23" t="n"/>
    </row>
    <row r="19" ht="17" customHeight="1">
      <c r="B19" s="23" t="n"/>
      <c r="C19" s="24" t="inlineStr">
        <is>
          <t>Vertical bars: diameter  (each face)</t>
        </is>
      </c>
      <c r="D19" s="27" t="inlineStr">
        <is>
          <r>
            <rPr>
              <rFont val="Calibri"/>
              <i val="1"/>
              <color rgb="002B2B2B"/>
              <sz val="10"/>
            </rPr>
            <t>φ</t>
          </r>
          <r>
            <rPr>
              <rFont val="Calibri"/>
              <i val="1"/>
              <color rgb="002B2B2B"/>
              <sz val="10"/>
              <vertAlign val="subscript"/>
            </rPr>
            <t>v</t>
          </r>
        </is>
      </c>
      <c r="E19" s="25" t="n">
        <v>12</v>
      </c>
      <c r="F19" s="28" t="inlineStr">
        <is>
          <t>mm</t>
        </is>
      </c>
      <c r="G19" s="23" t="n"/>
    </row>
    <row r="20" ht="17" customHeight="1">
      <c r="B20" s="26" t="inlineStr">
        <is>
          <t>9.6.2</t>
        </is>
      </c>
      <c r="C20" s="24" t="inlineStr">
        <is>
          <t>Vertical bars: spacing  (≥ 50)</t>
        </is>
      </c>
      <c r="D20" s="27" t="inlineStr">
        <is>
          <r>
            <rPr>
              <rFont val="Calibri"/>
              <i val="1"/>
              <color rgb="002B2B2B"/>
              <sz val="10"/>
            </rPr>
            <t>s</t>
          </r>
          <r>
            <rPr>
              <rFont val="Calibri"/>
              <i val="1"/>
              <color rgb="002B2B2B"/>
              <sz val="10"/>
              <vertAlign val="subscript"/>
            </rPr>
            <t>v</t>
          </r>
        </is>
      </c>
      <c r="E20" s="25" t="n">
        <v>200</v>
      </c>
      <c r="F20" s="28" t="inlineStr">
        <is>
          <t>mm</t>
        </is>
      </c>
      <c r="G20" s="23" t="n"/>
    </row>
    <row r="21" ht="17" customHeight="1">
      <c r="B21" s="26" t="inlineStr">
        <is>
          <t>9.6.1(1)</t>
        </is>
      </c>
      <c r="C21" s="24" t="inlineStr">
        <is>
          <t>Wall action  (bending walls: slab rules 9.3 as well)</t>
        </is>
      </c>
      <c r="D21" s="23" t="n"/>
      <c r="E21" s="25" t="inlineStr">
        <is>
          <t>Predominantly axial  (9.6)</t>
        </is>
      </c>
      <c r="F21" s="23" t="n"/>
      <c r="G21" s="23" t="n"/>
    </row>
    <row r="23" ht="22" customHeight="1">
      <c r="B23" s="20" t="inlineStr">
        <is>
          <t>Inputs  ·  actions and length</t>
        </is>
      </c>
      <c r="C23" s="21" t="n"/>
      <c r="D23" s="21" t="n"/>
      <c r="E23" s="21" t="n"/>
      <c r="F23" s="21" t="n"/>
      <c r="G23" s="22" t="inlineStr">
        <is>
          <t>ULS design values per metre run</t>
        </is>
      </c>
    </row>
    <row r="24" ht="17" customHeight="1">
      <c r="B24" s="23" t="n"/>
      <c r="C24" s="24" t="inlineStr">
        <is>
          <t>Design axial force  (compression)</t>
        </is>
      </c>
      <c r="D24" s="27" t="inlineStr">
        <is>
          <r>
            <rPr>
              <rFont val="Calibri"/>
              <i val="1"/>
              <color rgb="002B2B2B"/>
              <sz val="10"/>
            </rPr>
            <t>N</t>
          </r>
          <r>
            <rPr>
              <rFont val="Calibri"/>
              <i val="1"/>
              <color rgb="002B2B2B"/>
              <sz val="10"/>
              <vertAlign val="subscript"/>
            </rPr>
            <t>Ed</t>
          </r>
        </is>
      </c>
      <c r="E24" s="29" t="n">
        <v>600</v>
      </c>
      <c r="F24" s="28" t="inlineStr">
        <is>
          <t>kN/m</t>
        </is>
      </c>
      <c r="G24" s="23" t="n"/>
    </row>
    <row r="25" ht="17" customHeight="1">
      <c r="B25" s="26" t="inlineStr">
        <is>
          <t>5.8.8.2(2)</t>
        </is>
      </c>
      <c r="C25" s="24" t="inlineStr">
        <is>
          <t>Larger first order end moment  |M02|</t>
        </is>
      </c>
      <c r="D25" s="27" t="inlineStr">
        <is>
          <r>
            <rPr>
              <rFont val="Calibri"/>
              <i val="1"/>
              <color rgb="002B2B2B"/>
              <sz val="10"/>
            </rPr>
            <t>M</t>
          </r>
          <r>
            <rPr>
              <rFont val="Calibri"/>
              <i val="1"/>
              <color rgb="002B2B2B"/>
              <sz val="10"/>
              <vertAlign val="subscript"/>
            </rPr>
            <t>02</t>
          </r>
        </is>
      </c>
      <c r="E25" s="29" t="n">
        <v>15</v>
      </c>
      <c r="F25" s="28" t="inlineStr">
        <is>
          <t>kNm/m</t>
        </is>
      </c>
      <c r="G25" s="23" t="n"/>
    </row>
    <row r="26" ht="17" customHeight="1">
      <c r="B26" s="26" t="inlineStr">
        <is>
          <t>5.8.8.2(2)</t>
        </is>
      </c>
      <c r="C26" s="24" t="inlineStr">
        <is>
          <t>Smaller end moment  M01  (negative in double curvature)</t>
        </is>
      </c>
      <c r="D26" s="27" t="inlineStr">
        <is>
          <r>
            <rPr>
              <rFont val="Calibri"/>
              <i val="1"/>
              <color rgb="002B2B2B"/>
              <sz val="10"/>
            </rPr>
            <t>M</t>
          </r>
          <r>
            <rPr>
              <rFont val="Calibri"/>
              <i val="1"/>
              <color rgb="002B2B2B"/>
              <sz val="10"/>
              <vertAlign val="subscript"/>
            </rPr>
            <t>01</t>
          </r>
        </is>
      </c>
      <c r="E26" s="29" t="n">
        <v>5</v>
      </c>
      <c r="F26" s="28" t="inlineStr">
        <is>
          <t>kNm/m</t>
        </is>
      </c>
      <c r="G26" s="23" t="n"/>
    </row>
    <row r="27" ht="17" customHeight="1">
      <c r="B27" s="23" t="n"/>
      <c r="C27" s="24" t="inlineStr">
        <is>
          <t>Clear height between floors</t>
        </is>
      </c>
      <c r="D27" s="27" t="inlineStr">
        <is>
          <r>
            <rPr>
              <rFont val="Calibri"/>
              <i val="1"/>
              <color rgb="002B2B2B"/>
              <sz val="10"/>
            </rPr>
            <t>l</t>
          </r>
          <r>
            <rPr>
              <rFont val="Calibri"/>
              <i val="1"/>
              <color rgb="002B2B2B"/>
              <sz val="10"/>
              <vertAlign val="subscript"/>
            </rPr>
            <t>w</t>
          </r>
        </is>
      </c>
      <c r="E27" s="25" t="n">
        <v>3500</v>
      </c>
      <c r="F27" s="28" t="inlineStr">
        <is>
          <t>mm</t>
        </is>
      </c>
      <c r="G27" s="23" t="n"/>
    </row>
    <row r="28" ht="17" customHeight="1">
      <c r="B28" s="26" t="inlineStr">
        <is>
          <t>5.8.3.2</t>
        </is>
      </c>
      <c r="C28" s="24" t="inlineStr">
        <is>
          <t>Effective length</t>
        </is>
      </c>
      <c r="D28" s="27" t="inlineStr">
        <is>
          <r>
            <rPr>
              <rFont val="Calibri"/>
              <i val="1"/>
              <color rgb="002B2B2B"/>
              <sz val="10"/>
            </rPr>
            <t>l</t>
          </r>
          <r>
            <rPr>
              <rFont val="Calibri"/>
              <i val="1"/>
              <color rgb="002B2B2B"/>
              <sz val="10"/>
              <vertAlign val="subscript"/>
            </rPr>
            <t>0</t>
          </r>
        </is>
      </c>
      <c r="E28" s="25" t="n">
        <v>3500</v>
      </c>
      <c r="F28" s="28" t="inlineStr">
        <is>
          <t>mm</t>
        </is>
      </c>
      <c r="G28" s="26" t="inlineStr">
        <is>
          <t>0.5lw to 1.0lw braced</t>
        </is>
      </c>
    </row>
    <row r="29" ht="17" customHeight="1">
      <c r="B29" s="26" t="inlineStr">
        <is>
          <t>5.8.4</t>
        </is>
      </c>
      <c r="C29" s="24" t="inlineStr">
        <is>
          <t>Effective creep ratio</t>
        </is>
      </c>
      <c r="D29" s="27" t="inlineStr">
        <is>
          <r>
            <rPr>
              <rFont val="Calibri"/>
              <i val="1"/>
              <color rgb="002B2B2B"/>
              <sz val="10"/>
            </rPr>
            <t>φ</t>
          </r>
          <r>
            <rPr>
              <rFont val="Calibri"/>
              <i val="1"/>
              <color rgb="002B2B2B"/>
              <sz val="10"/>
              <vertAlign val="subscript"/>
            </rPr>
            <t>ef</t>
          </r>
        </is>
      </c>
      <c r="E29" s="30" t="n">
        <v>1.5</v>
      </c>
      <c r="F29" s="23" t="n"/>
      <c r="G29" s="23" t="n"/>
    </row>
    <row r="30" ht="17" customHeight="1">
      <c r="B30" s="26" t="inlineStr">
        <is>
          <t>5.8.8.2(4)</t>
        </is>
      </c>
      <c r="C30" s="24" t="inlineStr">
        <is>
          <t>Curvature factor  (10; 8 for a constant moment)</t>
        </is>
      </c>
      <c r="D30" s="27" t="inlineStr">
        <is>
          <r>
            <rPr>
              <rFont val="Calibri"/>
              <i val="1"/>
              <color rgb="002B2B2B"/>
              <sz val="10"/>
            </rPr>
            <t>c</t>
          </r>
        </is>
      </c>
      <c r="E30" s="25" t="n">
        <v>10</v>
      </c>
      <c r="F30" s="23" t="n"/>
      <c r="G30" s="23" t="n"/>
    </row>
    <row r="31" ht="17" customHeight="1">
      <c r="B31" s="23" t="n"/>
      <c r="C31" s="24" t="inlineStr">
        <is>
          <t>Inputs valid and consistent</t>
        </is>
      </c>
      <c r="D31" s="23" t="n"/>
      <c r="E31" s="9" t="n"/>
      <c r="F31" s="23" t="n"/>
      <c r="G31" s="31">
        <f>IF(inputs_ok,"OK","FAIL")</f>
        <v/>
      </c>
    </row>
    <row r="33">
      <c r="B33" s="32" t="inlineStr">
        <is>
          <t>Your wall, to scale  ·  plan section of 1 m  ·  upper face compressed by MEd  ·  neutral axis at NEd (dashed)</t>
        </is>
      </c>
    </row>
    <row r="54" ht="22" customHeight="1">
      <c r="B54" s="20" t="inlineStr">
        <is>
          <t>Results</t>
        </is>
      </c>
      <c r="C54" s="21" t="n"/>
      <c r="D54" s="21" t="n"/>
      <c r="E54" s="21" t="n"/>
      <c r="F54" s="21" t="n"/>
      <c r="G54" s="21" t="n"/>
    </row>
    <row r="55" ht="26" customHeight="1">
      <c r="B55" s="33" t="n"/>
      <c r="C55" s="34" t="inlineStr">
        <is>
          <t>Bending at NEd  MEd / MRd</t>
        </is>
      </c>
      <c r="D55" s="33" t="n"/>
      <c r="E55" s="35">
        <f>IF(inputs_ok,IF(res_rw,MEd_rw/MRd_rw,"–"),"–")</f>
        <v/>
      </c>
      <c r="F55" s="36" t="inlineStr"/>
      <c r="G55" s="37">
        <f>IF(NOT(inputs_ok),"FAIL",IF(res_rw,IF(MEd_rw&lt;=MRd_rw,"OK","FAIL"),"FAIL"))</f>
        <v/>
      </c>
    </row>
    <row r="56" ht="26" customHeight="1">
      <c r="B56" s="33" t="n"/>
      <c r="C56" s="34" t="inlineStr">
        <is>
          <t>Axial force  NEd / NRd,max</t>
        </is>
      </c>
      <c r="D56" s="33" t="n"/>
      <c r="E56" s="35">
        <f>IF(inputs_ok,rw_N/NRdmax_rw,"–")</f>
        <v/>
      </c>
      <c r="F56" s="36" t="inlineStr"/>
      <c r="G56" s="37">
        <f>IF(NOT(inputs_ok),"FAIL",IF(rw_N&lt;=NRdmax_rw,"OK","FAIL"))</f>
        <v/>
      </c>
    </row>
    <row r="57" ht="26" customHeight="1">
      <c r="B57" s="33" t="n"/>
      <c r="C57" s="34" t="inlineStr">
        <is>
          <t>Design moment  (with second order effects when slender)</t>
        </is>
      </c>
      <c r="D57" s="38" t="inlineStr">
        <is>
          <r>
            <rPr>
              <rFont val="Calibri"/>
              <i val="1"/>
              <color rgb="002B2B2B"/>
              <sz val="11"/>
            </rPr>
            <t>M</t>
          </r>
          <r>
            <rPr>
              <rFont val="Calibri"/>
              <i val="1"/>
              <color rgb="002B2B2B"/>
              <sz val="11"/>
              <vertAlign val="subscript"/>
            </rPr>
            <t>Ed</t>
          </r>
        </is>
      </c>
      <c r="E57" s="39">
        <f>IF(inputs_ok,MEd_rw,"–")</f>
        <v/>
      </c>
      <c r="F57" s="36" t="inlineStr">
        <is>
          <t>kNm/m</t>
        </is>
      </c>
      <c r="G57" s="37">
        <f>IF(NOT(inputs_ok),"FAIL",IF(slender_rw,"! Slender","Not slender"))</f>
        <v/>
      </c>
    </row>
    <row r="58" ht="26" customHeight="1">
      <c r="B58" s="33" t="n"/>
      <c r="C58" s="34" t="inlineStr">
        <is>
          <t>Moment resistance at NEd</t>
        </is>
      </c>
      <c r="D58" s="38" t="inlineStr">
        <is>
          <r>
            <rPr>
              <rFont val="Calibri"/>
              <i val="1"/>
              <color rgb="002B2B2B"/>
              <sz val="11"/>
            </rPr>
            <t>M</t>
          </r>
          <r>
            <rPr>
              <rFont val="Calibri"/>
              <i val="1"/>
              <color rgb="002B2B2B"/>
              <sz val="11"/>
              <vertAlign val="subscript"/>
            </rPr>
            <t>Rd</t>
          </r>
        </is>
      </c>
      <c r="E58" s="39">
        <f>IF(inputs_ok,IF(res_rw,MRd_rw,"–"),"–")</f>
        <v/>
      </c>
      <c r="F58" s="36" t="inlineStr">
        <is>
          <t>kNm/m</t>
        </is>
      </c>
      <c r="G58" s="33" t="n"/>
    </row>
    <row r="59" ht="26" customHeight="1">
      <c r="B59" s="33" t="n"/>
      <c r="C59" s="34" t="inlineStr">
        <is>
          <t>Vertical bars, both faces  (9.6.2)</t>
        </is>
      </c>
      <c r="D59" s="38" t="inlineStr">
        <is>
          <r>
            <rPr>
              <rFont val="Calibri"/>
              <i val="1"/>
              <color rgb="002B2B2B"/>
              <sz val="11"/>
            </rPr>
            <t>A</t>
          </r>
          <r>
            <rPr>
              <rFont val="Calibri"/>
              <i val="1"/>
              <color rgb="002B2B2B"/>
              <sz val="11"/>
              <vertAlign val="subscript"/>
            </rPr>
            <t>s,v</t>
          </r>
        </is>
      </c>
      <c r="E59" s="40">
        <f>IF(inputs_ok,As_rw,"–")</f>
        <v/>
      </c>
      <c r="F59" s="36" t="inlineStr">
        <is>
          <t>mm²/m</t>
        </is>
      </c>
      <c r="G59" s="37">
        <f>IF(NOT(inputs_ok),"FAIL",IF(vert_rw,"OK","FAIL"))</f>
        <v/>
      </c>
    </row>
    <row r="60" ht="26" customHeight="1">
      <c r="B60" s="33" t="n"/>
      <c r="C60" s="34" t="inlineStr">
        <is>
          <t>Horizontal bars, both faces  (9.6.3)</t>
        </is>
      </c>
      <c r="D60" s="38" t="inlineStr">
        <is>
          <r>
            <rPr>
              <rFont val="Calibri"/>
              <i val="1"/>
              <color rgb="002B2B2B"/>
              <sz val="11"/>
            </rPr>
            <t>A</t>
          </r>
          <r>
            <rPr>
              <rFont val="Calibri"/>
              <i val="1"/>
              <color rgb="002B2B2B"/>
              <sz val="11"/>
              <vertAlign val="subscript"/>
            </rPr>
            <t>s,h</t>
          </r>
        </is>
      </c>
      <c r="E60" s="40">
        <f>IF(inputs_ok,Ash_rw,"–")</f>
        <v/>
      </c>
      <c r="F60" s="36" t="inlineStr">
        <is>
          <t>mm²/m</t>
        </is>
      </c>
      <c r="G60" s="37">
        <f>IF(NOT(inputs_ok),"FAIL",IF(horiz_rw,"OK","FAIL"))</f>
        <v/>
      </c>
    </row>
    <row r="61" ht="26" customHeight="1">
      <c r="B61" s="33" t="n"/>
      <c r="C61" s="34" t="inlineStr">
        <is>
          <t>Links through the wall  (9.6.4)  ·  As,v / Ac</t>
        </is>
      </c>
      <c r="D61" s="38" t="inlineStr">
        <is>
          <r>
            <rPr>
              <rFont val="Calibri"/>
              <i val="1"/>
              <color rgb="002B2B2B"/>
              <sz val="11"/>
            </rPr>
            <t>ρ</t>
          </r>
          <r>
            <rPr>
              <rFont val="Calibri"/>
              <i val="1"/>
              <color rgb="002B2B2B"/>
              <sz val="11"/>
              <vertAlign val="subscript"/>
            </rPr>
            <t>v</t>
          </r>
        </is>
      </c>
      <c r="E61" s="41">
        <f>IF(inputs_ok,As_rw/Ac_rw,"–")</f>
        <v/>
      </c>
      <c r="F61" s="36" t="inlineStr"/>
      <c r="G61" s="37">
        <f>IF(NOT(inputs_ok),"FAIL",IF(links_rw,"! Links to 9.5.3","Not required"))</f>
        <v/>
      </c>
    </row>
    <row r="62"/>
    <row r="63">
      <c r="B63" s="32" t="inlineStr">
        <is>
          <t>N-M interaction per metre  ·  design point (red)  ·  resistance at NEd</t>
        </is>
      </c>
    </row>
    <row r="64"/>
    <row r="65"/>
    <row r="66"/>
    <row r="67"/>
    <row r="68"/>
    <row r="69"/>
    <row r="70"/>
    <row r="71"/>
    <row r="72"/>
    <row r="73"/>
    <row r="74"/>
    <row r="75"/>
    <row r="76"/>
    <row r="77"/>
    <row r="78"/>
    <row r="79"/>
    <row r="80"/>
    <row r="81"/>
    <row r="82"/>
    <row r="83"/>
    <row r="84" ht="22" customHeight="1">
      <c r="B84" s="20" t="inlineStr">
        <is>
          <t>Calculation  ·  materials and section  (1 m run)</t>
        </is>
      </c>
      <c r="C84" s="21" t="n"/>
      <c r="D84" s="21" t="n"/>
      <c r="E84" s="21" t="n"/>
      <c r="F84" s="21" t="n"/>
      <c r="G84" s="21" t="n"/>
    </row>
    <row r="85" ht="17" customHeight="1">
      <c r="B85" s="26" t="inlineStr">
        <is>
          <t>2.4.2.4(1)</t>
        </is>
      </c>
      <c r="C85" s="24" t="inlineStr">
        <is>
          <t>Partial factor, concrete</t>
        </is>
      </c>
      <c r="D85" s="27" t="inlineStr">
        <is>
          <r>
            <rPr>
              <rFont val="Calibri"/>
              <i val="1"/>
              <color rgb="002B2B2B"/>
              <sz val="10"/>
            </rPr>
            <t>γ</t>
          </r>
          <r>
            <rPr>
              <rFont val="Calibri"/>
              <i val="1"/>
              <color rgb="002B2B2B"/>
              <sz val="10"/>
              <vertAlign val="subscript"/>
            </rPr>
            <t>c</t>
          </r>
        </is>
      </c>
      <c r="E85" s="42">
        <f>IF(inputs_ok,ndp_gamma_c,NA())</f>
        <v/>
      </c>
      <c r="F85" s="23" t="n"/>
      <c r="G85" s="26" t="inlineStr">
        <is>
          <t>NDP sheet</t>
        </is>
      </c>
    </row>
    <row r="86" ht="17" customHeight="1">
      <c r="B86" s="26" t="inlineStr">
        <is>
          <t>2.4.2.4(1)</t>
        </is>
      </c>
      <c r="C86" s="24" t="inlineStr">
        <is>
          <t>Partial factor, reinforcement</t>
        </is>
      </c>
      <c r="D86" s="27" t="inlineStr">
        <is>
          <r>
            <rPr>
              <rFont val="Calibri"/>
              <i val="1"/>
              <color rgb="002B2B2B"/>
              <sz val="10"/>
            </rPr>
            <t>γ</t>
          </r>
          <r>
            <rPr>
              <rFont val="Calibri"/>
              <i val="1"/>
              <color rgb="002B2B2B"/>
              <sz val="10"/>
              <vertAlign val="subscript"/>
            </rPr>
            <t>s</t>
          </r>
        </is>
      </c>
      <c r="E86" s="42">
        <f>IF(inputs_ok,ndp_gamma_s,NA())</f>
        <v/>
      </c>
      <c r="F86" s="23" t="n"/>
      <c r="G86" s="26" t="inlineStr">
        <is>
          <t>NDP sheet</t>
        </is>
      </c>
    </row>
    <row r="87" ht="17" customHeight="1">
      <c r="B87" s="26" t="inlineStr">
        <is>
          <t>3.1.6(1)</t>
        </is>
      </c>
      <c r="C87" s="24" t="inlineStr">
        <is>
          <t>Coefficient on compressive strength (flexure)</t>
        </is>
      </c>
      <c r="D87" s="27" t="inlineStr">
        <is>
          <r>
            <rPr>
              <rFont val="Calibri"/>
              <i val="1"/>
              <color rgb="002B2B2B"/>
              <sz val="10"/>
            </rPr>
            <t>α</t>
          </r>
          <r>
            <rPr>
              <rFont val="Calibri"/>
              <i val="1"/>
              <color rgb="002B2B2B"/>
              <sz val="10"/>
              <vertAlign val="subscript"/>
            </rPr>
            <t>cc</t>
          </r>
        </is>
      </c>
      <c r="E87" s="42">
        <f>IF(inputs_ok,ndp_alpha_cc,NA())</f>
        <v/>
      </c>
      <c r="F87" s="23" t="n"/>
      <c r="G87" s="26" t="inlineStr">
        <is>
          <t>NDP sheet</t>
        </is>
      </c>
    </row>
    <row r="88" ht="17" customHeight="1">
      <c r="B88" s="26" t="inlineStr">
        <is>
          <t>Table 3.1</t>
        </is>
      </c>
      <c r="C88" s="24" t="inlineStr">
        <is>
          <t>Characteristic cylinder strength</t>
        </is>
      </c>
      <c r="D88" s="27" t="inlineStr">
        <is>
          <r>
            <rPr>
              <rFont val="Calibri"/>
              <i val="1"/>
              <color rgb="002B2B2B"/>
              <sz val="10"/>
            </rPr>
            <t>f</t>
          </r>
          <r>
            <rPr>
              <rFont val="Calibri"/>
              <i val="1"/>
              <color rgb="002B2B2B"/>
              <sz val="10"/>
              <vertAlign val="subscript"/>
            </rPr>
            <t>ck</t>
          </r>
        </is>
      </c>
      <c r="E88" s="43">
        <f>IF(inputs_ok,VALUE(MID(conc_class,2,FIND("/",conc_class)-2)),NA())</f>
        <v/>
      </c>
      <c r="F88" s="28" t="inlineStr">
        <is>
          <t>MPa</t>
        </is>
      </c>
      <c r="G88" s="23" t="n"/>
    </row>
    <row r="89" ht="17" customHeight="1">
      <c r="B89" s="26" t="inlineStr">
        <is>
          <t>Table 3.1</t>
        </is>
      </c>
      <c r="C89" s="24" t="inlineStr">
        <is>
          <t>Mean tensile strength</t>
        </is>
      </c>
      <c r="D89" s="27" t="inlineStr">
        <is>
          <r>
            <rPr>
              <rFont val="Calibri"/>
              <i val="1"/>
              <color rgb="002B2B2B"/>
              <sz val="10"/>
            </rPr>
            <t>f</t>
          </r>
          <r>
            <rPr>
              <rFont val="Calibri"/>
              <i val="1"/>
              <color rgb="002B2B2B"/>
              <sz val="10"/>
              <vertAlign val="subscript"/>
            </rPr>
            <t>ctm</t>
          </r>
        </is>
      </c>
      <c r="E89" s="42">
        <f>IF(inputs_ok,IF(f_ck&lt;=50,0.3*f_ck^(2/3),2.12*LN(1+(f_ck+8)/10)),NA())</f>
        <v/>
      </c>
      <c r="F89" s="28" t="inlineStr">
        <is>
          <t>MPa</t>
        </is>
      </c>
      <c r="G89" s="23" t="n"/>
    </row>
    <row r="90" ht="17" customHeight="1">
      <c r="B90" s="26" t="inlineStr">
        <is>
          <t>3.1.6(1)</t>
        </is>
      </c>
      <c r="C90" s="24" t="inlineStr">
        <is>
          <t>Design compressive strength  αcc fck / γc  (η = 1)</t>
        </is>
      </c>
      <c r="D90" s="27" t="inlineStr">
        <is>
          <r>
            <rPr>
              <rFont val="Calibri"/>
              <i val="1"/>
              <color rgb="002B2B2B"/>
              <sz val="10"/>
            </rPr>
            <t>f</t>
          </r>
          <r>
            <rPr>
              <rFont val="Calibri"/>
              <i val="1"/>
              <color rgb="002B2B2B"/>
              <sz val="10"/>
              <vertAlign val="subscript"/>
            </rPr>
            <t>cd</t>
          </r>
        </is>
      </c>
      <c r="E90" s="42">
        <f>IF(inputs_ok,alpha_cc*f_ck/gamma_c,NA())</f>
        <v/>
      </c>
      <c r="F90" s="28" t="inlineStr">
        <is>
          <t>MPa</t>
        </is>
      </c>
      <c r="G90" s="23" t="n"/>
    </row>
    <row r="91" ht="17" customHeight="1">
      <c r="B91" s="26" t="inlineStr">
        <is>
          <t>3.2.7</t>
        </is>
      </c>
      <c r="C91" s="24" t="inlineStr">
        <is>
          <t>Design yield strength</t>
        </is>
      </c>
      <c r="D91" s="27" t="inlineStr">
        <is>
          <r>
            <rPr>
              <rFont val="Calibri"/>
              <i val="1"/>
              <color rgb="002B2B2B"/>
              <sz val="10"/>
            </rPr>
            <t>f</t>
          </r>
          <r>
            <rPr>
              <rFont val="Calibri"/>
              <i val="1"/>
              <color rgb="002B2B2B"/>
              <sz val="10"/>
              <vertAlign val="subscript"/>
            </rPr>
            <t>yd</t>
          </r>
        </is>
      </c>
      <c r="E91" s="44">
        <f>IF(inputs_ok,rw_fyk/gamma_s,NA())</f>
        <v/>
      </c>
      <c r="F91" s="28" t="inlineStr">
        <is>
          <t>MPa</t>
        </is>
      </c>
      <c r="G91" s="23" t="n"/>
    </row>
    <row r="92" ht="17" customHeight="1">
      <c r="B92" s="23" t="n"/>
      <c r="C92" s="24" t="inlineStr">
        <is>
          <t>Gross area per metre  1000 h</t>
        </is>
      </c>
      <c r="D92" s="27" t="inlineStr">
        <is>
          <r>
            <rPr>
              <rFont val="Calibri"/>
              <i val="1"/>
              <color rgb="002B2B2B"/>
              <sz val="10"/>
            </rPr>
            <t>A</t>
          </r>
          <r>
            <rPr>
              <rFont val="Calibri"/>
              <i val="1"/>
              <color rgb="002B2B2B"/>
              <sz val="10"/>
              <vertAlign val="subscript"/>
            </rPr>
            <t>c</t>
          </r>
        </is>
      </c>
      <c r="E92" s="43">
        <f>IF(inputs_ok,1000*rw_h,NA())</f>
        <v/>
      </c>
      <c r="F92" s="28" t="inlineStr">
        <is>
          <t>mm²/m</t>
        </is>
      </c>
      <c r="G92" s="23" t="n"/>
    </row>
    <row r="93" ht="17" customHeight="1">
      <c r="B93" s="23" t="n"/>
      <c r="C93" s="24" t="inlineStr">
        <is>
          <t>Vertical bars, one face  (π φv² / 4)(1000 / sv)</t>
        </is>
      </c>
      <c r="D93" s="27" t="inlineStr">
        <is>
          <r>
            <rPr>
              <rFont val="Calibri"/>
              <i val="1"/>
              <color rgb="002B2B2B"/>
              <sz val="10"/>
            </rPr>
            <t>A</t>
          </r>
          <r>
            <rPr>
              <rFont val="Calibri"/>
              <i val="1"/>
              <color rgb="002B2B2B"/>
              <sz val="10"/>
              <vertAlign val="subscript"/>
            </rPr>
            <t>s,v1</t>
          </r>
        </is>
      </c>
      <c r="E93" s="43">
        <f>IF(inputs_ok,PI()*rw_pv^2/4*1000/rw_sv,NA())</f>
        <v/>
      </c>
      <c r="F93" s="28" t="inlineStr">
        <is>
          <t>mm²/m</t>
        </is>
      </c>
      <c r="G93" s="23" t="n"/>
    </row>
    <row r="94" ht="17" customHeight="1">
      <c r="B94" s="23" t="n"/>
      <c r="C94" s="24" t="inlineStr">
        <is>
          <t>Vertical bars, both faces</t>
        </is>
      </c>
      <c r="D94" s="27" t="inlineStr">
        <is>
          <r>
            <rPr>
              <rFont val="Calibri"/>
              <i val="1"/>
              <color rgb="002B2B2B"/>
              <sz val="10"/>
            </rPr>
            <t>A</t>
          </r>
          <r>
            <rPr>
              <rFont val="Calibri"/>
              <i val="1"/>
              <color rgb="002B2B2B"/>
              <sz val="10"/>
              <vertAlign val="subscript"/>
            </rPr>
            <t>s,v</t>
          </r>
        </is>
      </c>
      <c r="E94" s="43">
        <f>IF(inputs_ok,2*Asf_rw,NA())</f>
        <v/>
      </c>
      <c r="F94" s="28" t="inlineStr">
        <is>
          <t>mm²/m</t>
        </is>
      </c>
      <c r="G94" s="23" t="n"/>
    </row>
    <row r="95" ht="17" customHeight="1">
      <c r="B95" s="23" t="n"/>
      <c r="C95" s="24" t="inlineStr">
        <is>
          <t>Centre of the vertical bars from the face  c + φh + φv / 2</t>
        </is>
      </c>
      <c r="D95" s="27" t="inlineStr">
        <is>
          <r>
            <rPr>
              <rFont val="Calibri"/>
              <i val="1"/>
              <color rgb="002B2B2B"/>
              <sz val="10"/>
            </rPr>
            <t>d</t>
          </r>
          <r>
            <rPr>
              <rFont val="Calibri"/>
              <i val="1"/>
              <color rgb="002B2B2B"/>
              <sz val="10"/>
              <vertAlign val="subscript"/>
            </rPr>
            <t>1</t>
          </r>
        </is>
      </c>
      <c r="E95" s="44">
        <f>IF(inputs_ok,d1_rw,NA())</f>
        <v/>
      </c>
      <c r="F95" s="28" t="inlineStr">
        <is>
          <t>mm</t>
        </is>
      </c>
      <c r="G95" s="23" t="n"/>
    </row>
    <row r="96" ht="17" customHeight="1">
      <c r="B96" s="26" t="inlineStr">
        <is>
          <t>5.8.8.3(2)</t>
        </is>
      </c>
      <c r="C96" s="24" t="inlineStr">
        <is>
          <t>Radius of gyration of the bars  h / 2 − d1</t>
        </is>
      </c>
      <c r="D96" s="27" t="inlineStr">
        <is>
          <r>
            <rPr>
              <rFont val="Calibri"/>
              <i val="1"/>
              <color rgb="002B2B2B"/>
              <sz val="10"/>
            </rPr>
            <t>i</t>
          </r>
          <r>
            <rPr>
              <rFont val="Calibri"/>
              <i val="1"/>
              <color rgb="002B2B2B"/>
              <sz val="10"/>
              <vertAlign val="subscript"/>
            </rPr>
            <t>s</t>
          </r>
        </is>
      </c>
      <c r="E96" s="44">
        <f>IF(inputs_ok,rw_h/2-d1_rw,NA())</f>
        <v/>
      </c>
      <c r="F96" s="28" t="inlineStr">
        <is>
          <t>mm</t>
        </is>
      </c>
      <c r="G96" s="23" t="n"/>
    </row>
    <row r="97" ht="17" customHeight="1">
      <c r="B97" s="23" t="n"/>
      <c r="C97" s="24" t="inlineStr">
        <is>
          <t>Mechanical reinforcement ratio  As fyd / (Ac fcd)</t>
        </is>
      </c>
      <c r="D97" s="27" t="inlineStr">
        <is>
          <r>
            <rPr>
              <rFont val="Calibri"/>
              <i val="1"/>
              <color rgb="002B2B2B"/>
              <sz val="10"/>
            </rPr>
            <t>ω</t>
          </r>
        </is>
      </c>
      <c r="E97" s="45">
        <f>IF(inputs_ok,As_rw*fyd_rw/(Ac_rw*fcd_rw),NA())</f>
        <v/>
      </c>
      <c r="F97" s="23" t="n"/>
      <c r="G97" s="23" t="n"/>
    </row>
    <row r="98" ht="17" customHeight="1">
      <c r="B98" s="26" t="inlineStr">
        <is>
          <t>(5.13N)</t>
        </is>
      </c>
      <c r="C98" s="24" t="inlineStr">
        <is>
          <t>Relative axial force  NEd / (Ac fcd)</t>
        </is>
      </c>
      <c r="D98" s="27" t="inlineStr">
        <is>
          <r>
            <rPr>
              <rFont val="Calibri"/>
              <i val="1"/>
              <color rgb="002B2B2B"/>
              <sz val="10"/>
            </rPr>
            <t>n</t>
          </r>
        </is>
      </c>
      <c r="E98" s="45">
        <f>IF(inputs_ok,rw_N*1000/(Ac_rw*fcd_rw),NA())</f>
        <v/>
      </c>
      <c r="F98" s="23" t="n"/>
      <c r="G98" s="23" t="n"/>
    </row>
    <row r="99"/>
    <row r="100" ht="22" customHeight="1">
      <c r="B100" s="20" t="inlineStr">
        <is>
          <t>Calculation  ·  slenderness and design moment</t>
        </is>
      </c>
      <c r="C100" s="21" t="n"/>
      <c r="D100" s="21" t="n"/>
      <c r="E100" s="21" t="n"/>
      <c r="F100" s="21" t="n"/>
      <c r="G100" s="21" t="n"/>
    </row>
    <row r="101" ht="17" customHeight="1">
      <c r="B101" s="26" t="inlineStr">
        <is>
          <t>5.8.3.2</t>
        </is>
      </c>
      <c r="C101" s="24" t="inlineStr">
        <is>
          <t>Effective length within 0.5 lw ≤ l0 ≤ lw  (braced, (5.15))</t>
        </is>
      </c>
      <c r="D101" s="23" t="n"/>
      <c r="E101" s="9" t="n"/>
      <c r="F101" s="23" t="n"/>
      <c r="G101" s="31">
        <f>IF(NOT(inputs_ok),"FAIL",IF(AND(rw_l0&gt;=0.5*rw_lw,rw_l0&lt;=rw_lw),"OK","! Check l0"))</f>
        <v/>
      </c>
    </row>
    <row r="102" ht="17" customHeight="1">
      <c r="B102" s="26" t="inlineStr">
        <is>
          <t>5.8.3.2</t>
        </is>
      </c>
      <c r="C102" s="24" t="inlineStr">
        <is>
          <t>Radius of gyration  h / √12</t>
        </is>
      </c>
      <c r="D102" s="27" t="inlineStr">
        <is>
          <r>
            <rPr>
              <rFont val="Calibri"/>
              <i val="1"/>
              <color rgb="002B2B2B"/>
              <sz val="10"/>
            </rPr>
            <t>i</t>
          </r>
        </is>
      </c>
      <c r="E102" s="44">
        <f>IF(inputs_ok,rw_h/SQRT(12),NA())</f>
        <v/>
      </c>
      <c r="F102" s="28" t="inlineStr">
        <is>
          <t>mm</t>
        </is>
      </c>
      <c r="G102" s="23" t="n"/>
    </row>
    <row r="103" ht="17" customHeight="1">
      <c r="B103" s="26" t="inlineStr">
        <is>
          <t>(5.14)</t>
        </is>
      </c>
      <c r="C103" s="24" t="inlineStr">
        <is>
          <t>Slenderness  l0 / i</t>
        </is>
      </c>
      <c r="D103" s="27" t="inlineStr">
        <is>
          <r>
            <rPr>
              <rFont val="Calibri"/>
              <i val="1"/>
              <color rgb="002B2B2B"/>
              <sz val="10"/>
            </rPr>
            <t>λ</t>
          </r>
        </is>
      </c>
      <c r="E103" s="44">
        <f>IF(inputs_ok,rw_l0/i_rw,NA())</f>
        <v/>
      </c>
      <c r="F103" s="23" t="n"/>
      <c r="G103" s="23" t="n"/>
    </row>
    <row r="104" ht="17" customHeight="1">
      <c r="B104" s="26" t="inlineStr">
        <is>
          <t>(5.13N)</t>
        </is>
      </c>
      <c r="C104" s="24" t="inlineStr">
        <is>
          <t>A = 1 / (1 + 0.2 φef)</t>
        </is>
      </c>
      <c r="D104" s="27" t="inlineStr">
        <is>
          <r>
            <rPr>
              <rFont val="Calibri"/>
              <i val="1"/>
              <color rgb="002B2B2B"/>
              <sz val="10"/>
            </rPr>
            <t>A</t>
          </r>
        </is>
      </c>
      <c r="E104" s="45">
        <f>IF(inputs_ok,1/(1+0.2*rw_phief),NA())</f>
        <v/>
      </c>
      <c r="F104" s="23" t="n"/>
      <c r="G104" s="23" t="n"/>
    </row>
    <row r="105" ht="17" customHeight="1">
      <c r="B105" s="26" t="inlineStr">
        <is>
          <t>(5.13N)</t>
        </is>
      </c>
      <c r="C105" s="24" t="inlineStr">
        <is>
          <t>B = √(1 + 2ω)</t>
        </is>
      </c>
      <c r="D105" s="27" t="inlineStr">
        <is>
          <r>
            <rPr>
              <rFont val="Calibri"/>
              <i val="1"/>
              <color rgb="002B2B2B"/>
              <sz val="10"/>
            </rPr>
            <t>B</t>
          </r>
        </is>
      </c>
      <c r="E105" s="45">
        <f>IF(inputs_ok,SQRT(1+2*omega_rw),NA())</f>
        <v/>
      </c>
      <c r="F105" s="23" t="n"/>
      <c r="G105" s="23" t="n"/>
    </row>
    <row r="106" ht="17" customHeight="1">
      <c r="B106" s="26" t="inlineStr">
        <is>
          <t>(5.13N)</t>
        </is>
      </c>
      <c r="C106" s="24" t="inlineStr">
        <is>
          <t>Moment ratio  M01 / M02</t>
        </is>
      </c>
      <c r="D106" s="27" t="inlineStr">
        <is>
          <r>
            <rPr>
              <rFont val="Calibri"/>
              <i val="1"/>
              <color rgb="002B2B2B"/>
              <sz val="10"/>
            </rPr>
            <t>r</t>
          </r>
          <r>
            <rPr>
              <rFont val="Calibri"/>
              <i val="1"/>
              <color rgb="002B2B2B"/>
              <sz val="10"/>
              <vertAlign val="subscript"/>
            </rPr>
            <t>m</t>
          </r>
        </is>
      </c>
      <c r="E106" s="45">
        <f>IF(inputs_ok,IF(rw_M02=0,1,rw_M01/rw_M02),NA())</f>
        <v/>
      </c>
      <c r="F106" s="23" t="n"/>
      <c r="G106" s="23" t="n"/>
    </row>
    <row r="107" ht="17" customHeight="1">
      <c r="B107" s="26" t="inlineStr">
        <is>
          <t>5.2(7), (9)</t>
        </is>
      </c>
      <c r="C107" s="24" t="inlineStr">
        <is>
          <t>Imperfection  ei = l0 / 400  (walls)</t>
        </is>
      </c>
      <c r="D107" s="27" t="inlineStr">
        <is>
          <r>
            <rPr>
              <rFont val="Calibri"/>
              <i val="1"/>
              <color rgb="002B2B2B"/>
              <sz val="10"/>
            </rPr>
            <t>e</t>
          </r>
          <r>
            <rPr>
              <rFont val="Calibri"/>
              <i val="1"/>
              <color rgb="002B2B2B"/>
              <sz val="10"/>
              <vertAlign val="subscript"/>
            </rPr>
            <t>i</t>
          </r>
        </is>
      </c>
      <c r="E107" s="44">
        <f>IF(inputs_ok,rw_l0/400,NA())</f>
        <v/>
      </c>
      <c r="F107" s="28" t="inlineStr">
        <is>
          <t>mm</t>
        </is>
      </c>
      <c r="G107" s="23" t="n"/>
    </row>
    <row r="108" ht="17" customHeight="1">
      <c r="B108" s="26" t="inlineStr">
        <is>
          <t>(5.13N)</t>
        </is>
      </c>
      <c r="C108" s="24" t="inlineStr">
        <is>
          <t>C = 1.7 − rm;  0.7 when M02 ≤ NEd ei  (imperfections)</t>
        </is>
      </c>
      <c r="D108" s="27" t="inlineStr">
        <is>
          <r>
            <rPr>
              <rFont val="Calibri"/>
              <i val="1"/>
              <color rgb="002B2B2B"/>
              <sz val="10"/>
            </rPr>
            <t>C</t>
          </r>
        </is>
      </c>
      <c r="E108" s="45">
        <f>IF(inputs_ok,IF(rw_M02&lt;=rw_N*ei_rw/1000,0.7,1.7-rm_rw),NA())</f>
        <v/>
      </c>
      <c r="F108" s="23" t="n"/>
      <c r="G108" s="23" t="n"/>
    </row>
    <row r="109" ht="17" customHeight="1">
      <c r="B109" s="26" t="inlineStr">
        <is>
          <t>(5.13N)</t>
        </is>
      </c>
      <c r="C109" s="24" t="inlineStr">
        <is>
          <t>Slenderness limit  20 A B C / √n</t>
        </is>
      </c>
      <c r="D109" s="27" t="inlineStr">
        <is>
          <r>
            <rPr>
              <rFont val="Calibri"/>
              <i val="1"/>
              <color rgb="002B2B2B"/>
              <sz val="10"/>
            </rPr>
            <t>λ</t>
          </r>
          <r>
            <rPr>
              <rFont val="Calibri"/>
              <i val="1"/>
              <color rgb="002B2B2B"/>
              <sz val="10"/>
              <vertAlign val="subscript"/>
            </rPr>
            <t>lim</t>
          </r>
        </is>
      </c>
      <c r="E109" s="44">
        <f>IF(inputs_ok,20*A_rw*B_rw*C_rw/SQRT(n_rw),NA())</f>
        <v/>
      </c>
      <c r="F109" s="23" t="n"/>
      <c r="G109" s="23" t="n"/>
    </row>
    <row r="110" ht="17" customHeight="1">
      <c r="B110" s="26" t="inlineStr">
        <is>
          <t>5.8.8.2(2)</t>
        </is>
      </c>
      <c r="C110" s="24" t="inlineStr">
        <is>
          <t>End moments with the imperfection  M02 + NEd ei</t>
        </is>
      </c>
      <c r="D110" s="27" t="inlineStr">
        <is>
          <r>
            <rPr>
              <rFont val="Calibri"/>
              <i val="1"/>
              <color rgb="002B2B2B"/>
              <sz val="10"/>
            </rPr>
            <t>M</t>
          </r>
          <r>
            <rPr>
              <rFont val="Calibri"/>
              <i val="1"/>
              <color rgb="002B2B2B"/>
              <sz val="10"/>
              <vertAlign val="subscript"/>
            </rPr>
            <t>02'</t>
          </r>
        </is>
      </c>
      <c r="E110" s="44">
        <f>IF(inputs_ok,rw_M02+rw_N*ei_rw/1000,NA())</f>
        <v/>
      </c>
      <c r="F110" s="28" t="inlineStr">
        <is>
          <t>kNm/m</t>
        </is>
      </c>
      <c r="G110" s="23" t="n"/>
    </row>
    <row r="111" ht="17" customHeight="1">
      <c r="B111" s="26" t="inlineStr">
        <is>
          <t>5.8.8.2(2)</t>
        </is>
      </c>
      <c r="C111" s="24" t="inlineStr">
        <is>
          <t>M01 + NEd ei</t>
        </is>
      </c>
      <c r="D111" s="27" t="inlineStr">
        <is>
          <r>
            <rPr>
              <rFont val="Calibri"/>
              <i val="1"/>
              <color rgb="002B2B2B"/>
              <sz val="10"/>
            </rPr>
            <t>M</t>
          </r>
          <r>
            <rPr>
              <rFont val="Calibri"/>
              <i val="1"/>
              <color rgb="002B2B2B"/>
              <sz val="10"/>
              <vertAlign val="subscript"/>
            </rPr>
            <t>01'</t>
          </r>
        </is>
      </c>
      <c r="E111" s="44">
        <f>IF(inputs_ok,rw_M01+rw_N*ei_rw/1000,NA())</f>
        <v/>
      </c>
      <c r="F111" s="28" t="inlineStr">
        <is>
          <t>kNm/m</t>
        </is>
      </c>
      <c r="G111" s="23" t="n"/>
    </row>
    <row r="112" ht="17" customHeight="1">
      <c r="B112" s="26" t="inlineStr">
        <is>
          <t>6.1(4)</t>
        </is>
      </c>
      <c r="C112" s="24" t="inlineStr">
        <is>
          <t>Minimum eccentricity  max(h / 30; 20 mm)</t>
        </is>
      </c>
      <c r="D112" s="27" t="inlineStr">
        <is>
          <r>
            <rPr>
              <rFont val="Calibri"/>
              <i val="1"/>
              <color rgb="002B2B2B"/>
              <sz val="10"/>
            </rPr>
            <t>e</t>
          </r>
          <r>
            <rPr>
              <rFont val="Calibri"/>
              <i val="1"/>
              <color rgb="002B2B2B"/>
              <sz val="10"/>
              <vertAlign val="subscript"/>
            </rPr>
            <t>0</t>
          </r>
        </is>
      </c>
      <c r="E112" s="44">
        <f>IF(inputs_ok,MAX(rw_h/30,20),NA())</f>
        <v/>
      </c>
      <c r="F112" s="28" t="inlineStr">
        <is>
          <t>mm</t>
        </is>
      </c>
      <c r="G112" s="23" t="n"/>
    </row>
    <row r="113" ht="17" customHeight="1">
      <c r="B113" s="26" t="inlineStr">
        <is>
          <t>(5.36)</t>
        </is>
      </c>
      <c r="C113" s="24" t="inlineStr">
        <is>
          <t>Kr = (nu − n) / (nu − nbal) ≤ 1,  nu = 1 + ω,  nbal = 0.4</t>
        </is>
      </c>
      <c r="D113" s="27" t="inlineStr">
        <is>
          <r>
            <rPr>
              <rFont val="Calibri"/>
              <i val="1"/>
              <color rgb="002B2B2B"/>
              <sz val="10"/>
            </rPr>
            <t>K</t>
          </r>
          <r>
            <rPr>
              <rFont val="Calibri"/>
              <i val="1"/>
              <color rgb="002B2B2B"/>
              <sz val="10"/>
              <vertAlign val="subscript"/>
            </rPr>
            <t>r</t>
          </r>
        </is>
      </c>
      <c r="E113" s="45">
        <f>IF(inputs_ok,MIN(1,MAX(0,(1+omega_rw-n_rw)/(1+omega_rw-0.4))),NA())</f>
        <v/>
      </c>
      <c r="F113" s="23" t="n"/>
      <c r="G113" s="23" t="n"/>
    </row>
    <row r="114" ht="17" customHeight="1">
      <c r="B114" s="26" t="inlineStr">
        <is>
          <t>(5.37)</t>
        </is>
      </c>
      <c r="C114" s="24" t="inlineStr">
        <is>
          <t>β = 0.35 + fck / 200 − λ / 150</t>
        </is>
      </c>
      <c r="D114" s="27" t="inlineStr">
        <is>
          <r>
            <rPr>
              <rFont val="Calibri"/>
              <i val="1"/>
              <color rgb="002B2B2B"/>
              <sz val="10"/>
            </rPr>
            <t>β</t>
          </r>
        </is>
      </c>
      <c r="E114" s="45">
        <f>IF(inputs_ok,0.35+f_ck/200-lam_rw/150,NA())</f>
        <v/>
      </c>
      <c r="F114" s="23" t="n"/>
      <c r="G114" s="23" t="n"/>
    </row>
    <row r="115" ht="17" customHeight="1">
      <c r="B115" s="26" t="inlineStr">
        <is>
          <t>(5.37)</t>
        </is>
      </c>
      <c r="C115" s="24" t="inlineStr">
        <is>
          <t>Kφ = 1 + β φef ≥ 1</t>
        </is>
      </c>
      <c r="D115" s="27" t="inlineStr">
        <is>
          <r>
            <rPr>
              <rFont val="Calibri"/>
              <i val="1"/>
              <color rgb="002B2B2B"/>
              <sz val="10"/>
            </rPr>
            <t>K</t>
          </r>
          <r>
            <rPr>
              <rFont val="Calibri"/>
              <i val="1"/>
              <color rgb="002B2B2B"/>
              <sz val="10"/>
              <vertAlign val="subscript"/>
            </rPr>
            <t>φ</t>
          </r>
        </is>
      </c>
      <c r="E115" s="45">
        <f>IF(inputs_ok,MAX(1,1+beta_rw*rw_phief),NA())</f>
        <v/>
      </c>
      <c r="F115" s="23" t="n"/>
      <c r="G115" s="23" t="n"/>
    </row>
    <row r="116" ht="17" customHeight="1">
      <c r="B116" s="26" t="inlineStr">
        <is>
          <t>5.8.8.3(2)</t>
        </is>
      </c>
      <c r="C116" s="24" t="inlineStr">
        <is>
          <t>Effective depth  h / 2 + is</t>
        </is>
      </c>
      <c r="D116" s="27" t="inlineStr">
        <is>
          <r>
            <rPr>
              <rFont val="Calibri"/>
              <i val="1"/>
              <color rgb="002B2B2B"/>
              <sz val="10"/>
            </rPr>
            <t>d</t>
          </r>
        </is>
      </c>
      <c r="E116" s="44">
        <f>IF(inputs_ok,rw_h/2+is_rw,NA())</f>
        <v/>
      </c>
      <c r="F116" s="28" t="inlineStr">
        <is>
          <t>mm</t>
        </is>
      </c>
      <c r="G116" s="23" t="n"/>
    </row>
    <row r="117" ht="17" customHeight="1">
      <c r="B117" s="26" t="inlineStr">
        <is>
          <t>(5.34)</t>
        </is>
      </c>
      <c r="C117" s="24" t="inlineStr">
        <is>
          <t>Curvature  Kr Kφ εyd / (0.45 d)</t>
        </is>
      </c>
      <c r="D117" s="27" t="inlineStr">
        <is>
          <r>
            <rPr>
              <rFont val="Calibri"/>
              <i val="1"/>
              <color rgb="002B2B2B"/>
              <sz val="10"/>
            </rPr>
            <t>1/r</t>
          </r>
        </is>
      </c>
      <c r="E117" s="46">
        <f>IF(inputs_ok,Kr_rw*Kphi_rw*fyd_rw/200000/(0.45*d_rw),NA())</f>
        <v/>
      </c>
      <c r="F117" s="28" t="inlineStr">
        <is>
          <t>1/mm</t>
        </is>
      </c>
      <c r="G117" s="23" t="n"/>
    </row>
    <row r="118" ht="17" customHeight="1">
      <c r="B118" s="26" t="inlineStr">
        <is>
          <t>(5.33)</t>
        </is>
      </c>
      <c r="C118" s="24" t="inlineStr">
        <is>
          <t>Second order eccentricity  (1/r) l0² / c</t>
        </is>
      </c>
      <c r="D118" s="27" t="inlineStr">
        <is>
          <r>
            <rPr>
              <rFont val="Calibri"/>
              <i val="1"/>
              <color rgb="002B2B2B"/>
              <sz val="10"/>
            </rPr>
            <t>e</t>
          </r>
          <r>
            <rPr>
              <rFont val="Calibri"/>
              <i val="1"/>
              <color rgb="002B2B2B"/>
              <sz val="10"/>
              <vertAlign val="subscript"/>
            </rPr>
            <t>2</t>
          </r>
        </is>
      </c>
      <c r="E118" s="44">
        <f>IF(inputs_ok,curv_rw*rw_l0^2/rw_ccurv,NA())</f>
        <v/>
      </c>
      <c r="F118" s="28" t="inlineStr">
        <is>
          <t>mm</t>
        </is>
      </c>
      <c r="G118" s="23" t="n"/>
    </row>
    <row r="119" ht="17" customHeight="1">
      <c r="B119" s="26" t="inlineStr">
        <is>
          <t>(5.31)</t>
        </is>
      </c>
      <c r="C119" s="24" t="inlineStr">
        <is>
          <t>Second order moment  NEd e2  (slender walls only)</t>
        </is>
      </c>
      <c r="D119" s="27" t="inlineStr">
        <is>
          <r>
            <rPr>
              <rFont val="Calibri"/>
              <i val="1"/>
              <color rgb="002B2B2B"/>
              <sz val="10"/>
            </rPr>
            <t>M</t>
          </r>
          <r>
            <rPr>
              <rFont val="Calibri"/>
              <i val="1"/>
              <color rgb="002B2B2B"/>
              <sz val="10"/>
              <vertAlign val="subscript"/>
            </rPr>
            <t>2</t>
          </r>
        </is>
      </c>
      <c r="E119" s="44">
        <f>IF(inputs_ok,IF(slender_rw,rw_N*e2_rw/1000,0),NA())</f>
        <v/>
      </c>
      <c r="F119" s="28" t="inlineStr">
        <is>
          <t>kNm/m</t>
        </is>
      </c>
      <c r="G119" s="23" t="n"/>
    </row>
    <row r="120" ht="17" customHeight="1">
      <c r="B120" s="26" t="inlineStr">
        <is>
          <t>(5.32)</t>
        </is>
      </c>
      <c r="C120" s="24" t="inlineStr">
        <is>
          <t>Equivalent first order moment  0.6 M02 + 0.4 M01 ≥ 0.4 M02</t>
        </is>
      </c>
      <c r="D120" s="27" t="inlineStr">
        <is>
          <r>
            <rPr>
              <rFont val="Calibri"/>
              <i val="1"/>
              <color rgb="002B2B2B"/>
              <sz val="10"/>
            </rPr>
            <t>M</t>
          </r>
          <r>
            <rPr>
              <rFont val="Calibri"/>
              <i val="1"/>
              <color rgb="002B2B2B"/>
              <sz val="10"/>
              <vertAlign val="subscript"/>
            </rPr>
            <t>0e</t>
          </r>
        </is>
      </c>
      <c r="E120" s="44">
        <f>IF(inputs_ok,MAX(0.6*M02i_rw+0.4*M01i_rw,0.4*M02i_rw),NA())</f>
        <v/>
      </c>
      <c r="F120" s="28" t="inlineStr">
        <is>
          <t>kNm/m</t>
        </is>
      </c>
      <c r="G120" s="23" t="n"/>
    </row>
    <row r="121" ht="17" customHeight="1">
      <c r="B121" s="26" t="inlineStr">
        <is>
          <t>5.8.8.2</t>
        </is>
      </c>
      <c r="C121" s="24" t="inlineStr">
        <is>
          <t>Design moment  max(M0e + M2; M02; M01 + M2/2; NEd e0)</t>
        </is>
      </c>
      <c r="D121" s="27" t="inlineStr">
        <is>
          <r>
            <rPr>
              <rFont val="Calibri"/>
              <i val="1"/>
              <color rgb="002B2B2B"/>
              <sz val="10"/>
            </rPr>
            <t>M</t>
          </r>
          <r>
            <rPr>
              <rFont val="Calibri"/>
              <i val="1"/>
              <color rgb="002B2B2B"/>
              <sz val="10"/>
              <vertAlign val="subscript"/>
            </rPr>
            <t>Ed</t>
          </r>
        </is>
      </c>
      <c r="E121" s="47">
        <f>IF(inputs_ok,IF(slender_rw,MAX(M0e_rw+M2_rw,M02i_rw,M01i_rw+0.5*M2_rw,rw_N*e0_rw/1000),MAX(M02i_rw,rw_N*e0_rw/1000)),NA())</f>
        <v/>
      </c>
      <c r="F121" s="28" t="inlineStr">
        <is>
          <t>kNm/m</t>
        </is>
      </c>
      <c r="G121" s="23" t="n"/>
    </row>
    <row r="122"/>
    <row r="123" ht="22" customHeight="1">
      <c r="B123" s="20" t="inlineStr">
        <is>
          <t>Calculation  ·  resistance  (see the Interaction sheet)</t>
        </is>
      </c>
      <c r="C123" s="21" t="n"/>
      <c r="D123" s="21" t="n"/>
      <c r="E123" s="21" t="n"/>
      <c r="F123" s="21" t="n"/>
      <c r="G123" s="21" t="n"/>
    </row>
    <row r="124" ht="17" customHeight="1">
      <c r="B124" s="26" t="inlineStr">
        <is>
          <t>6.1</t>
        </is>
      </c>
      <c r="C124" s="24" t="inlineStr">
        <is>
          <t>Axial resistance in compression  (uniform εc = 0.002)</t>
        </is>
      </c>
      <c r="D124" s="27" t="inlineStr">
        <is>
          <r>
            <rPr>
              <rFont val="Calibri"/>
              <i val="1"/>
              <color rgb="002B2B2B"/>
              <sz val="10"/>
            </rPr>
            <t>N</t>
          </r>
          <r>
            <rPr>
              <rFont val="Calibri"/>
              <i val="1"/>
              <color rgb="002B2B2B"/>
              <sz val="10"/>
              <vertAlign val="subscript"/>
            </rPr>
            <t>Rd,max</t>
          </r>
        </is>
      </c>
      <c r="E124" s="43">
        <f>IF(inputs_ok,INDEX(nmN_rw,nmrows_rw),NA())</f>
        <v/>
      </c>
      <c r="F124" s="28" t="inlineStr">
        <is>
          <t>kN/m</t>
        </is>
      </c>
      <c r="G124" s="23" t="n"/>
    </row>
    <row r="125" ht="17" customHeight="1">
      <c r="B125" s="26" t="inlineStr">
        <is>
          <t>6.1</t>
        </is>
      </c>
      <c r="C125" s="24" t="inlineStr">
        <is>
          <t>Axial resistance in tension  −As fyd</t>
        </is>
      </c>
      <c r="D125" s="27" t="inlineStr">
        <is>
          <r>
            <rPr>
              <rFont val="Calibri"/>
              <i val="1"/>
              <color rgb="002B2B2B"/>
              <sz val="10"/>
            </rPr>
            <t>N</t>
          </r>
          <r>
            <rPr>
              <rFont val="Calibri"/>
              <i val="1"/>
              <color rgb="002B2B2B"/>
              <sz val="10"/>
              <vertAlign val="subscript"/>
            </rPr>
            <t>Rd,min</t>
          </r>
        </is>
      </c>
      <c r="E125" s="43">
        <f>IF(inputs_ok,INDEX(nmN_rw,1),NA())</f>
        <v/>
      </c>
      <c r="F125" s="28" t="inlineStr">
        <is>
          <t>kN/m</t>
        </is>
      </c>
      <c r="G125" s="23" t="n"/>
    </row>
    <row r="126" ht="17" customHeight="1">
      <c r="B126" s="23" t="n"/>
      <c r="C126" s="24" t="inlineStr">
        <is>
          <t>Largest moment on the curve</t>
        </is>
      </c>
      <c r="D126" s="27" t="inlineStr">
        <is>
          <r>
            <rPr>
              <rFont val="Calibri"/>
              <i val="1"/>
              <color rgb="002B2B2B"/>
              <sz val="10"/>
            </rPr>
            <t>M</t>
          </r>
          <r>
            <rPr>
              <rFont val="Calibri"/>
              <i val="1"/>
              <color rgb="002B2B2B"/>
              <sz val="10"/>
              <vertAlign val="subscript"/>
            </rPr>
            <t>max</t>
          </r>
        </is>
      </c>
      <c r="E126" s="44">
        <f>IF(inputs_ok,MAX(nmM_rw),NA())</f>
        <v/>
      </c>
      <c r="F126" s="28" t="inlineStr">
        <is>
          <t>kNm/m</t>
        </is>
      </c>
      <c r="G126" s="23" t="n"/>
    </row>
    <row r="127" ht="17" customHeight="1">
      <c r="B127" s="26" t="inlineStr">
        <is>
          <t>6.1</t>
        </is>
      </c>
      <c r="C127" s="24" t="inlineStr">
        <is>
          <t>Neutral axis depth with N = NEd  (bisection, Interaction sheet)</t>
        </is>
      </c>
      <c r="D127" s="27" t="inlineStr">
        <is>
          <r>
            <rPr>
              <rFont val="Calibri"/>
              <i val="1"/>
              <color rgb="002B2B2B"/>
              <sz val="10"/>
            </rPr>
            <t>x</t>
          </r>
        </is>
      </c>
      <c r="E127" s="43">
        <f>IF(inputs_ok,bisx_rw,NA())</f>
        <v/>
      </c>
      <c r="F127" s="28" t="inlineStr">
        <is>
          <t>mm</t>
        </is>
      </c>
      <c r="G127" s="23" t="n"/>
    </row>
    <row r="128" ht="17" customHeight="1">
      <c r="B128" s="26" t="inlineStr">
        <is>
          <t>6.1</t>
        </is>
      </c>
      <c r="C128" s="24" t="inlineStr">
        <is>
          <t>Axial force at that depth  (check: = NEd)</t>
        </is>
      </c>
      <c r="D128" s="27" t="inlineStr">
        <is>
          <r>
            <rPr>
              <rFont val="Calibri"/>
              <i val="1"/>
              <color rgb="002B2B2B"/>
              <sz val="10"/>
            </rPr>
            <t>N</t>
          </r>
        </is>
      </c>
      <c r="E128" s="44">
        <f>IF(inputs_ok,bisN_rw,NA())</f>
        <v/>
      </c>
      <c r="F128" s="28" t="inlineStr">
        <is>
          <t>kN/m</t>
        </is>
      </c>
      <c r="G128" s="23" t="n"/>
    </row>
    <row r="129" ht="17" customHeight="1">
      <c r="B129" s="26" t="inlineStr">
        <is>
          <t>6.1</t>
        </is>
      </c>
      <c r="C129" s="24" t="inlineStr">
        <is>
          <t>Moment resistance at NEd</t>
        </is>
      </c>
      <c r="D129" s="27" t="inlineStr">
        <is>
          <r>
            <rPr>
              <rFont val="Calibri"/>
              <i val="1"/>
              <color rgb="002B2B2B"/>
              <sz val="10"/>
            </rPr>
            <t>M</t>
          </r>
          <r>
            <rPr>
              <rFont val="Calibri"/>
              <i val="1"/>
              <color rgb="002B2B2B"/>
              <sz val="10"/>
              <vertAlign val="subscript"/>
            </rPr>
            <t>Rd</t>
          </r>
        </is>
      </c>
      <c r="E129" s="47">
        <f>IF(inputs_ok,IF(rw_N&lt;=NRdmax_rw,bisM_rw,NA()),NA())</f>
        <v/>
      </c>
      <c r="F129" s="28" t="inlineStr">
        <is>
          <t>kNm/m</t>
        </is>
      </c>
      <c r="G129" s="23" t="n"/>
    </row>
    <row r="130" ht="17" customHeight="1">
      <c r="B130" s="26" t="inlineStr">
        <is>
          <t>6.1</t>
        </is>
      </c>
      <c r="C130" s="24" t="inlineStr">
        <is>
          <t>Axial force  NEd ≤ NRd,max</t>
        </is>
      </c>
      <c r="D130" s="27" t="inlineStr">
        <is>
          <r>
            <rPr>
              <rFont val="Calibri"/>
              <i val="1"/>
              <color rgb="002B2B2B"/>
              <sz val="10"/>
            </rPr>
            <t>N</t>
          </r>
          <r>
            <rPr>
              <rFont val="Calibri"/>
              <i val="1"/>
              <color rgb="002B2B2B"/>
              <sz val="10"/>
              <vertAlign val="subscript"/>
            </rPr>
            <t>Ed</t>
          </r>
        </is>
      </c>
      <c r="E130" s="43">
        <f>IF(inputs_ok,rw_N,NA())</f>
        <v/>
      </c>
      <c r="F130" s="28" t="inlineStr">
        <is>
          <t>kN/m</t>
        </is>
      </c>
      <c r="G130" s="31">
        <f>IF(NOT(inputs_ok),"FAIL",IF(rw_N&lt;=NRdmax_rw,"OK","FAIL"))</f>
        <v/>
      </c>
    </row>
    <row r="131" ht="17" customHeight="1">
      <c r="B131" s="26" t="inlineStr">
        <is>
          <t>6.1</t>
        </is>
      </c>
      <c r="C131" s="24" t="inlineStr">
        <is>
          <t>Moment  MEd ≤ MRd</t>
        </is>
      </c>
      <c r="D131" s="27" t="inlineStr">
        <is>
          <r>
            <rPr>
              <rFont val="Calibri"/>
              <i val="1"/>
              <color rgb="002B2B2B"/>
              <sz val="10"/>
            </rPr>
            <t>M</t>
          </r>
          <r>
            <rPr>
              <rFont val="Calibri"/>
              <i val="1"/>
              <color rgb="002B2B2B"/>
              <sz val="10"/>
              <vertAlign val="subscript"/>
            </rPr>
            <t>Ed</t>
          </r>
        </is>
      </c>
      <c r="E131" s="44">
        <f>IF(inputs_ok,MEd_rw,NA())</f>
        <v/>
      </c>
      <c r="F131" s="28" t="inlineStr">
        <is>
          <t>kNm/m</t>
        </is>
      </c>
      <c r="G131" s="31">
        <f>IF(NOT(inputs_ok),"FAIL",IF(IF(res_rw,MEd_rw&lt;=MRd_rw,FALSE),"OK","FAIL"))</f>
        <v/>
      </c>
    </row>
    <row r="132"/>
    <row r="133" ht="22" customHeight="1">
      <c r="B133" s="20" t="inlineStr">
        <is>
          <t>Calculation  ·  detailing  (9.6; 9.3 for bending walls; 8.2)</t>
        </is>
      </c>
      <c r="C133" s="21" t="n"/>
      <c r="D133" s="21" t="n"/>
      <c r="E133" s="21" t="n"/>
      <c r="F133" s="21" t="n"/>
      <c r="G133" s="21" t="n"/>
    </row>
    <row r="134" ht="17" customHeight="1">
      <c r="B134" s="26" t="inlineStr">
        <is>
          <t>9.6.2(1)</t>
        </is>
      </c>
      <c r="C134" s="24" t="inlineStr">
        <is>
          <t>Minimum vertical reinforcement  0.002 Ac</t>
        </is>
      </c>
      <c r="D134" s="27" t="inlineStr">
        <is>
          <r>
            <rPr>
              <rFont val="Calibri"/>
              <i val="1"/>
              <color rgb="002B2B2B"/>
              <sz val="10"/>
            </rPr>
            <t>A</t>
          </r>
          <r>
            <rPr>
              <rFont val="Calibri"/>
              <i val="1"/>
              <color rgb="002B2B2B"/>
              <sz val="10"/>
              <vertAlign val="subscript"/>
            </rPr>
            <t>s,vmin</t>
          </r>
        </is>
      </c>
      <c r="E134" s="43">
        <f>IF(inputs_ok,0.002*Ac_rw,NA())</f>
        <v/>
      </c>
      <c r="F134" s="28" t="inlineStr">
        <is>
          <t>mm²/m</t>
        </is>
      </c>
      <c r="G134" s="26" t="inlineStr">
        <is>
          <t>UK NA, PL NA: rec.</t>
        </is>
      </c>
    </row>
    <row r="135" ht="17" customHeight="1">
      <c r="B135" s="26" t="inlineStr">
        <is>
          <t>9.6.2(1)</t>
        </is>
      </c>
      <c r="C135" s="24" t="inlineStr">
        <is>
          <t>Maximum vertical reinforcement  0.04 Ac  (outside laps)</t>
        </is>
      </c>
      <c r="D135" s="27" t="inlineStr">
        <is>
          <r>
            <rPr>
              <rFont val="Calibri"/>
              <i val="1"/>
              <color rgb="002B2B2B"/>
              <sz val="10"/>
            </rPr>
            <t>A</t>
          </r>
          <r>
            <rPr>
              <rFont val="Calibri"/>
              <i val="1"/>
              <color rgb="002B2B2B"/>
              <sz val="10"/>
              <vertAlign val="subscript"/>
            </rPr>
            <t>s,vmax</t>
          </r>
        </is>
      </c>
      <c r="E135" s="43">
        <f>IF(inputs_ok,0.04*Ac_rw,NA())</f>
        <v/>
      </c>
      <c r="F135" s="28" t="inlineStr">
        <is>
          <t>mm²/m</t>
        </is>
      </c>
      <c r="G135" s="26" t="inlineStr">
        <is>
          <t>UK NA, PL NA: rec.</t>
        </is>
      </c>
    </row>
    <row r="136" ht="17" customHeight="1">
      <c r="B136" s="26" t="inlineStr">
        <is>
          <t>9.2.1.1(1)</t>
        </is>
      </c>
      <c r="C136" s="24" t="inlineStr">
        <is>
          <t>Bending walls: each face  max(0.26 fctm / fyk; 0.0013) 1000 d</t>
        </is>
      </c>
      <c r="D136" s="27" t="inlineStr">
        <is>
          <r>
            <rPr>
              <rFont val="Calibri"/>
              <i val="1"/>
              <color rgb="002B2B2B"/>
              <sz val="10"/>
            </rPr>
            <t>A</t>
          </r>
          <r>
            <rPr>
              <rFont val="Calibri"/>
              <i val="1"/>
              <color rgb="002B2B2B"/>
              <sz val="10"/>
              <vertAlign val="subscript"/>
            </rPr>
            <t>s,min1</t>
          </r>
        </is>
      </c>
      <c r="E136" s="43">
        <f>IF(inputs_ok,MAX(0.26*f_ctm/rw_fyk,0.0013)*1000*d_rw,NA())</f>
        <v/>
      </c>
      <c r="F136" s="28" t="inlineStr">
        <is>
          <t>mm²/m</t>
        </is>
      </c>
      <c r="G136" s="26" t="inlineStr">
        <is>
          <t>9.3.1.1(1)</t>
        </is>
      </c>
    </row>
    <row r="137" ht="17" customHeight="1">
      <c r="B137" s="26" t="inlineStr">
        <is>
          <t>9.6.2(3), 9.3.1.1(3)</t>
        </is>
      </c>
      <c r="C137" s="24" t="inlineStr">
        <is>
          <t>Maximum vertical spacing  min(3 h; 400);  bending: min(2 h; 250)</t>
        </is>
      </c>
      <c r="D137" s="27" t="inlineStr">
        <is>
          <r>
            <rPr>
              <rFont val="Calibri"/>
              <i val="1"/>
              <color rgb="002B2B2B"/>
              <sz val="10"/>
            </rPr>
            <t>s</t>
          </r>
          <r>
            <rPr>
              <rFont val="Calibri"/>
              <i val="1"/>
              <color rgb="002B2B2B"/>
              <sz val="10"/>
              <vertAlign val="subscript"/>
            </rPr>
            <t>v,max</t>
          </r>
        </is>
      </c>
      <c r="E137" s="43">
        <f>IF(inputs_ok,IF(flex_rw,MIN(2*rw_h,250),MIN(3*rw_h,400)),NA())</f>
        <v/>
      </c>
      <c r="F137" s="28" t="inlineStr">
        <is>
          <t>mm</t>
        </is>
      </c>
      <c r="G137" s="26" t="inlineStr">
        <is>
          <t>UK NA, PL NA: rec.</t>
        </is>
      </c>
    </row>
    <row r="138" ht="17" customHeight="1">
      <c r="B138" s="26" t="inlineStr">
        <is>
          <t>8.2(2)</t>
        </is>
      </c>
      <c r="C138" s="24" t="inlineStr">
        <is>
          <t>Minimum clear gap, vertical bars  max(φv; dg + 5; 20)</t>
        </is>
      </c>
      <c r="D138" s="27" t="inlineStr">
        <is>
          <r>
            <rPr>
              <rFont val="Calibri"/>
              <i val="1"/>
              <color rgb="002B2B2B"/>
              <sz val="10"/>
            </rPr>
            <t>a</t>
          </r>
          <r>
            <rPr>
              <rFont val="Calibri"/>
              <i val="1"/>
              <color rgb="002B2B2B"/>
              <sz val="10"/>
              <vertAlign val="subscript"/>
            </rPr>
            <t>min,v</t>
          </r>
        </is>
      </c>
      <c r="E138" s="43">
        <f>IF(inputs_ok,MAX(rw_pv,rw_dg+5,20),NA())</f>
        <v/>
      </c>
      <c r="F138" s="28" t="inlineStr">
        <is>
          <t>mm</t>
        </is>
      </c>
      <c r="G138" s="23" t="n"/>
    </row>
    <row r="139" ht="17" customHeight="1">
      <c r="B139" s="26" t="inlineStr">
        <is>
          <t>8.2(2)</t>
        </is>
      </c>
      <c r="C139" s="24" t="inlineStr">
        <is>
          <t>Minimum clear gap, horizontal bars  max(φh; dg + 5; 20)</t>
        </is>
      </c>
      <c r="D139" s="27" t="inlineStr">
        <is>
          <r>
            <rPr>
              <rFont val="Calibri"/>
              <i val="1"/>
              <color rgb="002B2B2B"/>
              <sz val="10"/>
            </rPr>
            <t>a</t>
          </r>
          <r>
            <rPr>
              <rFont val="Calibri"/>
              <i val="1"/>
              <color rgb="002B2B2B"/>
              <sz val="10"/>
              <vertAlign val="subscript"/>
            </rPr>
            <t>min,h</t>
          </r>
        </is>
      </c>
      <c r="E139" s="43">
        <f>IF(inputs_ok,MAX(rw_ph,rw_dg+5,20),NA())</f>
        <v/>
      </c>
      <c r="F139" s="28" t="inlineStr">
        <is>
          <t>mm</t>
        </is>
      </c>
      <c r="G139" s="23" t="n"/>
    </row>
    <row r="140" ht="17" customHeight="1">
      <c r="B140" s="23" t="n"/>
      <c r="C140" s="24" t="inlineStr">
        <is>
          <t>Clear gap between vertical bars  sv − φv</t>
        </is>
      </c>
      <c r="D140" s="27" t="inlineStr">
        <is>
          <r>
            <rPr>
              <rFont val="Calibri"/>
              <i val="1"/>
              <color rgb="002B2B2B"/>
              <sz val="10"/>
            </rPr>
            <t>a</t>
          </r>
          <r>
            <rPr>
              <rFont val="Calibri"/>
              <i val="1"/>
              <color rgb="002B2B2B"/>
              <sz val="10"/>
              <vertAlign val="subscript"/>
            </rPr>
            <t>v</t>
          </r>
        </is>
      </c>
      <c r="E140" s="43">
        <f>IF(inputs_ok,rw_sv-rw_pv,NA())</f>
        <v/>
      </c>
      <c r="F140" s="28" t="inlineStr">
        <is>
          <t>mm</t>
        </is>
      </c>
      <c r="G140" s="23" t="n"/>
    </row>
    <row r="141" ht="17" customHeight="1">
      <c r="B141" s="23" t="n"/>
      <c r="C141" s="24" t="inlineStr">
        <is>
          <t>Clear gap between the two layers  h − 2 (c + φh + φv)</t>
        </is>
      </c>
      <c r="D141" s="27" t="inlineStr">
        <is>
          <r>
            <rPr>
              <rFont val="Calibri"/>
              <i val="1"/>
              <color rgb="002B2B2B"/>
              <sz val="10"/>
            </rPr>
            <t>a</t>
          </r>
          <r>
            <rPr>
              <rFont val="Calibri"/>
              <i val="1"/>
              <color rgb="002B2B2B"/>
              <sz val="10"/>
              <vertAlign val="subscript"/>
            </rPr>
            <t>t</t>
          </r>
        </is>
      </c>
      <c r="E141" s="43">
        <f>IF(inputs_ok,rw_h-2*(rw_c+rw_ph+rw_pv),NA())</f>
        <v/>
      </c>
      <c r="F141" s="28" t="inlineStr">
        <is>
          <t>mm</t>
        </is>
      </c>
      <c r="G141" s="23" t="n"/>
    </row>
    <row r="142" ht="17" customHeight="1">
      <c r="B142" s="23" t="n"/>
      <c r="C142" s="24" t="inlineStr">
        <is>
          <t>Clear gap between horizontal bars  sh − φh</t>
        </is>
      </c>
      <c r="D142" s="27" t="inlineStr">
        <is>
          <r>
            <rPr>
              <rFont val="Calibri"/>
              <i val="1"/>
              <color rgb="002B2B2B"/>
              <sz val="10"/>
            </rPr>
            <t>a</t>
          </r>
          <r>
            <rPr>
              <rFont val="Calibri"/>
              <i val="1"/>
              <color rgb="002B2B2B"/>
              <sz val="10"/>
              <vertAlign val="subscript"/>
            </rPr>
            <t>h</t>
          </r>
        </is>
      </c>
      <c r="E142" s="43">
        <f>IF(inputs_ok,rw_sh-rw_ph,NA())</f>
        <v/>
      </c>
      <c r="F142" s="28" t="inlineStr">
        <is>
          <t>mm</t>
        </is>
      </c>
      <c r="G142" s="23" t="n"/>
    </row>
    <row r="143" ht="17" customHeight="1">
      <c r="B143" s="26" t="inlineStr">
        <is>
          <t>9.6.2(1)</t>
        </is>
      </c>
      <c r="C143" s="24" t="inlineStr">
        <is>
          <t>Vertical bars  As,v ≥ As,vmin</t>
        </is>
      </c>
      <c r="D143" s="27" t="inlineStr">
        <is>
          <r>
            <rPr>
              <rFont val="Calibri"/>
              <i val="1"/>
              <color rgb="002B2B2B"/>
              <sz val="10"/>
            </rPr>
            <t>A</t>
          </r>
          <r>
            <rPr>
              <rFont val="Calibri"/>
              <i val="1"/>
              <color rgb="002B2B2B"/>
              <sz val="10"/>
              <vertAlign val="subscript"/>
            </rPr>
            <t>s,v</t>
          </r>
        </is>
      </c>
      <c r="E143" s="43">
        <f>IF(inputs_ok,As_rw,NA())</f>
        <v/>
      </c>
      <c r="F143" s="28" t="inlineStr">
        <is>
          <t>mm²/m</t>
        </is>
      </c>
      <c r="G143" s="31">
        <f>IF(NOT(inputs_ok),"FAIL",IF(As_rw&gt;=Asvmin_rw,"OK","FAIL"))</f>
        <v/>
      </c>
    </row>
    <row r="144" ht="17" customHeight="1">
      <c r="B144" s="26" t="inlineStr">
        <is>
          <t>9.6.2(1)</t>
        </is>
      </c>
      <c r="C144" s="24" t="inlineStr">
        <is>
          <t>Vertical bars  As,v ≤ As,vmax</t>
        </is>
      </c>
      <c r="D144" s="27" t="inlineStr">
        <is>
          <r>
            <rPr>
              <rFont val="Calibri"/>
              <i val="1"/>
              <color rgb="002B2B2B"/>
              <sz val="10"/>
            </rPr>
            <t>A</t>
          </r>
          <r>
            <rPr>
              <rFont val="Calibri"/>
              <i val="1"/>
              <color rgb="002B2B2B"/>
              <sz val="10"/>
              <vertAlign val="subscript"/>
            </rPr>
            <t>s,v</t>
          </r>
        </is>
      </c>
      <c r="E144" s="43">
        <f>IF(inputs_ok,As_rw,NA())</f>
        <v/>
      </c>
      <c r="F144" s="28" t="inlineStr">
        <is>
          <t>mm²/m</t>
        </is>
      </c>
      <c r="G144" s="31">
        <f>IF(NOT(inputs_ok),"FAIL",IF(As_rw&lt;=Asvmax_rw,"OK","FAIL"))</f>
        <v/>
      </c>
    </row>
    <row r="145" ht="17" customHeight="1">
      <c r="B145" s="26" t="inlineStr">
        <is>
          <t>9.3.1.1(1)</t>
        </is>
      </c>
      <c r="C145" s="24" t="inlineStr">
        <is>
          <t>Bending walls: each face  As,v1 ≥ As,min1  (else not applied)</t>
        </is>
      </c>
      <c r="D145" s="27" t="inlineStr">
        <is>
          <r>
            <rPr>
              <rFont val="Calibri"/>
              <i val="1"/>
              <color rgb="002B2B2B"/>
              <sz val="10"/>
            </rPr>
            <t>A</t>
          </r>
          <r>
            <rPr>
              <rFont val="Calibri"/>
              <i val="1"/>
              <color rgb="002B2B2B"/>
              <sz val="10"/>
              <vertAlign val="subscript"/>
            </rPr>
            <t>s,v1</t>
          </r>
        </is>
      </c>
      <c r="E145" s="43">
        <f>IF(inputs_ok,Asf_rw,NA())</f>
        <v/>
      </c>
      <c r="F145" s="28" t="inlineStr">
        <is>
          <t>mm²/m</t>
        </is>
      </c>
      <c r="G145" s="31">
        <f>IF(NOT(inputs_ok),"FAIL",IF(OR(NOT(flex_rw),Asf_rw&gt;=Asmin1_rw),"OK","FAIL"))</f>
        <v/>
      </c>
    </row>
    <row r="146" ht="17" customHeight="1">
      <c r="B146" s="26" t="inlineStr">
        <is>
          <t>9.6.2(3)</t>
        </is>
      </c>
      <c r="C146" s="24" t="inlineStr">
        <is>
          <t>Vertical spacing  sv ≤ sv,max</t>
        </is>
      </c>
      <c r="D146" s="27" t="inlineStr">
        <is>
          <r>
            <rPr>
              <rFont val="Calibri"/>
              <i val="1"/>
              <color rgb="002B2B2B"/>
              <sz val="10"/>
            </rPr>
            <t>s</t>
          </r>
          <r>
            <rPr>
              <rFont val="Calibri"/>
              <i val="1"/>
              <color rgb="002B2B2B"/>
              <sz val="10"/>
              <vertAlign val="subscript"/>
            </rPr>
            <t>v</t>
          </r>
        </is>
      </c>
      <c r="E146" s="43">
        <f>IF(inputs_ok,rw_sv,NA())</f>
        <v/>
      </c>
      <c r="F146" s="28" t="inlineStr">
        <is>
          <t>mm</t>
        </is>
      </c>
      <c r="G146" s="31">
        <f>IF(NOT(inputs_ok),"FAIL",IF(rw_sv&lt;=svmax_rw,"OK","FAIL"))</f>
        <v/>
      </c>
    </row>
    <row r="147" ht="17" customHeight="1">
      <c r="B147" s="26" t="inlineStr">
        <is>
          <t>8.2(2)</t>
        </is>
      </c>
      <c r="C147" s="24" t="inlineStr">
        <is>
          <t>Vertical bars: clear gap  av ≥ a_min,v</t>
        </is>
      </c>
      <c r="D147" s="27" t="inlineStr">
        <is>
          <r>
            <rPr>
              <rFont val="Calibri"/>
              <i val="1"/>
              <color rgb="002B2B2B"/>
              <sz val="10"/>
            </rPr>
            <t>a</t>
          </r>
          <r>
            <rPr>
              <rFont val="Calibri"/>
              <i val="1"/>
              <color rgb="002B2B2B"/>
              <sz val="10"/>
              <vertAlign val="subscript"/>
            </rPr>
            <t>v</t>
          </r>
        </is>
      </c>
      <c r="E147" s="43">
        <f>IF(inputs_ok,gapv_rw,NA())</f>
        <v/>
      </c>
      <c r="F147" s="28" t="inlineStr">
        <is>
          <t>mm</t>
        </is>
      </c>
      <c r="G147" s="31">
        <f>IF(NOT(inputs_ok),"FAIL",IF(gapv_rw&gt;=gapmin_rw,"OK","FAIL"))</f>
        <v/>
      </c>
    </row>
    <row r="148" ht="17" customHeight="1">
      <c r="B148" s="26" t="inlineStr">
        <is>
          <t>8.2(2)</t>
        </is>
      </c>
      <c r="C148" s="24" t="inlineStr">
        <is>
          <t>Between the layers: clear gap  at ≥ a_min,v</t>
        </is>
      </c>
      <c r="D148" s="27" t="inlineStr">
        <is>
          <r>
            <rPr>
              <rFont val="Calibri"/>
              <i val="1"/>
              <color rgb="002B2B2B"/>
              <sz val="10"/>
            </rPr>
            <t>a</t>
          </r>
          <r>
            <rPr>
              <rFont val="Calibri"/>
              <i val="1"/>
              <color rgb="002B2B2B"/>
              <sz val="10"/>
              <vertAlign val="subscript"/>
            </rPr>
            <t>t</t>
          </r>
        </is>
      </c>
      <c r="E148" s="43">
        <f>IF(inputs_ok,gapt_rw,NA())</f>
        <v/>
      </c>
      <c r="F148" s="28" t="inlineStr">
        <is>
          <t>mm</t>
        </is>
      </c>
      <c r="G148" s="31">
        <f>IF(NOT(inputs_ok),"FAIL",IF(gapt_rw&gt;=gapmin_rw,"OK","FAIL"))</f>
        <v/>
      </c>
    </row>
    <row r="149" ht="17" customHeight="1">
      <c r="B149" s="26" t="inlineStr">
        <is>
          <t>4.4.1.2(3)</t>
        </is>
      </c>
      <c r="C149" s="24" t="inlineStr">
        <is>
          <t>Bond cover, vertical bars  max(φv (+ 5 if dg &gt; 32); 10)</t>
        </is>
      </c>
      <c r="D149" s="27" t="inlineStr">
        <is>
          <r>
            <rPr>
              <rFont val="Calibri"/>
              <i val="1"/>
              <color rgb="002B2B2B"/>
              <sz val="10"/>
            </rPr>
            <t>c</t>
          </r>
          <r>
            <rPr>
              <rFont val="Calibri"/>
              <i val="1"/>
              <color rgb="002B2B2B"/>
              <sz val="10"/>
              <vertAlign val="subscript"/>
            </rPr>
            <t>min,v</t>
          </r>
        </is>
      </c>
      <c r="E149" s="43">
        <f>IF(inputs_ok,MAX(rw_pv+IF(rw_dg&gt;32,5,0),10),NA())</f>
        <v/>
      </c>
      <c r="F149" s="28" t="inlineStr">
        <is>
          <t>mm</t>
        </is>
      </c>
      <c r="G149" s="26" t="inlineStr">
        <is>
          <t>Table 4.2, (4.2)</t>
        </is>
      </c>
    </row>
    <row r="150" ht="17" customHeight="1">
      <c r="B150" s="26" t="inlineStr">
        <is>
          <t>4.4.1.2(3)</t>
        </is>
      </c>
      <c r="C150" s="24" t="inlineStr">
        <is>
          <t>Vertical bars: cover  c + φh ≥ cmin,v</t>
        </is>
      </c>
      <c r="D150" s="27" t="inlineStr">
        <is>
          <r>
            <rPr>
              <rFont val="Calibri"/>
              <i val="1"/>
              <color rgb="002B2B2B"/>
              <sz val="10"/>
            </rPr>
            <t>c</t>
          </r>
          <r>
            <rPr>
              <rFont val="Calibri"/>
              <i val="1"/>
              <color rgb="002B2B2B"/>
              <sz val="10"/>
              <vertAlign val="subscript"/>
            </rPr>
            <t>v</t>
          </r>
        </is>
      </c>
      <c r="E150" s="43">
        <f>IF(inputs_ok,rw_c+rw_ph,NA())</f>
        <v/>
      </c>
      <c r="F150" s="28" t="inlineStr">
        <is>
          <t>mm</t>
        </is>
      </c>
      <c r="G150" s="31">
        <f>IF(NOT(inputs_ok),"FAIL",IF(rw_c+rw_ph&gt;=cbv_rw,"OK","FAIL"))</f>
        <v/>
      </c>
    </row>
    <row r="151" ht="17" customHeight="1">
      <c r="B151" s="23" t="n"/>
      <c r="C151" s="24" t="inlineStr">
        <is>
          <t>Horizontal bars, both faces  2 (π φh² / 4)(1000 / sh)</t>
        </is>
      </c>
      <c r="D151" s="27" t="inlineStr">
        <is>
          <r>
            <rPr>
              <rFont val="Calibri"/>
              <i val="1"/>
              <color rgb="002B2B2B"/>
              <sz val="10"/>
            </rPr>
            <t>A</t>
          </r>
          <r>
            <rPr>
              <rFont val="Calibri"/>
              <i val="1"/>
              <color rgb="002B2B2B"/>
              <sz val="10"/>
              <vertAlign val="subscript"/>
            </rPr>
            <t>s,h</t>
          </r>
        </is>
      </c>
      <c r="E151" s="43">
        <f>IF(inputs_ok,2*PI()*rw_ph^2/4*1000/rw_sh,NA())</f>
        <v/>
      </c>
      <c r="F151" s="28" t="inlineStr">
        <is>
          <t>mm²/m</t>
        </is>
      </c>
      <c r="G151" s="23" t="n"/>
    </row>
    <row r="152" ht="17" customHeight="1">
      <c r="B152" s="26" t="inlineStr">
        <is>
          <t>9.6.3(1)</t>
        </is>
      </c>
      <c r="C152" s="24" t="inlineStr">
        <is>
          <t>Minimum horizontal reinforcement  max(0.25 As,v; 0.001 Ac)</t>
        </is>
      </c>
      <c r="D152" s="27" t="inlineStr">
        <is>
          <r>
            <rPr>
              <rFont val="Calibri"/>
              <i val="1"/>
              <color rgb="002B2B2B"/>
              <sz val="10"/>
            </rPr>
            <t>A</t>
          </r>
          <r>
            <rPr>
              <rFont val="Calibri"/>
              <i val="1"/>
              <color rgb="002B2B2B"/>
              <sz val="10"/>
              <vertAlign val="subscript"/>
            </rPr>
            <t>s,hmin</t>
          </r>
        </is>
      </c>
      <c r="E152" s="43">
        <f>IF(inputs_ok,MAX(0.25*As_rw,0.001*Ac_rw),NA())</f>
        <v/>
      </c>
      <c r="F152" s="28" t="inlineStr">
        <is>
          <t>mm²/m</t>
        </is>
      </c>
      <c r="G152" s="26" t="inlineStr">
        <is>
          <t>UK NA, PL NA: rec.</t>
        </is>
      </c>
    </row>
    <row r="153" ht="17" customHeight="1">
      <c r="B153" s="26" t="inlineStr">
        <is>
          <t>9.6.3(2), 9.3.1.1(3)</t>
        </is>
      </c>
      <c r="C153" s="24" t="inlineStr">
        <is>
          <t>Maximum horizontal spacing  400;  bending: min(3 h; 400)</t>
        </is>
      </c>
      <c r="D153" s="27" t="inlineStr">
        <is>
          <r>
            <rPr>
              <rFont val="Calibri"/>
              <i val="1"/>
              <color rgb="002B2B2B"/>
              <sz val="10"/>
            </rPr>
            <t>s</t>
          </r>
          <r>
            <rPr>
              <rFont val="Calibri"/>
              <i val="1"/>
              <color rgb="002B2B2B"/>
              <sz val="10"/>
              <vertAlign val="subscript"/>
            </rPr>
            <t>h,max</t>
          </r>
        </is>
      </c>
      <c r="E153" s="43">
        <f>IF(inputs_ok,IF(flex_rw,MIN(3*rw_h,400),400),NA())</f>
        <v/>
      </c>
      <c r="F153" s="28" t="inlineStr">
        <is>
          <t>mm</t>
        </is>
      </c>
      <c r="G153" s="26" t="inlineStr">
        <is>
          <t>UK NA, PL NA: rec.</t>
        </is>
      </c>
    </row>
    <row r="154" ht="17" customHeight="1">
      <c r="B154" s="26" t="inlineStr">
        <is>
          <t>9.6.3(1)</t>
        </is>
      </c>
      <c r="C154" s="24" t="inlineStr">
        <is>
          <t>Horizontal bars  As,h ≥ As,hmin</t>
        </is>
      </c>
      <c r="D154" s="27" t="inlineStr">
        <is>
          <r>
            <rPr>
              <rFont val="Calibri"/>
              <i val="1"/>
              <color rgb="002B2B2B"/>
              <sz val="10"/>
            </rPr>
            <t>A</t>
          </r>
          <r>
            <rPr>
              <rFont val="Calibri"/>
              <i val="1"/>
              <color rgb="002B2B2B"/>
              <sz val="10"/>
              <vertAlign val="subscript"/>
            </rPr>
            <t>s,h</t>
          </r>
        </is>
      </c>
      <c r="E154" s="43">
        <f>IF(inputs_ok,Ash_rw,NA())</f>
        <v/>
      </c>
      <c r="F154" s="28" t="inlineStr">
        <is>
          <t>mm²/m</t>
        </is>
      </c>
      <c r="G154" s="31">
        <f>IF(NOT(inputs_ok),"FAIL",IF(Ash_rw&gt;=Ashmin_rw,"OK","FAIL"))</f>
        <v/>
      </c>
    </row>
    <row r="155" ht="17" customHeight="1">
      <c r="B155" s="26" t="inlineStr">
        <is>
          <t>9.6.3(2)</t>
        </is>
      </c>
      <c r="C155" s="24" t="inlineStr">
        <is>
          <t>Horizontal spacing  sh ≤ sh,max</t>
        </is>
      </c>
      <c r="D155" s="27" t="inlineStr">
        <is>
          <r>
            <rPr>
              <rFont val="Calibri"/>
              <i val="1"/>
              <color rgb="002B2B2B"/>
              <sz val="10"/>
            </rPr>
            <t>s</t>
          </r>
          <r>
            <rPr>
              <rFont val="Calibri"/>
              <i val="1"/>
              <color rgb="002B2B2B"/>
              <sz val="10"/>
              <vertAlign val="subscript"/>
            </rPr>
            <t>h</t>
          </r>
        </is>
      </c>
      <c r="E155" s="43">
        <f>IF(inputs_ok,rw_sh,NA())</f>
        <v/>
      </c>
      <c r="F155" s="28" t="inlineStr">
        <is>
          <t>mm</t>
        </is>
      </c>
      <c r="G155" s="31">
        <f>IF(NOT(inputs_ok),"FAIL",IF(rw_sh&lt;=shmax_rw,"OK","FAIL"))</f>
        <v/>
      </c>
    </row>
    <row r="156" ht="17" customHeight="1">
      <c r="B156" s="26" t="inlineStr">
        <is>
          <t>8.2(2)</t>
        </is>
      </c>
      <c r="C156" s="24" t="inlineStr">
        <is>
          <t>Horizontal bars: clear gap  ah ≥ a_min,h</t>
        </is>
      </c>
      <c r="D156" s="27" t="inlineStr">
        <is>
          <r>
            <rPr>
              <rFont val="Calibri"/>
              <i val="1"/>
              <color rgb="002B2B2B"/>
              <sz val="10"/>
            </rPr>
            <t>a</t>
          </r>
          <r>
            <rPr>
              <rFont val="Calibri"/>
              <i val="1"/>
              <color rgb="002B2B2B"/>
              <sz val="10"/>
              <vertAlign val="subscript"/>
            </rPr>
            <t>h</t>
          </r>
        </is>
      </c>
      <c r="E156" s="43">
        <f>IF(inputs_ok,gaph_rw,NA())</f>
        <v/>
      </c>
      <c r="F156" s="28" t="inlineStr">
        <is>
          <t>mm</t>
        </is>
      </c>
      <c r="G156" s="31">
        <f>IF(NOT(inputs_ok),"FAIL",IF(gaph_rw&gt;=gapminh_rw,"OK","FAIL"))</f>
        <v/>
      </c>
    </row>
    <row r="157" ht="17" customHeight="1">
      <c r="B157" s="26" t="inlineStr">
        <is>
          <t>4.4.1.2(3)</t>
        </is>
      </c>
      <c r="C157" s="24" t="inlineStr">
        <is>
          <t>Bond cover, horizontal bars  max(φh (+ 5 if dg &gt; 32); 10)</t>
        </is>
      </c>
      <c r="D157" s="27" t="inlineStr">
        <is>
          <r>
            <rPr>
              <rFont val="Calibri"/>
              <i val="1"/>
              <color rgb="002B2B2B"/>
              <sz val="10"/>
            </rPr>
            <t>c</t>
          </r>
          <r>
            <rPr>
              <rFont val="Calibri"/>
              <i val="1"/>
              <color rgb="002B2B2B"/>
              <sz val="10"/>
              <vertAlign val="subscript"/>
            </rPr>
            <t>min,h</t>
          </r>
        </is>
      </c>
      <c r="E157" s="43">
        <f>IF(inputs_ok,MAX(rw_ph+IF(rw_dg&gt;32,5,0),10),NA())</f>
        <v/>
      </c>
      <c r="F157" s="28" t="inlineStr">
        <is>
          <t>mm</t>
        </is>
      </c>
      <c r="G157" s="26" t="inlineStr">
        <is>
          <t>Table 4.2, (4.2)</t>
        </is>
      </c>
    </row>
    <row r="158" ht="17" customHeight="1">
      <c r="B158" s="26" t="inlineStr">
        <is>
          <t>4.4.1.2(3)</t>
        </is>
      </c>
      <c r="C158" s="24" t="inlineStr">
        <is>
          <t>Horizontal bars: cover  c ≥ cmin,h</t>
        </is>
      </c>
      <c r="D158" s="27" t="inlineStr">
        <is>
          <r>
            <rPr>
              <rFont val="Calibri"/>
              <i val="1"/>
              <color rgb="002B2B2B"/>
              <sz val="10"/>
            </rPr>
            <t>c</t>
          </r>
          <r>
            <rPr>
              <rFont val="Calibri"/>
              <i val="1"/>
              <color rgb="002B2B2B"/>
              <sz val="10"/>
              <vertAlign val="subscript"/>
            </rPr>
            <t>nom</t>
          </r>
        </is>
      </c>
      <c r="E158" s="43">
        <f>IF(inputs_ok,rw_c,NA())</f>
        <v/>
      </c>
      <c r="F158" s="28" t="inlineStr">
        <is>
          <t>mm</t>
        </is>
      </c>
      <c r="G158" s="31">
        <f>IF(NOT(inputs_ok),"FAIL",IF(rw_c&gt;=cbh_rw,"OK","FAIL"))</f>
        <v/>
      </c>
    </row>
    <row r="159" ht="17" customHeight="1">
      <c r="B159" s="26" t="inlineStr">
        <is>
          <t>9.6.4(1)</t>
        </is>
      </c>
      <c r="C159" s="24" t="inlineStr">
        <is>
          <t>Links needed where As,v &gt; 0.02 Ac</t>
        </is>
      </c>
      <c r="D159" s="27" t="inlineStr">
        <is>
          <r>
            <rPr>
              <rFont val="Calibri"/>
              <i val="1"/>
              <color rgb="002B2B2B"/>
              <sz val="10"/>
            </rPr>
            <t>0.02 A</t>
          </r>
          <r>
            <rPr>
              <rFont val="Calibri"/>
              <i val="1"/>
              <color rgb="002B2B2B"/>
              <sz val="10"/>
              <vertAlign val="subscript"/>
            </rPr>
            <t>c</t>
          </r>
        </is>
      </c>
      <c r="E159" s="43">
        <f>IF(inputs_ok,0.02*Ac_rw,NA())</f>
        <v/>
      </c>
      <c r="F159" s="28" t="inlineStr">
        <is>
          <t>mm²/m</t>
        </is>
      </c>
      <c r="G159" s="23" t="n"/>
    </row>
    <row r="160" ht="17" customHeight="1">
      <c r="B160" s="26" t="inlineStr">
        <is>
          <t>9.5.3(1)</t>
        </is>
      </c>
      <c r="C160" s="24" t="inlineStr">
        <is>
          <t>Links, where needed: least diameter  max(6; φv / 4)</t>
        </is>
      </c>
      <c r="D160" s="27" t="inlineStr">
        <is>
          <r>
            <rPr>
              <rFont val="Calibri"/>
              <i val="1"/>
              <color rgb="002B2B2B"/>
              <sz val="10"/>
            </rPr>
            <t>φ</t>
          </r>
          <r>
            <rPr>
              <rFont val="Calibri"/>
              <i val="1"/>
              <color rgb="002B2B2B"/>
              <sz val="10"/>
              <vertAlign val="subscript"/>
            </rPr>
            <t>w,min</t>
          </r>
        </is>
      </c>
      <c r="E160" s="44">
        <f>IF(inputs_ok,MAX(6,rw_pv/4),NA())</f>
        <v/>
      </c>
      <c r="F160" s="28" t="inlineStr">
        <is>
          <t>mm</t>
        </is>
      </c>
      <c r="G160" s="23" t="n"/>
    </row>
    <row r="161" ht="17" customHeight="1">
      <c r="B161" s="26" t="inlineStr">
        <is>
          <t>9.5.3(3)</t>
        </is>
      </c>
      <c r="C161" s="24" t="inlineStr">
        <is>
          <t>Links, where needed: largest spacing  min(20 φv; h; 400)</t>
        </is>
      </c>
      <c r="D161" s="27" t="inlineStr">
        <is>
          <r>
            <rPr>
              <rFont val="Calibri"/>
              <i val="1"/>
              <color rgb="002B2B2B"/>
              <sz val="10"/>
            </rPr>
            <t>s</t>
          </r>
          <r>
            <rPr>
              <rFont val="Calibri"/>
              <i val="1"/>
              <color rgb="002B2B2B"/>
              <sz val="10"/>
              <vertAlign val="subscript"/>
            </rPr>
            <t>cl,max</t>
          </r>
        </is>
      </c>
      <c r="E161" s="43">
        <f>IF(inputs_ok,MIN(20*rw_pv,rw_h,400),NA())</f>
        <v/>
      </c>
      <c r="F161" s="28" t="inlineStr">
        <is>
          <t>mm</t>
        </is>
      </c>
      <c r="G161" s="23" t="n"/>
    </row>
    <row r="162" ht="66.5" customHeight="1">
      <c r="B162" s="48" t="inlineStr">
        <is>
          <t>As,vmax may be doubled at laps (9.6.2(1)). For bending walls the secondary bars of 9.3.1.1(2) (20 % of the principal) are covered by the 25 % of 9.6.3(1). Where As,v exceeds 0.02 Ac, the vertical bars are held by links to 9.5.3 (diameter, spacing, every bar within 150 mm of a restrained bar, spacing × 0.6 near floors and at laps). Where the vertical bars were placed nearest the faces instead, 9.6.4(2) asks for at least 4 links per m² of wall. Where crack control matters, the UK NA asks for early-age thermal and shrinkage effects to be considered explicitly (RC-022). Shear and in-plane actions are not checked here.</t>
        </is>
      </c>
    </row>
    <row r="163"/>
    <row r="164" ht="29" customHeight="1">
      <c r="B164" s="48"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164:G164"/>
    <mergeCell ref="E5:G5"/>
    <mergeCell ref="B162:G162"/>
    <mergeCell ref="D2:G2"/>
    <mergeCell ref="E7:G7"/>
    <mergeCell ref="E6:G6"/>
    <mergeCell ref="C3:G3"/>
  </mergeCells>
  <conditionalFormatting sqref="G9:G165">
    <cfRule type="expression" priority="1" dxfId="0">
      <formula>G9="OK"</formula>
    </cfRule>
    <cfRule type="expression" priority="2" dxfId="1">
      <formula>G9="FAIL"</formula>
    </cfRule>
    <cfRule type="expression" priority="3" dxfId="2">
      <formula>LEFT(G9,1)="!"</formula>
    </cfRule>
  </conditionalFormatting>
  <dataValidations count="18">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0" errorTitle="NA Engineering" error="Pick a value from the list." type="list" errorStyle="stop">
      <formula1>"6,8,10,12,16,20"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Pick a value from the list." type="list" errorStyle="stop">
      <formula1>"8,10,12,16,20,25,32,40"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Pick a value from the list." type="list" errorStyle="stop">
      <formula1>"Predominantly axial  (9.6),Predominantly out-of-plane bending  (9.6 + 9.3)"</formula1>
    </dataValidation>
    <dataValidation sqref="E24" showDropDown="0" showInputMessage="0" showErrorMessage="1" allowBlank="0" errorTitle="NA Engineering" error="Enter a number greater than 0." type="decimal" errorStyle="stop" operator="greaterThan">
      <formula1>0</formula1>
    </dataValidation>
    <dataValidation sqref="E25" showDropDown="0" showInputMessage="0" showErrorMessage="1" allowBlank="0" errorTitle="NA Engineering" error="Enter a number ≥ 0." type="decimal" errorStyle="stop" operator="greaterThanOrEqual">
      <formula1>0</formula1>
    </dataValidation>
    <dataValidation sqref="E26" showDropDown="0" showInputMessage="0" showErrorMessage="1" allowBlank="0" errorTitle="NA Engineering" error="Enter a number ≥ -100000." type="decimal" errorStyle="stop" operator="greaterThanOrEqual">
      <formula1>-100000</formula1>
    </dataValidation>
    <dataValidation sqref="E27" showDropDown="0" showInputMessage="0" showErrorMessage="1" allowBlank="0" errorTitle="NA Engineering" error="Enter a number greater than 0." type="decimal" errorStyle="stop" operator="greaterThan">
      <formula1>0</formula1>
    </dataValidation>
    <dataValidation sqref="E28" showDropDown="0" showInputMessage="0" showErrorMessage="1" allowBlank="0" errorTitle="NA Engineering" error="Enter a number greater than 0." type="decimal" errorStyle="stop" operator="greaterThan">
      <formula1>0</formula1>
    </dataValidation>
    <dataValidation sqref="E29" showDropDown="0" showInputMessage="0" showErrorMessage="1" allowBlank="0" errorTitle="NA Engineering" error="Enter a number ≥ 0." type="decimal" errorStyle="stop" operator="greaterThanOrEqual">
      <formula1>0</formula1>
    </dataValidation>
    <dataValidation sqref="E30" showDropDown="0" showInputMessage="0" showErrorMessage="1" allowBlank="0" errorTitle="NA Engineering" error="Pick a value from the list." type="list" errorStyle="stop">
      <formula1>"10,9,8"</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&amp;K8A8A8ANAE-RC-045  v1.0</oddFooter>
    <evenHeader/>
    <evenFooter/>
    <firstHeader/>
    <firstFooter/>
  </headerFooter>
  <rowBreaks count="1" manualBreakCount="1">
    <brk id="53"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GR41"/>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wall</t>
        </is>
      </c>
      <c r="G2" t="inlineStr">
        <is>
          <t>horizontal bars face 1</t>
        </is>
      </c>
      <c r="J2" t="inlineStr">
        <is>
          <t>horizontal bars face 2</t>
        </is>
      </c>
      <c r="M2" t="inlineStr">
        <is>
          <t>bar face 1 0</t>
        </is>
      </c>
      <c r="P2" t="inlineStr">
        <is>
          <t>bar face 1 1</t>
        </is>
      </c>
      <c r="S2" t="inlineStr">
        <is>
          <t>bar face 1 2</t>
        </is>
      </c>
      <c r="V2" t="inlineStr">
        <is>
          <t>bar face 1 3</t>
        </is>
      </c>
      <c r="Y2" t="inlineStr">
        <is>
          <t>bar face 1 4</t>
        </is>
      </c>
      <c r="AB2" t="inlineStr">
        <is>
          <t>bar face 1 5</t>
        </is>
      </c>
      <c r="AE2" t="inlineStr">
        <is>
          <t>bar face 1 6</t>
        </is>
      </c>
      <c r="AH2" t="inlineStr">
        <is>
          <t>bar face 1 7</t>
        </is>
      </c>
      <c r="AK2" t="inlineStr">
        <is>
          <t>bar face 1 8</t>
        </is>
      </c>
      <c r="AN2" t="inlineStr">
        <is>
          <t>bar face 1 9</t>
        </is>
      </c>
      <c r="AQ2" t="inlineStr">
        <is>
          <t>bar face 1 10</t>
        </is>
      </c>
      <c r="AT2" t="inlineStr">
        <is>
          <t>bar face 1 11</t>
        </is>
      </c>
      <c r="AW2" t="inlineStr">
        <is>
          <t>bar face 1 12</t>
        </is>
      </c>
      <c r="AZ2" t="inlineStr">
        <is>
          <t>bar face 1 13</t>
        </is>
      </c>
      <c r="BC2" t="inlineStr">
        <is>
          <t>bar face 1 14</t>
        </is>
      </c>
      <c r="BF2" t="inlineStr">
        <is>
          <t>bar face 1 15</t>
        </is>
      </c>
      <c r="BI2" t="inlineStr">
        <is>
          <t>bar face 1 16</t>
        </is>
      </c>
      <c r="BL2" t="inlineStr">
        <is>
          <t>bar face 1 17</t>
        </is>
      </c>
      <c r="BO2" t="inlineStr">
        <is>
          <t>bar face 1 18</t>
        </is>
      </c>
      <c r="BR2" t="inlineStr">
        <is>
          <t>bar face 1 19</t>
        </is>
      </c>
      <c r="BU2" t="inlineStr">
        <is>
          <t>bar face 2 0</t>
        </is>
      </c>
      <c r="BX2" t="inlineStr">
        <is>
          <t>bar face 2 1</t>
        </is>
      </c>
      <c r="CA2" t="inlineStr">
        <is>
          <t>bar face 2 2</t>
        </is>
      </c>
      <c r="CD2" t="inlineStr">
        <is>
          <t>bar face 2 3</t>
        </is>
      </c>
      <c r="CG2" t="inlineStr">
        <is>
          <t>bar face 2 4</t>
        </is>
      </c>
      <c r="CJ2" t="inlineStr">
        <is>
          <t>bar face 2 5</t>
        </is>
      </c>
      <c r="CM2" t="inlineStr">
        <is>
          <t>bar face 2 6</t>
        </is>
      </c>
      <c r="CP2" t="inlineStr">
        <is>
          <t>bar face 2 7</t>
        </is>
      </c>
      <c r="CS2" t="inlineStr">
        <is>
          <t>bar face 2 8</t>
        </is>
      </c>
      <c r="CV2" t="inlineStr">
        <is>
          <t>bar face 2 9</t>
        </is>
      </c>
      <c r="CY2" t="inlineStr">
        <is>
          <t>bar face 2 10</t>
        </is>
      </c>
      <c r="DB2" t="inlineStr">
        <is>
          <t>bar face 2 11</t>
        </is>
      </c>
      <c r="DE2" t="inlineStr">
        <is>
          <t>bar face 2 12</t>
        </is>
      </c>
      <c r="DH2" t="inlineStr">
        <is>
          <t>bar face 2 13</t>
        </is>
      </c>
      <c r="DK2" t="inlineStr">
        <is>
          <t>bar face 2 14</t>
        </is>
      </c>
      <c r="DN2" t="inlineStr">
        <is>
          <t>bar face 2 15</t>
        </is>
      </c>
      <c r="DQ2" t="inlineStr">
        <is>
          <t>bar face 2 16</t>
        </is>
      </c>
      <c r="DT2" t="inlineStr">
        <is>
          <t>bar face 2 17</t>
        </is>
      </c>
      <c r="DW2" t="inlineStr">
        <is>
          <t>bar face 2 18</t>
        </is>
      </c>
      <c r="DZ2" t="inlineStr">
        <is>
          <t>bar face 2 19</t>
        </is>
      </c>
      <c r="EC2" t="inlineStr">
        <is>
          <t>neutral axis</t>
        </is>
      </c>
      <c r="EF2" t="inlineStr">
        <is>
          <t>dim</t>
        </is>
      </c>
      <c r="EI2">
        <f>IF(inputs_ok,"1 m run  (1000)","")</f>
        <v/>
      </c>
      <c r="EL2" t="inlineStr">
        <is>
          <t>dim</t>
        </is>
      </c>
      <c r="EO2">
        <f>IF(inputs_ok,"h = "&amp;TEXT(rw_h,"0"),"")</f>
        <v/>
      </c>
      <c r="ER2">
        <f>IF(inputs_ok,"φ"&amp;rw_pv&amp;" @ "&amp;rw_sv&amp;" vertical","")</f>
        <v/>
      </c>
      <c r="EU2">
        <f>IF(inputs_ok,"φ"&amp;rw_ph&amp;" @ "&amp;rw_sh&amp;" horizontal, outer","")</f>
        <v/>
      </c>
      <c r="EX2">
        <f>IF(inputs_ok,IF(links_rw,"links to 9.5.3 required (9.6.4)",""),"")</f>
        <v/>
      </c>
      <c r="FA2" t="inlineStr">
        <is>
          <t>frame</t>
        </is>
      </c>
      <c r="FD2">
        <f>IF(inputs_ok,"","check the inputs")</f>
        <v/>
      </c>
      <c r="FG2" t="inlineStr">
        <is>
          <t>M axis</t>
        </is>
      </c>
      <c r="FJ2" t="inlineStr">
        <is>
          <t>N axis</t>
        </is>
      </c>
      <c r="FM2" t="inlineStr">
        <is>
          <t>curve</t>
        </is>
      </c>
      <c r="FP2" t="inlineStr">
        <is>
          <t>NEd line</t>
        </is>
      </c>
      <c r="FS2" t="inlineStr">
        <is>
          <t>resistance</t>
        </is>
      </c>
      <c r="FV2" t="inlineStr">
        <is>
          <t>design</t>
        </is>
      </c>
      <c r="FY2" t="inlineStr">
        <is>
          <t>N (kN/m)</t>
        </is>
      </c>
      <c r="GB2" t="inlineStr">
        <is>
          <t>M (kNm/m)</t>
        </is>
      </c>
      <c r="GE2">
        <f>IF(inputs_ok,"NRd,max "&amp;TEXT(NRdmax_rw,"0"),"")</f>
        <v/>
      </c>
      <c r="GH2">
        <f>IF(inputs_ok,"NRd,min "&amp;TEXT(NRdmin_rw,"0"),"")</f>
        <v/>
      </c>
      <c r="GK2">
        <f>IF(inputs_ok,"NEd "&amp;TEXT(rw_N,"0")&amp;"  MEd "&amp;TEXT(MEd_rw,"0.0"),"")</f>
        <v/>
      </c>
      <c r="GN2">
        <f>IF(inputs_ok,IF(res_rw,"MRd "&amp;TEXT(MRd_rw,"0.0"),""),"")</f>
        <v/>
      </c>
      <c r="GQ2" t="inlineStr">
        <is>
          <t>frame</t>
        </is>
      </c>
    </row>
    <row r="3">
      <c r="A3">
        <f>0</f>
        <v/>
      </c>
      <c r="B3">
        <f>0</f>
        <v/>
      </c>
      <c r="D3">
        <f>IF(inputs_ok,0,NA())</f>
        <v/>
      </c>
      <c r="E3">
        <f>0</f>
        <v/>
      </c>
      <c r="G3">
        <f>IF(inputs_ok,0,NA())</f>
        <v/>
      </c>
      <c r="H3">
        <f>rw_h-rw_c-rw_ph/2</f>
        <v/>
      </c>
      <c r="J3">
        <f>IF(inputs_ok,0,NA())</f>
        <v/>
      </c>
      <c r="K3">
        <f>rw_c+rw_ph/2</f>
        <v/>
      </c>
      <c r="M3">
        <f>IF(inputs_ok,IF(0&lt;nbar_rw,(rw_sv/2+0*rw_sv)+(rw_pv/2)*1.000000,NA()),NA())</f>
        <v/>
      </c>
      <c r="N3">
        <f>IF(0&lt;nbar_rw,(rw_h-d1_rw)+(rw_pv/2)*0.000000,NA())</f>
        <v/>
      </c>
      <c r="P3">
        <f>IF(inputs_ok,IF(1&lt;nbar_rw,(rw_sv/2+1*rw_sv)+(rw_pv/2)*1.000000,NA()),NA())</f>
        <v/>
      </c>
      <c r="Q3">
        <f>IF(1&lt;nbar_rw,(rw_h-d1_rw)+(rw_pv/2)*0.000000,NA())</f>
        <v/>
      </c>
      <c r="S3">
        <f>IF(inputs_ok,IF(2&lt;nbar_rw,(rw_sv/2+2*rw_sv)+(rw_pv/2)*1.000000,NA()),NA())</f>
        <v/>
      </c>
      <c r="T3">
        <f>IF(2&lt;nbar_rw,(rw_h-d1_rw)+(rw_pv/2)*0.000000,NA())</f>
        <v/>
      </c>
      <c r="V3">
        <f>IF(inputs_ok,IF(3&lt;nbar_rw,(rw_sv/2+3*rw_sv)+(rw_pv/2)*1.000000,NA()),NA())</f>
        <v/>
      </c>
      <c r="W3">
        <f>IF(3&lt;nbar_rw,(rw_h-d1_rw)+(rw_pv/2)*0.000000,NA())</f>
        <v/>
      </c>
      <c r="Y3">
        <f>IF(inputs_ok,IF(4&lt;nbar_rw,(rw_sv/2+4*rw_sv)+(rw_pv/2)*1.000000,NA()),NA())</f>
        <v/>
      </c>
      <c r="Z3">
        <f>IF(4&lt;nbar_rw,(rw_h-d1_rw)+(rw_pv/2)*0.000000,NA())</f>
        <v/>
      </c>
      <c r="AB3">
        <f>IF(inputs_ok,IF(5&lt;nbar_rw,(rw_sv/2+5*rw_sv)+(rw_pv/2)*1.000000,NA()),NA())</f>
        <v/>
      </c>
      <c r="AC3">
        <f>IF(5&lt;nbar_rw,(rw_h-d1_rw)+(rw_pv/2)*0.000000,NA())</f>
        <v/>
      </c>
      <c r="AE3">
        <f>IF(inputs_ok,IF(6&lt;nbar_rw,(rw_sv/2+6*rw_sv)+(rw_pv/2)*1.000000,NA()),NA())</f>
        <v/>
      </c>
      <c r="AF3">
        <f>IF(6&lt;nbar_rw,(rw_h-d1_rw)+(rw_pv/2)*0.000000,NA())</f>
        <v/>
      </c>
      <c r="AH3">
        <f>IF(inputs_ok,IF(7&lt;nbar_rw,(rw_sv/2+7*rw_sv)+(rw_pv/2)*1.000000,NA()),NA())</f>
        <v/>
      </c>
      <c r="AI3">
        <f>IF(7&lt;nbar_rw,(rw_h-d1_rw)+(rw_pv/2)*0.000000,NA())</f>
        <v/>
      </c>
      <c r="AK3">
        <f>IF(inputs_ok,IF(8&lt;nbar_rw,(rw_sv/2+8*rw_sv)+(rw_pv/2)*1.000000,NA()),NA())</f>
        <v/>
      </c>
      <c r="AL3">
        <f>IF(8&lt;nbar_rw,(rw_h-d1_rw)+(rw_pv/2)*0.000000,NA())</f>
        <v/>
      </c>
      <c r="AN3">
        <f>IF(inputs_ok,IF(9&lt;nbar_rw,(rw_sv/2+9*rw_sv)+(rw_pv/2)*1.000000,NA()),NA())</f>
        <v/>
      </c>
      <c r="AO3">
        <f>IF(9&lt;nbar_rw,(rw_h-d1_rw)+(rw_pv/2)*0.000000,NA())</f>
        <v/>
      </c>
      <c r="AQ3">
        <f>IF(inputs_ok,IF(10&lt;nbar_rw,(rw_sv/2+10*rw_sv)+(rw_pv/2)*1.000000,NA()),NA())</f>
        <v/>
      </c>
      <c r="AR3">
        <f>IF(10&lt;nbar_rw,(rw_h-d1_rw)+(rw_pv/2)*0.000000,NA())</f>
        <v/>
      </c>
      <c r="AT3">
        <f>IF(inputs_ok,IF(11&lt;nbar_rw,(rw_sv/2+11*rw_sv)+(rw_pv/2)*1.000000,NA()),NA())</f>
        <v/>
      </c>
      <c r="AU3">
        <f>IF(11&lt;nbar_rw,(rw_h-d1_rw)+(rw_pv/2)*0.000000,NA())</f>
        <v/>
      </c>
      <c r="AW3">
        <f>IF(inputs_ok,IF(12&lt;nbar_rw,(rw_sv/2+12*rw_sv)+(rw_pv/2)*1.000000,NA()),NA())</f>
        <v/>
      </c>
      <c r="AX3">
        <f>IF(12&lt;nbar_rw,(rw_h-d1_rw)+(rw_pv/2)*0.000000,NA())</f>
        <v/>
      </c>
      <c r="AZ3">
        <f>IF(inputs_ok,IF(13&lt;nbar_rw,(rw_sv/2+13*rw_sv)+(rw_pv/2)*1.000000,NA()),NA())</f>
        <v/>
      </c>
      <c r="BA3">
        <f>IF(13&lt;nbar_rw,(rw_h-d1_rw)+(rw_pv/2)*0.000000,NA())</f>
        <v/>
      </c>
      <c r="BC3">
        <f>IF(inputs_ok,IF(14&lt;nbar_rw,(rw_sv/2+14*rw_sv)+(rw_pv/2)*1.000000,NA()),NA())</f>
        <v/>
      </c>
      <c r="BD3">
        <f>IF(14&lt;nbar_rw,(rw_h-d1_rw)+(rw_pv/2)*0.000000,NA())</f>
        <v/>
      </c>
      <c r="BF3">
        <f>IF(inputs_ok,IF(15&lt;nbar_rw,(rw_sv/2+15*rw_sv)+(rw_pv/2)*1.000000,NA()),NA())</f>
        <v/>
      </c>
      <c r="BG3">
        <f>IF(15&lt;nbar_rw,(rw_h-d1_rw)+(rw_pv/2)*0.000000,NA())</f>
        <v/>
      </c>
      <c r="BI3">
        <f>IF(inputs_ok,IF(16&lt;nbar_rw,(rw_sv/2+16*rw_sv)+(rw_pv/2)*1.000000,NA()),NA())</f>
        <v/>
      </c>
      <c r="BJ3">
        <f>IF(16&lt;nbar_rw,(rw_h-d1_rw)+(rw_pv/2)*0.000000,NA())</f>
        <v/>
      </c>
      <c r="BL3">
        <f>IF(inputs_ok,IF(17&lt;nbar_rw,(rw_sv/2+17*rw_sv)+(rw_pv/2)*1.000000,NA()),NA())</f>
        <v/>
      </c>
      <c r="BM3">
        <f>IF(17&lt;nbar_rw,(rw_h-d1_rw)+(rw_pv/2)*0.000000,NA())</f>
        <v/>
      </c>
      <c r="BO3">
        <f>IF(inputs_ok,IF(18&lt;nbar_rw,(rw_sv/2+18*rw_sv)+(rw_pv/2)*1.000000,NA()),NA())</f>
        <v/>
      </c>
      <c r="BP3">
        <f>IF(18&lt;nbar_rw,(rw_h-d1_rw)+(rw_pv/2)*0.000000,NA())</f>
        <v/>
      </c>
      <c r="BR3">
        <f>IF(inputs_ok,IF(19&lt;nbar_rw,(rw_sv/2+19*rw_sv)+(rw_pv/2)*1.000000,NA()),NA())</f>
        <v/>
      </c>
      <c r="BS3">
        <f>IF(19&lt;nbar_rw,(rw_h-d1_rw)+(rw_pv/2)*0.000000,NA())</f>
        <v/>
      </c>
      <c r="BU3">
        <f>IF(inputs_ok,IF(0&lt;nbar_rw,(rw_sv/2+0*rw_sv)+(rw_pv/2)*1.000000,NA()),NA())</f>
        <v/>
      </c>
      <c r="BV3">
        <f>IF(0&lt;nbar_rw,(d1_rw)+(rw_pv/2)*0.000000,NA())</f>
        <v/>
      </c>
      <c r="BX3">
        <f>IF(inputs_ok,IF(1&lt;nbar_rw,(rw_sv/2+1*rw_sv)+(rw_pv/2)*1.000000,NA()),NA())</f>
        <v/>
      </c>
      <c r="BY3">
        <f>IF(1&lt;nbar_rw,(d1_rw)+(rw_pv/2)*0.000000,NA())</f>
        <v/>
      </c>
      <c r="CA3">
        <f>IF(inputs_ok,IF(2&lt;nbar_rw,(rw_sv/2+2*rw_sv)+(rw_pv/2)*1.000000,NA()),NA())</f>
        <v/>
      </c>
      <c r="CB3">
        <f>IF(2&lt;nbar_rw,(d1_rw)+(rw_pv/2)*0.000000,NA())</f>
        <v/>
      </c>
      <c r="CD3">
        <f>IF(inputs_ok,IF(3&lt;nbar_rw,(rw_sv/2+3*rw_sv)+(rw_pv/2)*1.000000,NA()),NA())</f>
        <v/>
      </c>
      <c r="CE3">
        <f>IF(3&lt;nbar_rw,(d1_rw)+(rw_pv/2)*0.000000,NA())</f>
        <v/>
      </c>
      <c r="CG3">
        <f>IF(inputs_ok,IF(4&lt;nbar_rw,(rw_sv/2+4*rw_sv)+(rw_pv/2)*1.000000,NA()),NA())</f>
        <v/>
      </c>
      <c r="CH3">
        <f>IF(4&lt;nbar_rw,(d1_rw)+(rw_pv/2)*0.000000,NA())</f>
        <v/>
      </c>
      <c r="CJ3">
        <f>IF(inputs_ok,IF(5&lt;nbar_rw,(rw_sv/2+5*rw_sv)+(rw_pv/2)*1.000000,NA()),NA())</f>
        <v/>
      </c>
      <c r="CK3">
        <f>IF(5&lt;nbar_rw,(d1_rw)+(rw_pv/2)*0.000000,NA())</f>
        <v/>
      </c>
      <c r="CM3">
        <f>IF(inputs_ok,IF(6&lt;nbar_rw,(rw_sv/2+6*rw_sv)+(rw_pv/2)*1.000000,NA()),NA())</f>
        <v/>
      </c>
      <c r="CN3">
        <f>IF(6&lt;nbar_rw,(d1_rw)+(rw_pv/2)*0.000000,NA())</f>
        <v/>
      </c>
      <c r="CP3">
        <f>IF(inputs_ok,IF(7&lt;nbar_rw,(rw_sv/2+7*rw_sv)+(rw_pv/2)*1.000000,NA()),NA())</f>
        <v/>
      </c>
      <c r="CQ3">
        <f>IF(7&lt;nbar_rw,(d1_rw)+(rw_pv/2)*0.000000,NA())</f>
        <v/>
      </c>
      <c r="CS3">
        <f>IF(inputs_ok,IF(8&lt;nbar_rw,(rw_sv/2+8*rw_sv)+(rw_pv/2)*1.000000,NA()),NA())</f>
        <v/>
      </c>
      <c r="CT3">
        <f>IF(8&lt;nbar_rw,(d1_rw)+(rw_pv/2)*0.000000,NA())</f>
        <v/>
      </c>
      <c r="CV3">
        <f>IF(inputs_ok,IF(9&lt;nbar_rw,(rw_sv/2+9*rw_sv)+(rw_pv/2)*1.000000,NA()),NA())</f>
        <v/>
      </c>
      <c r="CW3">
        <f>IF(9&lt;nbar_rw,(d1_rw)+(rw_pv/2)*0.000000,NA())</f>
        <v/>
      </c>
      <c r="CY3">
        <f>IF(inputs_ok,IF(10&lt;nbar_rw,(rw_sv/2+10*rw_sv)+(rw_pv/2)*1.000000,NA()),NA())</f>
        <v/>
      </c>
      <c r="CZ3">
        <f>IF(10&lt;nbar_rw,(d1_rw)+(rw_pv/2)*0.000000,NA())</f>
        <v/>
      </c>
      <c r="DB3">
        <f>IF(inputs_ok,IF(11&lt;nbar_rw,(rw_sv/2+11*rw_sv)+(rw_pv/2)*1.000000,NA()),NA())</f>
        <v/>
      </c>
      <c r="DC3">
        <f>IF(11&lt;nbar_rw,(d1_rw)+(rw_pv/2)*0.000000,NA())</f>
        <v/>
      </c>
      <c r="DE3">
        <f>IF(inputs_ok,IF(12&lt;nbar_rw,(rw_sv/2+12*rw_sv)+(rw_pv/2)*1.000000,NA()),NA())</f>
        <v/>
      </c>
      <c r="DF3">
        <f>IF(12&lt;nbar_rw,(d1_rw)+(rw_pv/2)*0.000000,NA())</f>
        <v/>
      </c>
      <c r="DH3">
        <f>IF(inputs_ok,IF(13&lt;nbar_rw,(rw_sv/2+13*rw_sv)+(rw_pv/2)*1.000000,NA()),NA())</f>
        <v/>
      </c>
      <c r="DI3">
        <f>IF(13&lt;nbar_rw,(d1_rw)+(rw_pv/2)*0.000000,NA())</f>
        <v/>
      </c>
      <c r="DK3">
        <f>IF(inputs_ok,IF(14&lt;nbar_rw,(rw_sv/2+14*rw_sv)+(rw_pv/2)*1.000000,NA()),NA())</f>
        <v/>
      </c>
      <c r="DL3">
        <f>IF(14&lt;nbar_rw,(d1_rw)+(rw_pv/2)*0.000000,NA())</f>
        <v/>
      </c>
      <c r="DN3">
        <f>IF(inputs_ok,IF(15&lt;nbar_rw,(rw_sv/2+15*rw_sv)+(rw_pv/2)*1.000000,NA()),NA())</f>
        <v/>
      </c>
      <c r="DO3">
        <f>IF(15&lt;nbar_rw,(d1_rw)+(rw_pv/2)*0.000000,NA())</f>
        <v/>
      </c>
      <c r="DQ3">
        <f>IF(inputs_ok,IF(16&lt;nbar_rw,(rw_sv/2+16*rw_sv)+(rw_pv/2)*1.000000,NA()),NA())</f>
        <v/>
      </c>
      <c r="DR3">
        <f>IF(16&lt;nbar_rw,(d1_rw)+(rw_pv/2)*0.000000,NA())</f>
        <v/>
      </c>
      <c r="DT3">
        <f>IF(inputs_ok,IF(17&lt;nbar_rw,(rw_sv/2+17*rw_sv)+(rw_pv/2)*1.000000,NA()),NA())</f>
        <v/>
      </c>
      <c r="DU3">
        <f>IF(17&lt;nbar_rw,(d1_rw)+(rw_pv/2)*0.000000,NA())</f>
        <v/>
      </c>
      <c r="DW3">
        <f>IF(inputs_ok,IF(18&lt;nbar_rw,(rw_sv/2+18*rw_sv)+(rw_pv/2)*1.000000,NA()),NA())</f>
        <v/>
      </c>
      <c r="DX3">
        <f>IF(18&lt;nbar_rw,(d1_rw)+(rw_pv/2)*0.000000,NA())</f>
        <v/>
      </c>
      <c r="DZ3">
        <f>IF(inputs_ok,IF(19&lt;nbar_rw,(rw_sv/2+19*rw_sv)+(rw_pv/2)*1.000000,NA()),NA())</f>
        <v/>
      </c>
      <c r="EA3">
        <f>IF(19&lt;nbar_rw,(d1_rw)+(rw_pv/2)*0.000000,NA())</f>
        <v/>
      </c>
      <c r="EC3">
        <f>IF(inputs_ok,IF(AND(res_rw,x_rw&lt;rw_h),-30,NA()),NA())</f>
        <v/>
      </c>
      <c r="ED3">
        <f>IF(AND(res_rw,x_rw&lt;rw_h),rw_h-x_rw,NA())</f>
        <v/>
      </c>
      <c r="EF3">
        <f>IF(inputs_ok,IF(TRUE,0,NA()),NA())</f>
        <v/>
      </c>
      <c r="EG3">
        <f>IF(TRUE,-MAX(60,0.35*rw_h),NA())</f>
        <v/>
      </c>
      <c r="EI3">
        <f>IF(inputs_ok,IF(TRUE,((0)+(1000))/2,NA()),NA())</f>
        <v/>
      </c>
      <c r="EJ3">
        <f>IF(TRUE,((-MAX(60,0.35*rw_h))+(-MAX(60,0.35*rw_h)))/2,NA())</f>
        <v/>
      </c>
      <c r="EL3">
        <f>IF(inputs_ok,IF(TRUE,-MAX(60,0.35*rw_h),NA()),NA())</f>
        <v/>
      </c>
      <c r="EM3">
        <f>IF(TRUE,0,NA())</f>
        <v/>
      </c>
      <c r="EO3">
        <f>IF(inputs_ok,IF(TRUE,((-MAX(60,0.35*rw_h))+(-MAX(60,0.35*rw_h)))/2,NA()),NA())</f>
        <v/>
      </c>
      <c r="EP3">
        <f>IF(TRUE,((0)+(rw_h))/2,NA())</f>
        <v/>
      </c>
      <c r="ER3">
        <f>IF(inputs_ok,250,NA())</f>
        <v/>
      </c>
      <c r="ES3">
        <f>rw_h+0.3*MAX(60,0.35*rw_h)</f>
        <v/>
      </c>
      <c r="EU3">
        <f>IF(inputs_ok,750,NA())</f>
        <v/>
      </c>
      <c r="EV3">
        <f>rw_h+0.3*MAX(60,0.35*rw_h)</f>
        <v/>
      </c>
      <c r="EX3">
        <f>IF(inputs_ok,500,NA())</f>
        <v/>
      </c>
      <c r="EY3">
        <f>-1.6*MAX(60,0.35*rw_h)</f>
        <v/>
      </c>
      <c r="FA3">
        <f>((-2*MAX(60,0.35*rw_h))+(1000+0.3*MAX(60,0.35*rw_h)))/2-MAX((rw_h+1.4*MAX(60,0.35*rw_h))-(-2.2*MAX(60,0.35*rw_h)),((1000+0.3*MAX(60,0.35*rw_h))-(-2*MAX(60,0.35*rw_h)))/1.55)*0.58*1.55</f>
        <v/>
      </c>
      <c r="FB3">
        <f>((-2.2*MAX(60,0.35*rw_h))+(rw_h+1.4*MAX(60,0.35*rw_h)))/2-MAX((rw_h+1.4*MAX(60,0.35*rw_h))-(-2.2*MAX(60,0.35*rw_h)),((1000+0.3*MAX(60,0.35*rw_h))-(-2*MAX(60,0.35*rw_h)))/1.55)*0.58</f>
        <v/>
      </c>
      <c r="FD3">
        <f>0</f>
        <v/>
      </c>
      <c r="FE3">
        <f>0</f>
        <v/>
      </c>
      <c r="FG3">
        <f>IF(inputs_ok,-0.05,NA())</f>
        <v/>
      </c>
      <c r="FH3">
        <f>0</f>
        <v/>
      </c>
      <c r="FJ3">
        <f>IF(inputs_ok,0,NA())</f>
        <v/>
      </c>
      <c r="FK3">
        <f>NRdmin_rw/NRdmax_rw-0.06</f>
        <v/>
      </c>
      <c r="FM3">
        <f>IF(inputs_ok,INDEX(nmM_rw,1)*1.5/Mpk_rw,NA())</f>
        <v/>
      </c>
      <c r="FN3">
        <f>INDEX(nmN_rw,1)/NRdmax_rw</f>
        <v/>
      </c>
      <c r="FP3">
        <f>IF(inputs_ok,IF(res_rw,0,NA()),NA())</f>
        <v/>
      </c>
      <c r="FQ3">
        <f>IF(res_rw,MIN(1.12,rw_N/NRdmax_rw),NA())</f>
        <v/>
      </c>
      <c r="FS3">
        <f>IF(inputs_ok,IF(res_rw,MRd_rw*1.5/Mpk_rw,NA()),NA())</f>
        <v/>
      </c>
      <c r="FT3">
        <f>IF(res_rw,MIN(1.12,rw_N/NRdmax_rw),NA())</f>
        <v/>
      </c>
      <c r="FV3">
        <f>IF(inputs_ok,MIN(2.1,MEd_rw*1.5/Mpk_rw),NA())</f>
        <v/>
      </c>
      <c r="FW3">
        <f>MIN(1.12,rw_N/NRdmax_rw)</f>
        <v/>
      </c>
      <c r="FY3">
        <f>IF(inputs_ok,0,NA())</f>
        <v/>
      </c>
      <c r="FZ3">
        <f>1.1</f>
        <v/>
      </c>
      <c r="GB3">
        <f>IF(inputs_ok,1.75,NA())</f>
        <v/>
      </c>
      <c r="GC3">
        <f>0</f>
        <v/>
      </c>
      <c r="GE3">
        <f>IF(inputs_ok,0,NA())</f>
        <v/>
      </c>
      <c r="GF3">
        <f>1</f>
        <v/>
      </c>
      <c r="GH3">
        <f>IF(inputs_ok,0,NA())</f>
        <v/>
      </c>
      <c r="GI3">
        <f>NRdmin_rw/NRdmax_rw</f>
        <v/>
      </c>
      <c r="GK3">
        <f>IF(inputs_ok,MIN(2.1,MEd_rw*1.5/Mpk_rw),NA())</f>
        <v/>
      </c>
      <c r="GL3">
        <f>MIN(1.12,rw_N/NRdmax_rw)</f>
        <v/>
      </c>
      <c r="GN3">
        <f>IF(inputs_ok,IF(res_rw,MRd_rw*1.5/Mpk_rw,NA()),NA())</f>
        <v/>
      </c>
      <c r="GO3">
        <f>MIN(1.12,rw_N/NRdmax_rw)</f>
        <v/>
      </c>
      <c r="GQ3">
        <f>((-0.5)+(2.3))/2-MAX((1.18)-(NRdmin_rw/NRdmax_rw-0.12),((2.3)-(-0.5))/1.55)*0.52*1.55</f>
        <v/>
      </c>
      <c r="GR3">
        <f>((NRdmin_rw/NRdmax_rw-0.12)+(1.18))/2-MAX((1.18)-(NRdmin_rw/NRdmax_rw-0.12),((2.3)-(-0.5))/1.55)*0.52</f>
        <v/>
      </c>
    </row>
    <row r="4">
      <c r="D4">
        <f>IF(inputs_ok,1000,NA())</f>
        <v/>
      </c>
      <c r="E4">
        <f>0</f>
        <v/>
      </c>
      <c r="G4">
        <f>IF(inputs_ok,1000,NA())</f>
        <v/>
      </c>
      <c r="H4">
        <f>rw_h-rw_c-rw_ph/2</f>
        <v/>
      </c>
      <c r="J4">
        <f>IF(inputs_ok,1000,NA())</f>
        <v/>
      </c>
      <c r="K4">
        <f>rw_c+rw_ph/2</f>
        <v/>
      </c>
      <c r="M4">
        <f>IF(inputs_ok,IF(0&lt;nbar_rw,(rw_sv/2+0*rw_sv)+(rw_pv/2)*0.866025,NA()),NA())</f>
        <v/>
      </c>
      <c r="N4">
        <f>IF(0&lt;nbar_rw,(rw_h-d1_rw)+(rw_pv/2)*0.500000,NA())</f>
        <v/>
      </c>
      <c r="P4">
        <f>IF(inputs_ok,IF(1&lt;nbar_rw,(rw_sv/2+1*rw_sv)+(rw_pv/2)*0.866025,NA()),NA())</f>
        <v/>
      </c>
      <c r="Q4">
        <f>IF(1&lt;nbar_rw,(rw_h-d1_rw)+(rw_pv/2)*0.500000,NA())</f>
        <v/>
      </c>
      <c r="S4">
        <f>IF(inputs_ok,IF(2&lt;nbar_rw,(rw_sv/2+2*rw_sv)+(rw_pv/2)*0.866025,NA()),NA())</f>
        <v/>
      </c>
      <c r="T4">
        <f>IF(2&lt;nbar_rw,(rw_h-d1_rw)+(rw_pv/2)*0.500000,NA())</f>
        <v/>
      </c>
      <c r="V4">
        <f>IF(inputs_ok,IF(3&lt;nbar_rw,(rw_sv/2+3*rw_sv)+(rw_pv/2)*0.866025,NA()),NA())</f>
        <v/>
      </c>
      <c r="W4">
        <f>IF(3&lt;nbar_rw,(rw_h-d1_rw)+(rw_pv/2)*0.500000,NA())</f>
        <v/>
      </c>
      <c r="Y4">
        <f>IF(inputs_ok,IF(4&lt;nbar_rw,(rw_sv/2+4*rw_sv)+(rw_pv/2)*0.866025,NA()),NA())</f>
        <v/>
      </c>
      <c r="Z4">
        <f>IF(4&lt;nbar_rw,(rw_h-d1_rw)+(rw_pv/2)*0.500000,NA())</f>
        <v/>
      </c>
      <c r="AB4">
        <f>IF(inputs_ok,IF(5&lt;nbar_rw,(rw_sv/2+5*rw_sv)+(rw_pv/2)*0.866025,NA()),NA())</f>
        <v/>
      </c>
      <c r="AC4">
        <f>IF(5&lt;nbar_rw,(rw_h-d1_rw)+(rw_pv/2)*0.500000,NA())</f>
        <v/>
      </c>
      <c r="AE4">
        <f>IF(inputs_ok,IF(6&lt;nbar_rw,(rw_sv/2+6*rw_sv)+(rw_pv/2)*0.866025,NA()),NA())</f>
        <v/>
      </c>
      <c r="AF4">
        <f>IF(6&lt;nbar_rw,(rw_h-d1_rw)+(rw_pv/2)*0.500000,NA())</f>
        <v/>
      </c>
      <c r="AH4">
        <f>IF(inputs_ok,IF(7&lt;nbar_rw,(rw_sv/2+7*rw_sv)+(rw_pv/2)*0.866025,NA()),NA())</f>
        <v/>
      </c>
      <c r="AI4">
        <f>IF(7&lt;nbar_rw,(rw_h-d1_rw)+(rw_pv/2)*0.500000,NA())</f>
        <v/>
      </c>
      <c r="AK4">
        <f>IF(inputs_ok,IF(8&lt;nbar_rw,(rw_sv/2+8*rw_sv)+(rw_pv/2)*0.866025,NA()),NA())</f>
        <v/>
      </c>
      <c r="AL4">
        <f>IF(8&lt;nbar_rw,(rw_h-d1_rw)+(rw_pv/2)*0.500000,NA())</f>
        <v/>
      </c>
      <c r="AN4">
        <f>IF(inputs_ok,IF(9&lt;nbar_rw,(rw_sv/2+9*rw_sv)+(rw_pv/2)*0.866025,NA()),NA())</f>
        <v/>
      </c>
      <c r="AO4">
        <f>IF(9&lt;nbar_rw,(rw_h-d1_rw)+(rw_pv/2)*0.500000,NA())</f>
        <v/>
      </c>
      <c r="AQ4">
        <f>IF(inputs_ok,IF(10&lt;nbar_rw,(rw_sv/2+10*rw_sv)+(rw_pv/2)*0.866025,NA()),NA())</f>
        <v/>
      </c>
      <c r="AR4">
        <f>IF(10&lt;nbar_rw,(rw_h-d1_rw)+(rw_pv/2)*0.500000,NA())</f>
        <v/>
      </c>
      <c r="AT4">
        <f>IF(inputs_ok,IF(11&lt;nbar_rw,(rw_sv/2+11*rw_sv)+(rw_pv/2)*0.866025,NA()),NA())</f>
        <v/>
      </c>
      <c r="AU4">
        <f>IF(11&lt;nbar_rw,(rw_h-d1_rw)+(rw_pv/2)*0.500000,NA())</f>
        <v/>
      </c>
      <c r="AW4">
        <f>IF(inputs_ok,IF(12&lt;nbar_rw,(rw_sv/2+12*rw_sv)+(rw_pv/2)*0.866025,NA()),NA())</f>
        <v/>
      </c>
      <c r="AX4">
        <f>IF(12&lt;nbar_rw,(rw_h-d1_rw)+(rw_pv/2)*0.500000,NA())</f>
        <v/>
      </c>
      <c r="AZ4">
        <f>IF(inputs_ok,IF(13&lt;nbar_rw,(rw_sv/2+13*rw_sv)+(rw_pv/2)*0.866025,NA()),NA())</f>
        <v/>
      </c>
      <c r="BA4">
        <f>IF(13&lt;nbar_rw,(rw_h-d1_rw)+(rw_pv/2)*0.500000,NA())</f>
        <v/>
      </c>
      <c r="BC4">
        <f>IF(inputs_ok,IF(14&lt;nbar_rw,(rw_sv/2+14*rw_sv)+(rw_pv/2)*0.866025,NA()),NA())</f>
        <v/>
      </c>
      <c r="BD4">
        <f>IF(14&lt;nbar_rw,(rw_h-d1_rw)+(rw_pv/2)*0.500000,NA())</f>
        <v/>
      </c>
      <c r="BF4">
        <f>IF(inputs_ok,IF(15&lt;nbar_rw,(rw_sv/2+15*rw_sv)+(rw_pv/2)*0.866025,NA()),NA())</f>
        <v/>
      </c>
      <c r="BG4">
        <f>IF(15&lt;nbar_rw,(rw_h-d1_rw)+(rw_pv/2)*0.500000,NA())</f>
        <v/>
      </c>
      <c r="BI4">
        <f>IF(inputs_ok,IF(16&lt;nbar_rw,(rw_sv/2+16*rw_sv)+(rw_pv/2)*0.866025,NA()),NA())</f>
        <v/>
      </c>
      <c r="BJ4">
        <f>IF(16&lt;nbar_rw,(rw_h-d1_rw)+(rw_pv/2)*0.500000,NA())</f>
        <v/>
      </c>
      <c r="BL4">
        <f>IF(inputs_ok,IF(17&lt;nbar_rw,(rw_sv/2+17*rw_sv)+(rw_pv/2)*0.866025,NA()),NA())</f>
        <v/>
      </c>
      <c r="BM4">
        <f>IF(17&lt;nbar_rw,(rw_h-d1_rw)+(rw_pv/2)*0.500000,NA())</f>
        <v/>
      </c>
      <c r="BO4">
        <f>IF(inputs_ok,IF(18&lt;nbar_rw,(rw_sv/2+18*rw_sv)+(rw_pv/2)*0.866025,NA()),NA())</f>
        <v/>
      </c>
      <c r="BP4">
        <f>IF(18&lt;nbar_rw,(rw_h-d1_rw)+(rw_pv/2)*0.500000,NA())</f>
        <v/>
      </c>
      <c r="BR4">
        <f>IF(inputs_ok,IF(19&lt;nbar_rw,(rw_sv/2+19*rw_sv)+(rw_pv/2)*0.866025,NA()),NA())</f>
        <v/>
      </c>
      <c r="BS4">
        <f>IF(19&lt;nbar_rw,(rw_h-d1_rw)+(rw_pv/2)*0.500000,NA())</f>
        <v/>
      </c>
      <c r="BU4">
        <f>IF(inputs_ok,IF(0&lt;nbar_rw,(rw_sv/2+0*rw_sv)+(rw_pv/2)*0.866025,NA()),NA())</f>
        <v/>
      </c>
      <c r="BV4">
        <f>IF(0&lt;nbar_rw,(d1_rw)+(rw_pv/2)*0.500000,NA())</f>
        <v/>
      </c>
      <c r="BX4">
        <f>IF(inputs_ok,IF(1&lt;nbar_rw,(rw_sv/2+1*rw_sv)+(rw_pv/2)*0.866025,NA()),NA())</f>
        <v/>
      </c>
      <c r="BY4">
        <f>IF(1&lt;nbar_rw,(d1_rw)+(rw_pv/2)*0.500000,NA())</f>
        <v/>
      </c>
      <c r="CA4">
        <f>IF(inputs_ok,IF(2&lt;nbar_rw,(rw_sv/2+2*rw_sv)+(rw_pv/2)*0.866025,NA()),NA())</f>
        <v/>
      </c>
      <c r="CB4">
        <f>IF(2&lt;nbar_rw,(d1_rw)+(rw_pv/2)*0.500000,NA())</f>
        <v/>
      </c>
      <c r="CD4">
        <f>IF(inputs_ok,IF(3&lt;nbar_rw,(rw_sv/2+3*rw_sv)+(rw_pv/2)*0.866025,NA()),NA())</f>
        <v/>
      </c>
      <c r="CE4">
        <f>IF(3&lt;nbar_rw,(d1_rw)+(rw_pv/2)*0.500000,NA())</f>
        <v/>
      </c>
      <c r="CG4">
        <f>IF(inputs_ok,IF(4&lt;nbar_rw,(rw_sv/2+4*rw_sv)+(rw_pv/2)*0.866025,NA()),NA())</f>
        <v/>
      </c>
      <c r="CH4">
        <f>IF(4&lt;nbar_rw,(d1_rw)+(rw_pv/2)*0.500000,NA())</f>
        <v/>
      </c>
      <c r="CJ4">
        <f>IF(inputs_ok,IF(5&lt;nbar_rw,(rw_sv/2+5*rw_sv)+(rw_pv/2)*0.866025,NA()),NA())</f>
        <v/>
      </c>
      <c r="CK4">
        <f>IF(5&lt;nbar_rw,(d1_rw)+(rw_pv/2)*0.500000,NA())</f>
        <v/>
      </c>
      <c r="CM4">
        <f>IF(inputs_ok,IF(6&lt;nbar_rw,(rw_sv/2+6*rw_sv)+(rw_pv/2)*0.866025,NA()),NA())</f>
        <v/>
      </c>
      <c r="CN4">
        <f>IF(6&lt;nbar_rw,(d1_rw)+(rw_pv/2)*0.500000,NA())</f>
        <v/>
      </c>
      <c r="CP4">
        <f>IF(inputs_ok,IF(7&lt;nbar_rw,(rw_sv/2+7*rw_sv)+(rw_pv/2)*0.866025,NA()),NA())</f>
        <v/>
      </c>
      <c r="CQ4">
        <f>IF(7&lt;nbar_rw,(d1_rw)+(rw_pv/2)*0.500000,NA())</f>
        <v/>
      </c>
      <c r="CS4">
        <f>IF(inputs_ok,IF(8&lt;nbar_rw,(rw_sv/2+8*rw_sv)+(rw_pv/2)*0.866025,NA()),NA())</f>
        <v/>
      </c>
      <c r="CT4">
        <f>IF(8&lt;nbar_rw,(d1_rw)+(rw_pv/2)*0.500000,NA())</f>
        <v/>
      </c>
      <c r="CV4">
        <f>IF(inputs_ok,IF(9&lt;nbar_rw,(rw_sv/2+9*rw_sv)+(rw_pv/2)*0.866025,NA()),NA())</f>
        <v/>
      </c>
      <c r="CW4">
        <f>IF(9&lt;nbar_rw,(d1_rw)+(rw_pv/2)*0.500000,NA())</f>
        <v/>
      </c>
      <c r="CY4">
        <f>IF(inputs_ok,IF(10&lt;nbar_rw,(rw_sv/2+10*rw_sv)+(rw_pv/2)*0.866025,NA()),NA())</f>
        <v/>
      </c>
      <c r="CZ4">
        <f>IF(10&lt;nbar_rw,(d1_rw)+(rw_pv/2)*0.500000,NA())</f>
        <v/>
      </c>
      <c r="DB4">
        <f>IF(inputs_ok,IF(11&lt;nbar_rw,(rw_sv/2+11*rw_sv)+(rw_pv/2)*0.866025,NA()),NA())</f>
        <v/>
      </c>
      <c r="DC4">
        <f>IF(11&lt;nbar_rw,(d1_rw)+(rw_pv/2)*0.500000,NA())</f>
        <v/>
      </c>
      <c r="DE4">
        <f>IF(inputs_ok,IF(12&lt;nbar_rw,(rw_sv/2+12*rw_sv)+(rw_pv/2)*0.866025,NA()),NA())</f>
        <v/>
      </c>
      <c r="DF4">
        <f>IF(12&lt;nbar_rw,(d1_rw)+(rw_pv/2)*0.500000,NA())</f>
        <v/>
      </c>
      <c r="DH4">
        <f>IF(inputs_ok,IF(13&lt;nbar_rw,(rw_sv/2+13*rw_sv)+(rw_pv/2)*0.866025,NA()),NA())</f>
        <v/>
      </c>
      <c r="DI4">
        <f>IF(13&lt;nbar_rw,(d1_rw)+(rw_pv/2)*0.500000,NA())</f>
        <v/>
      </c>
      <c r="DK4">
        <f>IF(inputs_ok,IF(14&lt;nbar_rw,(rw_sv/2+14*rw_sv)+(rw_pv/2)*0.866025,NA()),NA())</f>
        <v/>
      </c>
      <c r="DL4">
        <f>IF(14&lt;nbar_rw,(d1_rw)+(rw_pv/2)*0.500000,NA())</f>
        <v/>
      </c>
      <c r="DN4">
        <f>IF(inputs_ok,IF(15&lt;nbar_rw,(rw_sv/2+15*rw_sv)+(rw_pv/2)*0.866025,NA()),NA())</f>
        <v/>
      </c>
      <c r="DO4">
        <f>IF(15&lt;nbar_rw,(d1_rw)+(rw_pv/2)*0.500000,NA())</f>
        <v/>
      </c>
      <c r="DQ4">
        <f>IF(inputs_ok,IF(16&lt;nbar_rw,(rw_sv/2+16*rw_sv)+(rw_pv/2)*0.866025,NA()),NA())</f>
        <v/>
      </c>
      <c r="DR4">
        <f>IF(16&lt;nbar_rw,(d1_rw)+(rw_pv/2)*0.500000,NA())</f>
        <v/>
      </c>
      <c r="DT4">
        <f>IF(inputs_ok,IF(17&lt;nbar_rw,(rw_sv/2+17*rw_sv)+(rw_pv/2)*0.866025,NA()),NA())</f>
        <v/>
      </c>
      <c r="DU4">
        <f>IF(17&lt;nbar_rw,(d1_rw)+(rw_pv/2)*0.500000,NA())</f>
        <v/>
      </c>
      <c r="DW4">
        <f>IF(inputs_ok,IF(18&lt;nbar_rw,(rw_sv/2+18*rw_sv)+(rw_pv/2)*0.866025,NA()),NA())</f>
        <v/>
      </c>
      <c r="DX4">
        <f>IF(18&lt;nbar_rw,(d1_rw)+(rw_pv/2)*0.500000,NA())</f>
        <v/>
      </c>
      <c r="DZ4">
        <f>IF(inputs_ok,IF(19&lt;nbar_rw,(rw_sv/2+19*rw_sv)+(rw_pv/2)*0.866025,NA()),NA())</f>
        <v/>
      </c>
      <c r="EA4">
        <f>IF(19&lt;nbar_rw,(d1_rw)+(rw_pv/2)*0.500000,NA())</f>
        <v/>
      </c>
      <c r="EC4">
        <f>IF(inputs_ok,IF(AND(res_rw,x_rw&lt;rw_h),1030,NA()),NA())</f>
        <v/>
      </c>
      <c r="ED4">
        <f>IF(AND(res_rw,x_rw&lt;rw_h),rw_h-x_rw,NA())</f>
        <v/>
      </c>
      <c r="EF4">
        <f>IF(inputs_ok,IF(TRUE,1000,NA()),NA())</f>
        <v/>
      </c>
      <c r="EG4">
        <f>IF(TRUE,-MAX(60,0.35*rw_h),NA())</f>
        <v/>
      </c>
      <c r="EL4">
        <f>IF(inputs_ok,IF(TRUE,-MAX(60,0.35*rw_h),NA()),NA())</f>
        <v/>
      </c>
      <c r="EM4">
        <f>IF(TRUE,rw_h,NA())</f>
        <v/>
      </c>
      <c r="FA4">
        <f>((-2*MAX(60,0.35*rw_h))+(1000+0.3*MAX(60,0.35*rw_h)))/2+MAX((rw_h+1.4*MAX(60,0.35*rw_h))-(-2.2*MAX(60,0.35*rw_h)),((1000+0.3*MAX(60,0.35*rw_h))-(-2*MAX(60,0.35*rw_h)))/1.55)*0.58*1.55</f>
        <v/>
      </c>
      <c r="FB4">
        <f>((-2.2*MAX(60,0.35*rw_h))+(rw_h+1.4*MAX(60,0.35*rw_h)))/2+MAX((rw_h+1.4*MAX(60,0.35*rw_h))-(-2.2*MAX(60,0.35*rw_h)),((1000+0.3*MAX(60,0.35*rw_h))-(-2*MAX(60,0.35*rw_h)))/1.55)*0.58</f>
        <v/>
      </c>
      <c r="FG4">
        <f>IF(inputs_ok,1.75,NA())</f>
        <v/>
      </c>
      <c r="FH4">
        <f>0</f>
        <v/>
      </c>
      <c r="FJ4">
        <f>IF(inputs_ok,0,NA())</f>
        <v/>
      </c>
      <c r="FK4">
        <f>1.1</f>
        <v/>
      </c>
      <c r="FM4">
        <f>IF(inputs_ok,INDEX(nmM_rw,2)*1.5/Mpk_rw,NA())</f>
        <v/>
      </c>
      <c r="FN4">
        <f>INDEX(nmN_rw,2)/NRdmax_rw</f>
        <v/>
      </c>
      <c r="FP4">
        <f>IF(inputs_ok,IF(res_rw,MRd_rw*1.5/Mpk_rw,NA()),NA())</f>
        <v/>
      </c>
      <c r="FQ4">
        <f>IF(res_rw,MIN(1.12,rw_N/NRdmax_rw),NA())</f>
        <v/>
      </c>
      <c r="GQ4">
        <f>((-0.5)+(2.3))/2+MAX((1.18)-(NRdmin_rw/NRdmax_rw-0.12),((2.3)-(-0.5))/1.55)*0.52*1.55</f>
        <v/>
      </c>
      <c r="GR4">
        <f>((NRdmin_rw/NRdmax_rw-0.12)+(1.18))/2+MAX((1.18)-(NRdmin_rw/NRdmax_rw-0.12),((2.3)-(-0.5))/1.55)*0.52</f>
        <v/>
      </c>
    </row>
    <row r="5">
      <c r="D5">
        <f>IF(inputs_ok,1000,NA())</f>
        <v/>
      </c>
      <c r="E5">
        <f>rw_h</f>
        <v/>
      </c>
      <c r="M5">
        <f>IF(inputs_ok,IF(0&lt;nbar_rw,(rw_sv/2+0*rw_sv)+(rw_pv/2)*0.500000,NA()),NA())</f>
        <v/>
      </c>
      <c r="N5">
        <f>IF(0&lt;nbar_rw,(rw_h-d1_rw)+(rw_pv/2)*0.866025,NA())</f>
        <v/>
      </c>
      <c r="P5">
        <f>IF(inputs_ok,IF(1&lt;nbar_rw,(rw_sv/2+1*rw_sv)+(rw_pv/2)*0.500000,NA()),NA())</f>
        <v/>
      </c>
      <c r="Q5">
        <f>IF(1&lt;nbar_rw,(rw_h-d1_rw)+(rw_pv/2)*0.866025,NA())</f>
        <v/>
      </c>
      <c r="S5">
        <f>IF(inputs_ok,IF(2&lt;nbar_rw,(rw_sv/2+2*rw_sv)+(rw_pv/2)*0.500000,NA()),NA())</f>
        <v/>
      </c>
      <c r="T5">
        <f>IF(2&lt;nbar_rw,(rw_h-d1_rw)+(rw_pv/2)*0.866025,NA())</f>
        <v/>
      </c>
      <c r="V5">
        <f>IF(inputs_ok,IF(3&lt;nbar_rw,(rw_sv/2+3*rw_sv)+(rw_pv/2)*0.500000,NA()),NA())</f>
        <v/>
      </c>
      <c r="W5">
        <f>IF(3&lt;nbar_rw,(rw_h-d1_rw)+(rw_pv/2)*0.866025,NA())</f>
        <v/>
      </c>
      <c r="Y5">
        <f>IF(inputs_ok,IF(4&lt;nbar_rw,(rw_sv/2+4*rw_sv)+(rw_pv/2)*0.500000,NA()),NA())</f>
        <v/>
      </c>
      <c r="Z5">
        <f>IF(4&lt;nbar_rw,(rw_h-d1_rw)+(rw_pv/2)*0.866025,NA())</f>
        <v/>
      </c>
      <c r="AB5">
        <f>IF(inputs_ok,IF(5&lt;nbar_rw,(rw_sv/2+5*rw_sv)+(rw_pv/2)*0.500000,NA()),NA())</f>
        <v/>
      </c>
      <c r="AC5">
        <f>IF(5&lt;nbar_rw,(rw_h-d1_rw)+(rw_pv/2)*0.866025,NA())</f>
        <v/>
      </c>
      <c r="AE5">
        <f>IF(inputs_ok,IF(6&lt;nbar_rw,(rw_sv/2+6*rw_sv)+(rw_pv/2)*0.500000,NA()),NA())</f>
        <v/>
      </c>
      <c r="AF5">
        <f>IF(6&lt;nbar_rw,(rw_h-d1_rw)+(rw_pv/2)*0.866025,NA())</f>
        <v/>
      </c>
      <c r="AH5">
        <f>IF(inputs_ok,IF(7&lt;nbar_rw,(rw_sv/2+7*rw_sv)+(rw_pv/2)*0.500000,NA()),NA())</f>
        <v/>
      </c>
      <c r="AI5">
        <f>IF(7&lt;nbar_rw,(rw_h-d1_rw)+(rw_pv/2)*0.866025,NA())</f>
        <v/>
      </c>
      <c r="AK5">
        <f>IF(inputs_ok,IF(8&lt;nbar_rw,(rw_sv/2+8*rw_sv)+(rw_pv/2)*0.500000,NA()),NA())</f>
        <v/>
      </c>
      <c r="AL5">
        <f>IF(8&lt;nbar_rw,(rw_h-d1_rw)+(rw_pv/2)*0.866025,NA())</f>
        <v/>
      </c>
      <c r="AN5">
        <f>IF(inputs_ok,IF(9&lt;nbar_rw,(rw_sv/2+9*rw_sv)+(rw_pv/2)*0.500000,NA()),NA())</f>
        <v/>
      </c>
      <c r="AO5">
        <f>IF(9&lt;nbar_rw,(rw_h-d1_rw)+(rw_pv/2)*0.866025,NA())</f>
        <v/>
      </c>
      <c r="AQ5">
        <f>IF(inputs_ok,IF(10&lt;nbar_rw,(rw_sv/2+10*rw_sv)+(rw_pv/2)*0.500000,NA()),NA())</f>
        <v/>
      </c>
      <c r="AR5">
        <f>IF(10&lt;nbar_rw,(rw_h-d1_rw)+(rw_pv/2)*0.866025,NA())</f>
        <v/>
      </c>
      <c r="AT5">
        <f>IF(inputs_ok,IF(11&lt;nbar_rw,(rw_sv/2+11*rw_sv)+(rw_pv/2)*0.500000,NA()),NA())</f>
        <v/>
      </c>
      <c r="AU5">
        <f>IF(11&lt;nbar_rw,(rw_h-d1_rw)+(rw_pv/2)*0.866025,NA())</f>
        <v/>
      </c>
      <c r="AW5">
        <f>IF(inputs_ok,IF(12&lt;nbar_rw,(rw_sv/2+12*rw_sv)+(rw_pv/2)*0.500000,NA()),NA())</f>
        <v/>
      </c>
      <c r="AX5">
        <f>IF(12&lt;nbar_rw,(rw_h-d1_rw)+(rw_pv/2)*0.866025,NA())</f>
        <v/>
      </c>
      <c r="AZ5">
        <f>IF(inputs_ok,IF(13&lt;nbar_rw,(rw_sv/2+13*rw_sv)+(rw_pv/2)*0.500000,NA()),NA())</f>
        <v/>
      </c>
      <c r="BA5">
        <f>IF(13&lt;nbar_rw,(rw_h-d1_rw)+(rw_pv/2)*0.866025,NA())</f>
        <v/>
      </c>
      <c r="BC5">
        <f>IF(inputs_ok,IF(14&lt;nbar_rw,(rw_sv/2+14*rw_sv)+(rw_pv/2)*0.500000,NA()),NA())</f>
        <v/>
      </c>
      <c r="BD5">
        <f>IF(14&lt;nbar_rw,(rw_h-d1_rw)+(rw_pv/2)*0.866025,NA())</f>
        <v/>
      </c>
      <c r="BF5">
        <f>IF(inputs_ok,IF(15&lt;nbar_rw,(rw_sv/2+15*rw_sv)+(rw_pv/2)*0.500000,NA()),NA())</f>
        <v/>
      </c>
      <c r="BG5">
        <f>IF(15&lt;nbar_rw,(rw_h-d1_rw)+(rw_pv/2)*0.866025,NA())</f>
        <v/>
      </c>
      <c r="BI5">
        <f>IF(inputs_ok,IF(16&lt;nbar_rw,(rw_sv/2+16*rw_sv)+(rw_pv/2)*0.500000,NA()),NA())</f>
        <v/>
      </c>
      <c r="BJ5">
        <f>IF(16&lt;nbar_rw,(rw_h-d1_rw)+(rw_pv/2)*0.866025,NA())</f>
        <v/>
      </c>
      <c r="BL5">
        <f>IF(inputs_ok,IF(17&lt;nbar_rw,(rw_sv/2+17*rw_sv)+(rw_pv/2)*0.500000,NA()),NA())</f>
        <v/>
      </c>
      <c r="BM5">
        <f>IF(17&lt;nbar_rw,(rw_h-d1_rw)+(rw_pv/2)*0.866025,NA())</f>
        <v/>
      </c>
      <c r="BO5">
        <f>IF(inputs_ok,IF(18&lt;nbar_rw,(rw_sv/2+18*rw_sv)+(rw_pv/2)*0.500000,NA()),NA())</f>
        <v/>
      </c>
      <c r="BP5">
        <f>IF(18&lt;nbar_rw,(rw_h-d1_rw)+(rw_pv/2)*0.866025,NA())</f>
        <v/>
      </c>
      <c r="BR5">
        <f>IF(inputs_ok,IF(19&lt;nbar_rw,(rw_sv/2+19*rw_sv)+(rw_pv/2)*0.500000,NA()),NA())</f>
        <v/>
      </c>
      <c r="BS5">
        <f>IF(19&lt;nbar_rw,(rw_h-d1_rw)+(rw_pv/2)*0.866025,NA())</f>
        <v/>
      </c>
      <c r="BU5">
        <f>IF(inputs_ok,IF(0&lt;nbar_rw,(rw_sv/2+0*rw_sv)+(rw_pv/2)*0.500000,NA()),NA())</f>
        <v/>
      </c>
      <c r="BV5">
        <f>IF(0&lt;nbar_rw,(d1_rw)+(rw_pv/2)*0.866025,NA())</f>
        <v/>
      </c>
      <c r="BX5">
        <f>IF(inputs_ok,IF(1&lt;nbar_rw,(rw_sv/2+1*rw_sv)+(rw_pv/2)*0.500000,NA()),NA())</f>
        <v/>
      </c>
      <c r="BY5">
        <f>IF(1&lt;nbar_rw,(d1_rw)+(rw_pv/2)*0.866025,NA())</f>
        <v/>
      </c>
      <c r="CA5">
        <f>IF(inputs_ok,IF(2&lt;nbar_rw,(rw_sv/2+2*rw_sv)+(rw_pv/2)*0.500000,NA()),NA())</f>
        <v/>
      </c>
      <c r="CB5">
        <f>IF(2&lt;nbar_rw,(d1_rw)+(rw_pv/2)*0.866025,NA())</f>
        <v/>
      </c>
      <c r="CD5">
        <f>IF(inputs_ok,IF(3&lt;nbar_rw,(rw_sv/2+3*rw_sv)+(rw_pv/2)*0.500000,NA()),NA())</f>
        <v/>
      </c>
      <c r="CE5">
        <f>IF(3&lt;nbar_rw,(d1_rw)+(rw_pv/2)*0.866025,NA())</f>
        <v/>
      </c>
      <c r="CG5">
        <f>IF(inputs_ok,IF(4&lt;nbar_rw,(rw_sv/2+4*rw_sv)+(rw_pv/2)*0.500000,NA()),NA())</f>
        <v/>
      </c>
      <c r="CH5">
        <f>IF(4&lt;nbar_rw,(d1_rw)+(rw_pv/2)*0.866025,NA())</f>
        <v/>
      </c>
      <c r="CJ5">
        <f>IF(inputs_ok,IF(5&lt;nbar_rw,(rw_sv/2+5*rw_sv)+(rw_pv/2)*0.500000,NA()),NA())</f>
        <v/>
      </c>
      <c r="CK5">
        <f>IF(5&lt;nbar_rw,(d1_rw)+(rw_pv/2)*0.866025,NA())</f>
        <v/>
      </c>
      <c r="CM5">
        <f>IF(inputs_ok,IF(6&lt;nbar_rw,(rw_sv/2+6*rw_sv)+(rw_pv/2)*0.500000,NA()),NA())</f>
        <v/>
      </c>
      <c r="CN5">
        <f>IF(6&lt;nbar_rw,(d1_rw)+(rw_pv/2)*0.866025,NA())</f>
        <v/>
      </c>
      <c r="CP5">
        <f>IF(inputs_ok,IF(7&lt;nbar_rw,(rw_sv/2+7*rw_sv)+(rw_pv/2)*0.500000,NA()),NA())</f>
        <v/>
      </c>
      <c r="CQ5">
        <f>IF(7&lt;nbar_rw,(d1_rw)+(rw_pv/2)*0.866025,NA())</f>
        <v/>
      </c>
      <c r="CS5">
        <f>IF(inputs_ok,IF(8&lt;nbar_rw,(rw_sv/2+8*rw_sv)+(rw_pv/2)*0.500000,NA()),NA())</f>
        <v/>
      </c>
      <c r="CT5">
        <f>IF(8&lt;nbar_rw,(d1_rw)+(rw_pv/2)*0.866025,NA())</f>
        <v/>
      </c>
      <c r="CV5">
        <f>IF(inputs_ok,IF(9&lt;nbar_rw,(rw_sv/2+9*rw_sv)+(rw_pv/2)*0.500000,NA()),NA())</f>
        <v/>
      </c>
      <c r="CW5">
        <f>IF(9&lt;nbar_rw,(d1_rw)+(rw_pv/2)*0.866025,NA())</f>
        <v/>
      </c>
      <c r="CY5">
        <f>IF(inputs_ok,IF(10&lt;nbar_rw,(rw_sv/2+10*rw_sv)+(rw_pv/2)*0.500000,NA()),NA())</f>
        <v/>
      </c>
      <c r="CZ5">
        <f>IF(10&lt;nbar_rw,(d1_rw)+(rw_pv/2)*0.866025,NA())</f>
        <v/>
      </c>
      <c r="DB5">
        <f>IF(inputs_ok,IF(11&lt;nbar_rw,(rw_sv/2+11*rw_sv)+(rw_pv/2)*0.500000,NA()),NA())</f>
        <v/>
      </c>
      <c r="DC5">
        <f>IF(11&lt;nbar_rw,(d1_rw)+(rw_pv/2)*0.866025,NA())</f>
        <v/>
      </c>
      <c r="DE5">
        <f>IF(inputs_ok,IF(12&lt;nbar_rw,(rw_sv/2+12*rw_sv)+(rw_pv/2)*0.500000,NA()),NA())</f>
        <v/>
      </c>
      <c r="DF5">
        <f>IF(12&lt;nbar_rw,(d1_rw)+(rw_pv/2)*0.866025,NA())</f>
        <v/>
      </c>
      <c r="DH5">
        <f>IF(inputs_ok,IF(13&lt;nbar_rw,(rw_sv/2+13*rw_sv)+(rw_pv/2)*0.500000,NA()),NA())</f>
        <v/>
      </c>
      <c r="DI5">
        <f>IF(13&lt;nbar_rw,(d1_rw)+(rw_pv/2)*0.866025,NA())</f>
        <v/>
      </c>
      <c r="DK5">
        <f>IF(inputs_ok,IF(14&lt;nbar_rw,(rw_sv/2+14*rw_sv)+(rw_pv/2)*0.500000,NA()),NA())</f>
        <v/>
      </c>
      <c r="DL5">
        <f>IF(14&lt;nbar_rw,(d1_rw)+(rw_pv/2)*0.866025,NA())</f>
        <v/>
      </c>
      <c r="DN5">
        <f>IF(inputs_ok,IF(15&lt;nbar_rw,(rw_sv/2+15*rw_sv)+(rw_pv/2)*0.500000,NA()),NA())</f>
        <v/>
      </c>
      <c r="DO5">
        <f>IF(15&lt;nbar_rw,(d1_rw)+(rw_pv/2)*0.866025,NA())</f>
        <v/>
      </c>
      <c r="DQ5">
        <f>IF(inputs_ok,IF(16&lt;nbar_rw,(rw_sv/2+16*rw_sv)+(rw_pv/2)*0.500000,NA()),NA())</f>
        <v/>
      </c>
      <c r="DR5">
        <f>IF(16&lt;nbar_rw,(d1_rw)+(rw_pv/2)*0.866025,NA())</f>
        <v/>
      </c>
      <c r="DT5">
        <f>IF(inputs_ok,IF(17&lt;nbar_rw,(rw_sv/2+17*rw_sv)+(rw_pv/2)*0.500000,NA()),NA())</f>
        <v/>
      </c>
      <c r="DU5">
        <f>IF(17&lt;nbar_rw,(d1_rw)+(rw_pv/2)*0.866025,NA())</f>
        <v/>
      </c>
      <c r="DW5">
        <f>IF(inputs_ok,IF(18&lt;nbar_rw,(rw_sv/2+18*rw_sv)+(rw_pv/2)*0.500000,NA()),NA())</f>
        <v/>
      </c>
      <c r="DX5">
        <f>IF(18&lt;nbar_rw,(d1_rw)+(rw_pv/2)*0.866025,NA())</f>
        <v/>
      </c>
      <c r="DZ5">
        <f>IF(inputs_ok,IF(19&lt;nbar_rw,(rw_sv/2+19*rw_sv)+(rw_pv/2)*0.500000,NA()),NA())</f>
        <v/>
      </c>
      <c r="EA5">
        <f>IF(19&lt;nbar_rw,(d1_rw)+(rw_pv/2)*0.866025,NA())</f>
        <v/>
      </c>
      <c r="FM5">
        <f>IF(inputs_ok,INDEX(nmM_rw,3)*1.5/Mpk_rw,NA())</f>
        <v/>
      </c>
      <c r="FN5">
        <f>INDEX(nmN_rw,3)/NRdmax_rw</f>
        <v/>
      </c>
    </row>
    <row r="6">
      <c r="D6">
        <f>IF(inputs_ok,0,NA())</f>
        <v/>
      </c>
      <c r="E6">
        <f>rw_h</f>
        <v/>
      </c>
      <c r="M6">
        <f>IF(inputs_ok,IF(0&lt;nbar_rw,(rw_sv/2+0*rw_sv)+(rw_pv/2)*0.000000,NA()),NA())</f>
        <v/>
      </c>
      <c r="N6">
        <f>IF(0&lt;nbar_rw,(rw_h-d1_rw)+(rw_pv/2)*1.000000,NA())</f>
        <v/>
      </c>
      <c r="P6">
        <f>IF(inputs_ok,IF(1&lt;nbar_rw,(rw_sv/2+1*rw_sv)+(rw_pv/2)*0.000000,NA()),NA())</f>
        <v/>
      </c>
      <c r="Q6">
        <f>IF(1&lt;nbar_rw,(rw_h-d1_rw)+(rw_pv/2)*1.000000,NA())</f>
        <v/>
      </c>
      <c r="S6">
        <f>IF(inputs_ok,IF(2&lt;nbar_rw,(rw_sv/2+2*rw_sv)+(rw_pv/2)*0.000000,NA()),NA())</f>
        <v/>
      </c>
      <c r="T6">
        <f>IF(2&lt;nbar_rw,(rw_h-d1_rw)+(rw_pv/2)*1.000000,NA())</f>
        <v/>
      </c>
      <c r="V6">
        <f>IF(inputs_ok,IF(3&lt;nbar_rw,(rw_sv/2+3*rw_sv)+(rw_pv/2)*0.000000,NA()),NA())</f>
        <v/>
      </c>
      <c r="W6">
        <f>IF(3&lt;nbar_rw,(rw_h-d1_rw)+(rw_pv/2)*1.000000,NA())</f>
        <v/>
      </c>
      <c r="Y6">
        <f>IF(inputs_ok,IF(4&lt;nbar_rw,(rw_sv/2+4*rw_sv)+(rw_pv/2)*0.000000,NA()),NA())</f>
        <v/>
      </c>
      <c r="Z6">
        <f>IF(4&lt;nbar_rw,(rw_h-d1_rw)+(rw_pv/2)*1.000000,NA())</f>
        <v/>
      </c>
      <c r="AB6">
        <f>IF(inputs_ok,IF(5&lt;nbar_rw,(rw_sv/2+5*rw_sv)+(rw_pv/2)*0.000000,NA()),NA())</f>
        <v/>
      </c>
      <c r="AC6">
        <f>IF(5&lt;nbar_rw,(rw_h-d1_rw)+(rw_pv/2)*1.000000,NA())</f>
        <v/>
      </c>
      <c r="AE6">
        <f>IF(inputs_ok,IF(6&lt;nbar_rw,(rw_sv/2+6*rw_sv)+(rw_pv/2)*0.000000,NA()),NA())</f>
        <v/>
      </c>
      <c r="AF6">
        <f>IF(6&lt;nbar_rw,(rw_h-d1_rw)+(rw_pv/2)*1.000000,NA())</f>
        <v/>
      </c>
      <c r="AH6">
        <f>IF(inputs_ok,IF(7&lt;nbar_rw,(rw_sv/2+7*rw_sv)+(rw_pv/2)*0.000000,NA()),NA())</f>
        <v/>
      </c>
      <c r="AI6">
        <f>IF(7&lt;nbar_rw,(rw_h-d1_rw)+(rw_pv/2)*1.000000,NA())</f>
        <v/>
      </c>
      <c r="AK6">
        <f>IF(inputs_ok,IF(8&lt;nbar_rw,(rw_sv/2+8*rw_sv)+(rw_pv/2)*0.000000,NA()),NA())</f>
        <v/>
      </c>
      <c r="AL6">
        <f>IF(8&lt;nbar_rw,(rw_h-d1_rw)+(rw_pv/2)*1.000000,NA())</f>
        <v/>
      </c>
      <c r="AN6">
        <f>IF(inputs_ok,IF(9&lt;nbar_rw,(rw_sv/2+9*rw_sv)+(rw_pv/2)*0.000000,NA()),NA())</f>
        <v/>
      </c>
      <c r="AO6">
        <f>IF(9&lt;nbar_rw,(rw_h-d1_rw)+(rw_pv/2)*1.000000,NA())</f>
        <v/>
      </c>
      <c r="AQ6">
        <f>IF(inputs_ok,IF(10&lt;nbar_rw,(rw_sv/2+10*rw_sv)+(rw_pv/2)*0.000000,NA()),NA())</f>
        <v/>
      </c>
      <c r="AR6">
        <f>IF(10&lt;nbar_rw,(rw_h-d1_rw)+(rw_pv/2)*1.000000,NA())</f>
        <v/>
      </c>
      <c r="AT6">
        <f>IF(inputs_ok,IF(11&lt;nbar_rw,(rw_sv/2+11*rw_sv)+(rw_pv/2)*0.000000,NA()),NA())</f>
        <v/>
      </c>
      <c r="AU6">
        <f>IF(11&lt;nbar_rw,(rw_h-d1_rw)+(rw_pv/2)*1.000000,NA())</f>
        <v/>
      </c>
      <c r="AW6">
        <f>IF(inputs_ok,IF(12&lt;nbar_rw,(rw_sv/2+12*rw_sv)+(rw_pv/2)*0.000000,NA()),NA())</f>
        <v/>
      </c>
      <c r="AX6">
        <f>IF(12&lt;nbar_rw,(rw_h-d1_rw)+(rw_pv/2)*1.000000,NA())</f>
        <v/>
      </c>
      <c r="AZ6">
        <f>IF(inputs_ok,IF(13&lt;nbar_rw,(rw_sv/2+13*rw_sv)+(rw_pv/2)*0.000000,NA()),NA())</f>
        <v/>
      </c>
      <c r="BA6">
        <f>IF(13&lt;nbar_rw,(rw_h-d1_rw)+(rw_pv/2)*1.000000,NA())</f>
        <v/>
      </c>
      <c r="BC6">
        <f>IF(inputs_ok,IF(14&lt;nbar_rw,(rw_sv/2+14*rw_sv)+(rw_pv/2)*0.000000,NA()),NA())</f>
        <v/>
      </c>
      <c r="BD6">
        <f>IF(14&lt;nbar_rw,(rw_h-d1_rw)+(rw_pv/2)*1.000000,NA())</f>
        <v/>
      </c>
      <c r="BF6">
        <f>IF(inputs_ok,IF(15&lt;nbar_rw,(rw_sv/2+15*rw_sv)+(rw_pv/2)*0.000000,NA()),NA())</f>
        <v/>
      </c>
      <c r="BG6">
        <f>IF(15&lt;nbar_rw,(rw_h-d1_rw)+(rw_pv/2)*1.000000,NA())</f>
        <v/>
      </c>
      <c r="BI6">
        <f>IF(inputs_ok,IF(16&lt;nbar_rw,(rw_sv/2+16*rw_sv)+(rw_pv/2)*0.000000,NA()),NA())</f>
        <v/>
      </c>
      <c r="BJ6">
        <f>IF(16&lt;nbar_rw,(rw_h-d1_rw)+(rw_pv/2)*1.000000,NA())</f>
        <v/>
      </c>
      <c r="BL6">
        <f>IF(inputs_ok,IF(17&lt;nbar_rw,(rw_sv/2+17*rw_sv)+(rw_pv/2)*0.000000,NA()),NA())</f>
        <v/>
      </c>
      <c r="BM6">
        <f>IF(17&lt;nbar_rw,(rw_h-d1_rw)+(rw_pv/2)*1.000000,NA())</f>
        <v/>
      </c>
      <c r="BO6">
        <f>IF(inputs_ok,IF(18&lt;nbar_rw,(rw_sv/2+18*rw_sv)+(rw_pv/2)*0.000000,NA()),NA())</f>
        <v/>
      </c>
      <c r="BP6">
        <f>IF(18&lt;nbar_rw,(rw_h-d1_rw)+(rw_pv/2)*1.000000,NA())</f>
        <v/>
      </c>
      <c r="BR6">
        <f>IF(inputs_ok,IF(19&lt;nbar_rw,(rw_sv/2+19*rw_sv)+(rw_pv/2)*0.000000,NA()),NA())</f>
        <v/>
      </c>
      <c r="BS6">
        <f>IF(19&lt;nbar_rw,(rw_h-d1_rw)+(rw_pv/2)*1.000000,NA())</f>
        <v/>
      </c>
      <c r="BU6">
        <f>IF(inputs_ok,IF(0&lt;nbar_rw,(rw_sv/2+0*rw_sv)+(rw_pv/2)*0.000000,NA()),NA())</f>
        <v/>
      </c>
      <c r="BV6">
        <f>IF(0&lt;nbar_rw,(d1_rw)+(rw_pv/2)*1.000000,NA())</f>
        <v/>
      </c>
      <c r="BX6">
        <f>IF(inputs_ok,IF(1&lt;nbar_rw,(rw_sv/2+1*rw_sv)+(rw_pv/2)*0.000000,NA()),NA())</f>
        <v/>
      </c>
      <c r="BY6">
        <f>IF(1&lt;nbar_rw,(d1_rw)+(rw_pv/2)*1.000000,NA())</f>
        <v/>
      </c>
      <c r="CA6">
        <f>IF(inputs_ok,IF(2&lt;nbar_rw,(rw_sv/2+2*rw_sv)+(rw_pv/2)*0.000000,NA()),NA())</f>
        <v/>
      </c>
      <c r="CB6">
        <f>IF(2&lt;nbar_rw,(d1_rw)+(rw_pv/2)*1.000000,NA())</f>
        <v/>
      </c>
      <c r="CD6">
        <f>IF(inputs_ok,IF(3&lt;nbar_rw,(rw_sv/2+3*rw_sv)+(rw_pv/2)*0.000000,NA()),NA())</f>
        <v/>
      </c>
      <c r="CE6">
        <f>IF(3&lt;nbar_rw,(d1_rw)+(rw_pv/2)*1.000000,NA())</f>
        <v/>
      </c>
      <c r="CG6">
        <f>IF(inputs_ok,IF(4&lt;nbar_rw,(rw_sv/2+4*rw_sv)+(rw_pv/2)*0.000000,NA()),NA())</f>
        <v/>
      </c>
      <c r="CH6">
        <f>IF(4&lt;nbar_rw,(d1_rw)+(rw_pv/2)*1.000000,NA())</f>
        <v/>
      </c>
      <c r="CJ6">
        <f>IF(inputs_ok,IF(5&lt;nbar_rw,(rw_sv/2+5*rw_sv)+(rw_pv/2)*0.000000,NA()),NA())</f>
        <v/>
      </c>
      <c r="CK6">
        <f>IF(5&lt;nbar_rw,(d1_rw)+(rw_pv/2)*1.000000,NA())</f>
        <v/>
      </c>
      <c r="CM6">
        <f>IF(inputs_ok,IF(6&lt;nbar_rw,(rw_sv/2+6*rw_sv)+(rw_pv/2)*0.000000,NA()),NA())</f>
        <v/>
      </c>
      <c r="CN6">
        <f>IF(6&lt;nbar_rw,(d1_rw)+(rw_pv/2)*1.000000,NA())</f>
        <v/>
      </c>
      <c r="CP6">
        <f>IF(inputs_ok,IF(7&lt;nbar_rw,(rw_sv/2+7*rw_sv)+(rw_pv/2)*0.000000,NA()),NA())</f>
        <v/>
      </c>
      <c r="CQ6">
        <f>IF(7&lt;nbar_rw,(d1_rw)+(rw_pv/2)*1.000000,NA())</f>
        <v/>
      </c>
      <c r="CS6">
        <f>IF(inputs_ok,IF(8&lt;nbar_rw,(rw_sv/2+8*rw_sv)+(rw_pv/2)*0.000000,NA()),NA())</f>
        <v/>
      </c>
      <c r="CT6">
        <f>IF(8&lt;nbar_rw,(d1_rw)+(rw_pv/2)*1.000000,NA())</f>
        <v/>
      </c>
      <c r="CV6">
        <f>IF(inputs_ok,IF(9&lt;nbar_rw,(rw_sv/2+9*rw_sv)+(rw_pv/2)*0.000000,NA()),NA())</f>
        <v/>
      </c>
      <c r="CW6">
        <f>IF(9&lt;nbar_rw,(d1_rw)+(rw_pv/2)*1.000000,NA())</f>
        <v/>
      </c>
      <c r="CY6">
        <f>IF(inputs_ok,IF(10&lt;nbar_rw,(rw_sv/2+10*rw_sv)+(rw_pv/2)*0.000000,NA()),NA())</f>
        <v/>
      </c>
      <c r="CZ6">
        <f>IF(10&lt;nbar_rw,(d1_rw)+(rw_pv/2)*1.000000,NA())</f>
        <v/>
      </c>
      <c r="DB6">
        <f>IF(inputs_ok,IF(11&lt;nbar_rw,(rw_sv/2+11*rw_sv)+(rw_pv/2)*0.000000,NA()),NA())</f>
        <v/>
      </c>
      <c r="DC6">
        <f>IF(11&lt;nbar_rw,(d1_rw)+(rw_pv/2)*1.000000,NA())</f>
        <v/>
      </c>
      <c r="DE6">
        <f>IF(inputs_ok,IF(12&lt;nbar_rw,(rw_sv/2+12*rw_sv)+(rw_pv/2)*0.000000,NA()),NA())</f>
        <v/>
      </c>
      <c r="DF6">
        <f>IF(12&lt;nbar_rw,(d1_rw)+(rw_pv/2)*1.000000,NA())</f>
        <v/>
      </c>
      <c r="DH6">
        <f>IF(inputs_ok,IF(13&lt;nbar_rw,(rw_sv/2+13*rw_sv)+(rw_pv/2)*0.000000,NA()),NA())</f>
        <v/>
      </c>
      <c r="DI6">
        <f>IF(13&lt;nbar_rw,(d1_rw)+(rw_pv/2)*1.000000,NA())</f>
        <v/>
      </c>
      <c r="DK6">
        <f>IF(inputs_ok,IF(14&lt;nbar_rw,(rw_sv/2+14*rw_sv)+(rw_pv/2)*0.000000,NA()),NA())</f>
        <v/>
      </c>
      <c r="DL6">
        <f>IF(14&lt;nbar_rw,(d1_rw)+(rw_pv/2)*1.000000,NA())</f>
        <v/>
      </c>
      <c r="DN6">
        <f>IF(inputs_ok,IF(15&lt;nbar_rw,(rw_sv/2+15*rw_sv)+(rw_pv/2)*0.000000,NA()),NA())</f>
        <v/>
      </c>
      <c r="DO6">
        <f>IF(15&lt;nbar_rw,(d1_rw)+(rw_pv/2)*1.000000,NA())</f>
        <v/>
      </c>
      <c r="DQ6">
        <f>IF(inputs_ok,IF(16&lt;nbar_rw,(rw_sv/2+16*rw_sv)+(rw_pv/2)*0.000000,NA()),NA())</f>
        <v/>
      </c>
      <c r="DR6">
        <f>IF(16&lt;nbar_rw,(d1_rw)+(rw_pv/2)*1.000000,NA())</f>
        <v/>
      </c>
      <c r="DT6">
        <f>IF(inputs_ok,IF(17&lt;nbar_rw,(rw_sv/2+17*rw_sv)+(rw_pv/2)*0.000000,NA()),NA())</f>
        <v/>
      </c>
      <c r="DU6">
        <f>IF(17&lt;nbar_rw,(d1_rw)+(rw_pv/2)*1.000000,NA())</f>
        <v/>
      </c>
      <c r="DW6">
        <f>IF(inputs_ok,IF(18&lt;nbar_rw,(rw_sv/2+18*rw_sv)+(rw_pv/2)*0.000000,NA()),NA())</f>
        <v/>
      </c>
      <c r="DX6">
        <f>IF(18&lt;nbar_rw,(d1_rw)+(rw_pv/2)*1.000000,NA())</f>
        <v/>
      </c>
      <c r="DZ6">
        <f>IF(inputs_ok,IF(19&lt;nbar_rw,(rw_sv/2+19*rw_sv)+(rw_pv/2)*0.000000,NA()),NA())</f>
        <v/>
      </c>
      <c r="EA6">
        <f>IF(19&lt;nbar_rw,(d1_rw)+(rw_pv/2)*1.000000,NA())</f>
        <v/>
      </c>
      <c r="FM6">
        <f>IF(inputs_ok,INDEX(nmM_rw,4)*1.5/Mpk_rw,NA())</f>
        <v/>
      </c>
      <c r="FN6">
        <f>INDEX(nmN_rw,4)/NRdmax_rw</f>
        <v/>
      </c>
    </row>
    <row r="7">
      <c r="D7">
        <f>IF(inputs_ok,0,NA())</f>
        <v/>
      </c>
      <c r="E7">
        <f>0</f>
        <v/>
      </c>
      <c r="M7">
        <f>IF(inputs_ok,IF(0&lt;nbar_rw,(rw_sv/2+0*rw_sv)+(rw_pv/2)*-0.500000,NA()),NA())</f>
        <v/>
      </c>
      <c r="N7">
        <f>IF(0&lt;nbar_rw,(rw_h-d1_rw)+(rw_pv/2)*0.866025,NA())</f>
        <v/>
      </c>
      <c r="P7">
        <f>IF(inputs_ok,IF(1&lt;nbar_rw,(rw_sv/2+1*rw_sv)+(rw_pv/2)*-0.500000,NA()),NA())</f>
        <v/>
      </c>
      <c r="Q7">
        <f>IF(1&lt;nbar_rw,(rw_h-d1_rw)+(rw_pv/2)*0.866025,NA())</f>
        <v/>
      </c>
      <c r="S7">
        <f>IF(inputs_ok,IF(2&lt;nbar_rw,(rw_sv/2+2*rw_sv)+(rw_pv/2)*-0.500000,NA()),NA())</f>
        <v/>
      </c>
      <c r="T7">
        <f>IF(2&lt;nbar_rw,(rw_h-d1_rw)+(rw_pv/2)*0.866025,NA())</f>
        <v/>
      </c>
      <c r="V7">
        <f>IF(inputs_ok,IF(3&lt;nbar_rw,(rw_sv/2+3*rw_sv)+(rw_pv/2)*-0.500000,NA()),NA())</f>
        <v/>
      </c>
      <c r="W7">
        <f>IF(3&lt;nbar_rw,(rw_h-d1_rw)+(rw_pv/2)*0.866025,NA())</f>
        <v/>
      </c>
      <c r="Y7">
        <f>IF(inputs_ok,IF(4&lt;nbar_rw,(rw_sv/2+4*rw_sv)+(rw_pv/2)*-0.500000,NA()),NA())</f>
        <v/>
      </c>
      <c r="Z7">
        <f>IF(4&lt;nbar_rw,(rw_h-d1_rw)+(rw_pv/2)*0.866025,NA())</f>
        <v/>
      </c>
      <c r="AB7">
        <f>IF(inputs_ok,IF(5&lt;nbar_rw,(rw_sv/2+5*rw_sv)+(rw_pv/2)*-0.500000,NA()),NA())</f>
        <v/>
      </c>
      <c r="AC7">
        <f>IF(5&lt;nbar_rw,(rw_h-d1_rw)+(rw_pv/2)*0.866025,NA())</f>
        <v/>
      </c>
      <c r="AE7">
        <f>IF(inputs_ok,IF(6&lt;nbar_rw,(rw_sv/2+6*rw_sv)+(rw_pv/2)*-0.500000,NA()),NA())</f>
        <v/>
      </c>
      <c r="AF7">
        <f>IF(6&lt;nbar_rw,(rw_h-d1_rw)+(rw_pv/2)*0.866025,NA())</f>
        <v/>
      </c>
      <c r="AH7">
        <f>IF(inputs_ok,IF(7&lt;nbar_rw,(rw_sv/2+7*rw_sv)+(rw_pv/2)*-0.500000,NA()),NA())</f>
        <v/>
      </c>
      <c r="AI7">
        <f>IF(7&lt;nbar_rw,(rw_h-d1_rw)+(rw_pv/2)*0.866025,NA())</f>
        <v/>
      </c>
      <c r="AK7">
        <f>IF(inputs_ok,IF(8&lt;nbar_rw,(rw_sv/2+8*rw_sv)+(rw_pv/2)*-0.500000,NA()),NA())</f>
        <v/>
      </c>
      <c r="AL7">
        <f>IF(8&lt;nbar_rw,(rw_h-d1_rw)+(rw_pv/2)*0.866025,NA())</f>
        <v/>
      </c>
      <c r="AN7">
        <f>IF(inputs_ok,IF(9&lt;nbar_rw,(rw_sv/2+9*rw_sv)+(rw_pv/2)*-0.500000,NA()),NA())</f>
        <v/>
      </c>
      <c r="AO7">
        <f>IF(9&lt;nbar_rw,(rw_h-d1_rw)+(rw_pv/2)*0.866025,NA())</f>
        <v/>
      </c>
      <c r="AQ7">
        <f>IF(inputs_ok,IF(10&lt;nbar_rw,(rw_sv/2+10*rw_sv)+(rw_pv/2)*-0.500000,NA()),NA())</f>
        <v/>
      </c>
      <c r="AR7">
        <f>IF(10&lt;nbar_rw,(rw_h-d1_rw)+(rw_pv/2)*0.866025,NA())</f>
        <v/>
      </c>
      <c r="AT7">
        <f>IF(inputs_ok,IF(11&lt;nbar_rw,(rw_sv/2+11*rw_sv)+(rw_pv/2)*-0.500000,NA()),NA())</f>
        <v/>
      </c>
      <c r="AU7">
        <f>IF(11&lt;nbar_rw,(rw_h-d1_rw)+(rw_pv/2)*0.866025,NA())</f>
        <v/>
      </c>
      <c r="AW7">
        <f>IF(inputs_ok,IF(12&lt;nbar_rw,(rw_sv/2+12*rw_sv)+(rw_pv/2)*-0.500000,NA()),NA())</f>
        <v/>
      </c>
      <c r="AX7">
        <f>IF(12&lt;nbar_rw,(rw_h-d1_rw)+(rw_pv/2)*0.866025,NA())</f>
        <v/>
      </c>
      <c r="AZ7">
        <f>IF(inputs_ok,IF(13&lt;nbar_rw,(rw_sv/2+13*rw_sv)+(rw_pv/2)*-0.500000,NA()),NA())</f>
        <v/>
      </c>
      <c r="BA7">
        <f>IF(13&lt;nbar_rw,(rw_h-d1_rw)+(rw_pv/2)*0.866025,NA())</f>
        <v/>
      </c>
      <c r="BC7">
        <f>IF(inputs_ok,IF(14&lt;nbar_rw,(rw_sv/2+14*rw_sv)+(rw_pv/2)*-0.500000,NA()),NA())</f>
        <v/>
      </c>
      <c r="BD7">
        <f>IF(14&lt;nbar_rw,(rw_h-d1_rw)+(rw_pv/2)*0.866025,NA())</f>
        <v/>
      </c>
      <c r="BF7">
        <f>IF(inputs_ok,IF(15&lt;nbar_rw,(rw_sv/2+15*rw_sv)+(rw_pv/2)*-0.500000,NA()),NA())</f>
        <v/>
      </c>
      <c r="BG7">
        <f>IF(15&lt;nbar_rw,(rw_h-d1_rw)+(rw_pv/2)*0.866025,NA())</f>
        <v/>
      </c>
      <c r="BI7">
        <f>IF(inputs_ok,IF(16&lt;nbar_rw,(rw_sv/2+16*rw_sv)+(rw_pv/2)*-0.500000,NA()),NA())</f>
        <v/>
      </c>
      <c r="BJ7">
        <f>IF(16&lt;nbar_rw,(rw_h-d1_rw)+(rw_pv/2)*0.866025,NA())</f>
        <v/>
      </c>
      <c r="BL7">
        <f>IF(inputs_ok,IF(17&lt;nbar_rw,(rw_sv/2+17*rw_sv)+(rw_pv/2)*-0.500000,NA()),NA())</f>
        <v/>
      </c>
      <c r="BM7">
        <f>IF(17&lt;nbar_rw,(rw_h-d1_rw)+(rw_pv/2)*0.866025,NA())</f>
        <v/>
      </c>
      <c r="BO7">
        <f>IF(inputs_ok,IF(18&lt;nbar_rw,(rw_sv/2+18*rw_sv)+(rw_pv/2)*-0.500000,NA()),NA())</f>
        <v/>
      </c>
      <c r="BP7">
        <f>IF(18&lt;nbar_rw,(rw_h-d1_rw)+(rw_pv/2)*0.866025,NA())</f>
        <v/>
      </c>
      <c r="BR7">
        <f>IF(inputs_ok,IF(19&lt;nbar_rw,(rw_sv/2+19*rw_sv)+(rw_pv/2)*-0.500000,NA()),NA())</f>
        <v/>
      </c>
      <c r="BS7">
        <f>IF(19&lt;nbar_rw,(rw_h-d1_rw)+(rw_pv/2)*0.866025,NA())</f>
        <v/>
      </c>
      <c r="BU7">
        <f>IF(inputs_ok,IF(0&lt;nbar_rw,(rw_sv/2+0*rw_sv)+(rw_pv/2)*-0.500000,NA()),NA())</f>
        <v/>
      </c>
      <c r="BV7">
        <f>IF(0&lt;nbar_rw,(d1_rw)+(rw_pv/2)*0.866025,NA())</f>
        <v/>
      </c>
      <c r="BX7">
        <f>IF(inputs_ok,IF(1&lt;nbar_rw,(rw_sv/2+1*rw_sv)+(rw_pv/2)*-0.500000,NA()),NA())</f>
        <v/>
      </c>
      <c r="BY7">
        <f>IF(1&lt;nbar_rw,(d1_rw)+(rw_pv/2)*0.866025,NA())</f>
        <v/>
      </c>
      <c r="CA7">
        <f>IF(inputs_ok,IF(2&lt;nbar_rw,(rw_sv/2+2*rw_sv)+(rw_pv/2)*-0.500000,NA()),NA())</f>
        <v/>
      </c>
      <c r="CB7">
        <f>IF(2&lt;nbar_rw,(d1_rw)+(rw_pv/2)*0.866025,NA())</f>
        <v/>
      </c>
      <c r="CD7">
        <f>IF(inputs_ok,IF(3&lt;nbar_rw,(rw_sv/2+3*rw_sv)+(rw_pv/2)*-0.500000,NA()),NA())</f>
        <v/>
      </c>
      <c r="CE7">
        <f>IF(3&lt;nbar_rw,(d1_rw)+(rw_pv/2)*0.866025,NA())</f>
        <v/>
      </c>
      <c r="CG7">
        <f>IF(inputs_ok,IF(4&lt;nbar_rw,(rw_sv/2+4*rw_sv)+(rw_pv/2)*-0.500000,NA()),NA())</f>
        <v/>
      </c>
      <c r="CH7">
        <f>IF(4&lt;nbar_rw,(d1_rw)+(rw_pv/2)*0.866025,NA())</f>
        <v/>
      </c>
      <c r="CJ7">
        <f>IF(inputs_ok,IF(5&lt;nbar_rw,(rw_sv/2+5*rw_sv)+(rw_pv/2)*-0.500000,NA()),NA())</f>
        <v/>
      </c>
      <c r="CK7">
        <f>IF(5&lt;nbar_rw,(d1_rw)+(rw_pv/2)*0.866025,NA())</f>
        <v/>
      </c>
      <c r="CM7">
        <f>IF(inputs_ok,IF(6&lt;nbar_rw,(rw_sv/2+6*rw_sv)+(rw_pv/2)*-0.500000,NA()),NA())</f>
        <v/>
      </c>
      <c r="CN7">
        <f>IF(6&lt;nbar_rw,(d1_rw)+(rw_pv/2)*0.866025,NA())</f>
        <v/>
      </c>
      <c r="CP7">
        <f>IF(inputs_ok,IF(7&lt;nbar_rw,(rw_sv/2+7*rw_sv)+(rw_pv/2)*-0.500000,NA()),NA())</f>
        <v/>
      </c>
      <c r="CQ7">
        <f>IF(7&lt;nbar_rw,(d1_rw)+(rw_pv/2)*0.866025,NA())</f>
        <v/>
      </c>
      <c r="CS7">
        <f>IF(inputs_ok,IF(8&lt;nbar_rw,(rw_sv/2+8*rw_sv)+(rw_pv/2)*-0.500000,NA()),NA())</f>
        <v/>
      </c>
      <c r="CT7">
        <f>IF(8&lt;nbar_rw,(d1_rw)+(rw_pv/2)*0.866025,NA())</f>
        <v/>
      </c>
      <c r="CV7">
        <f>IF(inputs_ok,IF(9&lt;nbar_rw,(rw_sv/2+9*rw_sv)+(rw_pv/2)*-0.500000,NA()),NA())</f>
        <v/>
      </c>
      <c r="CW7">
        <f>IF(9&lt;nbar_rw,(d1_rw)+(rw_pv/2)*0.866025,NA())</f>
        <v/>
      </c>
      <c r="CY7">
        <f>IF(inputs_ok,IF(10&lt;nbar_rw,(rw_sv/2+10*rw_sv)+(rw_pv/2)*-0.500000,NA()),NA())</f>
        <v/>
      </c>
      <c r="CZ7">
        <f>IF(10&lt;nbar_rw,(d1_rw)+(rw_pv/2)*0.866025,NA())</f>
        <v/>
      </c>
      <c r="DB7">
        <f>IF(inputs_ok,IF(11&lt;nbar_rw,(rw_sv/2+11*rw_sv)+(rw_pv/2)*-0.500000,NA()),NA())</f>
        <v/>
      </c>
      <c r="DC7">
        <f>IF(11&lt;nbar_rw,(d1_rw)+(rw_pv/2)*0.866025,NA())</f>
        <v/>
      </c>
      <c r="DE7">
        <f>IF(inputs_ok,IF(12&lt;nbar_rw,(rw_sv/2+12*rw_sv)+(rw_pv/2)*-0.500000,NA()),NA())</f>
        <v/>
      </c>
      <c r="DF7">
        <f>IF(12&lt;nbar_rw,(d1_rw)+(rw_pv/2)*0.866025,NA())</f>
        <v/>
      </c>
      <c r="DH7">
        <f>IF(inputs_ok,IF(13&lt;nbar_rw,(rw_sv/2+13*rw_sv)+(rw_pv/2)*-0.500000,NA()),NA())</f>
        <v/>
      </c>
      <c r="DI7">
        <f>IF(13&lt;nbar_rw,(d1_rw)+(rw_pv/2)*0.866025,NA())</f>
        <v/>
      </c>
      <c r="DK7">
        <f>IF(inputs_ok,IF(14&lt;nbar_rw,(rw_sv/2+14*rw_sv)+(rw_pv/2)*-0.500000,NA()),NA())</f>
        <v/>
      </c>
      <c r="DL7">
        <f>IF(14&lt;nbar_rw,(d1_rw)+(rw_pv/2)*0.866025,NA())</f>
        <v/>
      </c>
      <c r="DN7">
        <f>IF(inputs_ok,IF(15&lt;nbar_rw,(rw_sv/2+15*rw_sv)+(rw_pv/2)*-0.500000,NA()),NA())</f>
        <v/>
      </c>
      <c r="DO7">
        <f>IF(15&lt;nbar_rw,(d1_rw)+(rw_pv/2)*0.866025,NA())</f>
        <v/>
      </c>
      <c r="DQ7">
        <f>IF(inputs_ok,IF(16&lt;nbar_rw,(rw_sv/2+16*rw_sv)+(rw_pv/2)*-0.500000,NA()),NA())</f>
        <v/>
      </c>
      <c r="DR7">
        <f>IF(16&lt;nbar_rw,(d1_rw)+(rw_pv/2)*0.866025,NA())</f>
        <v/>
      </c>
      <c r="DT7">
        <f>IF(inputs_ok,IF(17&lt;nbar_rw,(rw_sv/2+17*rw_sv)+(rw_pv/2)*-0.500000,NA()),NA())</f>
        <v/>
      </c>
      <c r="DU7">
        <f>IF(17&lt;nbar_rw,(d1_rw)+(rw_pv/2)*0.866025,NA())</f>
        <v/>
      </c>
      <c r="DW7">
        <f>IF(inputs_ok,IF(18&lt;nbar_rw,(rw_sv/2+18*rw_sv)+(rw_pv/2)*-0.500000,NA()),NA())</f>
        <v/>
      </c>
      <c r="DX7">
        <f>IF(18&lt;nbar_rw,(d1_rw)+(rw_pv/2)*0.866025,NA())</f>
        <v/>
      </c>
      <c r="DZ7">
        <f>IF(inputs_ok,IF(19&lt;nbar_rw,(rw_sv/2+19*rw_sv)+(rw_pv/2)*-0.500000,NA()),NA())</f>
        <v/>
      </c>
      <c r="EA7">
        <f>IF(19&lt;nbar_rw,(d1_rw)+(rw_pv/2)*0.866025,NA())</f>
        <v/>
      </c>
      <c r="FM7">
        <f>IF(inputs_ok,INDEX(nmM_rw,5)*1.5/Mpk_rw,NA())</f>
        <v/>
      </c>
      <c r="FN7">
        <f>INDEX(nmN_rw,5)/NRdmax_rw</f>
        <v/>
      </c>
    </row>
    <row r="8">
      <c r="M8">
        <f>IF(inputs_ok,IF(0&lt;nbar_rw,(rw_sv/2+0*rw_sv)+(rw_pv/2)*-0.866025,NA()),NA())</f>
        <v/>
      </c>
      <c r="N8">
        <f>IF(0&lt;nbar_rw,(rw_h-d1_rw)+(rw_pv/2)*0.500000,NA())</f>
        <v/>
      </c>
      <c r="P8">
        <f>IF(inputs_ok,IF(1&lt;nbar_rw,(rw_sv/2+1*rw_sv)+(rw_pv/2)*-0.866025,NA()),NA())</f>
        <v/>
      </c>
      <c r="Q8">
        <f>IF(1&lt;nbar_rw,(rw_h-d1_rw)+(rw_pv/2)*0.500000,NA())</f>
        <v/>
      </c>
      <c r="S8">
        <f>IF(inputs_ok,IF(2&lt;nbar_rw,(rw_sv/2+2*rw_sv)+(rw_pv/2)*-0.866025,NA()),NA())</f>
        <v/>
      </c>
      <c r="T8">
        <f>IF(2&lt;nbar_rw,(rw_h-d1_rw)+(rw_pv/2)*0.500000,NA())</f>
        <v/>
      </c>
      <c r="V8">
        <f>IF(inputs_ok,IF(3&lt;nbar_rw,(rw_sv/2+3*rw_sv)+(rw_pv/2)*-0.866025,NA()),NA())</f>
        <v/>
      </c>
      <c r="W8">
        <f>IF(3&lt;nbar_rw,(rw_h-d1_rw)+(rw_pv/2)*0.500000,NA())</f>
        <v/>
      </c>
      <c r="Y8">
        <f>IF(inputs_ok,IF(4&lt;nbar_rw,(rw_sv/2+4*rw_sv)+(rw_pv/2)*-0.866025,NA()),NA())</f>
        <v/>
      </c>
      <c r="Z8">
        <f>IF(4&lt;nbar_rw,(rw_h-d1_rw)+(rw_pv/2)*0.500000,NA())</f>
        <v/>
      </c>
      <c r="AB8">
        <f>IF(inputs_ok,IF(5&lt;nbar_rw,(rw_sv/2+5*rw_sv)+(rw_pv/2)*-0.866025,NA()),NA())</f>
        <v/>
      </c>
      <c r="AC8">
        <f>IF(5&lt;nbar_rw,(rw_h-d1_rw)+(rw_pv/2)*0.500000,NA())</f>
        <v/>
      </c>
      <c r="AE8">
        <f>IF(inputs_ok,IF(6&lt;nbar_rw,(rw_sv/2+6*rw_sv)+(rw_pv/2)*-0.866025,NA()),NA())</f>
        <v/>
      </c>
      <c r="AF8">
        <f>IF(6&lt;nbar_rw,(rw_h-d1_rw)+(rw_pv/2)*0.500000,NA())</f>
        <v/>
      </c>
      <c r="AH8">
        <f>IF(inputs_ok,IF(7&lt;nbar_rw,(rw_sv/2+7*rw_sv)+(rw_pv/2)*-0.866025,NA()),NA())</f>
        <v/>
      </c>
      <c r="AI8">
        <f>IF(7&lt;nbar_rw,(rw_h-d1_rw)+(rw_pv/2)*0.500000,NA())</f>
        <v/>
      </c>
      <c r="AK8">
        <f>IF(inputs_ok,IF(8&lt;nbar_rw,(rw_sv/2+8*rw_sv)+(rw_pv/2)*-0.866025,NA()),NA())</f>
        <v/>
      </c>
      <c r="AL8">
        <f>IF(8&lt;nbar_rw,(rw_h-d1_rw)+(rw_pv/2)*0.500000,NA())</f>
        <v/>
      </c>
      <c r="AN8">
        <f>IF(inputs_ok,IF(9&lt;nbar_rw,(rw_sv/2+9*rw_sv)+(rw_pv/2)*-0.866025,NA()),NA())</f>
        <v/>
      </c>
      <c r="AO8">
        <f>IF(9&lt;nbar_rw,(rw_h-d1_rw)+(rw_pv/2)*0.500000,NA())</f>
        <v/>
      </c>
      <c r="AQ8">
        <f>IF(inputs_ok,IF(10&lt;nbar_rw,(rw_sv/2+10*rw_sv)+(rw_pv/2)*-0.866025,NA()),NA())</f>
        <v/>
      </c>
      <c r="AR8">
        <f>IF(10&lt;nbar_rw,(rw_h-d1_rw)+(rw_pv/2)*0.500000,NA())</f>
        <v/>
      </c>
      <c r="AT8">
        <f>IF(inputs_ok,IF(11&lt;nbar_rw,(rw_sv/2+11*rw_sv)+(rw_pv/2)*-0.866025,NA()),NA())</f>
        <v/>
      </c>
      <c r="AU8">
        <f>IF(11&lt;nbar_rw,(rw_h-d1_rw)+(rw_pv/2)*0.500000,NA())</f>
        <v/>
      </c>
      <c r="AW8">
        <f>IF(inputs_ok,IF(12&lt;nbar_rw,(rw_sv/2+12*rw_sv)+(rw_pv/2)*-0.866025,NA()),NA())</f>
        <v/>
      </c>
      <c r="AX8">
        <f>IF(12&lt;nbar_rw,(rw_h-d1_rw)+(rw_pv/2)*0.500000,NA())</f>
        <v/>
      </c>
      <c r="AZ8">
        <f>IF(inputs_ok,IF(13&lt;nbar_rw,(rw_sv/2+13*rw_sv)+(rw_pv/2)*-0.866025,NA()),NA())</f>
        <v/>
      </c>
      <c r="BA8">
        <f>IF(13&lt;nbar_rw,(rw_h-d1_rw)+(rw_pv/2)*0.500000,NA())</f>
        <v/>
      </c>
      <c r="BC8">
        <f>IF(inputs_ok,IF(14&lt;nbar_rw,(rw_sv/2+14*rw_sv)+(rw_pv/2)*-0.866025,NA()),NA())</f>
        <v/>
      </c>
      <c r="BD8">
        <f>IF(14&lt;nbar_rw,(rw_h-d1_rw)+(rw_pv/2)*0.500000,NA())</f>
        <v/>
      </c>
      <c r="BF8">
        <f>IF(inputs_ok,IF(15&lt;nbar_rw,(rw_sv/2+15*rw_sv)+(rw_pv/2)*-0.866025,NA()),NA())</f>
        <v/>
      </c>
      <c r="BG8">
        <f>IF(15&lt;nbar_rw,(rw_h-d1_rw)+(rw_pv/2)*0.500000,NA())</f>
        <v/>
      </c>
      <c r="BI8">
        <f>IF(inputs_ok,IF(16&lt;nbar_rw,(rw_sv/2+16*rw_sv)+(rw_pv/2)*-0.866025,NA()),NA())</f>
        <v/>
      </c>
      <c r="BJ8">
        <f>IF(16&lt;nbar_rw,(rw_h-d1_rw)+(rw_pv/2)*0.500000,NA())</f>
        <v/>
      </c>
      <c r="BL8">
        <f>IF(inputs_ok,IF(17&lt;nbar_rw,(rw_sv/2+17*rw_sv)+(rw_pv/2)*-0.866025,NA()),NA())</f>
        <v/>
      </c>
      <c r="BM8">
        <f>IF(17&lt;nbar_rw,(rw_h-d1_rw)+(rw_pv/2)*0.500000,NA())</f>
        <v/>
      </c>
      <c r="BO8">
        <f>IF(inputs_ok,IF(18&lt;nbar_rw,(rw_sv/2+18*rw_sv)+(rw_pv/2)*-0.866025,NA()),NA())</f>
        <v/>
      </c>
      <c r="BP8">
        <f>IF(18&lt;nbar_rw,(rw_h-d1_rw)+(rw_pv/2)*0.500000,NA())</f>
        <v/>
      </c>
      <c r="BR8">
        <f>IF(inputs_ok,IF(19&lt;nbar_rw,(rw_sv/2+19*rw_sv)+(rw_pv/2)*-0.866025,NA()),NA())</f>
        <v/>
      </c>
      <c r="BS8">
        <f>IF(19&lt;nbar_rw,(rw_h-d1_rw)+(rw_pv/2)*0.500000,NA())</f>
        <v/>
      </c>
      <c r="BU8">
        <f>IF(inputs_ok,IF(0&lt;nbar_rw,(rw_sv/2+0*rw_sv)+(rw_pv/2)*-0.866025,NA()),NA())</f>
        <v/>
      </c>
      <c r="BV8">
        <f>IF(0&lt;nbar_rw,(d1_rw)+(rw_pv/2)*0.500000,NA())</f>
        <v/>
      </c>
      <c r="BX8">
        <f>IF(inputs_ok,IF(1&lt;nbar_rw,(rw_sv/2+1*rw_sv)+(rw_pv/2)*-0.866025,NA()),NA())</f>
        <v/>
      </c>
      <c r="BY8">
        <f>IF(1&lt;nbar_rw,(d1_rw)+(rw_pv/2)*0.500000,NA())</f>
        <v/>
      </c>
      <c r="CA8">
        <f>IF(inputs_ok,IF(2&lt;nbar_rw,(rw_sv/2+2*rw_sv)+(rw_pv/2)*-0.866025,NA()),NA())</f>
        <v/>
      </c>
      <c r="CB8">
        <f>IF(2&lt;nbar_rw,(d1_rw)+(rw_pv/2)*0.500000,NA())</f>
        <v/>
      </c>
      <c r="CD8">
        <f>IF(inputs_ok,IF(3&lt;nbar_rw,(rw_sv/2+3*rw_sv)+(rw_pv/2)*-0.866025,NA()),NA())</f>
        <v/>
      </c>
      <c r="CE8">
        <f>IF(3&lt;nbar_rw,(d1_rw)+(rw_pv/2)*0.500000,NA())</f>
        <v/>
      </c>
      <c r="CG8">
        <f>IF(inputs_ok,IF(4&lt;nbar_rw,(rw_sv/2+4*rw_sv)+(rw_pv/2)*-0.866025,NA()),NA())</f>
        <v/>
      </c>
      <c r="CH8">
        <f>IF(4&lt;nbar_rw,(d1_rw)+(rw_pv/2)*0.500000,NA())</f>
        <v/>
      </c>
      <c r="CJ8">
        <f>IF(inputs_ok,IF(5&lt;nbar_rw,(rw_sv/2+5*rw_sv)+(rw_pv/2)*-0.866025,NA()),NA())</f>
        <v/>
      </c>
      <c r="CK8">
        <f>IF(5&lt;nbar_rw,(d1_rw)+(rw_pv/2)*0.500000,NA())</f>
        <v/>
      </c>
      <c r="CM8">
        <f>IF(inputs_ok,IF(6&lt;nbar_rw,(rw_sv/2+6*rw_sv)+(rw_pv/2)*-0.866025,NA()),NA())</f>
        <v/>
      </c>
      <c r="CN8">
        <f>IF(6&lt;nbar_rw,(d1_rw)+(rw_pv/2)*0.500000,NA())</f>
        <v/>
      </c>
      <c r="CP8">
        <f>IF(inputs_ok,IF(7&lt;nbar_rw,(rw_sv/2+7*rw_sv)+(rw_pv/2)*-0.866025,NA()),NA())</f>
        <v/>
      </c>
      <c r="CQ8">
        <f>IF(7&lt;nbar_rw,(d1_rw)+(rw_pv/2)*0.500000,NA())</f>
        <v/>
      </c>
      <c r="CS8">
        <f>IF(inputs_ok,IF(8&lt;nbar_rw,(rw_sv/2+8*rw_sv)+(rw_pv/2)*-0.866025,NA()),NA())</f>
        <v/>
      </c>
      <c r="CT8">
        <f>IF(8&lt;nbar_rw,(d1_rw)+(rw_pv/2)*0.500000,NA())</f>
        <v/>
      </c>
      <c r="CV8">
        <f>IF(inputs_ok,IF(9&lt;nbar_rw,(rw_sv/2+9*rw_sv)+(rw_pv/2)*-0.866025,NA()),NA())</f>
        <v/>
      </c>
      <c r="CW8">
        <f>IF(9&lt;nbar_rw,(d1_rw)+(rw_pv/2)*0.500000,NA())</f>
        <v/>
      </c>
      <c r="CY8">
        <f>IF(inputs_ok,IF(10&lt;nbar_rw,(rw_sv/2+10*rw_sv)+(rw_pv/2)*-0.866025,NA()),NA())</f>
        <v/>
      </c>
      <c r="CZ8">
        <f>IF(10&lt;nbar_rw,(d1_rw)+(rw_pv/2)*0.500000,NA())</f>
        <v/>
      </c>
      <c r="DB8">
        <f>IF(inputs_ok,IF(11&lt;nbar_rw,(rw_sv/2+11*rw_sv)+(rw_pv/2)*-0.866025,NA()),NA())</f>
        <v/>
      </c>
      <c r="DC8">
        <f>IF(11&lt;nbar_rw,(d1_rw)+(rw_pv/2)*0.500000,NA())</f>
        <v/>
      </c>
      <c r="DE8">
        <f>IF(inputs_ok,IF(12&lt;nbar_rw,(rw_sv/2+12*rw_sv)+(rw_pv/2)*-0.866025,NA()),NA())</f>
        <v/>
      </c>
      <c r="DF8">
        <f>IF(12&lt;nbar_rw,(d1_rw)+(rw_pv/2)*0.500000,NA())</f>
        <v/>
      </c>
      <c r="DH8">
        <f>IF(inputs_ok,IF(13&lt;nbar_rw,(rw_sv/2+13*rw_sv)+(rw_pv/2)*-0.866025,NA()),NA())</f>
        <v/>
      </c>
      <c r="DI8">
        <f>IF(13&lt;nbar_rw,(d1_rw)+(rw_pv/2)*0.500000,NA())</f>
        <v/>
      </c>
      <c r="DK8">
        <f>IF(inputs_ok,IF(14&lt;nbar_rw,(rw_sv/2+14*rw_sv)+(rw_pv/2)*-0.866025,NA()),NA())</f>
        <v/>
      </c>
      <c r="DL8">
        <f>IF(14&lt;nbar_rw,(d1_rw)+(rw_pv/2)*0.500000,NA())</f>
        <v/>
      </c>
      <c r="DN8">
        <f>IF(inputs_ok,IF(15&lt;nbar_rw,(rw_sv/2+15*rw_sv)+(rw_pv/2)*-0.866025,NA()),NA())</f>
        <v/>
      </c>
      <c r="DO8">
        <f>IF(15&lt;nbar_rw,(d1_rw)+(rw_pv/2)*0.500000,NA())</f>
        <v/>
      </c>
      <c r="DQ8">
        <f>IF(inputs_ok,IF(16&lt;nbar_rw,(rw_sv/2+16*rw_sv)+(rw_pv/2)*-0.866025,NA()),NA())</f>
        <v/>
      </c>
      <c r="DR8">
        <f>IF(16&lt;nbar_rw,(d1_rw)+(rw_pv/2)*0.500000,NA())</f>
        <v/>
      </c>
      <c r="DT8">
        <f>IF(inputs_ok,IF(17&lt;nbar_rw,(rw_sv/2+17*rw_sv)+(rw_pv/2)*-0.866025,NA()),NA())</f>
        <v/>
      </c>
      <c r="DU8">
        <f>IF(17&lt;nbar_rw,(d1_rw)+(rw_pv/2)*0.500000,NA())</f>
        <v/>
      </c>
      <c r="DW8">
        <f>IF(inputs_ok,IF(18&lt;nbar_rw,(rw_sv/2+18*rw_sv)+(rw_pv/2)*-0.866025,NA()),NA())</f>
        <v/>
      </c>
      <c r="DX8">
        <f>IF(18&lt;nbar_rw,(d1_rw)+(rw_pv/2)*0.500000,NA())</f>
        <v/>
      </c>
      <c r="DZ8">
        <f>IF(inputs_ok,IF(19&lt;nbar_rw,(rw_sv/2+19*rw_sv)+(rw_pv/2)*-0.866025,NA()),NA())</f>
        <v/>
      </c>
      <c r="EA8">
        <f>IF(19&lt;nbar_rw,(d1_rw)+(rw_pv/2)*0.500000,NA())</f>
        <v/>
      </c>
      <c r="FM8">
        <f>IF(inputs_ok,INDEX(nmM_rw,6)*1.5/Mpk_rw,NA())</f>
        <v/>
      </c>
      <c r="FN8">
        <f>INDEX(nmN_rw,6)/NRdmax_rw</f>
        <v/>
      </c>
    </row>
    <row r="9">
      <c r="M9">
        <f>IF(inputs_ok,IF(0&lt;nbar_rw,(rw_sv/2+0*rw_sv)+(rw_pv/2)*-1.000000,NA()),NA())</f>
        <v/>
      </c>
      <c r="N9">
        <f>IF(0&lt;nbar_rw,(rw_h-d1_rw)+(rw_pv/2)*0.000000,NA())</f>
        <v/>
      </c>
      <c r="P9">
        <f>IF(inputs_ok,IF(1&lt;nbar_rw,(rw_sv/2+1*rw_sv)+(rw_pv/2)*-1.000000,NA()),NA())</f>
        <v/>
      </c>
      <c r="Q9">
        <f>IF(1&lt;nbar_rw,(rw_h-d1_rw)+(rw_pv/2)*0.000000,NA())</f>
        <v/>
      </c>
      <c r="S9">
        <f>IF(inputs_ok,IF(2&lt;nbar_rw,(rw_sv/2+2*rw_sv)+(rw_pv/2)*-1.000000,NA()),NA())</f>
        <v/>
      </c>
      <c r="T9">
        <f>IF(2&lt;nbar_rw,(rw_h-d1_rw)+(rw_pv/2)*0.000000,NA())</f>
        <v/>
      </c>
      <c r="V9">
        <f>IF(inputs_ok,IF(3&lt;nbar_rw,(rw_sv/2+3*rw_sv)+(rw_pv/2)*-1.000000,NA()),NA())</f>
        <v/>
      </c>
      <c r="W9">
        <f>IF(3&lt;nbar_rw,(rw_h-d1_rw)+(rw_pv/2)*0.000000,NA())</f>
        <v/>
      </c>
      <c r="Y9">
        <f>IF(inputs_ok,IF(4&lt;nbar_rw,(rw_sv/2+4*rw_sv)+(rw_pv/2)*-1.000000,NA()),NA())</f>
        <v/>
      </c>
      <c r="Z9">
        <f>IF(4&lt;nbar_rw,(rw_h-d1_rw)+(rw_pv/2)*0.000000,NA())</f>
        <v/>
      </c>
      <c r="AB9">
        <f>IF(inputs_ok,IF(5&lt;nbar_rw,(rw_sv/2+5*rw_sv)+(rw_pv/2)*-1.000000,NA()),NA())</f>
        <v/>
      </c>
      <c r="AC9">
        <f>IF(5&lt;nbar_rw,(rw_h-d1_rw)+(rw_pv/2)*0.000000,NA())</f>
        <v/>
      </c>
      <c r="AE9">
        <f>IF(inputs_ok,IF(6&lt;nbar_rw,(rw_sv/2+6*rw_sv)+(rw_pv/2)*-1.000000,NA()),NA())</f>
        <v/>
      </c>
      <c r="AF9">
        <f>IF(6&lt;nbar_rw,(rw_h-d1_rw)+(rw_pv/2)*0.000000,NA())</f>
        <v/>
      </c>
      <c r="AH9">
        <f>IF(inputs_ok,IF(7&lt;nbar_rw,(rw_sv/2+7*rw_sv)+(rw_pv/2)*-1.000000,NA()),NA())</f>
        <v/>
      </c>
      <c r="AI9">
        <f>IF(7&lt;nbar_rw,(rw_h-d1_rw)+(rw_pv/2)*0.000000,NA())</f>
        <v/>
      </c>
      <c r="AK9">
        <f>IF(inputs_ok,IF(8&lt;nbar_rw,(rw_sv/2+8*rw_sv)+(rw_pv/2)*-1.000000,NA()),NA())</f>
        <v/>
      </c>
      <c r="AL9">
        <f>IF(8&lt;nbar_rw,(rw_h-d1_rw)+(rw_pv/2)*0.000000,NA())</f>
        <v/>
      </c>
      <c r="AN9">
        <f>IF(inputs_ok,IF(9&lt;nbar_rw,(rw_sv/2+9*rw_sv)+(rw_pv/2)*-1.000000,NA()),NA())</f>
        <v/>
      </c>
      <c r="AO9">
        <f>IF(9&lt;nbar_rw,(rw_h-d1_rw)+(rw_pv/2)*0.000000,NA())</f>
        <v/>
      </c>
      <c r="AQ9">
        <f>IF(inputs_ok,IF(10&lt;nbar_rw,(rw_sv/2+10*rw_sv)+(rw_pv/2)*-1.000000,NA()),NA())</f>
        <v/>
      </c>
      <c r="AR9">
        <f>IF(10&lt;nbar_rw,(rw_h-d1_rw)+(rw_pv/2)*0.000000,NA())</f>
        <v/>
      </c>
      <c r="AT9">
        <f>IF(inputs_ok,IF(11&lt;nbar_rw,(rw_sv/2+11*rw_sv)+(rw_pv/2)*-1.000000,NA()),NA())</f>
        <v/>
      </c>
      <c r="AU9">
        <f>IF(11&lt;nbar_rw,(rw_h-d1_rw)+(rw_pv/2)*0.000000,NA())</f>
        <v/>
      </c>
      <c r="AW9">
        <f>IF(inputs_ok,IF(12&lt;nbar_rw,(rw_sv/2+12*rw_sv)+(rw_pv/2)*-1.000000,NA()),NA())</f>
        <v/>
      </c>
      <c r="AX9">
        <f>IF(12&lt;nbar_rw,(rw_h-d1_rw)+(rw_pv/2)*0.000000,NA())</f>
        <v/>
      </c>
      <c r="AZ9">
        <f>IF(inputs_ok,IF(13&lt;nbar_rw,(rw_sv/2+13*rw_sv)+(rw_pv/2)*-1.000000,NA()),NA())</f>
        <v/>
      </c>
      <c r="BA9">
        <f>IF(13&lt;nbar_rw,(rw_h-d1_rw)+(rw_pv/2)*0.000000,NA())</f>
        <v/>
      </c>
      <c r="BC9">
        <f>IF(inputs_ok,IF(14&lt;nbar_rw,(rw_sv/2+14*rw_sv)+(rw_pv/2)*-1.000000,NA()),NA())</f>
        <v/>
      </c>
      <c r="BD9">
        <f>IF(14&lt;nbar_rw,(rw_h-d1_rw)+(rw_pv/2)*0.000000,NA())</f>
        <v/>
      </c>
      <c r="BF9">
        <f>IF(inputs_ok,IF(15&lt;nbar_rw,(rw_sv/2+15*rw_sv)+(rw_pv/2)*-1.000000,NA()),NA())</f>
        <v/>
      </c>
      <c r="BG9">
        <f>IF(15&lt;nbar_rw,(rw_h-d1_rw)+(rw_pv/2)*0.000000,NA())</f>
        <v/>
      </c>
      <c r="BI9">
        <f>IF(inputs_ok,IF(16&lt;nbar_rw,(rw_sv/2+16*rw_sv)+(rw_pv/2)*-1.000000,NA()),NA())</f>
        <v/>
      </c>
      <c r="BJ9">
        <f>IF(16&lt;nbar_rw,(rw_h-d1_rw)+(rw_pv/2)*0.000000,NA())</f>
        <v/>
      </c>
      <c r="BL9">
        <f>IF(inputs_ok,IF(17&lt;nbar_rw,(rw_sv/2+17*rw_sv)+(rw_pv/2)*-1.000000,NA()),NA())</f>
        <v/>
      </c>
      <c r="BM9">
        <f>IF(17&lt;nbar_rw,(rw_h-d1_rw)+(rw_pv/2)*0.000000,NA())</f>
        <v/>
      </c>
      <c r="BO9">
        <f>IF(inputs_ok,IF(18&lt;nbar_rw,(rw_sv/2+18*rw_sv)+(rw_pv/2)*-1.000000,NA()),NA())</f>
        <v/>
      </c>
      <c r="BP9">
        <f>IF(18&lt;nbar_rw,(rw_h-d1_rw)+(rw_pv/2)*0.000000,NA())</f>
        <v/>
      </c>
      <c r="BR9">
        <f>IF(inputs_ok,IF(19&lt;nbar_rw,(rw_sv/2+19*rw_sv)+(rw_pv/2)*-1.000000,NA()),NA())</f>
        <v/>
      </c>
      <c r="BS9">
        <f>IF(19&lt;nbar_rw,(rw_h-d1_rw)+(rw_pv/2)*0.000000,NA())</f>
        <v/>
      </c>
      <c r="BU9">
        <f>IF(inputs_ok,IF(0&lt;nbar_rw,(rw_sv/2+0*rw_sv)+(rw_pv/2)*-1.000000,NA()),NA())</f>
        <v/>
      </c>
      <c r="BV9">
        <f>IF(0&lt;nbar_rw,(d1_rw)+(rw_pv/2)*0.000000,NA())</f>
        <v/>
      </c>
      <c r="BX9">
        <f>IF(inputs_ok,IF(1&lt;nbar_rw,(rw_sv/2+1*rw_sv)+(rw_pv/2)*-1.000000,NA()),NA())</f>
        <v/>
      </c>
      <c r="BY9">
        <f>IF(1&lt;nbar_rw,(d1_rw)+(rw_pv/2)*0.000000,NA())</f>
        <v/>
      </c>
      <c r="CA9">
        <f>IF(inputs_ok,IF(2&lt;nbar_rw,(rw_sv/2+2*rw_sv)+(rw_pv/2)*-1.000000,NA()),NA())</f>
        <v/>
      </c>
      <c r="CB9">
        <f>IF(2&lt;nbar_rw,(d1_rw)+(rw_pv/2)*0.000000,NA())</f>
        <v/>
      </c>
      <c r="CD9">
        <f>IF(inputs_ok,IF(3&lt;nbar_rw,(rw_sv/2+3*rw_sv)+(rw_pv/2)*-1.000000,NA()),NA())</f>
        <v/>
      </c>
      <c r="CE9">
        <f>IF(3&lt;nbar_rw,(d1_rw)+(rw_pv/2)*0.000000,NA())</f>
        <v/>
      </c>
      <c r="CG9">
        <f>IF(inputs_ok,IF(4&lt;nbar_rw,(rw_sv/2+4*rw_sv)+(rw_pv/2)*-1.000000,NA()),NA())</f>
        <v/>
      </c>
      <c r="CH9">
        <f>IF(4&lt;nbar_rw,(d1_rw)+(rw_pv/2)*0.000000,NA())</f>
        <v/>
      </c>
      <c r="CJ9">
        <f>IF(inputs_ok,IF(5&lt;nbar_rw,(rw_sv/2+5*rw_sv)+(rw_pv/2)*-1.000000,NA()),NA())</f>
        <v/>
      </c>
      <c r="CK9">
        <f>IF(5&lt;nbar_rw,(d1_rw)+(rw_pv/2)*0.000000,NA())</f>
        <v/>
      </c>
      <c r="CM9">
        <f>IF(inputs_ok,IF(6&lt;nbar_rw,(rw_sv/2+6*rw_sv)+(rw_pv/2)*-1.000000,NA()),NA())</f>
        <v/>
      </c>
      <c r="CN9">
        <f>IF(6&lt;nbar_rw,(d1_rw)+(rw_pv/2)*0.000000,NA())</f>
        <v/>
      </c>
      <c r="CP9">
        <f>IF(inputs_ok,IF(7&lt;nbar_rw,(rw_sv/2+7*rw_sv)+(rw_pv/2)*-1.000000,NA()),NA())</f>
        <v/>
      </c>
      <c r="CQ9">
        <f>IF(7&lt;nbar_rw,(d1_rw)+(rw_pv/2)*0.000000,NA())</f>
        <v/>
      </c>
      <c r="CS9">
        <f>IF(inputs_ok,IF(8&lt;nbar_rw,(rw_sv/2+8*rw_sv)+(rw_pv/2)*-1.000000,NA()),NA())</f>
        <v/>
      </c>
      <c r="CT9">
        <f>IF(8&lt;nbar_rw,(d1_rw)+(rw_pv/2)*0.000000,NA())</f>
        <v/>
      </c>
      <c r="CV9">
        <f>IF(inputs_ok,IF(9&lt;nbar_rw,(rw_sv/2+9*rw_sv)+(rw_pv/2)*-1.000000,NA()),NA())</f>
        <v/>
      </c>
      <c r="CW9">
        <f>IF(9&lt;nbar_rw,(d1_rw)+(rw_pv/2)*0.000000,NA())</f>
        <v/>
      </c>
      <c r="CY9">
        <f>IF(inputs_ok,IF(10&lt;nbar_rw,(rw_sv/2+10*rw_sv)+(rw_pv/2)*-1.000000,NA()),NA())</f>
        <v/>
      </c>
      <c r="CZ9">
        <f>IF(10&lt;nbar_rw,(d1_rw)+(rw_pv/2)*0.000000,NA())</f>
        <v/>
      </c>
      <c r="DB9">
        <f>IF(inputs_ok,IF(11&lt;nbar_rw,(rw_sv/2+11*rw_sv)+(rw_pv/2)*-1.000000,NA()),NA())</f>
        <v/>
      </c>
      <c r="DC9">
        <f>IF(11&lt;nbar_rw,(d1_rw)+(rw_pv/2)*0.000000,NA())</f>
        <v/>
      </c>
      <c r="DE9">
        <f>IF(inputs_ok,IF(12&lt;nbar_rw,(rw_sv/2+12*rw_sv)+(rw_pv/2)*-1.000000,NA()),NA())</f>
        <v/>
      </c>
      <c r="DF9">
        <f>IF(12&lt;nbar_rw,(d1_rw)+(rw_pv/2)*0.000000,NA())</f>
        <v/>
      </c>
      <c r="DH9">
        <f>IF(inputs_ok,IF(13&lt;nbar_rw,(rw_sv/2+13*rw_sv)+(rw_pv/2)*-1.000000,NA()),NA())</f>
        <v/>
      </c>
      <c r="DI9">
        <f>IF(13&lt;nbar_rw,(d1_rw)+(rw_pv/2)*0.000000,NA())</f>
        <v/>
      </c>
      <c r="DK9">
        <f>IF(inputs_ok,IF(14&lt;nbar_rw,(rw_sv/2+14*rw_sv)+(rw_pv/2)*-1.000000,NA()),NA())</f>
        <v/>
      </c>
      <c r="DL9">
        <f>IF(14&lt;nbar_rw,(d1_rw)+(rw_pv/2)*0.000000,NA())</f>
        <v/>
      </c>
      <c r="DN9">
        <f>IF(inputs_ok,IF(15&lt;nbar_rw,(rw_sv/2+15*rw_sv)+(rw_pv/2)*-1.000000,NA()),NA())</f>
        <v/>
      </c>
      <c r="DO9">
        <f>IF(15&lt;nbar_rw,(d1_rw)+(rw_pv/2)*0.000000,NA())</f>
        <v/>
      </c>
      <c r="DQ9">
        <f>IF(inputs_ok,IF(16&lt;nbar_rw,(rw_sv/2+16*rw_sv)+(rw_pv/2)*-1.000000,NA()),NA())</f>
        <v/>
      </c>
      <c r="DR9">
        <f>IF(16&lt;nbar_rw,(d1_rw)+(rw_pv/2)*0.000000,NA())</f>
        <v/>
      </c>
      <c r="DT9">
        <f>IF(inputs_ok,IF(17&lt;nbar_rw,(rw_sv/2+17*rw_sv)+(rw_pv/2)*-1.000000,NA()),NA())</f>
        <v/>
      </c>
      <c r="DU9">
        <f>IF(17&lt;nbar_rw,(d1_rw)+(rw_pv/2)*0.000000,NA())</f>
        <v/>
      </c>
      <c r="DW9">
        <f>IF(inputs_ok,IF(18&lt;nbar_rw,(rw_sv/2+18*rw_sv)+(rw_pv/2)*-1.000000,NA()),NA())</f>
        <v/>
      </c>
      <c r="DX9">
        <f>IF(18&lt;nbar_rw,(d1_rw)+(rw_pv/2)*0.000000,NA())</f>
        <v/>
      </c>
      <c r="DZ9">
        <f>IF(inputs_ok,IF(19&lt;nbar_rw,(rw_sv/2+19*rw_sv)+(rw_pv/2)*-1.000000,NA()),NA())</f>
        <v/>
      </c>
      <c r="EA9">
        <f>IF(19&lt;nbar_rw,(d1_rw)+(rw_pv/2)*0.000000,NA())</f>
        <v/>
      </c>
      <c r="FM9">
        <f>IF(inputs_ok,INDEX(nmM_rw,7)*1.5/Mpk_rw,NA())</f>
        <v/>
      </c>
      <c r="FN9">
        <f>INDEX(nmN_rw,7)/NRdmax_rw</f>
        <v/>
      </c>
    </row>
    <row r="10">
      <c r="M10">
        <f>IF(inputs_ok,IF(0&lt;nbar_rw,(rw_sv/2+0*rw_sv)+(rw_pv/2)*-0.866025,NA()),NA())</f>
        <v/>
      </c>
      <c r="N10">
        <f>IF(0&lt;nbar_rw,(rw_h-d1_rw)+(rw_pv/2)*-0.500000,NA())</f>
        <v/>
      </c>
      <c r="P10">
        <f>IF(inputs_ok,IF(1&lt;nbar_rw,(rw_sv/2+1*rw_sv)+(rw_pv/2)*-0.866025,NA()),NA())</f>
        <v/>
      </c>
      <c r="Q10">
        <f>IF(1&lt;nbar_rw,(rw_h-d1_rw)+(rw_pv/2)*-0.500000,NA())</f>
        <v/>
      </c>
      <c r="S10">
        <f>IF(inputs_ok,IF(2&lt;nbar_rw,(rw_sv/2+2*rw_sv)+(rw_pv/2)*-0.866025,NA()),NA())</f>
        <v/>
      </c>
      <c r="T10">
        <f>IF(2&lt;nbar_rw,(rw_h-d1_rw)+(rw_pv/2)*-0.500000,NA())</f>
        <v/>
      </c>
      <c r="V10">
        <f>IF(inputs_ok,IF(3&lt;nbar_rw,(rw_sv/2+3*rw_sv)+(rw_pv/2)*-0.866025,NA()),NA())</f>
        <v/>
      </c>
      <c r="W10">
        <f>IF(3&lt;nbar_rw,(rw_h-d1_rw)+(rw_pv/2)*-0.500000,NA())</f>
        <v/>
      </c>
      <c r="Y10">
        <f>IF(inputs_ok,IF(4&lt;nbar_rw,(rw_sv/2+4*rw_sv)+(rw_pv/2)*-0.866025,NA()),NA())</f>
        <v/>
      </c>
      <c r="Z10">
        <f>IF(4&lt;nbar_rw,(rw_h-d1_rw)+(rw_pv/2)*-0.500000,NA())</f>
        <v/>
      </c>
      <c r="AB10">
        <f>IF(inputs_ok,IF(5&lt;nbar_rw,(rw_sv/2+5*rw_sv)+(rw_pv/2)*-0.866025,NA()),NA())</f>
        <v/>
      </c>
      <c r="AC10">
        <f>IF(5&lt;nbar_rw,(rw_h-d1_rw)+(rw_pv/2)*-0.500000,NA())</f>
        <v/>
      </c>
      <c r="AE10">
        <f>IF(inputs_ok,IF(6&lt;nbar_rw,(rw_sv/2+6*rw_sv)+(rw_pv/2)*-0.866025,NA()),NA())</f>
        <v/>
      </c>
      <c r="AF10">
        <f>IF(6&lt;nbar_rw,(rw_h-d1_rw)+(rw_pv/2)*-0.500000,NA())</f>
        <v/>
      </c>
      <c r="AH10">
        <f>IF(inputs_ok,IF(7&lt;nbar_rw,(rw_sv/2+7*rw_sv)+(rw_pv/2)*-0.866025,NA()),NA())</f>
        <v/>
      </c>
      <c r="AI10">
        <f>IF(7&lt;nbar_rw,(rw_h-d1_rw)+(rw_pv/2)*-0.500000,NA())</f>
        <v/>
      </c>
      <c r="AK10">
        <f>IF(inputs_ok,IF(8&lt;nbar_rw,(rw_sv/2+8*rw_sv)+(rw_pv/2)*-0.866025,NA()),NA())</f>
        <v/>
      </c>
      <c r="AL10">
        <f>IF(8&lt;nbar_rw,(rw_h-d1_rw)+(rw_pv/2)*-0.500000,NA())</f>
        <v/>
      </c>
      <c r="AN10">
        <f>IF(inputs_ok,IF(9&lt;nbar_rw,(rw_sv/2+9*rw_sv)+(rw_pv/2)*-0.866025,NA()),NA())</f>
        <v/>
      </c>
      <c r="AO10">
        <f>IF(9&lt;nbar_rw,(rw_h-d1_rw)+(rw_pv/2)*-0.500000,NA())</f>
        <v/>
      </c>
      <c r="AQ10">
        <f>IF(inputs_ok,IF(10&lt;nbar_rw,(rw_sv/2+10*rw_sv)+(rw_pv/2)*-0.866025,NA()),NA())</f>
        <v/>
      </c>
      <c r="AR10">
        <f>IF(10&lt;nbar_rw,(rw_h-d1_rw)+(rw_pv/2)*-0.500000,NA())</f>
        <v/>
      </c>
      <c r="AT10">
        <f>IF(inputs_ok,IF(11&lt;nbar_rw,(rw_sv/2+11*rw_sv)+(rw_pv/2)*-0.866025,NA()),NA())</f>
        <v/>
      </c>
      <c r="AU10">
        <f>IF(11&lt;nbar_rw,(rw_h-d1_rw)+(rw_pv/2)*-0.500000,NA())</f>
        <v/>
      </c>
      <c r="AW10">
        <f>IF(inputs_ok,IF(12&lt;nbar_rw,(rw_sv/2+12*rw_sv)+(rw_pv/2)*-0.866025,NA()),NA())</f>
        <v/>
      </c>
      <c r="AX10">
        <f>IF(12&lt;nbar_rw,(rw_h-d1_rw)+(rw_pv/2)*-0.500000,NA())</f>
        <v/>
      </c>
      <c r="AZ10">
        <f>IF(inputs_ok,IF(13&lt;nbar_rw,(rw_sv/2+13*rw_sv)+(rw_pv/2)*-0.866025,NA()),NA())</f>
        <v/>
      </c>
      <c r="BA10">
        <f>IF(13&lt;nbar_rw,(rw_h-d1_rw)+(rw_pv/2)*-0.500000,NA())</f>
        <v/>
      </c>
      <c r="BC10">
        <f>IF(inputs_ok,IF(14&lt;nbar_rw,(rw_sv/2+14*rw_sv)+(rw_pv/2)*-0.866025,NA()),NA())</f>
        <v/>
      </c>
      <c r="BD10">
        <f>IF(14&lt;nbar_rw,(rw_h-d1_rw)+(rw_pv/2)*-0.500000,NA())</f>
        <v/>
      </c>
      <c r="BF10">
        <f>IF(inputs_ok,IF(15&lt;nbar_rw,(rw_sv/2+15*rw_sv)+(rw_pv/2)*-0.866025,NA()),NA())</f>
        <v/>
      </c>
      <c r="BG10">
        <f>IF(15&lt;nbar_rw,(rw_h-d1_rw)+(rw_pv/2)*-0.500000,NA())</f>
        <v/>
      </c>
      <c r="BI10">
        <f>IF(inputs_ok,IF(16&lt;nbar_rw,(rw_sv/2+16*rw_sv)+(rw_pv/2)*-0.866025,NA()),NA())</f>
        <v/>
      </c>
      <c r="BJ10">
        <f>IF(16&lt;nbar_rw,(rw_h-d1_rw)+(rw_pv/2)*-0.500000,NA())</f>
        <v/>
      </c>
      <c r="BL10">
        <f>IF(inputs_ok,IF(17&lt;nbar_rw,(rw_sv/2+17*rw_sv)+(rw_pv/2)*-0.866025,NA()),NA())</f>
        <v/>
      </c>
      <c r="BM10">
        <f>IF(17&lt;nbar_rw,(rw_h-d1_rw)+(rw_pv/2)*-0.500000,NA())</f>
        <v/>
      </c>
      <c r="BO10">
        <f>IF(inputs_ok,IF(18&lt;nbar_rw,(rw_sv/2+18*rw_sv)+(rw_pv/2)*-0.866025,NA()),NA())</f>
        <v/>
      </c>
      <c r="BP10">
        <f>IF(18&lt;nbar_rw,(rw_h-d1_rw)+(rw_pv/2)*-0.500000,NA())</f>
        <v/>
      </c>
      <c r="BR10">
        <f>IF(inputs_ok,IF(19&lt;nbar_rw,(rw_sv/2+19*rw_sv)+(rw_pv/2)*-0.866025,NA()),NA())</f>
        <v/>
      </c>
      <c r="BS10">
        <f>IF(19&lt;nbar_rw,(rw_h-d1_rw)+(rw_pv/2)*-0.500000,NA())</f>
        <v/>
      </c>
      <c r="BU10">
        <f>IF(inputs_ok,IF(0&lt;nbar_rw,(rw_sv/2+0*rw_sv)+(rw_pv/2)*-0.866025,NA()),NA())</f>
        <v/>
      </c>
      <c r="BV10">
        <f>IF(0&lt;nbar_rw,(d1_rw)+(rw_pv/2)*-0.500000,NA())</f>
        <v/>
      </c>
      <c r="BX10">
        <f>IF(inputs_ok,IF(1&lt;nbar_rw,(rw_sv/2+1*rw_sv)+(rw_pv/2)*-0.866025,NA()),NA())</f>
        <v/>
      </c>
      <c r="BY10">
        <f>IF(1&lt;nbar_rw,(d1_rw)+(rw_pv/2)*-0.500000,NA())</f>
        <v/>
      </c>
      <c r="CA10">
        <f>IF(inputs_ok,IF(2&lt;nbar_rw,(rw_sv/2+2*rw_sv)+(rw_pv/2)*-0.866025,NA()),NA())</f>
        <v/>
      </c>
      <c r="CB10">
        <f>IF(2&lt;nbar_rw,(d1_rw)+(rw_pv/2)*-0.500000,NA())</f>
        <v/>
      </c>
      <c r="CD10">
        <f>IF(inputs_ok,IF(3&lt;nbar_rw,(rw_sv/2+3*rw_sv)+(rw_pv/2)*-0.866025,NA()),NA())</f>
        <v/>
      </c>
      <c r="CE10">
        <f>IF(3&lt;nbar_rw,(d1_rw)+(rw_pv/2)*-0.500000,NA())</f>
        <v/>
      </c>
      <c r="CG10">
        <f>IF(inputs_ok,IF(4&lt;nbar_rw,(rw_sv/2+4*rw_sv)+(rw_pv/2)*-0.866025,NA()),NA())</f>
        <v/>
      </c>
      <c r="CH10">
        <f>IF(4&lt;nbar_rw,(d1_rw)+(rw_pv/2)*-0.500000,NA())</f>
        <v/>
      </c>
      <c r="CJ10">
        <f>IF(inputs_ok,IF(5&lt;nbar_rw,(rw_sv/2+5*rw_sv)+(rw_pv/2)*-0.866025,NA()),NA())</f>
        <v/>
      </c>
      <c r="CK10">
        <f>IF(5&lt;nbar_rw,(d1_rw)+(rw_pv/2)*-0.500000,NA())</f>
        <v/>
      </c>
      <c r="CM10">
        <f>IF(inputs_ok,IF(6&lt;nbar_rw,(rw_sv/2+6*rw_sv)+(rw_pv/2)*-0.866025,NA()),NA())</f>
        <v/>
      </c>
      <c r="CN10">
        <f>IF(6&lt;nbar_rw,(d1_rw)+(rw_pv/2)*-0.500000,NA())</f>
        <v/>
      </c>
      <c r="CP10">
        <f>IF(inputs_ok,IF(7&lt;nbar_rw,(rw_sv/2+7*rw_sv)+(rw_pv/2)*-0.866025,NA()),NA())</f>
        <v/>
      </c>
      <c r="CQ10">
        <f>IF(7&lt;nbar_rw,(d1_rw)+(rw_pv/2)*-0.500000,NA())</f>
        <v/>
      </c>
      <c r="CS10">
        <f>IF(inputs_ok,IF(8&lt;nbar_rw,(rw_sv/2+8*rw_sv)+(rw_pv/2)*-0.866025,NA()),NA())</f>
        <v/>
      </c>
      <c r="CT10">
        <f>IF(8&lt;nbar_rw,(d1_rw)+(rw_pv/2)*-0.500000,NA())</f>
        <v/>
      </c>
      <c r="CV10">
        <f>IF(inputs_ok,IF(9&lt;nbar_rw,(rw_sv/2+9*rw_sv)+(rw_pv/2)*-0.866025,NA()),NA())</f>
        <v/>
      </c>
      <c r="CW10">
        <f>IF(9&lt;nbar_rw,(d1_rw)+(rw_pv/2)*-0.500000,NA())</f>
        <v/>
      </c>
      <c r="CY10">
        <f>IF(inputs_ok,IF(10&lt;nbar_rw,(rw_sv/2+10*rw_sv)+(rw_pv/2)*-0.866025,NA()),NA())</f>
        <v/>
      </c>
      <c r="CZ10">
        <f>IF(10&lt;nbar_rw,(d1_rw)+(rw_pv/2)*-0.500000,NA())</f>
        <v/>
      </c>
      <c r="DB10">
        <f>IF(inputs_ok,IF(11&lt;nbar_rw,(rw_sv/2+11*rw_sv)+(rw_pv/2)*-0.866025,NA()),NA())</f>
        <v/>
      </c>
      <c r="DC10">
        <f>IF(11&lt;nbar_rw,(d1_rw)+(rw_pv/2)*-0.500000,NA())</f>
        <v/>
      </c>
      <c r="DE10">
        <f>IF(inputs_ok,IF(12&lt;nbar_rw,(rw_sv/2+12*rw_sv)+(rw_pv/2)*-0.866025,NA()),NA())</f>
        <v/>
      </c>
      <c r="DF10">
        <f>IF(12&lt;nbar_rw,(d1_rw)+(rw_pv/2)*-0.500000,NA())</f>
        <v/>
      </c>
      <c r="DH10">
        <f>IF(inputs_ok,IF(13&lt;nbar_rw,(rw_sv/2+13*rw_sv)+(rw_pv/2)*-0.866025,NA()),NA())</f>
        <v/>
      </c>
      <c r="DI10">
        <f>IF(13&lt;nbar_rw,(d1_rw)+(rw_pv/2)*-0.500000,NA())</f>
        <v/>
      </c>
      <c r="DK10">
        <f>IF(inputs_ok,IF(14&lt;nbar_rw,(rw_sv/2+14*rw_sv)+(rw_pv/2)*-0.866025,NA()),NA())</f>
        <v/>
      </c>
      <c r="DL10">
        <f>IF(14&lt;nbar_rw,(d1_rw)+(rw_pv/2)*-0.500000,NA())</f>
        <v/>
      </c>
      <c r="DN10">
        <f>IF(inputs_ok,IF(15&lt;nbar_rw,(rw_sv/2+15*rw_sv)+(rw_pv/2)*-0.866025,NA()),NA())</f>
        <v/>
      </c>
      <c r="DO10">
        <f>IF(15&lt;nbar_rw,(d1_rw)+(rw_pv/2)*-0.500000,NA())</f>
        <v/>
      </c>
      <c r="DQ10">
        <f>IF(inputs_ok,IF(16&lt;nbar_rw,(rw_sv/2+16*rw_sv)+(rw_pv/2)*-0.866025,NA()),NA())</f>
        <v/>
      </c>
      <c r="DR10">
        <f>IF(16&lt;nbar_rw,(d1_rw)+(rw_pv/2)*-0.500000,NA())</f>
        <v/>
      </c>
      <c r="DT10">
        <f>IF(inputs_ok,IF(17&lt;nbar_rw,(rw_sv/2+17*rw_sv)+(rw_pv/2)*-0.866025,NA()),NA())</f>
        <v/>
      </c>
      <c r="DU10">
        <f>IF(17&lt;nbar_rw,(d1_rw)+(rw_pv/2)*-0.500000,NA())</f>
        <v/>
      </c>
      <c r="DW10">
        <f>IF(inputs_ok,IF(18&lt;nbar_rw,(rw_sv/2+18*rw_sv)+(rw_pv/2)*-0.866025,NA()),NA())</f>
        <v/>
      </c>
      <c r="DX10">
        <f>IF(18&lt;nbar_rw,(d1_rw)+(rw_pv/2)*-0.500000,NA())</f>
        <v/>
      </c>
      <c r="DZ10">
        <f>IF(inputs_ok,IF(19&lt;nbar_rw,(rw_sv/2+19*rw_sv)+(rw_pv/2)*-0.866025,NA()),NA())</f>
        <v/>
      </c>
      <c r="EA10">
        <f>IF(19&lt;nbar_rw,(d1_rw)+(rw_pv/2)*-0.500000,NA())</f>
        <v/>
      </c>
      <c r="FM10">
        <f>IF(inputs_ok,INDEX(nmM_rw,8)*1.5/Mpk_rw,NA())</f>
        <v/>
      </c>
      <c r="FN10">
        <f>INDEX(nmN_rw,8)/NRdmax_rw</f>
        <v/>
      </c>
    </row>
    <row r="11">
      <c r="M11">
        <f>IF(inputs_ok,IF(0&lt;nbar_rw,(rw_sv/2+0*rw_sv)+(rw_pv/2)*-0.500000,NA()),NA())</f>
        <v/>
      </c>
      <c r="N11">
        <f>IF(0&lt;nbar_rw,(rw_h-d1_rw)+(rw_pv/2)*-0.866025,NA())</f>
        <v/>
      </c>
      <c r="P11">
        <f>IF(inputs_ok,IF(1&lt;nbar_rw,(rw_sv/2+1*rw_sv)+(rw_pv/2)*-0.500000,NA()),NA())</f>
        <v/>
      </c>
      <c r="Q11">
        <f>IF(1&lt;nbar_rw,(rw_h-d1_rw)+(rw_pv/2)*-0.866025,NA())</f>
        <v/>
      </c>
      <c r="S11">
        <f>IF(inputs_ok,IF(2&lt;nbar_rw,(rw_sv/2+2*rw_sv)+(rw_pv/2)*-0.500000,NA()),NA())</f>
        <v/>
      </c>
      <c r="T11">
        <f>IF(2&lt;nbar_rw,(rw_h-d1_rw)+(rw_pv/2)*-0.866025,NA())</f>
        <v/>
      </c>
      <c r="V11">
        <f>IF(inputs_ok,IF(3&lt;nbar_rw,(rw_sv/2+3*rw_sv)+(rw_pv/2)*-0.500000,NA()),NA())</f>
        <v/>
      </c>
      <c r="W11">
        <f>IF(3&lt;nbar_rw,(rw_h-d1_rw)+(rw_pv/2)*-0.866025,NA())</f>
        <v/>
      </c>
      <c r="Y11">
        <f>IF(inputs_ok,IF(4&lt;nbar_rw,(rw_sv/2+4*rw_sv)+(rw_pv/2)*-0.500000,NA()),NA())</f>
        <v/>
      </c>
      <c r="Z11">
        <f>IF(4&lt;nbar_rw,(rw_h-d1_rw)+(rw_pv/2)*-0.866025,NA())</f>
        <v/>
      </c>
      <c r="AB11">
        <f>IF(inputs_ok,IF(5&lt;nbar_rw,(rw_sv/2+5*rw_sv)+(rw_pv/2)*-0.500000,NA()),NA())</f>
        <v/>
      </c>
      <c r="AC11">
        <f>IF(5&lt;nbar_rw,(rw_h-d1_rw)+(rw_pv/2)*-0.866025,NA())</f>
        <v/>
      </c>
      <c r="AE11">
        <f>IF(inputs_ok,IF(6&lt;nbar_rw,(rw_sv/2+6*rw_sv)+(rw_pv/2)*-0.500000,NA()),NA())</f>
        <v/>
      </c>
      <c r="AF11">
        <f>IF(6&lt;nbar_rw,(rw_h-d1_rw)+(rw_pv/2)*-0.866025,NA())</f>
        <v/>
      </c>
      <c r="AH11">
        <f>IF(inputs_ok,IF(7&lt;nbar_rw,(rw_sv/2+7*rw_sv)+(rw_pv/2)*-0.500000,NA()),NA())</f>
        <v/>
      </c>
      <c r="AI11">
        <f>IF(7&lt;nbar_rw,(rw_h-d1_rw)+(rw_pv/2)*-0.866025,NA())</f>
        <v/>
      </c>
      <c r="AK11">
        <f>IF(inputs_ok,IF(8&lt;nbar_rw,(rw_sv/2+8*rw_sv)+(rw_pv/2)*-0.500000,NA()),NA())</f>
        <v/>
      </c>
      <c r="AL11">
        <f>IF(8&lt;nbar_rw,(rw_h-d1_rw)+(rw_pv/2)*-0.866025,NA())</f>
        <v/>
      </c>
      <c r="AN11">
        <f>IF(inputs_ok,IF(9&lt;nbar_rw,(rw_sv/2+9*rw_sv)+(rw_pv/2)*-0.500000,NA()),NA())</f>
        <v/>
      </c>
      <c r="AO11">
        <f>IF(9&lt;nbar_rw,(rw_h-d1_rw)+(rw_pv/2)*-0.866025,NA())</f>
        <v/>
      </c>
      <c r="AQ11">
        <f>IF(inputs_ok,IF(10&lt;nbar_rw,(rw_sv/2+10*rw_sv)+(rw_pv/2)*-0.500000,NA()),NA())</f>
        <v/>
      </c>
      <c r="AR11">
        <f>IF(10&lt;nbar_rw,(rw_h-d1_rw)+(rw_pv/2)*-0.866025,NA())</f>
        <v/>
      </c>
      <c r="AT11">
        <f>IF(inputs_ok,IF(11&lt;nbar_rw,(rw_sv/2+11*rw_sv)+(rw_pv/2)*-0.500000,NA()),NA())</f>
        <v/>
      </c>
      <c r="AU11">
        <f>IF(11&lt;nbar_rw,(rw_h-d1_rw)+(rw_pv/2)*-0.866025,NA())</f>
        <v/>
      </c>
      <c r="AW11">
        <f>IF(inputs_ok,IF(12&lt;nbar_rw,(rw_sv/2+12*rw_sv)+(rw_pv/2)*-0.500000,NA()),NA())</f>
        <v/>
      </c>
      <c r="AX11">
        <f>IF(12&lt;nbar_rw,(rw_h-d1_rw)+(rw_pv/2)*-0.866025,NA())</f>
        <v/>
      </c>
      <c r="AZ11">
        <f>IF(inputs_ok,IF(13&lt;nbar_rw,(rw_sv/2+13*rw_sv)+(rw_pv/2)*-0.500000,NA()),NA())</f>
        <v/>
      </c>
      <c r="BA11">
        <f>IF(13&lt;nbar_rw,(rw_h-d1_rw)+(rw_pv/2)*-0.866025,NA())</f>
        <v/>
      </c>
      <c r="BC11">
        <f>IF(inputs_ok,IF(14&lt;nbar_rw,(rw_sv/2+14*rw_sv)+(rw_pv/2)*-0.500000,NA()),NA())</f>
        <v/>
      </c>
      <c r="BD11">
        <f>IF(14&lt;nbar_rw,(rw_h-d1_rw)+(rw_pv/2)*-0.866025,NA())</f>
        <v/>
      </c>
      <c r="BF11">
        <f>IF(inputs_ok,IF(15&lt;nbar_rw,(rw_sv/2+15*rw_sv)+(rw_pv/2)*-0.500000,NA()),NA())</f>
        <v/>
      </c>
      <c r="BG11">
        <f>IF(15&lt;nbar_rw,(rw_h-d1_rw)+(rw_pv/2)*-0.866025,NA())</f>
        <v/>
      </c>
      <c r="BI11">
        <f>IF(inputs_ok,IF(16&lt;nbar_rw,(rw_sv/2+16*rw_sv)+(rw_pv/2)*-0.500000,NA()),NA())</f>
        <v/>
      </c>
      <c r="BJ11">
        <f>IF(16&lt;nbar_rw,(rw_h-d1_rw)+(rw_pv/2)*-0.866025,NA())</f>
        <v/>
      </c>
      <c r="BL11">
        <f>IF(inputs_ok,IF(17&lt;nbar_rw,(rw_sv/2+17*rw_sv)+(rw_pv/2)*-0.500000,NA()),NA())</f>
        <v/>
      </c>
      <c r="BM11">
        <f>IF(17&lt;nbar_rw,(rw_h-d1_rw)+(rw_pv/2)*-0.866025,NA())</f>
        <v/>
      </c>
      <c r="BO11">
        <f>IF(inputs_ok,IF(18&lt;nbar_rw,(rw_sv/2+18*rw_sv)+(rw_pv/2)*-0.500000,NA()),NA())</f>
        <v/>
      </c>
      <c r="BP11">
        <f>IF(18&lt;nbar_rw,(rw_h-d1_rw)+(rw_pv/2)*-0.866025,NA())</f>
        <v/>
      </c>
      <c r="BR11">
        <f>IF(inputs_ok,IF(19&lt;nbar_rw,(rw_sv/2+19*rw_sv)+(rw_pv/2)*-0.500000,NA()),NA())</f>
        <v/>
      </c>
      <c r="BS11">
        <f>IF(19&lt;nbar_rw,(rw_h-d1_rw)+(rw_pv/2)*-0.866025,NA())</f>
        <v/>
      </c>
      <c r="BU11">
        <f>IF(inputs_ok,IF(0&lt;nbar_rw,(rw_sv/2+0*rw_sv)+(rw_pv/2)*-0.500000,NA()),NA())</f>
        <v/>
      </c>
      <c r="BV11">
        <f>IF(0&lt;nbar_rw,(d1_rw)+(rw_pv/2)*-0.866025,NA())</f>
        <v/>
      </c>
      <c r="BX11">
        <f>IF(inputs_ok,IF(1&lt;nbar_rw,(rw_sv/2+1*rw_sv)+(rw_pv/2)*-0.500000,NA()),NA())</f>
        <v/>
      </c>
      <c r="BY11">
        <f>IF(1&lt;nbar_rw,(d1_rw)+(rw_pv/2)*-0.866025,NA())</f>
        <v/>
      </c>
      <c r="CA11">
        <f>IF(inputs_ok,IF(2&lt;nbar_rw,(rw_sv/2+2*rw_sv)+(rw_pv/2)*-0.500000,NA()),NA())</f>
        <v/>
      </c>
      <c r="CB11">
        <f>IF(2&lt;nbar_rw,(d1_rw)+(rw_pv/2)*-0.866025,NA())</f>
        <v/>
      </c>
      <c r="CD11">
        <f>IF(inputs_ok,IF(3&lt;nbar_rw,(rw_sv/2+3*rw_sv)+(rw_pv/2)*-0.500000,NA()),NA())</f>
        <v/>
      </c>
      <c r="CE11">
        <f>IF(3&lt;nbar_rw,(d1_rw)+(rw_pv/2)*-0.866025,NA())</f>
        <v/>
      </c>
      <c r="CG11">
        <f>IF(inputs_ok,IF(4&lt;nbar_rw,(rw_sv/2+4*rw_sv)+(rw_pv/2)*-0.500000,NA()),NA())</f>
        <v/>
      </c>
      <c r="CH11">
        <f>IF(4&lt;nbar_rw,(d1_rw)+(rw_pv/2)*-0.866025,NA())</f>
        <v/>
      </c>
      <c r="CJ11">
        <f>IF(inputs_ok,IF(5&lt;nbar_rw,(rw_sv/2+5*rw_sv)+(rw_pv/2)*-0.500000,NA()),NA())</f>
        <v/>
      </c>
      <c r="CK11">
        <f>IF(5&lt;nbar_rw,(d1_rw)+(rw_pv/2)*-0.866025,NA())</f>
        <v/>
      </c>
      <c r="CM11">
        <f>IF(inputs_ok,IF(6&lt;nbar_rw,(rw_sv/2+6*rw_sv)+(rw_pv/2)*-0.500000,NA()),NA())</f>
        <v/>
      </c>
      <c r="CN11">
        <f>IF(6&lt;nbar_rw,(d1_rw)+(rw_pv/2)*-0.866025,NA())</f>
        <v/>
      </c>
      <c r="CP11">
        <f>IF(inputs_ok,IF(7&lt;nbar_rw,(rw_sv/2+7*rw_sv)+(rw_pv/2)*-0.500000,NA()),NA())</f>
        <v/>
      </c>
      <c r="CQ11">
        <f>IF(7&lt;nbar_rw,(d1_rw)+(rw_pv/2)*-0.866025,NA())</f>
        <v/>
      </c>
      <c r="CS11">
        <f>IF(inputs_ok,IF(8&lt;nbar_rw,(rw_sv/2+8*rw_sv)+(rw_pv/2)*-0.500000,NA()),NA())</f>
        <v/>
      </c>
      <c r="CT11">
        <f>IF(8&lt;nbar_rw,(d1_rw)+(rw_pv/2)*-0.866025,NA())</f>
        <v/>
      </c>
      <c r="CV11">
        <f>IF(inputs_ok,IF(9&lt;nbar_rw,(rw_sv/2+9*rw_sv)+(rw_pv/2)*-0.500000,NA()),NA())</f>
        <v/>
      </c>
      <c r="CW11">
        <f>IF(9&lt;nbar_rw,(d1_rw)+(rw_pv/2)*-0.866025,NA())</f>
        <v/>
      </c>
      <c r="CY11">
        <f>IF(inputs_ok,IF(10&lt;nbar_rw,(rw_sv/2+10*rw_sv)+(rw_pv/2)*-0.500000,NA()),NA())</f>
        <v/>
      </c>
      <c r="CZ11">
        <f>IF(10&lt;nbar_rw,(d1_rw)+(rw_pv/2)*-0.866025,NA())</f>
        <v/>
      </c>
      <c r="DB11">
        <f>IF(inputs_ok,IF(11&lt;nbar_rw,(rw_sv/2+11*rw_sv)+(rw_pv/2)*-0.500000,NA()),NA())</f>
        <v/>
      </c>
      <c r="DC11">
        <f>IF(11&lt;nbar_rw,(d1_rw)+(rw_pv/2)*-0.866025,NA())</f>
        <v/>
      </c>
      <c r="DE11">
        <f>IF(inputs_ok,IF(12&lt;nbar_rw,(rw_sv/2+12*rw_sv)+(rw_pv/2)*-0.500000,NA()),NA())</f>
        <v/>
      </c>
      <c r="DF11">
        <f>IF(12&lt;nbar_rw,(d1_rw)+(rw_pv/2)*-0.866025,NA())</f>
        <v/>
      </c>
      <c r="DH11">
        <f>IF(inputs_ok,IF(13&lt;nbar_rw,(rw_sv/2+13*rw_sv)+(rw_pv/2)*-0.500000,NA()),NA())</f>
        <v/>
      </c>
      <c r="DI11">
        <f>IF(13&lt;nbar_rw,(d1_rw)+(rw_pv/2)*-0.866025,NA())</f>
        <v/>
      </c>
      <c r="DK11">
        <f>IF(inputs_ok,IF(14&lt;nbar_rw,(rw_sv/2+14*rw_sv)+(rw_pv/2)*-0.500000,NA()),NA())</f>
        <v/>
      </c>
      <c r="DL11">
        <f>IF(14&lt;nbar_rw,(d1_rw)+(rw_pv/2)*-0.866025,NA())</f>
        <v/>
      </c>
      <c r="DN11">
        <f>IF(inputs_ok,IF(15&lt;nbar_rw,(rw_sv/2+15*rw_sv)+(rw_pv/2)*-0.500000,NA()),NA())</f>
        <v/>
      </c>
      <c r="DO11">
        <f>IF(15&lt;nbar_rw,(d1_rw)+(rw_pv/2)*-0.866025,NA())</f>
        <v/>
      </c>
      <c r="DQ11">
        <f>IF(inputs_ok,IF(16&lt;nbar_rw,(rw_sv/2+16*rw_sv)+(rw_pv/2)*-0.500000,NA()),NA())</f>
        <v/>
      </c>
      <c r="DR11">
        <f>IF(16&lt;nbar_rw,(d1_rw)+(rw_pv/2)*-0.866025,NA())</f>
        <v/>
      </c>
      <c r="DT11">
        <f>IF(inputs_ok,IF(17&lt;nbar_rw,(rw_sv/2+17*rw_sv)+(rw_pv/2)*-0.500000,NA()),NA())</f>
        <v/>
      </c>
      <c r="DU11">
        <f>IF(17&lt;nbar_rw,(d1_rw)+(rw_pv/2)*-0.866025,NA())</f>
        <v/>
      </c>
      <c r="DW11">
        <f>IF(inputs_ok,IF(18&lt;nbar_rw,(rw_sv/2+18*rw_sv)+(rw_pv/2)*-0.500000,NA()),NA())</f>
        <v/>
      </c>
      <c r="DX11">
        <f>IF(18&lt;nbar_rw,(d1_rw)+(rw_pv/2)*-0.866025,NA())</f>
        <v/>
      </c>
      <c r="DZ11">
        <f>IF(inputs_ok,IF(19&lt;nbar_rw,(rw_sv/2+19*rw_sv)+(rw_pv/2)*-0.500000,NA()),NA())</f>
        <v/>
      </c>
      <c r="EA11">
        <f>IF(19&lt;nbar_rw,(d1_rw)+(rw_pv/2)*-0.866025,NA())</f>
        <v/>
      </c>
      <c r="FM11">
        <f>IF(inputs_ok,INDEX(nmM_rw,9)*1.5/Mpk_rw,NA())</f>
        <v/>
      </c>
      <c r="FN11">
        <f>INDEX(nmN_rw,9)/NRdmax_rw</f>
        <v/>
      </c>
    </row>
    <row r="12">
      <c r="M12">
        <f>IF(inputs_ok,IF(0&lt;nbar_rw,(rw_sv/2+0*rw_sv)+(rw_pv/2)*-0.000000,NA()),NA())</f>
        <v/>
      </c>
      <c r="N12">
        <f>IF(0&lt;nbar_rw,(rw_h-d1_rw)+(rw_pv/2)*-1.000000,NA())</f>
        <v/>
      </c>
      <c r="P12">
        <f>IF(inputs_ok,IF(1&lt;nbar_rw,(rw_sv/2+1*rw_sv)+(rw_pv/2)*-0.000000,NA()),NA())</f>
        <v/>
      </c>
      <c r="Q12">
        <f>IF(1&lt;nbar_rw,(rw_h-d1_rw)+(rw_pv/2)*-1.000000,NA())</f>
        <v/>
      </c>
      <c r="S12">
        <f>IF(inputs_ok,IF(2&lt;nbar_rw,(rw_sv/2+2*rw_sv)+(rw_pv/2)*-0.000000,NA()),NA())</f>
        <v/>
      </c>
      <c r="T12">
        <f>IF(2&lt;nbar_rw,(rw_h-d1_rw)+(rw_pv/2)*-1.000000,NA())</f>
        <v/>
      </c>
      <c r="V12">
        <f>IF(inputs_ok,IF(3&lt;nbar_rw,(rw_sv/2+3*rw_sv)+(rw_pv/2)*-0.000000,NA()),NA())</f>
        <v/>
      </c>
      <c r="W12">
        <f>IF(3&lt;nbar_rw,(rw_h-d1_rw)+(rw_pv/2)*-1.000000,NA())</f>
        <v/>
      </c>
      <c r="Y12">
        <f>IF(inputs_ok,IF(4&lt;nbar_rw,(rw_sv/2+4*rw_sv)+(rw_pv/2)*-0.000000,NA()),NA())</f>
        <v/>
      </c>
      <c r="Z12">
        <f>IF(4&lt;nbar_rw,(rw_h-d1_rw)+(rw_pv/2)*-1.000000,NA())</f>
        <v/>
      </c>
      <c r="AB12">
        <f>IF(inputs_ok,IF(5&lt;nbar_rw,(rw_sv/2+5*rw_sv)+(rw_pv/2)*-0.000000,NA()),NA())</f>
        <v/>
      </c>
      <c r="AC12">
        <f>IF(5&lt;nbar_rw,(rw_h-d1_rw)+(rw_pv/2)*-1.000000,NA())</f>
        <v/>
      </c>
      <c r="AE12">
        <f>IF(inputs_ok,IF(6&lt;nbar_rw,(rw_sv/2+6*rw_sv)+(rw_pv/2)*-0.000000,NA()),NA())</f>
        <v/>
      </c>
      <c r="AF12">
        <f>IF(6&lt;nbar_rw,(rw_h-d1_rw)+(rw_pv/2)*-1.000000,NA())</f>
        <v/>
      </c>
      <c r="AH12">
        <f>IF(inputs_ok,IF(7&lt;nbar_rw,(rw_sv/2+7*rw_sv)+(rw_pv/2)*-0.000000,NA()),NA())</f>
        <v/>
      </c>
      <c r="AI12">
        <f>IF(7&lt;nbar_rw,(rw_h-d1_rw)+(rw_pv/2)*-1.000000,NA())</f>
        <v/>
      </c>
      <c r="AK12">
        <f>IF(inputs_ok,IF(8&lt;nbar_rw,(rw_sv/2+8*rw_sv)+(rw_pv/2)*-0.000000,NA()),NA())</f>
        <v/>
      </c>
      <c r="AL12">
        <f>IF(8&lt;nbar_rw,(rw_h-d1_rw)+(rw_pv/2)*-1.000000,NA())</f>
        <v/>
      </c>
      <c r="AN12">
        <f>IF(inputs_ok,IF(9&lt;nbar_rw,(rw_sv/2+9*rw_sv)+(rw_pv/2)*-0.000000,NA()),NA())</f>
        <v/>
      </c>
      <c r="AO12">
        <f>IF(9&lt;nbar_rw,(rw_h-d1_rw)+(rw_pv/2)*-1.000000,NA())</f>
        <v/>
      </c>
      <c r="AQ12">
        <f>IF(inputs_ok,IF(10&lt;nbar_rw,(rw_sv/2+10*rw_sv)+(rw_pv/2)*-0.000000,NA()),NA())</f>
        <v/>
      </c>
      <c r="AR12">
        <f>IF(10&lt;nbar_rw,(rw_h-d1_rw)+(rw_pv/2)*-1.000000,NA())</f>
        <v/>
      </c>
      <c r="AT12">
        <f>IF(inputs_ok,IF(11&lt;nbar_rw,(rw_sv/2+11*rw_sv)+(rw_pv/2)*-0.000000,NA()),NA())</f>
        <v/>
      </c>
      <c r="AU12">
        <f>IF(11&lt;nbar_rw,(rw_h-d1_rw)+(rw_pv/2)*-1.000000,NA())</f>
        <v/>
      </c>
      <c r="AW12">
        <f>IF(inputs_ok,IF(12&lt;nbar_rw,(rw_sv/2+12*rw_sv)+(rw_pv/2)*-0.000000,NA()),NA())</f>
        <v/>
      </c>
      <c r="AX12">
        <f>IF(12&lt;nbar_rw,(rw_h-d1_rw)+(rw_pv/2)*-1.000000,NA())</f>
        <v/>
      </c>
      <c r="AZ12">
        <f>IF(inputs_ok,IF(13&lt;nbar_rw,(rw_sv/2+13*rw_sv)+(rw_pv/2)*-0.000000,NA()),NA())</f>
        <v/>
      </c>
      <c r="BA12">
        <f>IF(13&lt;nbar_rw,(rw_h-d1_rw)+(rw_pv/2)*-1.000000,NA())</f>
        <v/>
      </c>
      <c r="BC12">
        <f>IF(inputs_ok,IF(14&lt;nbar_rw,(rw_sv/2+14*rw_sv)+(rw_pv/2)*-0.000000,NA()),NA())</f>
        <v/>
      </c>
      <c r="BD12">
        <f>IF(14&lt;nbar_rw,(rw_h-d1_rw)+(rw_pv/2)*-1.000000,NA())</f>
        <v/>
      </c>
      <c r="BF12">
        <f>IF(inputs_ok,IF(15&lt;nbar_rw,(rw_sv/2+15*rw_sv)+(rw_pv/2)*-0.000000,NA()),NA())</f>
        <v/>
      </c>
      <c r="BG12">
        <f>IF(15&lt;nbar_rw,(rw_h-d1_rw)+(rw_pv/2)*-1.000000,NA())</f>
        <v/>
      </c>
      <c r="BI12">
        <f>IF(inputs_ok,IF(16&lt;nbar_rw,(rw_sv/2+16*rw_sv)+(rw_pv/2)*-0.000000,NA()),NA())</f>
        <v/>
      </c>
      <c r="BJ12">
        <f>IF(16&lt;nbar_rw,(rw_h-d1_rw)+(rw_pv/2)*-1.000000,NA())</f>
        <v/>
      </c>
      <c r="BL12">
        <f>IF(inputs_ok,IF(17&lt;nbar_rw,(rw_sv/2+17*rw_sv)+(rw_pv/2)*-0.000000,NA()),NA())</f>
        <v/>
      </c>
      <c r="BM12">
        <f>IF(17&lt;nbar_rw,(rw_h-d1_rw)+(rw_pv/2)*-1.000000,NA())</f>
        <v/>
      </c>
      <c r="BO12">
        <f>IF(inputs_ok,IF(18&lt;nbar_rw,(rw_sv/2+18*rw_sv)+(rw_pv/2)*-0.000000,NA()),NA())</f>
        <v/>
      </c>
      <c r="BP12">
        <f>IF(18&lt;nbar_rw,(rw_h-d1_rw)+(rw_pv/2)*-1.000000,NA())</f>
        <v/>
      </c>
      <c r="BR12">
        <f>IF(inputs_ok,IF(19&lt;nbar_rw,(rw_sv/2+19*rw_sv)+(rw_pv/2)*-0.000000,NA()),NA())</f>
        <v/>
      </c>
      <c r="BS12">
        <f>IF(19&lt;nbar_rw,(rw_h-d1_rw)+(rw_pv/2)*-1.000000,NA())</f>
        <v/>
      </c>
      <c r="BU12">
        <f>IF(inputs_ok,IF(0&lt;nbar_rw,(rw_sv/2+0*rw_sv)+(rw_pv/2)*-0.000000,NA()),NA())</f>
        <v/>
      </c>
      <c r="BV12">
        <f>IF(0&lt;nbar_rw,(d1_rw)+(rw_pv/2)*-1.000000,NA())</f>
        <v/>
      </c>
      <c r="BX12">
        <f>IF(inputs_ok,IF(1&lt;nbar_rw,(rw_sv/2+1*rw_sv)+(rw_pv/2)*-0.000000,NA()),NA())</f>
        <v/>
      </c>
      <c r="BY12">
        <f>IF(1&lt;nbar_rw,(d1_rw)+(rw_pv/2)*-1.000000,NA())</f>
        <v/>
      </c>
      <c r="CA12">
        <f>IF(inputs_ok,IF(2&lt;nbar_rw,(rw_sv/2+2*rw_sv)+(rw_pv/2)*-0.000000,NA()),NA())</f>
        <v/>
      </c>
      <c r="CB12">
        <f>IF(2&lt;nbar_rw,(d1_rw)+(rw_pv/2)*-1.000000,NA())</f>
        <v/>
      </c>
      <c r="CD12">
        <f>IF(inputs_ok,IF(3&lt;nbar_rw,(rw_sv/2+3*rw_sv)+(rw_pv/2)*-0.000000,NA()),NA())</f>
        <v/>
      </c>
      <c r="CE12">
        <f>IF(3&lt;nbar_rw,(d1_rw)+(rw_pv/2)*-1.000000,NA())</f>
        <v/>
      </c>
      <c r="CG12">
        <f>IF(inputs_ok,IF(4&lt;nbar_rw,(rw_sv/2+4*rw_sv)+(rw_pv/2)*-0.000000,NA()),NA())</f>
        <v/>
      </c>
      <c r="CH12">
        <f>IF(4&lt;nbar_rw,(d1_rw)+(rw_pv/2)*-1.000000,NA())</f>
        <v/>
      </c>
      <c r="CJ12">
        <f>IF(inputs_ok,IF(5&lt;nbar_rw,(rw_sv/2+5*rw_sv)+(rw_pv/2)*-0.000000,NA()),NA())</f>
        <v/>
      </c>
      <c r="CK12">
        <f>IF(5&lt;nbar_rw,(d1_rw)+(rw_pv/2)*-1.000000,NA())</f>
        <v/>
      </c>
      <c r="CM12">
        <f>IF(inputs_ok,IF(6&lt;nbar_rw,(rw_sv/2+6*rw_sv)+(rw_pv/2)*-0.000000,NA()),NA())</f>
        <v/>
      </c>
      <c r="CN12">
        <f>IF(6&lt;nbar_rw,(d1_rw)+(rw_pv/2)*-1.000000,NA())</f>
        <v/>
      </c>
      <c r="CP12">
        <f>IF(inputs_ok,IF(7&lt;nbar_rw,(rw_sv/2+7*rw_sv)+(rw_pv/2)*-0.000000,NA()),NA())</f>
        <v/>
      </c>
      <c r="CQ12">
        <f>IF(7&lt;nbar_rw,(d1_rw)+(rw_pv/2)*-1.000000,NA())</f>
        <v/>
      </c>
      <c r="CS12">
        <f>IF(inputs_ok,IF(8&lt;nbar_rw,(rw_sv/2+8*rw_sv)+(rw_pv/2)*-0.000000,NA()),NA())</f>
        <v/>
      </c>
      <c r="CT12">
        <f>IF(8&lt;nbar_rw,(d1_rw)+(rw_pv/2)*-1.000000,NA())</f>
        <v/>
      </c>
      <c r="CV12">
        <f>IF(inputs_ok,IF(9&lt;nbar_rw,(rw_sv/2+9*rw_sv)+(rw_pv/2)*-0.000000,NA()),NA())</f>
        <v/>
      </c>
      <c r="CW12">
        <f>IF(9&lt;nbar_rw,(d1_rw)+(rw_pv/2)*-1.000000,NA())</f>
        <v/>
      </c>
      <c r="CY12">
        <f>IF(inputs_ok,IF(10&lt;nbar_rw,(rw_sv/2+10*rw_sv)+(rw_pv/2)*-0.000000,NA()),NA())</f>
        <v/>
      </c>
      <c r="CZ12">
        <f>IF(10&lt;nbar_rw,(d1_rw)+(rw_pv/2)*-1.000000,NA())</f>
        <v/>
      </c>
      <c r="DB12">
        <f>IF(inputs_ok,IF(11&lt;nbar_rw,(rw_sv/2+11*rw_sv)+(rw_pv/2)*-0.000000,NA()),NA())</f>
        <v/>
      </c>
      <c r="DC12">
        <f>IF(11&lt;nbar_rw,(d1_rw)+(rw_pv/2)*-1.000000,NA())</f>
        <v/>
      </c>
      <c r="DE12">
        <f>IF(inputs_ok,IF(12&lt;nbar_rw,(rw_sv/2+12*rw_sv)+(rw_pv/2)*-0.000000,NA()),NA())</f>
        <v/>
      </c>
      <c r="DF12">
        <f>IF(12&lt;nbar_rw,(d1_rw)+(rw_pv/2)*-1.000000,NA())</f>
        <v/>
      </c>
      <c r="DH12">
        <f>IF(inputs_ok,IF(13&lt;nbar_rw,(rw_sv/2+13*rw_sv)+(rw_pv/2)*-0.000000,NA()),NA())</f>
        <v/>
      </c>
      <c r="DI12">
        <f>IF(13&lt;nbar_rw,(d1_rw)+(rw_pv/2)*-1.000000,NA())</f>
        <v/>
      </c>
      <c r="DK12">
        <f>IF(inputs_ok,IF(14&lt;nbar_rw,(rw_sv/2+14*rw_sv)+(rw_pv/2)*-0.000000,NA()),NA())</f>
        <v/>
      </c>
      <c r="DL12">
        <f>IF(14&lt;nbar_rw,(d1_rw)+(rw_pv/2)*-1.000000,NA())</f>
        <v/>
      </c>
      <c r="DN12">
        <f>IF(inputs_ok,IF(15&lt;nbar_rw,(rw_sv/2+15*rw_sv)+(rw_pv/2)*-0.000000,NA()),NA())</f>
        <v/>
      </c>
      <c r="DO12">
        <f>IF(15&lt;nbar_rw,(d1_rw)+(rw_pv/2)*-1.000000,NA())</f>
        <v/>
      </c>
      <c r="DQ12">
        <f>IF(inputs_ok,IF(16&lt;nbar_rw,(rw_sv/2+16*rw_sv)+(rw_pv/2)*-0.000000,NA()),NA())</f>
        <v/>
      </c>
      <c r="DR12">
        <f>IF(16&lt;nbar_rw,(d1_rw)+(rw_pv/2)*-1.000000,NA())</f>
        <v/>
      </c>
      <c r="DT12">
        <f>IF(inputs_ok,IF(17&lt;nbar_rw,(rw_sv/2+17*rw_sv)+(rw_pv/2)*-0.000000,NA()),NA())</f>
        <v/>
      </c>
      <c r="DU12">
        <f>IF(17&lt;nbar_rw,(d1_rw)+(rw_pv/2)*-1.000000,NA())</f>
        <v/>
      </c>
      <c r="DW12">
        <f>IF(inputs_ok,IF(18&lt;nbar_rw,(rw_sv/2+18*rw_sv)+(rw_pv/2)*-0.000000,NA()),NA())</f>
        <v/>
      </c>
      <c r="DX12">
        <f>IF(18&lt;nbar_rw,(d1_rw)+(rw_pv/2)*-1.000000,NA())</f>
        <v/>
      </c>
      <c r="DZ12">
        <f>IF(inputs_ok,IF(19&lt;nbar_rw,(rw_sv/2+19*rw_sv)+(rw_pv/2)*-0.000000,NA()),NA())</f>
        <v/>
      </c>
      <c r="EA12">
        <f>IF(19&lt;nbar_rw,(d1_rw)+(rw_pv/2)*-1.000000,NA())</f>
        <v/>
      </c>
      <c r="FM12">
        <f>IF(inputs_ok,INDEX(nmM_rw,10)*1.5/Mpk_rw,NA())</f>
        <v/>
      </c>
      <c r="FN12">
        <f>INDEX(nmN_rw,10)/NRdmax_rw</f>
        <v/>
      </c>
    </row>
    <row r="13">
      <c r="M13">
        <f>IF(inputs_ok,IF(0&lt;nbar_rw,(rw_sv/2+0*rw_sv)+(rw_pv/2)*0.500000,NA()),NA())</f>
        <v/>
      </c>
      <c r="N13">
        <f>IF(0&lt;nbar_rw,(rw_h-d1_rw)+(rw_pv/2)*-0.866025,NA())</f>
        <v/>
      </c>
      <c r="P13">
        <f>IF(inputs_ok,IF(1&lt;nbar_rw,(rw_sv/2+1*rw_sv)+(rw_pv/2)*0.500000,NA()),NA())</f>
        <v/>
      </c>
      <c r="Q13">
        <f>IF(1&lt;nbar_rw,(rw_h-d1_rw)+(rw_pv/2)*-0.866025,NA())</f>
        <v/>
      </c>
      <c r="S13">
        <f>IF(inputs_ok,IF(2&lt;nbar_rw,(rw_sv/2+2*rw_sv)+(rw_pv/2)*0.500000,NA()),NA())</f>
        <v/>
      </c>
      <c r="T13">
        <f>IF(2&lt;nbar_rw,(rw_h-d1_rw)+(rw_pv/2)*-0.866025,NA())</f>
        <v/>
      </c>
      <c r="V13">
        <f>IF(inputs_ok,IF(3&lt;nbar_rw,(rw_sv/2+3*rw_sv)+(rw_pv/2)*0.500000,NA()),NA())</f>
        <v/>
      </c>
      <c r="W13">
        <f>IF(3&lt;nbar_rw,(rw_h-d1_rw)+(rw_pv/2)*-0.866025,NA())</f>
        <v/>
      </c>
      <c r="Y13">
        <f>IF(inputs_ok,IF(4&lt;nbar_rw,(rw_sv/2+4*rw_sv)+(rw_pv/2)*0.500000,NA()),NA())</f>
        <v/>
      </c>
      <c r="Z13">
        <f>IF(4&lt;nbar_rw,(rw_h-d1_rw)+(rw_pv/2)*-0.866025,NA())</f>
        <v/>
      </c>
      <c r="AB13">
        <f>IF(inputs_ok,IF(5&lt;nbar_rw,(rw_sv/2+5*rw_sv)+(rw_pv/2)*0.500000,NA()),NA())</f>
        <v/>
      </c>
      <c r="AC13">
        <f>IF(5&lt;nbar_rw,(rw_h-d1_rw)+(rw_pv/2)*-0.866025,NA())</f>
        <v/>
      </c>
      <c r="AE13">
        <f>IF(inputs_ok,IF(6&lt;nbar_rw,(rw_sv/2+6*rw_sv)+(rw_pv/2)*0.500000,NA()),NA())</f>
        <v/>
      </c>
      <c r="AF13">
        <f>IF(6&lt;nbar_rw,(rw_h-d1_rw)+(rw_pv/2)*-0.866025,NA())</f>
        <v/>
      </c>
      <c r="AH13">
        <f>IF(inputs_ok,IF(7&lt;nbar_rw,(rw_sv/2+7*rw_sv)+(rw_pv/2)*0.500000,NA()),NA())</f>
        <v/>
      </c>
      <c r="AI13">
        <f>IF(7&lt;nbar_rw,(rw_h-d1_rw)+(rw_pv/2)*-0.866025,NA())</f>
        <v/>
      </c>
      <c r="AK13">
        <f>IF(inputs_ok,IF(8&lt;nbar_rw,(rw_sv/2+8*rw_sv)+(rw_pv/2)*0.500000,NA()),NA())</f>
        <v/>
      </c>
      <c r="AL13">
        <f>IF(8&lt;nbar_rw,(rw_h-d1_rw)+(rw_pv/2)*-0.866025,NA())</f>
        <v/>
      </c>
      <c r="AN13">
        <f>IF(inputs_ok,IF(9&lt;nbar_rw,(rw_sv/2+9*rw_sv)+(rw_pv/2)*0.500000,NA()),NA())</f>
        <v/>
      </c>
      <c r="AO13">
        <f>IF(9&lt;nbar_rw,(rw_h-d1_rw)+(rw_pv/2)*-0.866025,NA())</f>
        <v/>
      </c>
      <c r="AQ13">
        <f>IF(inputs_ok,IF(10&lt;nbar_rw,(rw_sv/2+10*rw_sv)+(rw_pv/2)*0.500000,NA()),NA())</f>
        <v/>
      </c>
      <c r="AR13">
        <f>IF(10&lt;nbar_rw,(rw_h-d1_rw)+(rw_pv/2)*-0.866025,NA())</f>
        <v/>
      </c>
      <c r="AT13">
        <f>IF(inputs_ok,IF(11&lt;nbar_rw,(rw_sv/2+11*rw_sv)+(rw_pv/2)*0.500000,NA()),NA())</f>
        <v/>
      </c>
      <c r="AU13">
        <f>IF(11&lt;nbar_rw,(rw_h-d1_rw)+(rw_pv/2)*-0.866025,NA())</f>
        <v/>
      </c>
      <c r="AW13">
        <f>IF(inputs_ok,IF(12&lt;nbar_rw,(rw_sv/2+12*rw_sv)+(rw_pv/2)*0.500000,NA()),NA())</f>
        <v/>
      </c>
      <c r="AX13">
        <f>IF(12&lt;nbar_rw,(rw_h-d1_rw)+(rw_pv/2)*-0.866025,NA())</f>
        <v/>
      </c>
      <c r="AZ13">
        <f>IF(inputs_ok,IF(13&lt;nbar_rw,(rw_sv/2+13*rw_sv)+(rw_pv/2)*0.500000,NA()),NA())</f>
        <v/>
      </c>
      <c r="BA13">
        <f>IF(13&lt;nbar_rw,(rw_h-d1_rw)+(rw_pv/2)*-0.866025,NA())</f>
        <v/>
      </c>
      <c r="BC13">
        <f>IF(inputs_ok,IF(14&lt;nbar_rw,(rw_sv/2+14*rw_sv)+(rw_pv/2)*0.500000,NA()),NA())</f>
        <v/>
      </c>
      <c r="BD13">
        <f>IF(14&lt;nbar_rw,(rw_h-d1_rw)+(rw_pv/2)*-0.866025,NA())</f>
        <v/>
      </c>
      <c r="BF13">
        <f>IF(inputs_ok,IF(15&lt;nbar_rw,(rw_sv/2+15*rw_sv)+(rw_pv/2)*0.500000,NA()),NA())</f>
        <v/>
      </c>
      <c r="BG13">
        <f>IF(15&lt;nbar_rw,(rw_h-d1_rw)+(rw_pv/2)*-0.866025,NA())</f>
        <v/>
      </c>
      <c r="BI13">
        <f>IF(inputs_ok,IF(16&lt;nbar_rw,(rw_sv/2+16*rw_sv)+(rw_pv/2)*0.500000,NA()),NA())</f>
        <v/>
      </c>
      <c r="BJ13">
        <f>IF(16&lt;nbar_rw,(rw_h-d1_rw)+(rw_pv/2)*-0.866025,NA())</f>
        <v/>
      </c>
      <c r="BL13">
        <f>IF(inputs_ok,IF(17&lt;nbar_rw,(rw_sv/2+17*rw_sv)+(rw_pv/2)*0.500000,NA()),NA())</f>
        <v/>
      </c>
      <c r="BM13">
        <f>IF(17&lt;nbar_rw,(rw_h-d1_rw)+(rw_pv/2)*-0.866025,NA())</f>
        <v/>
      </c>
      <c r="BO13">
        <f>IF(inputs_ok,IF(18&lt;nbar_rw,(rw_sv/2+18*rw_sv)+(rw_pv/2)*0.500000,NA()),NA())</f>
        <v/>
      </c>
      <c r="BP13">
        <f>IF(18&lt;nbar_rw,(rw_h-d1_rw)+(rw_pv/2)*-0.866025,NA())</f>
        <v/>
      </c>
      <c r="BR13">
        <f>IF(inputs_ok,IF(19&lt;nbar_rw,(rw_sv/2+19*rw_sv)+(rw_pv/2)*0.500000,NA()),NA())</f>
        <v/>
      </c>
      <c r="BS13">
        <f>IF(19&lt;nbar_rw,(rw_h-d1_rw)+(rw_pv/2)*-0.866025,NA())</f>
        <v/>
      </c>
      <c r="BU13">
        <f>IF(inputs_ok,IF(0&lt;nbar_rw,(rw_sv/2+0*rw_sv)+(rw_pv/2)*0.500000,NA()),NA())</f>
        <v/>
      </c>
      <c r="BV13">
        <f>IF(0&lt;nbar_rw,(d1_rw)+(rw_pv/2)*-0.866025,NA())</f>
        <v/>
      </c>
      <c r="BX13">
        <f>IF(inputs_ok,IF(1&lt;nbar_rw,(rw_sv/2+1*rw_sv)+(rw_pv/2)*0.500000,NA()),NA())</f>
        <v/>
      </c>
      <c r="BY13">
        <f>IF(1&lt;nbar_rw,(d1_rw)+(rw_pv/2)*-0.866025,NA())</f>
        <v/>
      </c>
      <c r="CA13">
        <f>IF(inputs_ok,IF(2&lt;nbar_rw,(rw_sv/2+2*rw_sv)+(rw_pv/2)*0.500000,NA()),NA())</f>
        <v/>
      </c>
      <c r="CB13">
        <f>IF(2&lt;nbar_rw,(d1_rw)+(rw_pv/2)*-0.866025,NA())</f>
        <v/>
      </c>
      <c r="CD13">
        <f>IF(inputs_ok,IF(3&lt;nbar_rw,(rw_sv/2+3*rw_sv)+(rw_pv/2)*0.500000,NA()),NA())</f>
        <v/>
      </c>
      <c r="CE13">
        <f>IF(3&lt;nbar_rw,(d1_rw)+(rw_pv/2)*-0.866025,NA())</f>
        <v/>
      </c>
      <c r="CG13">
        <f>IF(inputs_ok,IF(4&lt;nbar_rw,(rw_sv/2+4*rw_sv)+(rw_pv/2)*0.500000,NA()),NA())</f>
        <v/>
      </c>
      <c r="CH13">
        <f>IF(4&lt;nbar_rw,(d1_rw)+(rw_pv/2)*-0.866025,NA())</f>
        <v/>
      </c>
      <c r="CJ13">
        <f>IF(inputs_ok,IF(5&lt;nbar_rw,(rw_sv/2+5*rw_sv)+(rw_pv/2)*0.500000,NA()),NA())</f>
        <v/>
      </c>
      <c r="CK13">
        <f>IF(5&lt;nbar_rw,(d1_rw)+(rw_pv/2)*-0.866025,NA())</f>
        <v/>
      </c>
      <c r="CM13">
        <f>IF(inputs_ok,IF(6&lt;nbar_rw,(rw_sv/2+6*rw_sv)+(rw_pv/2)*0.500000,NA()),NA())</f>
        <v/>
      </c>
      <c r="CN13">
        <f>IF(6&lt;nbar_rw,(d1_rw)+(rw_pv/2)*-0.866025,NA())</f>
        <v/>
      </c>
      <c r="CP13">
        <f>IF(inputs_ok,IF(7&lt;nbar_rw,(rw_sv/2+7*rw_sv)+(rw_pv/2)*0.500000,NA()),NA())</f>
        <v/>
      </c>
      <c r="CQ13">
        <f>IF(7&lt;nbar_rw,(d1_rw)+(rw_pv/2)*-0.866025,NA())</f>
        <v/>
      </c>
      <c r="CS13">
        <f>IF(inputs_ok,IF(8&lt;nbar_rw,(rw_sv/2+8*rw_sv)+(rw_pv/2)*0.500000,NA()),NA())</f>
        <v/>
      </c>
      <c r="CT13">
        <f>IF(8&lt;nbar_rw,(d1_rw)+(rw_pv/2)*-0.866025,NA())</f>
        <v/>
      </c>
      <c r="CV13">
        <f>IF(inputs_ok,IF(9&lt;nbar_rw,(rw_sv/2+9*rw_sv)+(rw_pv/2)*0.500000,NA()),NA())</f>
        <v/>
      </c>
      <c r="CW13">
        <f>IF(9&lt;nbar_rw,(d1_rw)+(rw_pv/2)*-0.866025,NA())</f>
        <v/>
      </c>
      <c r="CY13">
        <f>IF(inputs_ok,IF(10&lt;nbar_rw,(rw_sv/2+10*rw_sv)+(rw_pv/2)*0.500000,NA()),NA())</f>
        <v/>
      </c>
      <c r="CZ13">
        <f>IF(10&lt;nbar_rw,(d1_rw)+(rw_pv/2)*-0.866025,NA())</f>
        <v/>
      </c>
      <c r="DB13">
        <f>IF(inputs_ok,IF(11&lt;nbar_rw,(rw_sv/2+11*rw_sv)+(rw_pv/2)*0.500000,NA()),NA())</f>
        <v/>
      </c>
      <c r="DC13">
        <f>IF(11&lt;nbar_rw,(d1_rw)+(rw_pv/2)*-0.866025,NA())</f>
        <v/>
      </c>
      <c r="DE13">
        <f>IF(inputs_ok,IF(12&lt;nbar_rw,(rw_sv/2+12*rw_sv)+(rw_pv/2)*0.500000,NA()),NA())</f>
        <v/>
      </c>
      <c r="DF13">
        <f>IF(12&lt;nbar_rw,(d1_rw)+(rw_pv/2)*-0.866025,NA())</f>
        <v/>
      </c>
      <c r="DH13">
        <f>IF(inputs_ok,IF(13&lt;nbar_rw,(rw_sv/2+13*rw_sv)+(rw_pv/2)*0.500000,NA()),NA())</f>
        <v/>
      </c>
      <c r="DI13">
        <f>IF(13&lt;nbar_rw,(d1_rw)+(rw_pv/2)*-0.866025,NA())</f>
        <v/>
      </c>
      <c r="DK13">
        <f>IF(inputs_ok,IF(14&lt;nbar_rw,(rw_sv/2+14*rw_sv)+(rw_pv/2)*0.500000,NA()),NA())</f>
        <v/>
      </c>
      <c r="DL13">
        <f>IF(14&lt;nbar_rw,(d1_rw)+(rw_pv/2)*-0.866025,NA())</f>
        <v/>
      </c>
      <c r="DN13">
        <f>IF(inputs_ok,IF(15&lt;nbar_rw,(rw_sv/2+15*rw_sv)+(rw_pv/2)*0.500000,NA()),NA())</f>
        <v/>
      </c>
      <c r="DO13">
        <f>IF(15&lt;nbar_rw,(d1_rw)+(rw_pv/2)*-0.866025,NA())</f>
        <v/>
      </c>
      <c r="DQ13">
        <f>IF(inputs_ok,IF(16&lt;nbar_rw,(rw_sv/2+16*rw_sv)+(rw_pv/2)*0.500000,NA()),NA())</f>
        <v/>
      </c>
      <c r="DR13">
        <f>IF(16&lt;nbar_rw,(d1_rw)+(rw_pv/2)*-0.866025,NA())</f>
        <v/>
      </c>
      <c r="DT13">
        <f>IF(inputs_ok,IF(17&lt;nbar_rw,(rw_sv/2+17*rw_sv)+(rw_pv/2)*0.500000,NA()),NA())</f>
        <v/>
      </c>
      <c r="DU13">
        <f>IF(17&lt;nbar_rw,(d1_rw)+(rw_pv/2)*-0.866025,NA())</f>
        <v/>
      </c>
      <c r="DW13">
        <f>IF(inputs_ok,IF(18&lt;nbar_rw,(rw_sv/2+18*rw_sv)+(rw_pv/2)*0.500000,NA()),NA())</f>
        <v/>
      </c>
      <c r="DX13">
        <f>IF(18&lt;nbar_rw,(d1_rw)+(rw_pv/2)*-0.866025,NA())</f>
        <v/>
      </c>
      <c r="DZ13">
        <f>IF(inputs_ok,IF(19&lt;nbar_rw,(rw_sv/2+19*rw_sv)+(rw_pv/2)*0.500000,NA()),NA())</f>
        <v/>
      </c>
      <c r="EA13">
        <f>IF(19&lt;nbar_rw,(d1_rw)+(rw_pv/2)*-0.866025,NA())</f>
        <v/>
      </c>
      <c r="FM13">
        <f>IF(inputs_ok,INDEX(nmM_rw,11)*1.5/Mpk_rw,NA())</f>
        <v/>
      </c>
      <c r="FN13">
        <f>INDEX(nmN_rw,11)/NRdmax_rw</f>
        <v/>
      </c>
    </row>
    <row r="14">
      <c r="M14">
        <f>IF(inputs_ok,IF(0&lt;nbar_rw,(rw_sv/2+0*rw_sv)+(rw_pv/2)*0.866025,NA()),NA())</f>
        <v/>
      </c>
      <c r="N14">
        <f>IF(0&lt;nbar_rw,(rw_h-d1_rw)+(rw_pv/2)*-0.500000,NA())</f>
        <v/>
      </c>
      <c r="P14">
        <f>IF(inputs_ok,IF(1&lt;nbar_rw,(rw_sv/2+1*rw_sv)+(rw_pv/2)*0.866025,NA()),NA())</f>
        <v/>
      </c>
      <c r="Q14">
        <f>IF(1&lt;nbar_rw,(rw_h-d1_rw)+(rw_pv/2)*-0.500000,NA())</f>
        <v/>
      </c>
      <c r="S14">
        <f>IF(inputs_ok,IF(2&lt;nbar_rw,(rw_sv/2+2*rw_sv)+(rw_pv/2)*0.866025,NA()),NA())</f>
        <v/>
      </c>
      <c r="T14">
        <f>IF(2&lt;nbar_rw,(rw_h-d1_rw)+(rw_pv/2)*-0.500000,NA())</f>
        <v/>
      </c>
      <c r="V14">
        <f>IF(inputs_ok,IF(3&lt;nbar_rw,(rw_sv/2+3*rw_sv)+(rw_pv/2)*0.866025,NA()),NA())</f>
        <v/>
      </c>
      <c r="W14">
        <f>IF(3&lt;nbar_rw,(rw_h-d1_rw)+(rw_pv/2)*-0.500000,NA())</f>
        <v/>
      </c>
      <c r="Y14">
        <f>IF(inputs_ok,IF(4&lt;nbar_rw,(rw_sv/2+4*rw_sv)+(rw_pv/2)*0.866025,NA()),NA())</f>
        <v/>
      </c>
      <c r="Z14">
        <f>IF(4&lt;nbar_rw,(rw_h-d1_rw)+(rw_pv/2)*-0.500000,NA())</f>
        <v/>
      </c>
      <c r="AB14">
        <f>IF(inputs_ok,IF(5&lt;nbar_rw,(rw_sv/2+5*rw_sv)+(rw_pv/2)*0.866025,NA()),NA())</f>
        <v/>
      </c>
      <c r="AC14">
        <f>IF(5&lt;nbar_rw,(rw_h-d1_rw)+(rw_pv/2)*-0.500000,NA())</f>
        <v/>
      </c>
      <c r="AE14">
        <f>IF(inputs_ok,IF(6&lt;nbar_rw,(rw_sv/2+6*rw_sv)+(rw_pv/2)*0.866025,NA()),NA())</f>
        <v/>
      </c>
      <c r="AF14">
        <f>IF(6&lt;nbar_rw,(rw_h-d1_rw)+(rw_pv/2)*-0.500000,NA())</f>
        <v/>
      </c>
      <c r="AH14">
        <f>IF(inputs_ok,IF(7&lt;nbar_rw,(rw_sv/2+7*rw_sv)+(rw_pv/2)*0.866025,NA()),NA())</f>
        <v/>
      </c>
      <c r="AI14">
        <f>IF(7&lt;nbar_rw,(rw_h-d1_rw)+(rw_pv/2)*-0.500000,NA())</f>
        <v/>
      </c>
      <c r="AK14">
        <f>IF(inputs_ok,IF(8&lt;nbar_rw,(rw_sv/2+8*rw_sv)+(rw_pv/2)*0.866025,NA()),NA())</f>
        <v/>
      </c>
      <c r="AL14">
        <f>IF(8&lt;nbar_rw,(rw_h-d1_rw)+(rw_pv/2)*-0.500000,NA())</f>
        <v/>
      </c>
      <c r="AN14">
        <f>IF(inputs_ok,IF(9&lt;nbar_rw,(rw_sv/2+9*rw_sv)+(rw_pv/2)*0.866025,NA()),NA())</f>
        <v/>
      </c>
      <c r="AO14">
        <f>IF(9&lt;nbar_rw,(rw_h-d1_rw)+(rw_pv/2)*-0.500000,NA())</f>
        <v/>
      </c>
      <c r="AQ14">
        <f>IF(inputs_ok,IF(10&lt;nbar_rw,(rw_sv/2+10*rw_sv)+(rw_pv/2)*0.866025,NA()),NA())</f>
        <v/>
      </c>
      <c r="AR14">
        <f>IF(10&lt;nbar_rw,(rw_h-d1_rw)+(rw_pv/2)*-0.500000,NA())</f>
        <v/>
      </c>
      <c r="AT14">
        <f>IF(inputs_ok,IF(11&lt;nbar_rw,(rw_sv/2+11*rw_sv)+(rw_pv/2)*0.866025,NA()),NA())</f>
        <v/>
      </c>
      <c r="AU14">
        <f>IF(11&lt;nbar_rw,(rw_h-d1_rw)+(rw_pv/2)*-0.500000,NA())</f>
        <v/>
      </c>
      <c r="AW14">
        <f>IF(inputs_ok,IF(12&lt;nbar_rw,(rw_sv/2+12*rw_sv)+(rw_pv/2)*0.866025,NA()),NA())</f>
        <v/>
      </c>
      <c r="AX14">
        <f>IF(12&lt;nbar_rw,(rw_h-d1_rw)+(rw_pv/2)*-0.500000,NA())</f>
        <v/>
      </c>
      <c r="AZ14">
        <f>IF(inputs_ok,IF(13&lt;nbar_rw,(rw_sv/2+13*rw_sv)+(rw_pv/2)*0.866025,NA()),NA())</f>
        <v/>
      </c>
      <c r="BA14">
        <f>IF(13&lt;nbar_rw,(rw_h-d1_rw)+(rw_pv/2)*-0.500000,NA())</f>
        <v/>
      </c>
      <c r="BC14">
        <f>IF(inputs_ok,IF(14&lt;nbar_rw,(rw_sv/2+14*rw_sv)+(rw_pv/2)*0.866025,NA()),NA())</f>
        <v/>
      </c>
      <c r="BD14">
        <f>IF(14&lt;nbar_rw,(rw_h-d1_rw)+(rw_pv/2)*-0.500000,NA())</f>
        <v/>
      </c>
      <c r="BF14">
        <f>IF(inputs_ok,IF(15&lt;nbar_rw,(rw_sv/2+15*rw_sv)+(rw_pv/2)*0.866025,NA()),NA())</f>
        <v/>
      </c>
      <c r="BG14">
        <f>IF(15&lt;nbar_rw,(rw_h-d1_rw)+(rw_pv/2)*-0.500000,NA())</f>
        <v/>
      </c>
      <c r="BI14">
        <f>IF(inputs_ok,IF(16&lt;nbar_rw,(rw_sv/2+16*rw_sv)+(rw_pv/2)*0.866025,NA()),NA())</f>
        <v/>
      </c>
      <c r="BJ14">
        <f>IF(16&lt;nbar_rw,(rw_h-d1_rw)+(rw_pv/2)*-0.500000,NA())</f>
        <v/>
      </c>
      <c r="BL14">
        <f>IF(inputs_ok,IF(17&lt;nbar_rw,(rw_sv/2+17*rw_sv)+(rw_pv/2)*0.866025,NA()),NA())</f>
        <v/>
      </c>
      <c r="BM14">
        <f>IF(17&lt;nbar_rw,(rw_h-d1_rw)+(rw_pv/2)*-0.500000,NA())</f>
        <v/>
      </c>
      <c r="BO14">
        <f>IF(inputs_ok,IF(18&lt;nbar_rw,(rw_sv/2+18*rw_sv)+(rw_pv/2)*0.866025,NA()),NA())</f>
        <v/>
      </c>
      <c r="BP14">
        <f>IF(18&lt;nbar_rw,(rw_h-d1_rw)+(rw_pv/2)*-0.500000,NA())</f>
        <v/>
      </c>
      <c r="BR14">
        <f>IF(inputs_ok,IF(19&lt;nbar_rw,(rw_sv/2+19*rw_sv)+(rw_pv/2)*0.866025,NA()),NA())</f>
        <v/>
      </c>
      <c r="BS14">
        <f>IF(19&lt;nbar_rw,(rw_h-d1_rw)+(rw_pv/2)*-0.500000,NA())</f>
        <v/>
      </c>
      <c r="BU14">
        <f>IF(inputs_ok,IF(0&lt;nbar_rw,(rw_sv/2+0*rw_sv)+(rw_pv/2)*0.866025,NA()),NA())</f>
        <v/>
      </c>
      <c r="BV14">
        <f>IF(0&lt;nbar_rw,(d1_rw)+(rw_pv/2)*-0.500000,NA())</f>
        <v/>
      </c>
      <c r="BX14">
        <f>IF(inputs_ok,IF(1&lt;nbar_rw,(rw_sv/2+1*rw_sv)+(rw_pv/2)*0.866025,NA()),NA())</f>
        <v/>
      </c>
      <c r="BY14">
        <f>IF(1&lt;nbar_rw,(d1_rw)+(rw_pv/2)*-0.500000,NA())</f>
        <v/>
      </c>
      <c r="CA14">
        <f>IF(inputs_ok,IF(2&lt;nbar_rw,(rw_sv/2+2*rw_sv)+(rw_pv/2)*0.866025,NA()),NA())</f>
        <v/>
      </c>
      <c r="CB14">
        <f>IF(2&lt;nbar_rw,(d1_rw)+(rw_pv/2)*-0.500000,NA())</f>
        <v/>
      </c>
      <c r="CD14">
        <f>IF(inputs_ok,IF(3&lt;nbar_rw,(rw_sv/2+3*rw_sv)+(rw_pv/2)*0.866025,NA()),NA())</f>
        <v/>
      </c>
      <c r="CE14">
        <f>IF(3&lt;nbar_rw,(d1_rw)+(rw_pv/2)*-0.500000,NA())</f>
        <v/>
      </c>
      <c r="CG14">
        <f>IF(inputs_ok,IF(4&lt;nbar_rw,(rw_sv/2+4*rw_sv)+(rw_pv/2)*0.866025,NA()),NA())</f>
        <v/>
      </c>
      <c r="CH14">
        <f>IF(4&lt;nbar_rw,(d1_rw)+(rw_pv/2)*-0.500000,NA())</f>
        <v/>
      </c>
      <c r="CJ14">
        <f>IF(inputs_ok,IF(5&lt;nbar_rw,(rw_sv/2+5*rw_sv)+(rw_pv/2)*0.866025,NA()),NA())</f>
        <v/>
      </c>
      <c r="CK14">
        <f>IF(5&lt;nbar_rw,(d1_rw)+(rw_pv/2)*-0.500000,NA())</f>
        <v/>
      </c>
      <c r="CM14">
        <f>IF(inputs_ok,IF(6&lt;nbar_rw,(rw_sv/2+6*rw_sv)+(rw_pv/2)*0.866025,NA()),NA())</f>
        <v/>
      </c>
      <c r="CN14">
        <f>IF(6&lt;nbar_rw,(d1_rw)+(rw_pv/2)*-0.500000,NA())</f>
        <v/>
      </c>
      <c r="CP14">
        <f>IF(inputs_ok,IF(7&lt;nbar_rw,(rw_sv/2+7*rw_sv)+(rw_pv/2)*0.866025,NA()),NA())</f>
        <v/>
      </c>
      <c r="CQ14">
        <f>IF(7&lt;nbar_rw,(d1_rw)+(rw_pv/2)*-0.500000,NA())</f>
        <v/>
      </c>
      <c r="CS14">
        <f>IF(inputs_ok,IF(8&lt;nbar_rw,(rw_sv/2+8*rw_sv)+(rw_pv/2)*0.866025,NA()),NA())</f>
        <v/>
      </c>
      <c r="CT14">
        <f>IF(8&lt;nbar_rw,(d1_rw)+(rw_pv/2)*-0.500000,NA())</f>
        <v/>
      </c>
      <c r="CV14">
        <f>IF(inputs_ok,IF(9&lt;nbar_rw,(rw_sv/2+9*rw_sv)+(rw_pv/2)*0.866025,NA()),NA())</f>
        <v/>
      </c>
      <c r="CW14">
        <f>IF(9&lt;nbar_rw,(d1_rw)+(rw_pv/2)*-0.500000,NA())</f>
        <v/>
      </c>
      <c r="CY14">
        <f>IF(inputs_ok,IF(10&lt;nbar_rw,(rw_sv/2+10*rw_sv)+(rw_pv/2)*0.866025,NA()),NA())</f>
        <v/>
      </c>
      <c r="CZ14">
        <f>IF(10&lt;nbar_rw,(d1_rw)+(rw_pv/2)*-0.500000,NA())</f>
        <v/>
      </c>
      <c r="DB14">
        <f>IF(inputs_ok,IF(11&lt;nbar_rw,(rw_sv/2+11*rw_sv)+(rw_pv/2)*0.866025,NA()),NA())</f>
        <v/>
      </c>
      <c r="DC14">
        <f>IF(11&lt;nbar_rw,(d1_rw)+(rw_pv/2)*-0.500000,NA())</f>
        <v/>
      </c>
      <c r="DE14">
        <f>IF(inputs_ok,IF(12&lt;nbar_rw,(rw_sv/2+12*rw_sv)+(rw_pv/2)*0.866025,NA()),NA())</f>
        <v/>
      </c>
      <c r="DF14">
        <f>IF(12&lt;nbar_rw,(d1_rw)+(rw_pv/2)*-0.500000,NA())</f>
        <v/>
      </c>
      <c r="DH14">
        <f>IF(inputs_ok,IF(13&lt;nbar_rw,(rw_sv/2+13*rw_sv)+(rw_pv/2)*0.866025,NA()),NA())</f>
        <v/>
      </c>
      <c r="DI14">
        <f>IF(13&lt;nbar_rw,(d1_rw)+(rw_pv/2)*-0.500000,NA())</f>
        <v/>
      </c>
      <c r="DK14">
        <f>IF(inputs_ok,IF(14&lt;nbar_rw,(rw_sv/2+14*rw_sv)+(rw_pv/2)*0.866025,NA()),NA())</f>
        <v/>
      </c>
      <c r="DL14">
        <f>IF(14&lt;nbar_rw,(d1_rw)+(rw_pv/2)*-0.500000,NA())</f>
        <v/>
      </c>
      <c r="DN14">
        <f>IF(inputs_ok,IF(15&lt;nbar_rw,(rw_sv/2+15*rw_sv)+(rw_pv/2)*0.866025,NA()),NA())</f>
        <v/>
      </c>
      <c r="DO14">
        <f>IF(15&lt;nbar_rw,(d1_rw)+(rw_pv/2)*-0.500000,NA())</f>
        <v/>
      </c>
      <c r="DQ14">
        <f>IF(inputs_ok,IF(16&lt;nbar_rw,(rw_sv/2+16*rw_sv)+(rw_pv/2)*0.866025,NA()),NA())</f>
        <v/>
      </c>
      <c r="DR14">
        <f>IF(16&lt;nbar_rw,(d1_rw)+(rw_pv/2)*-0.500000,NA())</f>
        <v/>
      </c>
      <c r="DT14">
        <f>IF(inputs_ok,IF(17&lt;nbar_rw,(rw_sv/2+17*rw_sv)+(rw_pv/2)*0.866025,NA()),NA())</f>
        <v/>
      </c>
      <c r="DU14">
        <f>IF(17&lt;nbar_rw,(d1_rw)+(rw_pv/2)*-0.500000,NA())</f>
        <v/>
      </c>
      <c r="DW14">
        <f>IF(inputs_ok,IF(18&lt;nbar_rw,(rw_sv/2+18*rw_sv)+(rw_pv/2)*0.866025,NA()),NA())</f>
        <v/>
      </c>
      <c r="DX14">
        <f>IF(18&lt;nbar_rw,(d1_rw)+(rw_pv/2)*-0.500000,NA())</f>
        <v/>
      </c>
      <c r="DZ14">
        <f>IF(inputs_ok,IF(19&lt;nbar_rw,(rw_sv/2+19*rw_sv)+(rw_pv/2)*0.866025,NA()),NA())</f>
        <v/>
      </c>
      <c r="EA14">
        <f>IF(19&lt;nbar_rw,(d1_rw)+(rw_pv/2)*-0.500000,NA())</f>
        <v/>
      </c>
      <c r="FM14">
        <f>IF(inputs_ok,INDEX(nmM_rw,12)*1.5/Mpk_rw,NA())</f>
        <v/>
      </c>
      <c r="FN14">
        <f>INDEX(nmN_rw,12)/NRdmax_rw</f>
        <v/>
      </c>
    </row>
    <row r="15">
      <c r="M15">
        <f>IF(inputs_ok,IF(0&lt;nbar_rw,(rw_sv/2+0*rw_sv)+(rw_pv/2)*1.000000,NA()),NA())</f>
        <v/>
      </c>
      <c r="N15">
        <f>IF(0&lt;nbar_rw,(rw_h-d1_rw)+(rw_pv/2)*-0.000000,NA())</f>
        <v/>
      </c>
      <c r="P15">
        <f>IF(inputs_ok,IF(1&lt;nbar_rw,(rw_sv/2+1*rw_sv)+(rw_pv/2)*1.000000,NA()),NA())</f>
        <v/>
      </c>
      <c r="Q15">
        <f>IF(1&lt;nbar_rw,(rw_h-d1_rw)+(rw_pv/2)*-0.000000,NA())</f>
        <v/>
      </c>
      <c r="S15">
        <f>IF(inputs_ok,IF(2&lt;nbar_rw,(rw_sv/2+2*rw_sv)+(rw_pv/2)*1.000000,NA()),NA())</f>
        <v/>
      </c>
      <c r="T15">
        <f>IF(2&lt;nbar_rw,(rw_h-d1_rw)+(rw_pv/2)*-0.000000,NA())</f>
        <v/>
      </c>
      <c r="V15">
        <f>IF(inputs_ok,IF(3&lt;nbar_rw,(rw_sv/2+3*rw_sv)+(rw_pv/2)*1.000000,NA()),NA())</f>
        <v/>
      </c>
      <c r="W15">
        <f>IF(3&lt;nbar_rw,(rw_h-d1_rw)+(rw_pv/2)*-0.000000,NA())</f>
        <v/>
      </c>
      <c r="Y15">
        <f>IF(inputs_ok,IF(4&lt;nbar_rw,(rw_sv/2+4*rw_sv)+(rw_pv/2)*1.000000,NA()),NA())</f>
        <v/>
      </c>
      <c r="Z15">
        <f>IF(4&lt;nbar_rw,(rw_h-d1_rw)+(rw_pv/2)*-0.000000,NA())</f>
        <v/>
      </c>
      <c r="AB15">
        <f>IF(inputs_ok,IF(5&lt;nbar_rw,(rw_sv/2+5*rw_sv)+(rw_pv/2)*1.000000,NA()),NA())</f>
        <v/>
      </c>
      <c r="AC15">
        <f>IF(5&lt;nbar_rw,(rw_h-d1_rw)+(rw_pv/2)*-0.000000,NA())</f>
        <v/>
      </c>
      <c r="AE15">
        <f>IF(inputs_ok,IF(6&lt;nbar_rw,(rw_sv/2+6*rw_sv)+(rw_pv/2)*1.000000,NA()),NA())</f>
        <v/>
      </c>
      <c r="AF15">
        <f>IF(6&lt;nbar_rw,(rw_h-d1_rw)+(rw_pv/2)*-0.000000,NA())</f>
        <v/>
      </c>
      <c r="AH15">
        <f>IF(inputs_ok,IF(7&lt;nbar_rw,(rw_sv/2+7*rw_sv)+(rw_pv/2)*1.000000,NA()),NA())</f>
        <v/>
      </c>
      <c r="AI15">
        <f>IF(7&lt;nbar_rw,(rw_h-d1_rw)+(rw_pv/2)*-0.000000,NA())</f>
        <v/>
      </c>
      <c r="AK15">
        <f>IF(inputs_ok,IF(8&lt;nbar_rw,(rw_sv/2+8*rw_sv)+(rw_pv/2)*1.000000,NA()),NA())</f>
        <v/>
      </c>
      <c r="AL15">
        <f>IF(8&lt;nbar_rw,(rw_h-d1_rw)+(rw_pv/2)*-0.000000,NA())</f>
        <v/>
      </c>
      <c r="AN15">
        <f>IF(inputs_ok,IF(9&lt;nbar_rw,(rw_sv/2+9*rw_sv)+(rw_pv/2)*1.000000,NA()),NA())</f>
        <v/>
      </c>
      <c r="AO15">
        <f>IF(9&lt;nbar_rw,(rw_h-d1_rw)+(rw_pv/2)*-0.000000,NA())</f>
        <v/>
      </c>
      <c r="AQ15">
        <f>IF(inputs_ok,IF(10&lt;nbar_rw,(rw_sv/2+10*rw_sv)+(rw_pv/2)*1.000000,NA()),NA())</f>
        <v/>
      </c>
      <c r="AR15">
        <f>IF(10&lt;nbar_rw,(rw_h-d1_rw)+(rw_pv/2)*-0.000000,NA())</f>
        <v/>
      </c>
      <c r="AT15">
        <f>IF(inputs_ok,IF(11&lt;nbar_rw,(rw_sv/2+11*rw_sv)+(rw_pv/2)*1.000000,NA()),NA())</f>
        <v/>
      </c>
      <c r="AU15">
        <f>IF(11&lt;nbar_rw,(rw_h-d1_rw)+(rw_pv/2)*-0.000000,NA())</f>
        <v/>
      </c>
      <c r="AW15">
        <f>IF(inputs_ok,IF(12&lt;nbar_rw,(rw_sv/2+12*rw_sv)+(rw_pv/2)*1.000000,NA()),NA())</f>
        <v/>
      </c>
      <c r="AX15">
        <f>IF(12&lt;nbar_rw,(rw_h-d1_rw)+(rw_pv/2)*-0.000000,NA())</f>
        <v/>
      </c>
      <c r="AZ15">
        <f>IF(inputs_ok,IF(13&lt;nbar_rw,(rw_sv/2+13*rw_sv)+(rw_pv/2)*1.000000,NA()),NA())</f>
        <v/>
      </c>
      <c r="BA15">
        <f>IF(13&lt;nbar_rw,(rw_h-d1_rw)+(rw_pv/2)*-0.000000,NA())</f>
        <v/>
      </c>
      <c r="BC15">
        <f>IF(inputs_ok,IF(14&lt;nbar_rw,(rw_sv/2+14*rw_sv)+(rw_pv/2)*1.000000,NA()),NA())</f>
        <v/>
      </c>
      <c r="BD15">
        <f>IF(14&lt;nbar_rw,(rw_h-d1_rw)+(rw_pv/2)*-0.000000,NA())</f>
        <v/>
      </c>
      <c r="BF15">
        <f>IF(inputs_ok,IF(15&lt;nbar_rw,(rw_sv/2+15*rw_sv)+(rw_pv/2)*1.000000,NA()),NA())</f>
        <v/>
      </c>
      <c r="BG15">
        <f>IF(15&lt;nbar_rw,(rw_h-d1_rw)+(rw_pv/2)*-0.000000,NA())</f>
        <v/>
      </c>
      <c r="BI15">
        <f>IF(inputs_ok,IF(16&lt;nbar_rw,(rw_sv/2+16*rw_sv)+(rw_pv/2)*1.000000,NA()),NA())</f>
        <v/>
      </c>
      <c r="BJ15">
        <f>IF(16&lt;nbar_rw,(rw_h-d1_rw)+(rw_pv/2)*-0.000000,NA())</f>
        <v/>
      </c>
      <c r="BL15">
        <f>IF(inputs_ok,IF(17&lt;nbar_rw,(rw_sv/2+17*rw_sv)+(rw_pv/2)*1.000000,NA()),NA())</f>
        <v/>
      </c>
      <c r="BM15">
        <f>IF(17&lt;nbar_rw,(rw_h-d1_rw)+(rw_pv/2)*-0.000000,NA())</f>
        <v/>
      </c>
      <c r="BO15">
        <f>IF(inputs_ok,IF(18&lt;nbar_rw,(rw_sv/2+18*rw_sv)+(rw_pv/2)*1.000000,NA()),NA())</f>
        <v/>
      </c>
      <c r="BP15">
        <f>IF(18&lt;nbar_rw,(rw_h-d1_rw)+(rw_pv/2)*-0.000000,NA())</f>
        <v/>
      </c>
      <c r="BR15">
        <f>IF(inputs_ok,IF(19&lt;nbar_rw,(rw_sv/2+19*rw_sv)+(rw_pv/2)*1.000000,NA()),NA())</f>
        <v/>
      </c>
      <c r="BS15">
        <f>IF(19&lt;nbar_rw,(rw_h-d1_rw)+(rw_pv/2)*-0.000000,NA())</f>
        <v/>
      </c>
      <c r="BU15">
        <f>IF(inputs_ok,IF(0&lt;nbar_rw,(rw_sv/2+0*rw_sv)+(rw_pv/2)*1.000000,NA()),NA())</f>
        <v/>
      </c>
      <c r="BV15">
        <f>IF(0&lt;nbar_rw,(d1_rw)+(rw_pv/2)*-0.000000,NA())</f>
        <v/>
      </c>
      <c r="BX15">
        <f>IF(inputs_ok,IF(1&lt;nbar_rw,(rw_sv/2+1*rw_sv)+(rw_pv/2)*1.000000,NA()),NA())</f>
        <v/>
      </c>
      <c r="BY15">
        <f>IF(1&lt;nbar_rw,(d1_rw)+(rw_pv/2)*-0.000000,NA())</f>
        <v/>
      </c>
      <c r="CA15">
        <f>IF(inputs_ok,IF(2&lt;nbar_rw,(rw_sv/2+2*rw_sv)+(rw_pv/2)*1.000000,NA()),NA())</f>
        <v/>
      </c>
      <c r="CB15">
        <f>IF(2&lt;nbar_rw,(d1_rw)+(rw_pv/2)*-0.000000,NA())</f>
        <v/>
      </c>
      <c r="CD15">
        <f>IF(inputs_ok,IF(3&lt;nbar_rw,(rw_sv/2+3*rw_sv)+(rw_pv/2)*1.000000,NA()),NA())</f>
        <v/>
      </c>
      <c r="CE15">
        <f>IF(3&lt;nbar_rw,(d1_rw)+(rw_pv/2)*-0.000000,NA())</f>
        <v/>
      </c>
      <c r="CG15">
        <f>IF(inputs_ok,IF(4&lt;nbar_rw,(rw_sv/2+4*rw_sv)+(rw_pv/2)*1.000000,NA()),NA())</f>
        <v/>
      </c>
      <c r="CH15">
        <f>IF(4&lt;nbar_rw,(d1_rw)+(rw_pv/2)*-0.000000,NA())</f>
        <v/>
      </c>
      <c r="CJ15">
        <f>IF(inputs_ok,IF(5&lt;nbar_rw,(rw_sv/2+5*rw_sv)+(rw_pv/2)*1.000000,NA()),NA())</f>
        <v/>
      </c>
      <c r="CK15">
        <f>IF(5&lt;nbar_rw,(d1_rw)+(rw_pv/2)*-0.000000,NA())</f>
        <v/>
      </c>
      <c r="CM15">
        <f>IF(inputs_ok,IF(6&lt;nbar_rw,(rw_sv/2+6*rw_sv)+(rw_pv/2)*1.000000,NA()),NA())</f>
        <v/>
      </c>
      <c r="CN15">
        <f>IF(6&lt;nbar_rw,(d1_rw)+(rw_pv/2)*-0.000000,NA())</f>
        <v/>
      </c>
      <c r="CP15">
        <f>IF(inputs_ok,IF(7&lt;nbar_rw,(rw_sv/2+7*rw_sv)+(rw_pv/2)*1.000000,NA()),NA())</f>
        <v/>
      </c>
      <c r="CQ15">
        <f>IF(7&lt;nbar_rw,(d1_rw)+(rw_pv/2)*-0.000000,NA())</f>
        <v/>
      </c>
      <c r="CS15">
        <f>IF(inputs_ok,IF(8&lt;nbar_rw,(rw_sv/2+8*rw_sv)+(rw_pv/2)*1.000000,NA()),NA())</f>
        <v/>
      </c>
      <c r="CT15">
        <f>IF(8&lt;nbar_rw,(d1_rw)+(rw_pv/2)*-0.000000,NA())</f>
        <v/>
      </c>
      <c r="CV15">
        <f>IF(inputs_ok,IF(9&lt;nbar_rw,(rw_sv/2+9*rw_sv)+(rw_pv/2)*1.000000,NA()),NA())</f>
        <v/>
      </c>
      <c r="CW15">
        <f>IF(9&lt;nbar_rw,(d1_rw)+(rw_pv/2)*-0.000000,NA())</f>
        <v/>
      </c>
      <c r="CY15">
        <f>IF(inputs_ok,IF(10&lt;nbar_rw,(rw_sv/2+10*rw_sv)+(rw_pv/2)*1.000000,NA()),NA())</f>
        <v/>
      </c>
      <c r="CZ15">
        <f>IF(10&lt;nbar_rw,(d1_rw)+(rw_pv/2)*-0.000000,NA())</f>
        <v/>
      </c>
      <c r="DB15">
        <f>IF(inputs_ok,IF(11&lt;nbar_rw,(rw_sv/2+11*rw_sv)+(rw_pv/2)*1.000000,NA()),NA())</f>
        <v/>
      </c>
      <c r="DC15">
        <f>IF(11&lt;nbar_rw,(d1_rw)+(rw_pv/2)*-0.000000,NA())</f>
        <v/>
      </c>
      <c r="DE15">
        <f>IF(inputs_ok,IF(12&lt;nbar_rw,(rw_sv/2+12*rw_sv)+(rw_pv/2)*1.000000,NA()),NA())</f>
        <v/>
      </c>
      <c r="DF15">
        <f>IF(12&lt;nbar_rw,(d1_rw)+(rw_pv/2)*-0.000000,NA())</f>
        <v/>
      </c>
      <c r="DH15">
        <f>IF(inputs_ok,IF(13&lt;nbar_rw,(rw_sv/2+13*rw_sv)+(rw_pv/2)*1.000000,NA()),NA())</f>
        <v/>
      </c>
      <c r="DI15">
        <f>IF(13&lt;nbar_rw,(d1_rw)+(rw_pv/2)*-0.000000,NA())</f>
        <v/>
      </c>
      <c r="DK15">
        <f>IF(inputs_ok,IF(14&lt;nbar_rw,(rw_sv/2+14*rw_sv)+(rw_pv/2)*1.000000,NA()),NA())</f>
        <v/>
      </c>
      <c r="DL15">
        <f>IF(14&lt;nbar_rw,(d1_rw)+(rw_pv/2)*-0.000000,NA())</f>
        <v/>
      </c>
      <c r="DN15">
        <f>IF(inputs_ok,IF(15&lt;nbar_rw,(rw_sv/2+15*rw_sv)+(rw_pv/2)*1.000000,NA()),NA())</f>
        <v/>
      </c>
      <c r="DO15">
        <f>IF(15&lt;nbar_rw,(d1_rw)+(rw_pv/2)*-0.000000,NA())</f>
        <v/>
      </c>
      <c r="DQ15">
        <f>IF(inputs_ok,IF(16&lt;nbar_rw,(rw_sv/2+16*rw_sv)+(rw_pv/2)*1.000000,NA()),NA())</f>
        <v/>
      </c>
      <c r="DR15">
        <f>IF(16&lt;nbar_rw,(d1_rw)+(rw_pv/2)*-0.000000,NA())</f>
        <v/>
      </c>
      <c r="DT15">
        <f>IF(inputs_ok,IF(17&lt;nbar_rw,(rw_sv/2+17*rw_sv)+(rw_pv/2)*1.000000,NA()),NA())</f>
        <v/>
      </c>
      <c r="DU15">
        <f>IF(17&lt;nbar_rw,(d1_rw)+(rw_pv/2)*-0.000000,NA())</f>
        <v/>
      </c>
      <c r="DW15">
        <f>IF(inputs_ok,IF(18&lt;nbar_rw,(rw_sv/2+18*rw_sv)+(rw_pv/2)*1.000000,NA()),NA())</f>
        <v/>
      </c>
      <c r="DX15">
        <f>IF(18&lt;nbar_rw,(d1_rw)+(rw_pv/2)*-0.000000,NA())</f>
        <v/>
      </c>
      <c r="DZ15">
        <f>IF(inputs_ok,IF(19&lt;nbar_rw,(rw_sv/2+19*rw_sv)+(rw_pv/2)*1.000000,NA()),NA())</f>
        <v/>
      </c>
      <c r="EA15">
        <f>IF(19&lt;nbar_rw,(d1_rw)+(rw_pv/2)*-0.000000,NA())</f>
        <v/>
      </c>
      <c r="FM15">
        <f>IF(inputs_ok,INDEX(nmM_rw,13)*1.5/Mpk_rw,NA())</f>
        <v/>
      </c>
      <c r="FN15">
        <f>INDEX(nmN_rw,13)/NRdmax_rw</f>
        <v/>
      </c>
    </row>
    <row r="16">
      <c r="FM16">
        <f>IF(inputs_ok,INDEX(nmM_rw,14)*1.5/Mpk_rw,NA())</f>
        <v/>
      </c>
      <c r="FN16">
        <f>INDEX(nmN_rw,14)/NRdmax_rw</f>
        <v/>
      </c>
    </row>
    <row r="17">
      <c r="FM17">
        <f>IF(inputs_ok,INDEX(nmM_rw,15)*1.5/Mpk_rw,NA())</f>
        <v/>
      </c>
      <c r="FN17">
        <f>INDEX(nmN_rw,15)/NRdmax_rw</f>
        <v/>
      </c>
    </row>
    <row r="18">
      <c r="FM18">
        <f>IF(inputs_ok,INDEX(nmM_rw,16)*1.5/Mpk_rw,NA())</f>
        <v/>
      </c>
      <c r="FN18">
        <f>INDEX(nmN_rw,16)/NRdmax_rw</f>
        <v/>
      </c>
    </row>
    <row r="19">
      <c r="FM19">
        <f>IF(inputs_ok,INDEX(nmM_rw,17)*1.5/Mpk_rw,NA())</f>
        <v/>
      </c>
      <c r="FN19">
        <f>INDEX(nmN_rw,17)/NRdmax_rw</f>
        <v/>
      </c>
    </row>
    <row r="20">
      <c r="FM20">
        <f>IF(inputs_ok,INDEX(nmM_rw,18)*1.5/Mpk_rw,NA())</f>
        <v/>
      </c>
      <c r="FN20">
        <f>INDEX(nmN_rw,18)/NRdmax_rw</f>
        <v/>
      </c>
    </row>
    <row r="21">
      <c r="FM21">
        <f>IF(inputs_ok,INDEX(nmM_rw,19)*1.5/Mpk_rw,NA())</f>
        <v/>
      </c>
      <c r="FN21">
        <f>INDEX(nmN_rw,19)/NRdmax_rw</f>
        <v/>
      </c>
    </row>
    <row r="22">
      <c r="FM22">
        <f>IF(inputs_ok,INDEX(nmM_rw,20)*1.5/Mpk_rw,NA())</f>
        <v/>
      </c>
      <c r="FN22">
        <f>INDEX(nmN_rw,20)/NRdmax_rw</f>
        <v/>
      </c>
    </row>
    <row r="23">
      <c r="FM23">
        <f>IF(inputs_ok,INDEX(nmM_rw,21)*1.5/Mpk_rw,NA())</f>
        <v/>
      </c>
      <c r="FN23">
        <f>INDEX(nmN_rw,21)/NRdmax_rw</f>
        <v/>
      </c>
    </row>
    <row r="24">
      <c r="FM24">
        <f>IF(inputs_ok,INDEX(nmM_rw,22)*1.5/Mpk_rw,NA())</f>
        <v/>
      </c>
      <c r="FN24">
        <f>INDEX(nmN_rw,22)/NRdmax_rw</f>
        <v/>
      </c>
    </row>
    <row r="25">
      <c r="FM25">
        <f>IF(inputs_ok,INDEX(nmM_rw,23)*1.5/Mpk_rw,NA())</f>
        <v/>
      </c>
      <c r="FN25">
        <f>INDEX(nmN_rw,23)/NRdmax_rw</f>
        <v/>
      </c>
    </row>
    <row r="26">
      <c r="FM26">
        <f>IF(inputs_ok,INDEX(nmM_rw,24)*1.5/Mpk_rw,NA())</f>
        <v/>
      </c>
      <c r="FN26">
        <f>INDEX(nmN_rw,24)/NRdmax_rw</f>
        <v/>
      </c>
    </row>
    <row r="27">
      <c r="FM27">
        <f>IF(inputs_ok,INDEX(nmM_rw,25)*1.5/Mpk_rw,NA())</f>
        <v/>
      </c>
      <c r="FN27">
        <f>INDEX(nmN_rw,25)/NRdmax_rw</f>
        <v/>
      </c>
    </row>
    <row r="28">
      <c r="FM28">
        <f>IF(inputs_ok,INDEX(nmM_rw,26)*1.5/Mpk_rw,NA())</f>
        <v/>
      </c>
      <c r="FN28">
        <f>INDEX(nmN_rw,26)/NRdmax_rw</f>
        <v/>
      </c>
    </row>
    <row r="29">
      <c r="FM29">
        <f>IF(inputs_ok,INDEX(nmM_rw,27)*1.5/Mpk_rw,NA())</f>
        <v/>
      </c>
      <c r="FN29">
        <f>INDEX(nmN_rw,27)/NRdmax_rw</f>
        <v/>
      </c>
    </row>
    <row r="30">
      <c r="FM30">
        <f>IF(inputs_ok,INDEX(nmM_rw,28)*1.5/Mpk_rw,NA())</f>
        <v/>
      </c>
      <c r="FN30">
        <f>INDEX(nmN_rw,28)/NRdmax_rw</f>
        <v/>
      </c>
    </row>
    <row r="31">
      <c r="FM31">
        <f>IF(inputs_ok,INDEX(nmM_rw,29)*1.5/Mpk_rw,NA())</f>
        <v/>
      </c>
      <c r="FN31">
        <f>INDEX(nmN_rw,29)/NRdmax_rw</f>
        <v/>
      </c>
    </row>
    <row r="32">
      <c r="FM32">
        <f>IF(inputs_ok,INDEX(nmM_rw,30)*1.5/Mpk_rw,NA())</f>
        <v/>
      </c>
      <c r="FN32">
        <f>INDEX(nmN_rw,30)/NRdmax_rw</f>
        <v/>
      </c>
    </row>
    <row r="33">
      <c r="FM33">
        <f>IF(inputs_ok,INDEX(nmM_rw,31)*1.5/Mpk_rw,NA())</f>
        <v/>
      </c>
      <c r="FN33">
        <f>INDEX(nmN_rw,31)/NRdmax_rw</f>
        <v/>
      </c>
    </row>
    <row r="34">
      <c r="FM34">
        <f>IF(inputs_ok,INDEX(nmM_rw,32)*1.5/Mpk_rw,NA())</f>
        <v/>
      </c>
      <c r="FN34">
        <f>INDEX(nmN_rw,32)/NRdmax_rw</f>
        <v/>
      </c>
    </row>
    <row r="35">
      <c r="FM35">
        <f>IF(inputs_ok,INDEX(nmM_rw,33)*1.5/Mpk_rw,NA())</f>
        <v/>
      </c>
      <c r="FN35">
        <f>INDEX(nmN_rw,33)/NRdmax_rw</f>
        <v/>
      </c>
    </row>
    <row r="36">
      <c r="FM36">
        <f>IF(inputs_ok,INDEX(nmM_rw,34)*1.5/Mpk_rw,NA())</f>
        <v/>
      </c>
      <c r="FN36">
        <f>INDEX(nmN_rw,34)/NRdmax_rw</f>
        <v/>
      </c>
    </row>
    <row r="37">
      <c r="FM37">
        <f>IF(inputs_ok,INDEX(nmM_rw,35)*1.5/Mpk_rw,NA())</f>
        <v/>
      </c>
      <c r="FN37">
        <f>INDEX(nmN_rw,35)/NRdmax_rw</f>
        <v/>
      </c>
    </row>
    <row r="38">
      <c r="FM38">
        <f>IF(inputs_ok,INDEX(nmM_rw,36)*1.5/Mpk_rw,NA())</f>
        <v/>
      </c>
      <c r="FN38">
        <f>INDEX(nmN_rw,36)/NRdmax_rw</f>
        <v/>
      </c>
    </row>
    <row r="39">
      <c r="FM39">
        <f>IF(inputs_ok,INDEX(nmM_rw,37)*1.5/Mpk_rw,NA())</f>
        <v/>
      </c>
      <c r="FN39">
        <f>INDEX(nmN_rw,37)/NRdmax_rw</f>
        <v/>
      </c>
    </row>
    <row r="40">
      <c r="FM40">
        <f>IF(inputs_ok,INDEX(nmM_rw,38)*1.5/Mpk_rw,NA())</f>
        <v/>
      </c>
      <c r="FN40">
        <f>INDEX(nmN_rw,38)/NRdmax_rw</f>
        <v/>
      </c>
    </row>
    <row r="41">
      <c r="FM41">
        <f>IF(inputs_ok,INDEX(nmM_rw,39)*1.5/Mpk_rw,NA())</f>
        <v/>
      </c>
      <c r="FN41">
        <f>INDEX(nmN_rw,39)/NRdmax_rw</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M117"/>
  <sheetViews>
    <sheetView showGridLines="0" tabSelected="0" workbookViewId="0">
      <selection activeCell="A1" sqref="A1"/>
    </sheetView>
  </sheetViews>
  <sheetFormatPr baseColWidth="8" defaultRowHeight="15"/>
  <cols>
    <col width="2" customWidth="1" min="1" max="1"/>
    <col width="6" customWidth="1" min="2" max="2"/>
    <col width="12" customWidth="1" min="3" max="3"/>
    <col width="12" customWidth="1" min="4" max="4"/>
    <col width="12" customWidth="1" min="5" max="5"/>
    <col width="12" customWidth="1" min="6" max="6"/>
    <col width="12" customWidth="1" min="7" max="7"/>
    <col width="12" customWidth="1" min="8" max="8"/>
    <col hidden="1" width="13" customWidth="1" min="9" max="9"/>
    <col hidden="1" width="13" customWidth="1" min="10" max="10"/>
    <col hidden="1" width="13" customWidth="1" min="11" max="11"/>
    <col hidden="1" width="13" customWidth="1" min="12" max="12"/>
    <col hidden="1" width="13" customWidth="1" min="13" max="13"/>
  </cols>
  <sheetData>
    <row r="2">
      <c r="B2" s="49" t="inlineStr">
        <is>
          <t>N-M interaction per metre run  ·  strain compatibility, EN 1992-1-1 §6.1</t>
        </is>
      </c>
    </row>
    <row r="3" ht="64" customHeight="1">
      <c r="B3" s="50" t="inlineStr">
        <is>
          <t>Strip 1000 mm long, two equal layers of vertical bars. Concrete: the parabola-rectangle diagram of 3.1.7(1) for every neutral axis depth, σc = fcd [1 − (1 − εc / 0.002)²] up to εc2 = 0.002, then fcd, none in tension, integrated in closed form over the depth. Strain limits of 6.1(5): 0.0035 at the compressed face while x ≤ h; beyond, the pivot 0.002 at 3h/7 from that face, up to a uniform 0.002 (pure compression, bars at min(fyd; 400)). Bars elastic-plastic, Es = 200 GPa, the concrete they displace deducted at the stress at the bar. M about the centre of the wall, compression positive.</t>
        </is>
      </c>
    </row>
    <row r="5">
      <c r="J5">
        <f>Asf_rw</f>
        <v/>
      </c>
      <c r="K5">
        <f>Asf_rw</f>
        <v/>
      </c>
    </row>
    <row r="6">
      <c r="J6">
        <f>d1_rw</f>
        <v/>
      </c>
      <c r="K6">
        <f>rw_h-d1_rw</f>
        <v/>
      </c>
    </row>
    <row r="7">
      <c r="J7">
        <f>rw_h/2-J6</f>
        <v/>
      </c>
      <c r="K7">
        <f>rw_h/2-K6</f>
        <v/>
      </c>
    </row>
    <row r="8">
      <c r="J8">
        <f>rw_pv</f>
        <v/>
      </c>
      <c r="K8">
        <f>rw_pv</f>
        <v/>
      </c>
    </row>
    <row r="14">
      <c r="B14" s="51" t="inlineStr"/>
      <c r="C14" s="51" t="inlineStr">
        <is>
          <t>x (mm)</t>
        </is>
      </c>
      <c r="D14" s="51" t="inlineStr">
        <is>
          <t>εc face (‰)</t>
        </is>
      </c>
      <c r="E14" s="51" t="inlineStr">
        <is>
          <t>N (kN/m)</t>
        </is>
      </c>
      <c r="F14" s="51" t="inlineStr">
        <is>
          <t>M (kNm/m)</t>
        </is>
      </c>
    </row>
    <row r="15">
      <c r="B15" s="52" t="n">
        <v>1</v>
      </c>
      <c r="C15" s="53" t="inlineStr">
        <is>
          <t>tension</t>
        </is>
      </c>
      <c r="D15" s="54" t="n">
        <v>0</v>
      </c>
      <c r="E15" s="55">
        <f>-As_rw*fyd_rw/1000</f>
        <v/>
      </c>
      <c r="F15" s="55">
        <f>-fyd_rw*SUMPRODUCT($J$5:$K$5,$J$7:$K$7)/1E6</f>
        <v/>
      </c>
    </row>
    <row r="16">
      <c r="B16" s="52" t="n">
        <v>2</v>
      </c>
      <c r="C16" s="53">
        <f>0.01*rw_h</f>
        <v/>
      </c>
      <c r="D16" s="54">
        <f>1000*$I16*$C16</f>
        <v/>
      </c>
      <c r="E16" s="55">
        <f>((2*fcd_rw/$I16*(IF($L16&lt;=1,$L16^2-$L16^3/3,$L16-1/3)-IF($M16&lt;=1,$M16^2-$M16^3/3,$M16-1/3)))+SUMPRODUCT($J$5:$K$5,$J16:$K16))/1000</f>
        <v/>
      </c>
      <c r="F16" s="55">
        <f>((rw_h/2-$C16)*(2*fcd_rw/$I16*(IF($L16&lt;=1,$L16^2-$L16^3/3,$L16-1/3)-IF($M16&lt;=1,$M16^2-$M16^3/3,$M16-1/3)))+0.004*fcd_rw/$I16^2*(IF($L16&lt;=1,2*$L16^3/3-$L16^4/4,$L16^2/2-1/12)-IF($M16&lt;=1,2*$M16^3/3-$M16^4/4,$M16^2/2-1/12))+SUMPRODUCT($J$5:$K$5,$J16:$K16,$J$7:$K$7))/1E6</f>
        <v/>
      </c>
      <c r="I16">
        <f>IF($C16&lt;=rw_h,0.0035/$C16,0.002/($C16-3*rw_h/7))</f>
        <v/>
      </c>
      <c r="J16">
        <f>MAX(-fyd_rw,MIN(fyd_rw,200000*$I16*($C16-J$6)))-fcd_rw*IF($I16*($C16-J$6)&lt;=0,0,IF($I16*($C16-J$6)&lt;0.002,1-(1-$I16*($C16-J$6)/0.002)^2,1))</f>
        <v/>
      </c>
      <c r="K16">
        <f>MAX(-fyd_rw,MIN(fyd_rw,200000*$I16*($C16-K$6)))-fcd_rw*IF($I16*($C16-K$6)&lt;=0,0,IF($I16*($C16-K$6)&lt;0.002,1-(1-$I16*($C16-K$6)/0.002)^2,1))</f>
        <v/>
      </c>
      <c r="L16">
        <f>$I16*$C16/0.002</f>
        <v/>
      </c>
      <c r="M16">
        <f>IF($C16&lt;=rw_h,0,$I16*($C16-rw_h)/0.002)</f>
        <v/>
      </c>
    </row>
    <row r="17">
      <c r="B17" s="52" t="n">
        <v>3</v>
      </c>
      <c r="C17" s="53">
        <f>0.03*rw_h</f>
        <v/>
      </c>
      <c r="D17" s="54">
        <f>1000*$I17*$C17</f>
        <v/>
      </c>
      <c r="E17" s="55">
        <f>((2*fcd_rw/$I17*(IF($L17&lt;=1,$L17^2-$L17^3/3,$L17-1/3)-IF($M17&lt;=1,$M17^2-$M17^3/3,$M17-1/3)))+SUMPRODUCT($J$5:$K$5,$J17:$K17))/1000</f>
        <v/>
      </c>
      <c r="F17" s="55">
        <f>((rw_h/2-$C17)*(2*fcd_rw/$I17*(IF($L17&lt;=1,$L17^2-$L17^3/3,$L17-1/3)-IF($M17&lt;=1,$M17^2-$M17^3/3,$M17-1/3)))+0.004*fcd_rw/$I17^2*(IF($L17&lt;=1,2*$L17^3/3-$L17^4/4,$L17^2/2-1/12)-IF($M17&lt;=1,2*$M17^3/3-$M17^4/4,$M17^2/2-1/12))+SUMPRODUCT($J$5:$K$5,$J17:$K17,$J$7:$K$7))/1E6</f>
        <v/>
      </c>
      <c r="I17">
        <f>IF($C17&lt;=rw_h,0.0035/$C17,0.002/($C17-3*rw_h/7))</f>
        <v/>
      </c>
      <c r="J17">
        <f>MAX(-fyd_rw,MIN(fyd_rw,200000*$I17*($C17-J$6)))-fcd_rw*IF($I17*($C17-J$6)&lt;=0,0,IF($I17*($C17-J$6)&lt;0.002,1-(1-$I17*($C17-J$6)/0.002)^2,1))</f>
        <v/>
      </c>
      <c r="K17">
        <f>MAX(-fyd_rw,MIN(fyd_rw,200000*$I17*($C17-K$6)))-fcd_rw*IF($I17*($C17-K$6)&lt;=0,0,IF($I17*($C17-K$6)&lt;0.002,1-(1-$I17*($C17-K$6)/0.002)^2,1))</f>
        <v/>
      </c>
      <c r="L17">
        <f>$I17*$C17/0.002</f>
        <v/>
      </c>
      <c r="M17">
        <f>IF($C17&lt;=rw_h,0,$I17*($C17-rw_h)/0.002)</f>
        <v/>
      </c>
    </row>
    <row r="18">
      <c r="B18" s="52" t="n">
        <v>4</v>
      </c>
      <c r="C18" s="53">
        <f>0.05*rw_h</f>
        <v/>
      </c>
      <c r="D18" s="54">
        <f>1000*$I18*$C18</f>
        <v/>
      </c>
      <c r="E18" s="55">
        <f>((2*fcd_rw/$I18*(IF($L18&lt;=1,$L18^2-$L18^3/3,$L18-1/3)-IF($M18&lt;=1,$M18^2-$M18^3/3,$M18-1/3)))+SUMPRODUCT($J$5:$K$5,$J18:$K18))/1000</f>
        <v/>
      </c>
      <c r="F18" s="55">
        <f>((rw_h/2-$C18)*(2*fcd_rw/$I18*(IF($L18&lt;=1,$L18^2-$L18^3/3,$L18-1/3)-IF($M18&lt;=1,$M18^2-$M18^3/3,$M18-1/3)))+0.004*fcd_rw/$I18^2*(IF($L18&lt;=1,2*$L18^3/3-$L18^4/4,$L18^2/2-1/12)-IF($M18&lt;=1,2*$M18^3/3-$M18^4/4,$M18^2/2-1/12))+SUMPRODUCT($J$5:$K$5,$J18:$K18,$J$7:$K$7))/1E6</f>
        <v/>
      </c>
      <c r="I18">
        <f>IF($C18&lt;=rw_h,0.0035/$C18,0.002/($C18-3*rw_h/7))</f>
        <v/>
      </c>
      <c r="J18">
        <f>MAX(-fyd_rw,MIN(fyd_rw,200000*$I18*($C18-J$6)))-fcd_rw*IF($I18*($C18-J$6)&lt;=0,0,IF($I18*($C18-J$6)&lt;0.002,1-(1-$I18*($C18-J$6)/0.002)^2,1))</f>
        <v/>
      </c>
      <c r="K18">
        <f>MAX(-fyd_rw,MIN(fyd_rw,200000*$I18*($C18-K$6)))-fcd_rw*IF($I18*($C18-K$6)&lt;=0,0,IF($I18*($C18-K$6)&lt;0.002,1-(1-$I18*($C18-K$6)/0.002)^2,1))</f>
        <v/>
      </c>
      <c r="L18">
        <f>$I18*$C18/0.002</f>
        <v/>
      </c>
      <c r="M18">
        <f>IF($C18&lt;=rw_h,0,$I18*($C18-rw_h)/0.002)</f>
        <v/>
      </c>
    </row>
    <row r="19">
      <c r="B19" s="52" t="n">
        <v>5</v>
      </c>
      <c r="C19" s="53">
        <f>0.075*rw_h</f>
        <v/>
      </c>
      <c r="D19" s="54">
        <f>1000*$I19*$C19</f>
        <v/>
      </c>
      <c r="E19" s="55">
        <f>((2*fcd_rw/$I19*(IF($L19&lt;=1,$L19^2-$L19^3/3,$L19-1/3)-IF($M19&lt;=1,$M19^2-$M19^3/3,$M19-1/3)))+SUMPRODUCT($J$5:$K$5,$J19:$K19))/1000</f>
        <v/>
      </c>
      <c r="F19" s="55">
        <f>((rw_h/2-$C19)*(2*fcd_rw/$I19*(IF($L19&lt;=1,$L19^2-$L19^3/3,$L19-1/3)-IF($M19&lt;=1,$M19^2-$M19^3/3,$M19-1/3)))+0.004*fcd_rw/$I19^2*(IF($L19&lt;=1,2*$L19^3/3-$L19^4/4,$L19^2/2-1/12)-IF($M19&lt;=1,2*$M19^3/3-$M19^4/4,$M19^2/2-1/12))+SUMPRODUCT($J$5:$K$5,$J19:$K19,$J$7:$K$7))/1E6</f>
        <v/>
      </c>
      <c r="I19">
        <f>IF($C19&lt;=rw_h,0.0035/$C19,0.002/($C19-3*rw_h/7))</f>
        <v/>
      </c>
      <c r="J19">
        <f>MAX(-fyd_rw,MIN(fyd_rw,200000*$I19*($C19-J$6)))-fcd_rw*IF($I19*($C19-J$6)&lt;=0,0,IF($I19*($C19-J$6)&lt;0.002,1-(1-$I19*($C19-J$6)/0.002)^2,1))</f>
        <v/>
      </c>
      <c r="K19">
        <f>MAX(-fyd_rw,MIN(fyd_rw,200000*$I19*($C19-K$6)))-fcd_rw*IF($I19*($C19-K$6)&lt;=0,0,IF($I19*($C19-K$6)&lt;0.002,1-(1-$I19*($C19-K$6)/0.002)^2,1))</f>
        <v/>
      </c>
      <c r="L19">
        <f>$I19*$C19/0.002</f>
        <v/>
      </c>
      <c r="M19">
        <f>IF($C19&lt;=rw_h,0,$I19*($C19-rw_h)/0.002)</f>
        <v/>
      </c>
    </row>
    <row r="20">
      <c r="B20" s="52" t="n">
        <v>6</v>
      </c>
      <c r="C20" s="53">
        <f>0.1*rw_h</f>
        <v/>
      </c>
      <c r="D20" s="54">
        <f>1000*$I20*$C20</f>
        <v/>
      </c>
      <c r="E20" s="55">
        <f>((2*fcd_rw/$I20*(IF($L20&lt;=1,$L20^2-$L20^3/3,$L20-1/3)-IF($M20&lt;=1,$M20^2-$M20^3/3,$M20-1/3)))+SUMPRODUCT($J$5:$K$5,$J20:$K20))/1000</f>
        <v/>
      </c>
      <c r="F20" s="55">
        <f>((rw_h/2-$C20)*(2*fcd_rw/$I20*(IF($L20&lt;=1,$L20^2-$L20^3/3,$L20-1/3)-IF($M20&lt;=1,$M20^2-$M20^3/3,$M20-1/3)))+0.004*fcd_rw/$I20^2*(IF($L20&lt;=1,2*$L20^3/3-$L20^4/4,$L20^2/2-1/12)-IF($M20&lt;=1,2*$M20^3/3-$M20^4/4,$M20^2/2-1/12))+SUMPRODUCT($J$5:$K$5,$J20:$K20,$J$7:$K$7))/1E6</f>
        <v/>
      </c>
      <c r="I20">
        <f>IF($C20&lt;=rw_h,0.0035/$C20,0.002/($C20-3*rw_h/7))</f>
        <v/>
      </c>
      <c r="J20">
        <f>MAX(-fyd_rw,MIN(fyd_rw,200000*$I20*($C20-J$6)))-fcd_rw*IF($I20*($C20-J$6)&lt;=0,0,IF($I20*($C20-J$6)&lt;0.002,1-(1-$I20*($C20-J$6)/0.002)^2,1))</f>
        <v/>
      </c>
      <c r="K20">
        <f>MAX(-fyd_rw,MIN(fyd_rw,200000*$I20*($C20-K$6)))-fcd_rw*IF($I20*($C20-K$6)&lt;=0,0,IF($I20*($C20-K$6)&lt;0.002,1-(1-$I20*($C20-K$6)/0.002)^2,1))</f>
        <v/>
      </c>
      <c r="L20">
        <f>$I20*$C20/0.002</f>
        <v/>
      </c>
      <c r="M20">
        <f>IF($C20&lt;=rw_h,0,$I20*($C20-rw_h)/0.002)</f>
        <v/>
      </c>
    </row>
    <row r="21">
      <c r="B21" s="52" t="n">
        <v>7</v>
      </c>
      <c r="C21" s="53">
        <f>0.125*rw_h</f>
        <v/>
      </c>
      <c r="D21" s="54">
        <f>1000*$I21*$C21</f>
        <v/>
      </c>
      <c r="E21" s="55">
        <f>((2*fcd_rw/$I21*(IF($L21&lt;=1,$L21^2-$L21^3/3,$L21-1/3)-IF($M21&lt;=1,$M21^2-$M21^3/3,$M21-1/3)))+SUMPRODUCT($J$5:$K$5,$J21:$K21))/1000</f>
        <v/>
      </c>
      <c r="F21" s="55">
        <f>((rw_h/2-$C21)*(2*fcd_rw/$I21*(IF($L21&lt;=1,$L21^2-$L21^3/3,$L21-1/3)-IF($M21&lt;=1,$M21^2-$M21^3/3,$M21-1/3)))+0.004*fcd_rw/$I21^2*(IF($L21&lt;=1,2*$L21^3/3-$L21^4/4,$L21^2/2-1/12)-IF($M21&lt;=1,2*$M21^3/3-$M21^4/4,$M21^2/2-1/12))+SUMPRODUCT($J$5:$K$5,$J21:$K21,$J$7:$K$7))/1E6</f>
        <v/>
      </c>
      <c r="I21">
        <f>IF($C21&lt;=rw_h,0.0035/$C21,0.002/($C21-3*rw_h/7))</f>
        <v/>
      </c>
      <c r="J21">
        <f>MAX(-fyd_rw,MIN(fyd_rw,200000*$I21*($C21-J$6)))-fcd_rw*IF($I21*($C21-J$6)&lt;=0,0,IF($I21*($C21-J$6)&lt;0.002,1-(1-$I21*($C21-J$6)/0.002)^2,1))</f>
        <v/>
      </c>
      <c r="K21">
        <f>MAX(-fyd_rw,MIN(fyd_rw,200000*$I21*($C21-K$6)))-fcd_rw*IF($I21*($C21-K$6)&lt;=0,0,IF($I21*($C21-K$6)&lt;0.002,1-(1-$I21*($C21-K$6)/0.002)^2,1))</f>
        <v/>
      </c>
      <c r="L21">
        <f>$I21*$C21/0.002</f>
        <v/>
      </c>
      <c r="M21">
        <f>IF($C21&lt;=rw_h,0,$I21*($C21-rw_h)/0.002)</f>
        <v/>
      </c>
    </row>
    <row r="22">
      <c r="B22" s="52" t="n">
        <v>8</v>
      </c>
      <c r="C22" s="53">
        <f>0.15*rw_h</f>
        <v/>
      </c>
      <c r="D22" s="54">
        <f>1000*$I22*$C22</f>
        <v/>
      </c>
      <c r="E22" s="55">
        <f>((2*fcd_rw/$I22*(IF($L22&lt;=1,$L22^2-$L22^3/3,$L22-1/3)-IF($M22&lt;=1,$M22^2-$M22^3/3,$M22-1/3)))+SUMPRODUCT($J$5:$K$5,$J22:$K22))/1000</f>
        <v/>
      </c>
      <c r="F22" s="55">
        <f>((rw_h/2-$C22)*(2*fcd_rw/$I22*(IF($L22&lt;=1,$L22^2-$L22^3/3,$L22-1/3)-IF($M22&lt;=1,$M22^2-$M22^3/3,$M22-1/3)))+0.004*fcd_rw/$I22^2*(IF($L22&lt;=1,2*$L22^3/3-$L22^4/4,$L22^2/2-1/12)-IF($M22&lt;=1,2*$M22^3/3-$M22^4/4,$M22^2/2-1/12))+SUMPRODUCT($J$5:$K$5,$J22:$K22,$J$7:$K$7))/1E6</f>
        <v/>
      </c>
      <c r="I22">
        <f>IF($C22&lt;=rw_h,0.0035/$C22,0.002/($C22-3*rw_h/7))</f>
        <v/>
      </c>
      <c r="J22">
        <f>MAX(-fyd_rw,MIN(fyd_rw,200000*$I22*($C22-J$6)))-fcd_rw*IF($I22*($C22-J$6)&lt;=0,0,IF($I22*($C22-J$6)&lt;0.002,1-(1-$I22*($C22-J$6)/0.002)^2,1))</f>
        <v/>
      </c>
      <c r="K22">
        <f>MAX(-fyd_rw,MIN(fyd_rw,200000*$I22*($C22-K$6)))-fcd_rw*IF($I22*($C22-K$6)&lt;=0,0,IF($I22*($C22-K$6)&lt;0.002,1-(1-$I22*($C22-K$6)/0.002)^2,1))</f>
        <v/>
      </c>
      <c r="L22">
        <f>$I22*$C22/0.002</f>
        <v/>
      </c>
      <c r="M22">
        <f>IF($C22&lt;=rw_h,0,$I22*($C22-rw_h)/0.002)</f>
        <v/>
      </c>
    </row>
    <row r="23">
      <c r="B23" s="52" t="n">
        <v>9</v>
      </c>
      <c r="C23" s="53">
        <f>0.2*rw_h</f>
        <v/>
      </c>
      <c r="D23" s="54">
        <f>1000*$I23*$C23</f>
        <v/>
      </c>
      <c r="E23" s="55">
        <f>((2*fcd_rw/$I23*(IF($L23&lt;=1,$L23^2-$L23^3/3,$L23-1/3)-IF($M23&lt;=1,$M23^2-$M23^3/3,$M23-1/3)))+SUMPRODUCT($J$5:$K$5,$J23:$K23))/1000</f>
        <v/>
      </c>
      <c r="F23" s="55">
        <f>((rw_h/2-$C23)*(2*fcd_rw/$I23*(IF($L23&lt;=1,$L23^2-$L23^3/3,$L23-1/3)-IF($M23&lt;=1,$M23^2-$M23^3/3,$M23-1/3)))+0.004*fcd_rw/$I23^2*(IF($L23&lt;=1,2*$L23^3/3-$L23^4/4,$L23^2/2-1/12)-IF($M23&lt;=1,2*$M23^3/3-$M23^4/4,$M23^2/2-1/12))+SUMPRODUCT($J$5:$K$5,$J23:$K23,$J$7:$K$7))/1E6</f>
        <v/>
      </c>
      <c r="I23">
        <f>IF($C23&lt;=rw_h,0.0035/$C23,0.002/($C23-3*rw_h/7))</f>
        <v/>
      </c>
      <c r="J23">
        <f>MAX(-fyd_rw,MIN(fyd_rw,200000*$I23*($C23-J$6)))-fcd_rw*IF($I23*($C23-J$6)&lt;=0,0,IF($I23*($C23-J$6)&lt;0.002,1-(1-$I23*($C23-J$6)/0.002)^2,1))</f>
        <v/>
      </c>
      <c r="K23">
        <f>MAX(-fyd_rw,MIN(fyd_rw,200000*$I23*($C23-K$6)))-fcd_rw*IF($I23*($C23-K$6)&lt;=0,0,IF($I23*($C23-K$6)&lt;0.002,1-(1-$I23*($C23-K$6)/0.002)^2,1))</f>
        <v/>
      </c>
      <c r="L23">
        <f>$I23*$C23/0.002</f>
        <v/>
      </c>
      <c r="M23">
        <f>IF($C23&lt;=rw_h,0,$I23*($C23-rw_h)/0.002)</f>
        <v/>
      </c>
    </row>
    <row r="24">
      <c r="B24" s="52" t="n">
        <v>10</v>
      </c>
      <c r="C24" s="53">
        <f>0.25*rw_h</f>
        <v/>
      </c>
      <c r="D24" s="54">
        <f>1000*$I24*$C24</f>
        <v/>
      </c>
      <c r="E24" s="55">
        <f>((2*fcd_rw/$I24*(IF($L24&lt;=1,$L24^2-$L24^3/3,$L24-1/3)-IF($M24&lt;=1,$M24^2-$M24^3/3,$M24-1/3)))+SUMPRODUCT($J$5:$K$5,$J24:$K24))/1000</f>
        <v/>
      </c>
      <c r="F24" s="55">
        <f>((rw_h/2-$C24)*(2*fcd_rw/$I24*(IF($L24&lt;=1,$L24^2-$L24^3/3,$L24-1/3)-IF($M24&lt;=1,$M24^2-$M24^3/3,$M24-1/3)))+0.004*fcd_rw/$I24^2*(IF($L24&lt;=1,2*$L24^3/3-$L24^4/4,$L24^2/2-1/12)-IF($M24&lt;=1,2*$M24^3/3-$M24^4/4,$M24^2/2-1/12))+SUMPRODUCT($J$5:$K$5,$J24:$K24,$J$7:$K$7))/1E6</f>
        <v/>
      </c>
      <c r="I24">
        <f>IF($C24&lt;=rw_h,0.0035/$C24,0.002/($C24-3*rw_h/7))</f>
        <v/>
      </c>
      <c r="J24">
        <f>MAX(-fyd_rw,MIN(fyd_rw,200000*$I24*($C24-J$6)))-fcd_rw*IF($I24*($C24-J$6)&lt;=0,0,IF($I24*($C24-J$6)&lt;0.002,1-(1-$I24*($C24-J$6)/0.002)^2,1))</f>
        <v/>
      </c>
      <c r="K24">
        <f>MAX(-fyd_rw,MIN(fyd_rw,200000*$I24*($C24-K$6)))-fcd_rw*IF($I24*($C24-K$6)&lt;=0,0,IF($I24*($C24-K$6)&lt;0.002,1-(1-$I24*($C24-K$6)/0.002)^2,1))</f>
        <v/>
      </c>
      <c r="L24">
        <f>$I24*$C24/0.002</f>
        <v/>
      </c>
      <c r="M24">
        <f>IF($C24&lt;=rw_h,0,$I24*($C24-rw_h)/0.002)</f>
        <v/>
      </c>
    </row>
    <row r="25">
      <c r="B25" s="52" t="n">
        <v>11</v>
      </c>
      <c r="C25" s="53">
        <f>0.3*rw_h</f>
        <v/>
      </c>
      <c r="D25" s="54">
        <f>1000*$I25*$C25</f>
        <v/>
      </c>
      <c r="E25" s="55">
        <f>((2*fcd_rw/$I25*(IF($L25&lt;=1,$L25^2-$L25^3/3,$L25-1/3)-IF($M25&lt;=1,$M25^2-$M25^3/3,$M25-1/3)))+SUMPRODUCT($J$5:$K$5,$J25:$K25))/1000</f>
        <v/>
      </c>
      <c r="F25" s="55">
        <f>((rw_h/2-$C25)*(2*fcd_rw/$I25*(IF($L25&lt;=1,$L25^2-$L25^3/3,$L25-1/3)-IF($M25&lt;=1,$M25^2-$M25^3/3,$M25-1/3)))+0.004*fcd_rw/$I25^2*(IF($L25&lt;=1,2*$L25^3/3-$L25^4/4,$L25^2/2-1/12)-IF($M25&lt;=1,2*$M25^3/3-$M25^4/4,$M25^2/2-1/12))+SUMPRODUCT($J$5:$K$5,$J25:$K25,$J$7:$K$7))/1E6</f>
        <v/>
      </c>
      <c r="I25">
        <f>IF($C25&lt;=rw_h,0.0035/$C25,0.002/($C25-3*rw_h/7))</f>
        <v/>
      </c>
      <c r="J25">
        <f>MAX(-fyd_rw,MIN(fyd_rw,200000*$I25*($C25-J$6)))-fcd_rw*IF($I25*($C25-J$6)&lt;=0,0,IF($I25*($C25-J$6)&lt;0.002,1-(1-$I25*($C25-J$6)/0.002)^2,1))</f>
        <v/>
      </c>
      <c r="K25">
        <f>MAX(-fyd_rw,MIN(fyd_rw,200000*$I25*($C25-K$6)))-fcd_rw*IF($I25*($C25-K$6)&lt;=0,0,IF($I25*($C25-K$6)&lt;0.002,1-(1-$I25*($C25-K$6)/0.002)^2,1))</f>
        <v/>
      </c>
      <c r="L25">
        <f>$I25*$C25/0.002</f>
        <v/>
      </c>
      <c r="M25">
        <f>IF($C25&lt;=rw_h,0,$I25*($C25-rw_h)/0.002)</f>
        <v/>
      </c>
    </row>
    <row r="26">
      <c r="B26" s="52" t="n">
        <v>12</v>
      </c>
      <c r="C26" s="53">
        <f>0.35*rw_h</f>
        <v/>
      </c>
      <c r="D26" s="54">
        <f>1000*$I26*$C26</f>
        <v/>
      </c>
      <c r="E26" s="55">
        <f>((2*fcd_rw/$I26*(IF($L26&lt;=1,$L26^2-$L26^3/3,$L26-1/3)-IF($M26&lt;=1,$M26^2-$M26^3/3,$M26-1/3)))+SUMPRODUCT($J$5:$K$5,$J26:$K26))/1000</f>
        <v/>
      </c>
      <c r="F26" s="55">
        <f>((rw_h/2-$C26)*(2*fcd_rw/$I26*(IF($L26&lt;=1,$L26^2-$L26^3/3,$L26-1/3)-IF($M26&lt;=1,$M26^2-$M26^3/3,$M26-1/3)))+0.004*fcd_rw/$I26^2*(IF($L26&lt;=1,2*$L26^3/3-$L26^4/4,$L26^2/2-1/12)-IF($M26&lt;=1,2*$M26^3/3-$M26^4/4,$M26^2/2-1/12))+SUMPRODUCT($J$5:$K$5,$J26:$K26,$J$7:$K$7))/1E6</f>
        <v/>
      </c>
      <c r="I26">
        <f>IF($C26&lt;=rw_h,0.0035/$C26,0.002/($C26-3*rw_h/7))</f>
        <v/>
      </c>
      <c r="J26">
        <f>MAX(-fyd_rw,MIN(fyd_rw,200000*$I26*($C26-J$6)))-fcd_rw*IF($I26*($C26-J$6)&lt;=0,0,IF($I26*($C26-J$6)&lt;0.002,1-(1-$I26*($C26-J$6)/0.002)^2,1))</f>
        <v/>
      </c>
      <c r="K26">
        <f>MAX(-fyd_rw,MIN(fyd_rw,200000*$I26*($C26-K$6)))-fcd_rw*IF($I26*($C26-K$6)&lt;=0,0,IF($I26*($C26-K$6)&lt;0.002,1-(1-$I26*($C26-K$6)/0.002)^2,1))</f>
        <v/>
      </c>
      <c r="L26">
        <f>$I26*$C26/0.002</f>
        <v/>
      </c>
      <c r="M26">
        <f>IF($C26&lt;=rw_h,0,$I26*($C26-rw_h)/0.002)</f>
        <v/>
      </c>
    </row>
    <row r="27">
      <c r="B27" s="52" t="n">
        <v>13</v>
      </c>
      <c r="C27" s="53">
        <f>0.4*rw_h</f>
        <v/>
      </c>
      <c r="D27" s="54">
        <f>1000*$I27*$C27</f>
        <v/>
      </c>
      <c r="E27" s="55">
        <f>((2*fcd_rw/$I27*(IF($L27&lt;=1,$L27^2-$L27^3/3,$L27-1/3)-IF($M27&lt;=1,$M27^2-$M27^3/3,$M27-1/3)))+SUMPRODUCT($J$5:$K$5,$J27:$K27))/1000</f>
        <v/>
      </c>
      <c r="F27" s="55">
        <f>((rw_h/2-$C27)*(2*fcd_rw/$I27*(IF($L27&lt;=1,$L27^2-$L27^3/3,$L27-1/3)-IF($M27&lt;=1,$M27^2-$M27^3/3,$M27-1/3)))+0.004*fcd_rw/$I27^2*(IF($L27&lt;=1,2*$L27^3/3-$L27^4/4,$L27^2/2-1/12)-IF($M27&lt;=1,2*$M27^3/3-$M27^4/4,$M27^2/2-1/12))+SUMPRODUCT($J$5:$K$5,$J27:$K27,$J$7:$K$7))/1E6</f>
        <v/>
      </c>
      <c r="I27">
        <f>IF($C27&lt;=rw_h,0.0035/$C27,0.002/($C27-3*rw_h/7))</f>
        <v/>
      </c>
      <c r="J27">
        <f>MAX(-fyd_rw,MIN(fyd_rw,200000*$I27*($C27-J$6)))-fcd_rw*IF($I27*($C27-J$6)&lt;=0,0,IF($I27*($C27-J$6)&lt;0.002,1-(1-$I27*($C27-J$6)/0.002)^2,1))</f>
        <v/>
      </c>
      <c r="K27">
        <f>MAX(-fyd_rw,MIN(fyd_rw,200000*$I27*($C27-K$6)))-fcd_rw*IF($I27*($C27-K$6)&lt;=0,0,IF($I27*($C27-K$6)&lt;0.002,1-(1-$I27*($C27-K$6)/0.002)^2,1))</f>
        <v/>
      </c>
      <c r="L27">
        <f>$I27*$C27/0.002</f>
        <v/>
      </c>
      <c r="M27">
        <f>IF($C27&lt;=rw_h,0,$I27*($C27-rw_h)/0.002)</f>
        <v/>
      </c>
    </row>
    <row r="28">
      <c r="B28" s="52" t="n">
        <v>14</v>
      </c>
      <c r="C28" s="53">
        <f>0.45*rw_h</f>
        <v/>
      </c>
      <c r="D28" s="54">
        <f>1000*$I28*$C28</f>
        <v/>
      </c>
      <c r="E28" s="55">
        <f>((2*fcd_rw/$I28*(IF($L28&lt;=1,$L28^2-$L28^3/3,$L28-1/3)-IF($M28&lt;=1,$M28^2-$M28^3/3,$M28-1/3)))+SUMPRODUCT($J$5:$K$5,$J28:$K28))/1000</f>
        <v/>
      </c>
      <c r="F28" s="55">
        <f>((rw_h/2-$C28)*(2*fcd_rw/$I28*(IF($L28&lt;=1,$L28^2-$L28^3/3,$L28-1/3)-IF($M28&lt;=1,$M28^2-$M28^3/3,$M28-1/3)))+0.004*fcd_rw/$I28^2*(IF($L28&lt;=1,2*$L28^3/3-$L28^4/4,$L28^2/2-1/12)-IF($M28&lt;=1,2*$M28^3/3-$M28^4/4,$M28^2/2-1/12))+SUMPRODUCT($J$5:$K$5,$J28:$K28,$J$7:$K$7))/1E6</f>
        <v/>
      </c>
      <c r="I28">
        <f>IF($C28&lt;=rw_h,0.0035/$C28,0.002/($C28-3*rw_h/7))</f>
        <v/>
      </c>
      <c r="J28">
        <f>MAX(-fyd_rw,MIN(fyd_rw,200000*$I28*($C28-J$6)))-fcd_rw*IF($I28*($C28-J$6)&lt;=0,0,IF($I28*($C28-J$6)&lt;0.002,1-(1-$I28*($C28-J$6)/0.002)^2,1))</f>
        <v/>
      </c>
      <c r="K28">
        <f>MAX(-fyd_rw,MIN(fyd_rw,200000*$I28*($C28-K$6)))-fcd_rw*IF($I28*($C28-K$6)&lt;=0,0,IF($I28*($C28-K$6)&lt;0.002,1-(1-$I28*($C28-K$6)/0.002)^2,1))</f>
        <v/>
      </c>
      <c r="L28">
        <f>$I28*$C28/0.002</f>
        <v/>
      </c>
      <c r="M28">
        <f>IF($C28&lt;=rw_h,0,$I28*($C28-rw_h)/0.002)</f>
        <v/>
      </c>
    </row>
    <row r="29">
      <c r="B29" s="52" t="n">
        <v>15</v>
      </c>
      <c r="C29" s="53">
        <f>0.5*rw_h</f>
        <v/>
      </c>
      <c r="D29" s="54">
        <f>1000*$I29*$C29</f>
        <v/>
      </c>
      <c r="E29" s="55">
        <f>((2*fcd_rw/$I29*(IF($L29&lt;=1,$L29^2-$L29^3/3,$L29-1/3)-IF($M29&lt;=1,$M29^2-$M29^3/3,$M29-1/3)))+SUMPRODUCT($J$5:$K$5,$J29:$K29))/1000</f>
        <v/>
      </c>
      <c r="F29" s="55">
        <f>((rw_h/2-$C29)*(2*fcd_rw/$I29*(IF($L29&lt;=1,$L29^2-$L29^3/3,$L29-1/3)-IF($M29&lt;=1,$M29^2-$M29^3/3,$M29-1/3)))+0.004*fcd_rw/$I29^2*(IF($L29&lt;=1,2*$L29^3/3-$L29^4/4,$L29^2/2-1/12)-IF($M29&lt;=1,2*$M29^3/3-$M29^4/4,$M29^2/2-1/12))+SUMPRODUCT($J$5:$K$5,$J29:$K29,$J$7:$K$7))/1E6</f>
        <v/>
      </c>
      <c r="I29">
        <f>IF($C29&lt;=rw_h,0.0035/$C29,0.002/($C29-3*rw_h/7))</f>
        <v/>
      </c>
      <c r="J29">
        <f>MAX(-fyd_rw,MIN(fyd_rw,200000*$I29*($C29-J$6)))-fcd_rw*IF($I29*($C29-J$6)&lt;=0,0,IF($I29*($C29-J$6)&lt;0.002,1-(1-$I29*($C29-J$6)/0.002)^2,1))</f>
        <v/>
      </c>
      <c r="K29">
        <f>MAX(-fyd_rw,MIN(fyd_rw,200000*$I29*($C29-K$6)))-fcd_rw*IF($I29*($C29-K$6)&lt;=0,0,IF($I29*($C29-K$6)&lt;0.002,1-(1-$I29*($C29-K$6)/0.002)^2,1))</f>
        <v/>
      </c>
      <c r="L29">
        <f>$I29*$C29/0.002</f>
        <v/>
      </c>
      <c r="M29">
        <f>IF($C29&lt;=rw_h,0,$I29*($C29-rw_h)/0.002)</f>
        <v/>
      </c>
    </row>
    <row r="30">
      <c r="B30" s="52" t="n">
        <v>16</v>
      </c>
      <c r="C30" s="53">
        <f>0.55*rw_h</f>
        <v/>
      </c>
      <c r="D30" s="54">
        <f>1000*$I30*$C30</f>
        <v/>
      </c>
      <c r="E30" s="55">
        <f>((2*fcd_rw/$I30*(IF($L30&lt;=1,$L30^2-$L30^3/3,$L30-1/3)-IF($M30&lt;=1,$M30^2-$M30^3/3,$M30-1/3)))+SUMPRODUCT($J$5:$K$5,$J30:$K30))/1000</f>
        <v/>
      </c>
      <c r="F30" s="55">
        <f>((rw_h/2-$C30)*(2*fcd_rw/$I30*(IF($L30&lt;=1,$L30^2-$L30^3/3,$L30-1/3)-IF($M30&lt;=1,$M30^2-$M30^3/3,$M30-1/3)))+0.004*fcd_rw/$I30^2*(IF($L30&lt;=1,2*$L30^3/3-$L30^4/4,$L30^2/2-1/12)-IF($M30&lt;=1,2*$M30^3/3-$M30^4/4,$M30^2/2-1/12))+SUMPRODUCT($J$5:$K$5,$J30:$K30,$J$7:$K$7))/1E6</f>
        <v/>
      </c>
      <c r="I30">
        <f>IF($C30&lt;=rw_h,0.0035/$C30,0.002/($C30-3*rw_h/7))</f>
        <v/>
      </c>
      <c r="J30">
        <f>MAX(-fyd_rw,MIN(fyd_rw,200000*$I30*($C30-J$6)))-fcd_rw*IF($I30*($C30-J$6)&lt;=0,0,IF($I30*($C30-J$6)&lt;0.002,1-(1-$I30*($C30-J$6)/0.002)^2,1))</f>
        <v/>
      </c>
      <c r="K30">
        <f>MAX(-fyd_rw,MIN(fyd_rw,200000*$I30*($C30-K$6)))-fcd_rw*IF($I30*($C30-K$6)&lt;=0,0,IF($I30*($C30-K$6)&lt;0.002,1-(1-$I30*($C30-K$6)/0.002)^2,1))</f>
        <v/>
      </c>
      <c r="L30">
        <f>$I30*$C30/0.002</f>
        <v/>
      </c>
      <c r="M30">
        <f>IF($C30&lt;=rw_h,0,$I30*($C30-rw_h)/0.002)</f>
        <v/>
      </c>
    </row>
    <row r="31">
      <c r="B31" s="52" t="n">
        <v>17</v>
      </c>
      <c r="C31" s="53">
        <f>0.6*rw_h</f>
        <v/>
      </c>
      <c r="D31" s="54">
        <f>1000*$I31*$C31</f>
        <v/>
      </c>
      <c r="E31" s="55">
        <f>((2*fcd_rw/$I31*(IF($L31&lt;=1,$L31^2-$L31^3/3,$L31-1/3)-IF($M31&lt;=1,$M31^2-$M31^3/3,$M31-1/3)))+SUMPRODUCT($J$5:$K$5,$J31:$K31))/1000</f>
        <v/>
      </c>
      <c r="F31" s="55">
        <f>((rw_h/2-$C31)*(2*fcd_rw/$I31*(IF($L31&lt;=1,$L31^2-$L31^3/3,$L31-1/3)-IF($M31&lt;=1,$M31^2-$M31^3/3,$M31-1/3)))+0.004*fcd_rw/$I31^2*(IF($L31&lt;=1,2*$L31^3/3-$L31^4/4,$L31^2/2-1/12)-IF($M31&lt;=1,2*$M31^3/3-$M31^4/4,$M31^2/2-1/12))+SUMPRODUCT($J$5:$K$5,$J31:$K31,$J$7:$K$7))/1E6</f>
        <v/>
      </c>
      <c r="I31">
        <f>IF($C31&lt;=rw_h,0.0035/$C31,0.002/($C31-3*rw_h/7))</f>
        <v/>
      </c>
      <c r="J31">
        <f>MAX(-fyd_rw,MIN(fyd_rw,200000*$I31*($C31-J$6)))-fcd_rw*IF($I31*($C31-J$6)&lt;=0,0,IF($I31*($C31-J$6)&lt;0.002,1-(1-$I31*($C31-J$6)/0.002)^2,1))</f>
        <v/>
      </c>
      <c r="K31">
        <f>MAX(-fyd_rw,MIN(fyd_rw,200000*$I31*($C31-K$6)))-fcd_rw*IF($I31*($C31-K$6)&lt;=0,0,IF($I31*($C31-K$6)&lt;0.002,1-(1-$I31*($C31-K$6)/0.002)^2,1))</f>
        <v/>
      </c>
      <c r="L31">
        <f>$I31*$C31/0.002</f>
        <v/>
      </c>
      <c r="M31">
        <f>IF($C31&lt;=rw_h,0,$I31*($C31-rw_h)/0.002)</f>
        <v/>
      </c>
    </row>
    <row r="32">
      <c r="B32" s="52" t="n">
        <v>18</v>
      </c>
      <c r="C32" s="53">
        <f>0.65*rw_h</f>
        <v/>
      </c>
      <c r="D32" s="54">
        <f>1000*$I32*$C32</f>
        <v/>
      </c>
      <c r="E32" s="55">
        <f>((2*fcd_rw/$I32*(IF($L32&lt;=1,$L32^2-$L32^3/3,$L32-1/3)-IF($M32&lt;=1,$M32^2-$M32^3/3,$M32-1/3)))+SUMPRODUCT($J$5:$K$5,$J32:$K32))/1000</f>
        <v/>
      </c>
      <c r="F32" s="55">
        <f>((rw_h/2-$C32)*(2*fcd_rw/$I32*(IF($L32&lt;=1,$L32^2-$L32^3/3,$L32-1/3)-IF($M32&lt;=1,$M32^2-$M32^3/3,$M32-1/3)))+0.004*fcd_rw/$I32^2*(IF($L32&lt;=1,2*$L32^3/3-$L32^4/4,$L32^2/2-1/12)-IF($M32&lt;=1,2*$M32^3/3-$M32^4/4,$M32^2/2-1/12))+SUMPRODUCT($J$5:$K$5,$J32:$K32,$J$7:$K$7))/1E6</f>
        <v/>
      </c>
      <c r="I32">
        <f>IF($C32&lt;=rw_h,0.0035/$C32,0.002/($C32-3*rw_h/7))</f>
        <v/>
      </c>
      <c r="J32">
        <f>MAX(-fyd_rw,MIN(fyd_rw,200000*$I32*($C32-J$6)))-fcd_rw*IF($I32*($C32-J$6)&lt;=0,0,IF($I32*($C32-J$6)&lt;0.002,1-(1-$I32*($C32-J$6)/0.002)^2,1))</f>
        <v/>
      </c>
      <c r="K32">
        <f>MAX(-fyd_rw,MIN(fyd_rw,200000*$I32*($C32-K$6)))-fcd_rw*IF($I32*($C32-K$6)&lt;=0,0,IF($I32*($C32-K$6)&lt;0.002,1-(1-$I32*($C32-K$6)/0.002)^2,1))</f>
        <v/>
      </c>
      <c r="L32">
        <f>$I32*$C32/0.002</f>
        <v/>
      </c>
      <c r="M32">
        <f>IF($C32&lt;=rw_h,0,$I32*($C32-rw_h)/0.002)</f>
        <v/>
      </c>
    </row>
    <row r="33">
      <c r="B33" s="52" t="n">
        <v>19</v>
      </c>
      <c r="C33" s="53">
        <f>0.7*rw_h</f>
        <v/>
      </c>
      <c r="D33" s="54">
        <f>1000*$I33*$C33</f>
        <v/>
      </c>
      <c r="E33" s="55">
        <f>((2*fcd_rw/$I33*(IF($L33&lt;=1,$L33^2-$L33^3/3,$L33-1/3)-IF($M33&lt;=1,$M33^2-$M33^3/3,$M33-1/3)))+SUMPRODUCT($J$5:$K$5,$J33:$K33))/1000</f>
        <v/>
      </c>
      <c r="F33" s="55">
        <f>((rw_h/2-$C33)*(2*fcd_rw/$I33*(IF($L33&lt;=1,$L33^2-$L33^3/3,$L33-1/3)-IF($M33&lt;=1,$M33^2-$M33^3/3,$M33-1/3)))+0.004*fcd_rw/$I33^2*(IF($L33&lt;=1,2*$L33^3/3-$L33^4/4,$L33^2/2-1/12)-IF($M33&lt;=1,2*$M33^3/3-$M33^4/4,$M33^2/2-1/12))+SUMPRODUCT($J$5:$K$5,$J33:$K33,$J$7:$K$7))/1E6</f>
        <v/>
      </c>
      <c r="I33">
        <f>IF($C33&lt;=rw_h,0.0035/$C33,0.002/($C33-3*rw_h/7))</f>
        <v/>
      </c>
      <c r="J33">
        <f>MAX(-fyd_rw,MIN(fyd_rw,200000*$I33*($C33-J$6)))-fcd_rw*IF($I33*($C33-J$6)&lt;=0,0,IF($I33*($C33-J$6)&lt;0.002,1-(1-$I33*($C33-J$6)/0.002)^2,1))</f>
        <v/>
      </c>
      <c r="K33">
        <f>MAX(-fyd_rw,MIN(fyd_rw,200000*$I33*($C33-K$6)))-fcd_rw*IF($I33*($C33-K$6)&lt;=0,0,IF($I33*($C33-K$6)&lt;0.002,1-(1-$I33*($C33-K$6)/0.002)^2,1))</f>
        <v/>
      </c>
      <c r="L33">
        <f>$I33*$C33/0.002</f>
        <v/>
      </c>
      <c r="M33">
        <f>IF($C33&lt;=rw_h,0,$I33*($C33-rw_h)/0.002)</f>
        <v/>
      </c>
    </row>
    <row r="34">
      <c r="B34" s="52" t="n">
        <v>20</v>
      </c>
      <c r="C34" s="53">
        <f>0.75*rw_h</f>
        <v/>
      </c>
      <c r="D34" s="54">
        <f>1000*$I34*$C34</f>
        <v/>
      </c>
      <c r="E34" s="55">
        <f>((2*fcd_rw/$I34*(IF($L34&lt;=1,$L34^2-$L34^3/3,$L34-1/3)-IF($M34&lt;=1,$M34^2-$M34^3/3,$M34-1/3)))+SUMPRODUCT($J$5:$K$5,$J34:$K34))/1000</f>
        <v/>
      </c>
      <c r="F34" s="55">
        <f>((rw_h/2-$C34)*(2*fcd_rw/$I34*(IF($L34&lt;=1,$L34^2-$L34^3/3,$L34-1/3)-IF($M34&lt;=1,$M34^2-$M34^3/3,$M34-1/3)))+0.004*fcd_rw/$I34^2*(IF($L34&lt;=1,2*$L34^3/3-$L34^4/4,$L34^2/2-1/12)-IF($M34&lt;=1,2*$M34^3/3-$M34^4/4,$M34^2/2-1/12))+SUMPRODUCT($J$5:$K$5,$J34:$K34,$J$7:$K$7))/1E6</f>
        <v/>
      </c>
      <c r="I34">
        <f>IF($C34&lt;=rw_h,0.0035/$C34,0.002/($C34-3*rw_h/7))</f>
        <v/>
      </c>
      <c r="J34">
        <f>MAX(-fyd_rw,MIN(fyd_rw,200000*$I34*($C34-J$6)))-fcd_rw*IF($I34*($C34-J$6)&lt;=0,0,IF($I34*($C34-J$6)&lt;0.002,1-(1-$I34*($C34-J$6)/0.002)^2,1))</f>
        <v/>
      </c>
      <c r="K34">
        <f>MAX(-fyd_rw,MIN(fyd_rw,200000*$I34*($C34-K$6)))-fcd_rw*IF($I34*($C34-K$6)&lt;=0,0,IF($I34*($C34-K$6)&lt;0.002,1-(1-$I34*($C34-K$6)/0.002)^2,1))</f>
        <v/>
      </c>
      <c r="L34">
        <f>$I34*$C34/0.002</f>
        <v/>
      </c>
      <c r="M34">
        <f>IF($C34&lt;=rw_h,0,$I34*($C34-rw_h)/0.002)</f>
        <v/>
      </c>
    </row>
    <row r="35">
      <c r="B35" s="52" t="n">
        <v>21</v>
      </c>
      <c r="C35" s="53">
        <f>0.8*rw_h</f>
        <v/>
      </c>
      <c r="D35" s="54">
        <f>1000*$I35*$C35</f>
        <v/>
      </c>
      <c r="E35" s="55">
        <f>((2*fcd_rw/$I35*(IF($L35&lt;=1,$L35^2-$L35^3/3,$L35-1/3)-IF($M35&lt;=1,$M35^2-$M35^3/3,$M35-1/3)))+SUMPRODUCT($J$5:$K$5,$J35:$K35))/1000</f>
        <v/>
      </c>
      <c r="F35" s="55">
        <f>((rw_h/2-$C35)*(2*fcd_rw/$I35*(IF($L35&lt;=1,$L35^2-$L35^3/3,$L35-1/3)-IF($M35&lt;=1,$M35^2-$M35^3/3,$M35-1/3)))+0.004*fcd_rw/$I35^2*(IF($L35&lt;=1,2*$L35^3/3-$L35^4/4,$L35^2/2-1/12)-IF($M35&lt;=1,2*$M35^3/3-$M35^4/4,$M35^2/2-1/12))+SUMPRODUCT($J$5:$K$5,$J35:$K35,$J$7:$K$7))/1E6</f>
        <v/>
      </c>
      <c r="I35">
        <f>IF($C35&lt;=rw_h,0.0035/$C35,0.002/($C35-3*rw_h/7))</f>
        <v/>
      </c>
      <c r="J35">
        <f>MAX(-fyd_rw,MIN(fyd_rw,200000*$I35*($C35-J$6)))-fcd_rw*IF($I35*($C35-J$6)&lt;=0,0,IF($I35*($C35-J$6)&lt;0.002,1-(1-$I35*($C35-J$6)/0.002)^2,1))</f>
        <v/>
      </c>
      <c r="K35">
        <f>MAX(-fyd_rw,MIN(fyd_rw,200000*$I35*($C35-K$6)))-fcd_rw*IF($I35*($C35-K$6)&lt;=0,0,IF($I35*($C35-K$6)&lt;0.002,1-(1-$I35*($C35-K$6)/0.002)^2,1))</f>
        <v/>
      </c>
      <c r="L35">
        <f>$I35*$C35/0.002</f>
        <v/>
      </c>
      <c r="M35">
        <f>IF($C35&lt;=rw_h,0,$I35*($C35-rw_h)/0.002)</f>
        <v/>
      </c>
    </row>
    <row r="36">
      <c r="B36" s="52" t="n">
        <v>22</v>
      </c>
      <c r="C36" s="53">
        <f>0.85*rw_h</f>
        <v/>
      </c>
      <c r="D36" s="54">
        <f>1000*$I36*$C36</f>
        <v/>
      </c>
      <c r="E36" s="55">
        <f>((2*fcd_rw/$I36*(IF($L36&lt;=1,$L36^2-$L36^3/3,$L36-1/3)-IF($M36&lt;=1,$M36^2-$M36^3/3,$M36-1/3)))+SUMPRODUCT($J$5:$K$5,$J36:$K36))/1000</f>
        <v/>
      </c>
      <c r="F36" s="55">
        <f>((rw_h/2-$C36)*(2*fcd_rw/$I36*(IF($L36&lt;=1,$L36^2-$L36^3/3,$L36-1/3)-IF($M36&lt;=1,$M36^2-$M36^3/3,$M36-1/3)))+0.004*fcd_rw/$I36^2*(IF($L36&lt;=1,2*$L36^3/3-$L36^4/4,$L36^2/2-1/12)-IF($M36&lt;=1,2*$M36^3/3-$M36^4/4,$M36^2/2-1/12))+SUMPRODUCT($J$5:$K$5,$J36:$K36,$J$7:$K$7))/1E6</f>
        <v/>
      </c>
      <c r="I36">
        <f>IF($C36&lt;=rw_h,0.0035/$C36,0.002/($C36-3*rw_h/7))</f>
        <v/>
      </c>
      <c r="J36">
        <f>MAX(-fyd_rw,MIN(fyd_rw,200000*$I36*($C36-J$6)))-fcd_rw*IF($I36*($C36-J$6)&lt;=0,0,IF($I36*($C36-J$6)&lt;0.002,1-(1-$I36*($C36-J$6)/0.002)^2,1))</f>
        <v/>
      </c>
      <c r="K36">
        <f>MAX(-fyd_rw,MIN(fyd_rw,200000*$I36*($C36-K$6)))-fcd_rw*IF($I36*($C36-K$6)&lt;=0,0,IF($I36*($C36-K$6)&lt;0.002,1-(1-$I36*($C36-K$6)/0.002)^2,1))</f>
        <v/>
      </c>
      <c r="L36">
        <f>$I36*$C36/0.002</f>
        <v/>
      </c>
      <c r="M36">
        <f>IF($C36&lt;=rw_h,0,$I36*($C36-rw_h)/0.002)</f>
        <v/>
      </c>
    </row>
    <row r="37">
      <c r="B37" s="52" t="n">
        <v>23</v>
      </c>
      <c r="C37" s="53">
        <f>0.9*rw_h</f>
        <v/>
      </c>
      <c r="D37" s="54">
        <f>1000*$I37*$C37</f>
        <v/>
      </c>
      <c r="E37" s="55">
        <f>((2*fcd_rw/$I37*(IF($L37&lt;=1,$L37^2-$L37^3/3,$L37-1/3)-IF($M37&lt;=1,$M37^2-$M37^3/3,$M37-1/3)))+SUMPRODUCT($J$5:$K$5,$J37:$K37))/1000</f>
        <v/>
      </c>
      <c r="F37" s="55">
        <f>((rw_h/2-$C37)*(2*fcd_rw/$I37*(IF($L37&lt;=1,$L37^2-$L37^3/3,$L37-1/3)-IF($M37&lt;=1,$M37^2-$M37^3/3,$M37-1/3)))+0.004*fcd_rw/$I37^2*(IF($L37&lt;=1,2*$L37^3/3-$L37^4/4,$L37^2/2-1/12)-IF($M37&lt;=1,2*$M37^3/3-$M37^4/4,$M37^2/2-1/12))+SUMPRODUCT($J$5:$K$5,$J37:$K37,$J$7:$K$7))/1E6</f>
        <v/>
      </c>
      <c r="I37">
        <f>IF($C37&lt;=rw_h,0.0035/$C37,0.002/($C37-3*rw_h/7))</f>
        <v/>
      </c>
      <c r="J37">
        <f>MAX(-fyd_rw,MIN(fyd_rw,200000*$I37*($C37-J$6)))-fcd_rw*IF($I37*($C37-J$6)&lt;=0,0,IF($I37*($C37-J$6)&lt;0.002,1-(1-$I37*($C37-J$6)/0.002)^2,1))</f>
        <v/>
      </c>
      <c r="K37">
        <f>MAX(-fyd_rw,MIN(fyd_rw,200000*$I37*($C37-K$6)))-fcd_rw*IF($I37*($C37-K$6)&lt;=0,0,IF($I37*($C37-K$6)&lt;0.002,1-(1-$I37*($C37-K$6)/0.002)^2,1))</f>
        <v/>
      </c>
      <c r="L37">
        <f>$I37*$C37/0.002</f>
        <v/>
      </c>
      <c r="M37">
        <f>IF($C37&lt;=rw_h,0,$I37*($C37-rw_h)/0.002)</f>
        <v/>
      </c>
    </row>
    <row r="38">
      <c r="B38" s="52" t="n">
        <v>24</v>
      </c>
      <c r="C38" s="53">
        <f>0.95*rw_h</f>
        <v/>
      </c>
      <c r="D38" s="54">
        <f>1000*$I38*$C38</f>
        <v/>
      </c>
      <c r="E38" s="55">
        <f>((2*fcd_rw/$I38*(IF($L38&lt;=1,$L38^2-$L38^3/3,$L38-1/3)-IF($M38&lt;=1,$M38^2-$M38^3/3,$M38-1/3)))+SUMPRODUCT($J$5:$K$5,$J38:$K38))/1000</f>
        <v/>
      </c>
      <c r="F38" s="55">
        <f>((rw_h/2-$C38)*(2*fcd_rw/$I38*(IF($L38&lt;=1,$L38^2-$L38^3/3,$L38-1/3)-IF($M38&lt;=1,$M38^2-$M38^3/3,$M38-1/3)))+0.004*fcd_rw/$I38^2*(IF($L38&lt;=1,2*$L38^3/3-$L38^4/4,$L38^2/2-1/12)-IF($M38&lt;=1,2*$M38^3/3-$M38^4/4,$M38^2/2-1/12))+SUMPRODUCT($J$5:$K$5,$J38:$K38,$J$7:$K$7))/1E6</f>
        <v/>
      </c>
      <c r="I38">
        <f>IF($C38&lt;=rw_h,0.0035/$C38,0.002/($C38-3*rw_h/7))</f>
        <v/>
      </c>
      <c r="J38">
        <f>MAX(-fyd_rw,MIN(fyd_rw,200000*$I38*($C38-J$6)))-fcd_rw*IF($I38*($C38-J$6)&lt;=0,0,IF($I38*($C38-J$6)&lt;0.002,1-(1-$I38*($C38-J$6)/0.002)^2,1))</f>
        <v/>
      </c>
      <c r="K38">
        <f>MAX(-fyd_rw,MIN(fyd_rw,200000*$I38*($C38-K$6)))-fcd_rw*IF($I38*($C38-K$6)&lt;=0,0,IF($I38*($C38-K$6)&lt;0.002,1-(1-$I38*($C38-K$6)/0.002)^2,1))</f>
        <v/>
      </c>
      <c r="L38">
        <f>$I38*$C38/0.002</f>
        <v/>
      </c>
      <c r="M38">
        <f>IF($C38&lt;=rw_h,0,$I38*($C38-rw_h)/0.002)</f>
        <v/>
      </c>
    </row>
    <row r="39">
      <c r="B39" s="52" t="n">
        <v>25</v>
      </c>
      <c r="C39" s="53">
        <f>1.0*rw_h</f>
        <v/>
      </c>
      <c r="D39" s="54">
        <f>1000*$I39*$C39</f>
        <v/>
      </c>
      <c r="E39" s="55">
        <f>((2*fcd_rw/$I39*(IF($L39&lt;=1,$L39^2-$L39^3/3,$L39-1/3)-IF($M39&lt;=1,$M39^2-$M39^3/3,$M39-1/3)))+SUMPRODUCT($J$5:$K$5,$J39:$K39))/1000</f>
        <v/>
      </c>
      <c r="F39" s="55">
        <f>((rw_h/2-$C39)*(2*fcd_rw/$I39*(IF($L39&lt;=1,$L39^2-$L39^3/3,$L39-1/3)-IF($M39&lt;=1,$M39^2-$M39^3/3,$M39-1/3)))+0.004*fcd_rw/$I39^2*(IF($L39&lt;=1,2*$L39^3/3-$L39^4/4,$L39^2/2-1/12)-IF($M39&lt;=1,2*$M39^3/3-$M39^4/4,$M39^2/2-1/12))+SUMPRODUCT($J$5:$K$5,$J39:$K39,$J$7:$K$7))/1E6</f>
        <v/>
      </c>
      <c r="I39">
        <f>IF($C39&lt;=rw_h,0.0035/$C39,0.002/($C39-3*rw_h/7))</f>
        <v/>
      </c>
      <c r="J39">
        <f>MAX(-fyd_rw,MIN(fyd_rw,200000*$I39*($C39-J$6)))-fcd_rw*IF($I39*($C39-J$6)&lt;=0,0,IF($I39*($C39-J$6)&lt;0.002,1-(1-$I39*($C39-J$6)/0.002)^2,1))</f>
        <v/>
      </c>
      <c r="K39">
        <f>MAX(-fyd_rw,MIN(fyd_rw,200000*$I39*($C39-K$6)))-fcd_rw*IF($I39*($C39-K$6)&lt;=0,0,IF($I39*($C39-K$6)&lt;0.002,1-(1-$I39*($C39-K$6)/0.002)^2,1))</f>
        <v/>
      </c>
      <c r="L39">
        <f>$I39*$C39/0.002</f>
        <v/>
      </c>
      <c r="M39">
        <f>IF($C39&lt;=rw_h,0,$I39*($C39-rw_h)/0.002)</f>
        <v/>
      </c>
    </row>
    <row r="40">
      <c r="B40" s="52" t="n">
        <v>26</v>
      </c>
      <c r="C40" s="53">
        <f>1.05*rw_h</f>
        <v/>
      </c>
      <c r="D40" s="54">
        <f>1000*$I40*$C40</f>
        <v/>
      </c>
      <c r="E40" s="55">
        <f>((2*fcd_rw/$I40*(IF($L40&lt;=1,$L40^2-$L40^3/3,$L40-1/3)-IF($M40&lt;=1,$M40^2-$M40^3/3,$M40-1/3)))+SUMPRODUCT($J$5:$K$5,$J40:$K40))/1000</f>
        <v/>
      </c>
      <c r="F40" s="55">
        <f>((rw_h/2-$C40)*(2*fcd_rw/$I40*(IF($L40&lt;=1,$L40^2-$L40^3/3,$L40-1/3)-IF($M40&lt;=1,$M40^2-$M40^3/3,$M40-1/3)))+0.004*fcd_rw/$I40^2*(IF($L40&lt;=1,2*$L40^3/3-$L40^4/4,$L40^2/2-1/12)-IF($M40&lt;=1,2*$M40^3/3-$M40^4/4,$M40^2/2-1/12))+SUMPRODUCT($J$5:$K$5,$J40:$K40,$J$7:$K$7))/1E6</f>
        <v/>
      </c>
      <c r="I40">
        <f>IF($C40&lt;=rw_h,0.0035/$C40,0.002/($C40-3*rw_h/7))</f>
        <v/>
      </c>
      <c r="J40">
        <f>MAX(-fyd_rw,MIN(fyd_rw,200000*$I40*($C40-J$6)))-fcd_rw*IF($I40*($C40-J$6)&lt;=0,0,IF($I40*($C40-J$6)&lt;0.002,1-(1-$I40*($C40-J$6)/0.002)^2,1))</f>
        <v/>
      </c>
      <c r="K40">
        <f>MAX(-fyd_rw,MIN(fyd_rw,200000*$I40*($C40-K$6)))-fcd_rw*IF($I40*($C40-K$6)&lt;=0,0,IF($I40*($C40-K$6)&lt;0.002,1-(1-$I40*($C40-K$6)/0.002)^2,1))</f>
        <v/>
      </c>
      <c r="L40">
        <f>$I40*$C40/0.002</f>
        <v/>
      </c>
      <c r="M40">
        <f>IF($C40&lt;=rw_h,0,$I40*($C40-rw_h)/0.002)</f>
        <v/>
      </c>
    </row>
    <row r="41">
      <c r="B41" s="52" t="n">
        <v>27</v>
      </c>
      <c r="C41" s="53">
        <f>1.1*rw_h</f>
        <v/>
      </c>
      <c r="D41" s="54">
        <f>1000*$I41*$C41</f>
        <v/>
      </c>
      <c r="E41" s="55">
        <f>((2*fcd_rw/$I41*(IF($L41&lt;=1,$L41^2-$L41^3/3,$L41-1/3)-IF($M41&lt;=1,$M41^2-$M41^3/3,$M41-1/3)))+SUMPRODUCT($J$5:$K$5,$J41:$K41))/1000</f>
        <v/>
      </c>
      <c r="F41" s="55">
        <f>((rw_h/2-$C41)*(2*fcd_rw/$I41*(IF($L41&lt;=1,$L41^2-$L41^3/3,$L41-1/3)-IF($M41&lt;=1,$M41^2-$M41^3/3,$M41-1/3)))+0.004*fcd_rw/$I41^2*(IF($L41&lt;=1,2*$L41^3/3-$L41^4/4,$L41^2/2-1/12)-IF($M41&lt;=1,2*$M41^3/3-$M41^4/4,$M41^2/2-1/12))+SUMPRODUCT($J$5:$K$5,$J41:$K41,$J$7:$K$7))/1E6</f>
        <v/>
      </c>
      <c r="I41">
        <f>IF($C41&lt;=rw_h,0.0035/$C41,0.002/($C41-3*rw_h/7))</f>
        <v/>
      </c>
      <c r="J41">
        <f>MAX(-fyd_rw,MIN(fyd_rw,200000*$I41*($C41-J$6)))-fcd_rw*IF($I41*($C41-J$6)&lt;=0,0,IF($I41*($C41-J$6)&lt;0.002,1-(1-$I41*($C41-J$6)/0.002)^2,1))</f>
        <v/>
      </c>
      <c r="K41">
        <f>MAX(-fyd_rw,MIN(fyd_rw,200000*$I41*($C41-K$6)))-fcd_rw*IF($I41*($C41-K$6)&lt;=0,0,IF($I41*($C41-K$6)&lt;0.002,1-(1-$I41*($C41-K$6)/0.002)^2,1))</f>
        <v/>
      </c>
      <c r="L41">
        <f>$I41*$C41/0.002</f>
        <v/>
      </c>
      <c r="M41">
        <f>IF($C41&lt;=rw_h,0,$I41*($C41-rw_h)/0.002)</f>
        <v/>
      </c>
    </row>
    <row r="42">
      <c r="B42" s="52" t="n">
        <v>28</v>
      </c>
      <c r="C42" s="53">
        <f>1.2*rw_h</f>
        <v/>
      </c>
      <c r="D42" s="54">
        <f>1000*$I42*$C42</f>
        <v/>
      </c>
      <c r="E42" s="55">
        <f>((2*fcd_rw/$I42*(IF($L42&lt;=1,$L42^2-$L42^3/3,$L42-1/3)-IF($M42&lt;=1,$M42^2-$M42^3/3,$M42-1/3)))+SUMPRODUCT($J$5:$K$5,$J42:$K42))/1000</f>
        <v/>
      </c>
      <c r="F42" s="55">
        <f>((rw_h/2-$C42)*(2*fcd_rw/$I42*(IF($L42&lt;=1,$L42^2-$L42^3/3,$L42-1/3)-IF($M42&lt;=1,$M42^2-$M42^3/3,$M42-1/3)))+0.004*fcd_rw/$I42^2*(IF($L42&lt;=1,2*$L42^3/3-$L42^4/4,$L42^2/2-1/12)-IF($M42&lt;=1,2*$M42^3/3-$M42^4/4,$M42^2/2-1/12))+SUMPRODUCT($J$5:$K$5,$J42:$K42,$J$7:$K$7))/1E6</f>
        <v/>
      </c>
      <c r="I42">
        <f>IF($C42&lt;=rw_h,0.0035/$C42,0.002/($C42-3*rw_h/7))</f>
        <v/>
      </c>
      <c r="J42">
        <f>MAX(-fyd_rw,MIN(fyd_rw,200000*$I42*($C42-J$6)))-fcd_rw*IF($I42*($C42-J$6)&lt;=0,0,IF($I42*($C42-J$6)&lt;0.002,1-(1-$I42*($C42-J$6)/0.002)^2,1))</f>
        <v/>
      </c>
      <c r="K42">
        <f>MAX(-fyd_rw,MIN(fyd_rw,200000*$I42*($C42-K$6)))-fcd_rw*IF($I42*($C42-K$6)&lt;=0,0,IF($I42*($C42-K$6)&lt;0.002,1-(1-$I42*($C42-K$6)/0.002)^2,1))</f>
        <v/>
      </c>
      <c r="L42">
        <f>$I42*$C42/0.002</f>
        <v/>
      </c>
      <c r="M42">
        <f>IF($C42&lt;=rw_h,0,$I42*($C42-rw_h)/0.002)</f>
        <v/>
      </c>
    </row>
    <row r="43">
      <c r="B43" s="52" t="n">
        <v>29</v>
      </c>
      <c r="C43" s="53">
        <f>1.35*rw_h</f>
        <v/>
      </c>
      <c r="D43" s="54">
        <f>1000*$I43*$C43</f>
        <v/>
      </c>
      <c r="E43" s="55">
        <f>((2*fcd_rw/$I43*(IF($L43&lt;=1,$L43^2-$L43^3/3,$L43-1/3)-IF($M43&lt;=1,$M43^2-$M43^3/3,$M43-1/3)))+SUMPRODUCT($J$5:$K$5,$J43:$K43))/1000</f>
        <v/>
      </c>
      <c r="F43" s="55">
        <f>((rw_h/2-$C43)*(2*fcd_rw/$I43*(IF($L43&lt;=1,$L43^2-$L43^3/3,$L43-1/3)-IF($M43&lt;=1,$M43^2-$M43^3/3,$M43-1/3)))+0.004*fcd_rw/$I43^2*(IF($L43&lt;=1,2*$L43^3/3-$L43^4/4,$L43^2/2-1/12)-IF($M43&lt;=1,2*$M43^3/3-$M43^4/4,$M43^2/2-1/12))+SUMPRODUCT($J$5:$K$5,$J43:$K43,$J$7:$K$7))/1E6</f>
        <v/>
      </c>
      <c r="I43">
        <f>IF($C43&lt;=rw_h,0.0035/$C43,0.002/($C43-3*rw_h/7))</f>
        <v/>
      </c>
      <c r="J43">
        <f>MAX(-fyd_rw,MIN(fyd_rw,200000*$I43*($C43-J$6)))-fcd_rw*IF($I43*($C43-J$6)&lt;=0,0,IF($I43*($C43-J$6)&lt;0.002,1-(1-$I43*($C43-J$6)/0.002)^2,1))</f>
        <v/>
      </c>
      <c r="K43">
        <f>MAX(-fyd_rw,MIN(fyd_rw,200000*$I43*($C43-K$6)))-fcd_rw*IF($I43*($C43-K$6)&lt;=0,0,IF($I43*($C43-K$6)&lt;0.002,1-(1-$I43*($C43-K$6)/0.002)^2,1))</f>
        <v/>
      </c>
      <c r="L43">
        <f>$I43*$C43/0.002</f>
        <v/>
      </c>
      <c r="M43">
        <f>IF($C43&lt;=rw_h,0,$I43*($C43-rw_h)/0.002)</f>
        <v/>
      </c>
    </row>
    <row r="44">
      <c r="B44" s="52" t="n">
        <v>30</v>
      </c>
      <c r="C44" s="53">
        <f>1.5*rw_h</f>
        <v/>
      </c>
      <c r="D44" s="54">
        <f>1000*$I44*$C44</f>
        <v/>
      </c>
      <c r="E44" s="55">
        <f>((2*fcd_rw/$I44*(IF($L44&lt;=1,$L44^2-$L44^3/3,$L44-1/3)-IF($M44&lt;=1,$M44^2-$M44^3/3,$M44-1/3)))+SUMPRODUCT($J$5:$K$5,$J44:$K44))/1000</f>
        <v/>
      </c>
      <c r="F44" s="55">
        <f>((rw_h/2-$C44)*(2*fcd_rw/$I44*(IF($L44&lt;=1,$L44^2-$L44^3/3,$L44-1/3)-IF($M44&lt;=1,$M44^2-$M44^3/3,$M44-1/3)))+0.004*fcd_rw/$I44^2*(IF($L44&lt;=1,2*$L44^3/3-$L44^4/4,$L44^2/2-1/12)-IF($M44&lt;=1,2*$M44^3/3-$M44^4/4,$M44^2/2-1/12))+SUMPRODUCT($J$5:$K$5,$J44:$K44,$J$7:$K$7))/1E6</f>
        <v/>
      </c>
      <c r="I44">
        <f>IF($C44&lt;=rw_h,0.0035/$C44,0.002/($C44-3*rw_h/7))</f>
        <v/>
      </c>
      <c r="J44">
        <f>MAX(-fyd_rw,MIN(fyd_rw,200000*$I44*($C44-J$6)))-fcd_rw*IF($I44*($C44-J$6)&lt;=0,0,IF($I44*($C44-J$6)&lt;0.002,1-(1-$I44*($C44-J$6)/0.002)^2,1))</f>
        <v/>
      </c>
      <c r="K44">
        <f>MAX(-fyd_rw,MIN(fyd_rw,200000*$I44*($C44-K$6)))-fcd_rw*IF($I44*($C44-K$6)&lt;=0,0,IF($I44*($C44-K$6)&lt;0.002,1-(1-$I44*($C44-K$6)/0.002)^2,1))</f>
        <v/>
      </c>
      <c r="L44">
        <f>$I44*$C44/0.002</f>
        <v/>
      </c>
      <c r="M44">
        <f>IF($C44&lt;=rw_h,0,$I44*($C44-rw_h)/0.002)</f>
        <v/>
      </c>
    </row>
    <row r="45">
      <c r="B45" s="52" t="n">
        <v>31</v>
      </c>
      <c r="C45" s="53">
        <f>1.75*rw_h</f>
        <v/>
      </c>
      <c r="D45" s="54">
        <f>1000*$I45*$C45</f>
        <v/>
      </c>
      <c r="E45" s="55">
        <f>((2*fcd_rw/$I45*(IF($L45&lt;=1,$L45^2-$L45^3/3,$L45-1/3)-IF($M45&lt;=1,$M45^2-$M45^3/3,$M45-1/3)))+SUMPRODUCT($J$5:$K$5,$J45:$K45))/1000</f>
        <v/>
      </c>
      <c r="F45" s="55">
        <f>((rw_h/2-$C45)*(2*fcd_rw/$I45*(IF($L45&lt;=1,$L45^2-$L45^3/3,$L45-1/3)-IF($M45&lt;=1,$M45^2-$M45^3/3,$M45-1/3)))+0.004*fcd_rw/$I45^2*(IF($L45&lt;=1,2*$L45^3/3-$L45^4/4,$L45^2/2-1/12)-IF($M45&lt;=1,2*$M45^3/3-$M45^4/4,$M45^2/2-1/12))+SUMPRODUCT($J$5:$K$5,$J45:$K45,$J$7:$K$7))/1E6</f>
        <v/>
      </c>
      <c r="I45">
        <f>IF($C45&lt;=rw_h,0.0035/$C45,0.002/($C45-3*rw_h/7))</f>
        <v/>
      </c>
      <c r="J45">
        <f>MAX(-fyd_rw,MIN(fyd_rw,200000*$I45*($C45-J$6)))-fcd_rw*IF($I45*($C45-J$6)&lt;=0,0,IF($I45*($C45-J$6)&lt;0.002,1-(1-$I45*($C45-J$6)/0.002)^2,1))</f>
        <v/>
      </c>
      <c r="K45">
        <f>MAX(-fyd_rw,MIN(fyd_rw,200000*$I45*($C45-K$6)))-fcd_rw*IF($I45*($C45-K$6)&lt;=0,0,IF($I45*($C45-K$6)&lt;0.002,1-(1-$I45*($C45-K$6)/0.002)^2,1))</f>
        <v/>
      </c>
      <c r="L45">
        <f>$I45*$C45/0.002</f>
        <v/>
      </c>
      <c r="M45">
        <f>IF($C45&lt;=rw_h,0,$I45*($C45-rw_h)/0.002)</f>
        <v/>
      </c>
    </row>
    <row r="46">
      <c r="B46" s="52" t="n">
        <v>32</v>
      </c>
      <c r="C46" s="53">
        <f>2*rw_h</f>
        <v/>
      </c>
      <c r="D46" s="54">
        <f>1000*$I46*$C46</f>
        <v/>
      </c>
      <c r="E46" s="55">
        <f>((2*fcd_rw/$I46*(IF($L46&lt;=1,$L46^2-$L46^3/3,$L46-1/3)-IF($M46&lt;=1,$M46^2-$M46^3/3,$M46-1/3)))+SUMPRODUCT($J$5:$K$5,$J46:$K46))/1000</f>
        <v/>
      </c>
      <c r="F46" s="55">
        <f>((rw_h/2-$C46)*(2*fcd_rw/$I46*(IF($L46&lt;=1,$L46^2-$L46^3/3,$L46-1/3)-IF($M46&lt;=1,$M46^2-$M46^3/3,$M46-1/3)))+0.004*fcd_rw/$I46^2*(IF($L46&lt;=1,2*$L46^3/3-$L46^4/4,$L46^2/2-1/12)-IF($M46&lt;=1,2*$M46^3/3-$M46^4/4,$M46^2/2-1/12))+SUMPRODUCT($J$5:$K$5,$J46:$K46,$J$7:$K$7))/1E6</f>
        <v/>
      </c>
      <c r="I46">
        <f>IF($C46&lt;=rw_h,0.0035/$C46,0.002/($C46-3*rw_h/7))</f>
        <v/>
      </c>
      <c r="J46">
        <f>MAX(-fyd_rw,MIN(fyd_rw,200000*$I46*($C46-J$6)))-fcd_rw*IF($I46*($C46-J$6)&lt;=0,0,IF($I46*($C46-J$6)&lt;0.002,1-(1-$I46*($C46-J$6)/0.002)^2,1))</f>
        <v/>
      </c>
      <c r="K46">
        <f>MAX(-fyd_rw,MIN(fyd_rw,200000*$I46*($C46-K$6)))-fcd_rw*IF($I46*($C46-K$6)&lt;=0,0,IF($I46*($C46-K$6)&lt;0.002,1-(1-$I46*($C46-K$6)/0.002)^2,1))</f>
        <v/>
      </c>
      <c r="L46">
        <f>$I46*$C46/0.002</f>
        <v/>
      </c>
      <c r="M46">
        <f>IF($C46&lt;=rw_h,0,$I46*($C46-rw_h)/0.002)</f>
        <v/>
      </c>
    </row>
    <row r="47">
      <c r="B47" s="52" t="n">
        <v>33</v>
      </c>
      <c r="C47" s="53">
        <f>2.5*rw_h</f>
        <v/>
      </c>
      <c r="D47" s="54">
        <f>1000*$I47*$C47</f>
        <v/>
      </c>
      <c r="E47" s="55">
        <f>((2*fcd_rw/$I47*(IF($L47&lt;=1,$L47^2-$L47^3/3,$L47-1/3)-IF($M47&lt;=1,$M47^2-$M47^3/3,$M47-1/3)))+SUMPRODUCT($J$5:$K$5,$J47:$K47))/1000</f>
        <v/>
      </c>
      <c r="F47" s="55">
        <f>((rw_h/2-$C47)*(2*fcd_rw/$I47*(IF($L47&lt;=1,$L47^2-$L47^3/3,$L47-1/3)-IF($M47&lt;=1,$M47^2-$M47^3/3,$M47-1/3)))+0.004*fcd_rw/$I47^2*(IF($L47&lt;=1,2*$L47^3/3-$L47^4/4,$L47^2/2-1/12)-IF($M47&lt;=1,2*$M47^3/3-$M47^4/4,$M47^2/2-1/12))+SUMPRODUCT($J$5:$K$5,$J47:$K47,$J$7:$K$7))/1E6</f>
        <v/>
      </c>
      <c r="I47">
        <f>IF($C47&lt;=rw_h,0.0035/$C47,0.002/($C47-3*rw_h/7))</f>
        <v/>
      </c>
      <c r="J47">
        <f>MAX(-fyd_rw,MIN(fyd_rw,200000*$I47*($C47-J$6)))-fcd_rw*IF($I47*($C47-J$6)&lt;=0,0,IF($I47*($C47-J$6)&lt;0.002,1-(1-$I47*($C47-J$6)/0.002)^2,1))</f>
        <v/>
      </c>
      <c r="K47">
        <f>MAX(-fyd_rw,MIN(fyd_rw,200000*$I47*($C47-K$6)))-fcd_rw*IF($I47*($C47-K$6)&lt;=0,0,IF($I47*($C47-K$6)&lt;0.002,1-(1-$I47*($C47-K$6)/0.002)^2,1))</f>
        <v/>
      </c>
      <c r="L47">
        <f>$I47*$C47/0.002</f>
        <v/>
      </c>
      <c r="M47">
        <f>IF($C47&lt;=rw_h,0,$I47*($C47-rw_h)/0.002)</f>
        <v/>
      </c>
    </row>
    <row r="48">
      <c r="B48" s="52" t="n">
        <v>34</v>
      </c>
      <c r="C48" s="53">
        <f>3*rw_h</f>
        <v/>
      </c>
      <c r="D48" s="54">
        <f>1000*$I48*$C48</f>
        <v/>
      </c>
      <c r="E48" s="55">
        <f>((2*fcd_rw/$I48*(IF($L48&lt;=1,$L48^2-$L48^3/3,$L48-1/3)-IF($M48&lt;=1,$M48^2-$M48^3/3,$M48-1/3)))+SUMPRODUCT($J$5:$K$5,$J48:$K48))/1000</f>
        <v/>
      </c>
      <c r="F48" s="55">
        <f>((rw_h/2-$C48)*(2*fcd_rw/$I48*(IF($L48&lt;=1,$L48^2-$L48^3/3,$L48-1/3)-IF($M48&lt;=1,$M48^2-$M48^3/3,$M48-1/3)))+0.004*fcd_rw/$I48^2*(IF($L48&lt;=1,2*$L48^3/3-$L48^4/4,$L48^2/2-1/12)-IF($M48&lt;=1,2*$M48^3/3-$M48^4/4,$M48^2/2-1/12))+SUMPRODUCT($J$5:$K$5,$J48:$K48,$J$7:$K$7))/1E6</f>
        <v/>
      </c>
      <c r="I48">
        <f>IF($C48&lt;=rw_h,0.0035/$C48,0.002/($C48-3*rw_h/7))</f>
        <v/>
      </c>
      <c r="J48">
        <f>MAX(-fyd_rw,MIN(fyd_rw,200000*$I48*($C48-J$6)))-fcd_rw*IF($I48*($C48-J$6)&lt;=0,0,IF($I48*($C48-J$6)&lt;0.002,1-(1-$I48*($C48-J$6)/0.002)^2,1))</f>
        <v/>
      </c>
      <c r="K48">
        <f>MAX(-fyd_rw,MIN(fyd_rw,200000*$I48*($C48-K$6)))-fcd_rw*IF($I48*($C48-K$6)&lt;=0,0,IF($I48*($C48-K$6)&lt;0.002,1-(1-$I48*($C48-K$6)/0.002)^2,1))</f>
        <v/>
      </c>
      <c r="L48">
        <f>$I48*$C48/0.002</f>
        <v/>
      </c>
      <c r="M48">
        <f>IF($C48&lt;=rw_h,0,$I48*($C48-rw_h)/0.002)</f>
        <v/>
      </c>
    </row>
    <row r="49">
      <c r="B49" s="52" t="n">
        <v>35</v>
      </c>
      <c r="C49" s="53">
        <f>4*rw_h</f>
        <v/>
      </c>
      <c r="D49" s="54">
        <f>1000*$I49*$C49</f>
        <v/>
      </c>
      <c r="E49" s="55">
        <f>((2*fcd_rw/$I49*(IF($L49&lt;=1,$L49^2-$L49^3/3,$L49-1/3)-IF($M49&lt;=1,$M49^2-$M49^3/3,$M49-1/3)))+SUMPRODUCT($J$5:$K$5,$J49:$K49))/1000</f>
        <v/>
      </c>
      <c r="F49" s="55">
        <f>((rw_h/2-$C49)*(2*fcd_rw/$I49*(IF($L49&lt;=1,$L49^2-$L49^3/3,$L49-1/3)-IF($M49&lt;=1,$M49^2-$M49^3/3,$M49-1/3)))+0.004*fcd_rw/$I49^2*(IF($L49&lt;=1,2*$L49^3/3-$L49^4/4,$L49^2/2-1/12)-IF($M49&lt;=1,2*$M49^3/3-$M49^4/4,$M49^2/2-1/12))+SUMPRODUCT($J$5:$K$5,$J49:$K49,$J$7:$K$7))/1E6</f>
        <v/>
      </c>
      <c r="I49">
        <f>IF($C49&lt;=rw_h,0.0035/$C49,0.002/($C49-3*rw_h/7))</f>
        <v/>
      </c>
      <c r="J49">
        <f>MAX(-fyd_rw,MIN(fyd_rw,200000*$I49*($C49-J$6)))-fcd_rw*IF($I49*($C49-J$6)&lt;=0,0,IF($I49*($C49-J$6)&lt;0.002,1-(1-$I49*($C49-J$6)/0.002)^2,1))</f>
        <v/>
      </c>
      <c r="K49">
        <f>MAX(-fyd_rw,MIN(fyd_rw,200000*$I49*($C49-K$6)))-fcd_rw*IF($I49*($C49-K$6)&lt;=0,0,IF($I49*($C49-K$6)&lt;0.002,1-(1-$I49*($C49-K$6)/0.002)^2,1))</f>
        <v/>
      </c>
      <c r="L49">
        <f>$I49*$C49/0.002</f>
        <v/>
      </c>
      <c r="M49">
        <f>IF($C49&lt;=rw_h,0,$I49*($C49-rw_h)/0.002)</f>
        <v/>
      </c>
    </row>
    <row r="50">
      <c r="B50" s="52" t="n">
        <v>36</v>
      </c>
      <c r="C50" s="53">
        <f>6*rw_h</f>
        <v/>
      </c>
      <c r="D50" s="54">
        <f>1000*$I50*$C50</f>
        <v/>
      </c>
      <c r="E50" s="55">
        <f>((2*fcd_rw/$I50*(IF($L50&lt;=1,$L50^2-$L50^3/3,$L50-1/3)-IF($M50&lt;=1,$M50^2-$M50^3/3,$M50-1/3)))+SUMPRODUCT($J$5:$K$5,$J50:$K50))/1000</f>
        <v/>
      </c>
      <c r="F50" s="55">
        <f>((rw_h/2-$C50)*(2*fcd_rw/$I50*(IF($L50&lt;=1,$L50^2-$L50^3/3,$L50-1/3)-IF($M50&lt;=1,$M50^2-$M50^3/3,$M50-1/3)))+0.004*fcd_rw/$I50^2*(IF($L50&lt;=1,2*$L50^3/3-$L50^4/4,$L50^2/2-1/12)-IF($M50&lt;=1,2*$M50^3/3-$M50^4/4,$M50^2/2-1/12))+SUMPRODUCT($J$5:$K$5,$J50:$K50,$J$7:$K$7))/1E6</f>
        <v/>
      </c>
      <c r="I50">
        <f>IF($C50&lt;=rw_h,0.0035/$C50,0.002/($C50-3*rw_h/7))</f>
        <v/>
      </c>
      <c r="J50">
        <f>MAX(-fyd_rw,MIN(fyd_rw,200000*$I50*($C50-J$6)))-fcd_rw*IF($I50*($C50-J$6)&lt;=0,0,IF($I50*($C50-J$6)&lt;0.002,1-(1-$I50*($C50-J$6)/0.002)^2,1))</f>
        <v/>
      </c>
      <c r="K50">
        <f>MAX(-fyd_rw,MIN(fyd_rw,200000*$I50*($C50-K$6)))-fcd_rw*IF($I50*($C50-K$6)&lt;=0,0,IF($I50*($C50-K$6)&lt;0.002,1-(1-$I50*($C50-K$6)/0.002)^2,1))</f>
        <v/>
      </c>
      <c r="L50">
        <f>$I50*$C50/0.002</f>
        <v/>
      </c>
      <c r="M50">
        <f>IF($C50&lt;=rw_h,0,$I50*($C50-rw_h)/0.002)</f>
        <v/>
      </c>
    </row>
    <row r="51">
      <c r="B51" s="52" t="n">
        <v>37</v>
      </c>
      <c r="C51" s="53">
        <f>10*rw_h</f>
        <v/>
      </c>
      <c r="D51" s="54">
        <f>1000*$I51*$C51</f>
        <v/>
      </c>
      <c r="E51" s="55">
        <f>((2*fcd_rw/$I51*(IF($L51&lt;=1,$L51^2-$L51^3/3,$L51-1/3)-IF($M51&lt;=1,$M51^2-$M51^3/3,$M51-1/3)))+SUMPRODUCT($J$5:$K$5,$J51:$K51))/1000</f>
        <v/>
      </c>
      <c r="F51" s="55">
        <f>((rw_h/2-$C51)*(2*fcd_rw/$I51*(IF($L51&lt;=1,$L51^2-$L51^3/3,$L51-1/3)-IF($M51&lt;=1,$M51^2-$M51^3/3,$M51-1/3)))+0.004*fcd_rw/$I51^2*(IF($L51&lt;=1,2*$L51^3/3-$L51^4/4,$L51^2/2-1/12)-IF($M51&lt;=1,2*$M51^3/3-$M51^4/4,$M51^2/2-1/12))+SUMPRODUCT($J$5:$K$5,$J51:$K51,$J$7:$K$7))/1E6</f>
        <v/>
      </c>
      <c r="I51">
        <f>IF($C51&lt;=rw_h,0.0035/$C51,0.002/($C51-3*rw_h/7))</f>
        <v/>
      </c>
      <c r="J51">
        <f>MAX(-fyd_rw,MIN(fyd_rw,200000*$I51*($C51-J$6)))-fcd_rw*IF($I51*($C51-J$6)&lt;=0,0,IF($I51*($C51-J$6)&lt;0.002,1-(1-$I51*($C51-J$6)/0.002)^2,1))</f>
        <v/>
      </c>
      <c r="K51">
        <f>MAX(-fyd_rw,MIN(fyd_rw,200000*$I51*($C51-K$6)))-fcd_rw*IF($I51*($C51-K$6)&lt;=0,0,IF($I51*($C51-K$6)&lt;0.002,1-(1-$I51*($C51-K$6)/0.002)^2,1))</f>
        <v/>
      </c>
      <c r="L51">
        <f>$I51*$C51/0.002</f>
        <v/>
      </c>
      <c r="M51">
        <f>IF($C51&lt;=rw_h,0,$I51*($C51-rw_h)/0.002)</f>
        <v/>
      </c>
    </row>
    <row r="52">
      <c r="B52" s="52" t="n">
        <v>38</v>
      </c>
      <c r="C52" s="53">
        <f>25*rw_h</f>
        <v/>
      </c>
      <c r="D52" s="54">
        <f>1000*$I52*$C52</f>
        <v/>
      </c>
      <c r="E52" s="55">
        <f>((2*fcd_rw/$I52*(IF($L52&lt;=1,$L52^2-$L52^3/3,$L52-1/3)-IF($M52&lt;=1,$M52^2-$M52^3/3,$M52-1/3)))+SUMPRODUCT($J$5:$K$5,$J52:$K52))/1000</f>
        <v/>
      </c>
      <c r="F52" s="55">
        <f>((rw_h/2-$C52)*(2*fcd_rw/$I52*(IF($L52&lt;=1,$L52^2-$L52^3/3,$L52-1/3)-IF($M52&lt;=1,$M52^2-$M52^3/3,$M52-1/3)))+0.004*fcd_rw/$I52^2*(IF($L52&lt;=1,2*$L52^3/3-$L52^4/4,$L52^2/2-1/12)-IF($M52&lt;=1,2*$M52^3/3-$M52^4/4,$M52^2/2-1/12))+SUMPRODUCT($J$5:$K$5,$J52:$K52,$J$7:$K$7))/1E6</f>
        <v/>
      </c>
      <c r="I52">
        <f>IF($C52&lt;=rw_h,0.0035/$C52,0.002/($C52-3*rw_h/7))</f>
        <v/>
      </c>
      <c r="J52">
        <f>MAX(-fyd_rw,MIN(fyd_rw,200000*$I52*($C52-J$6)))-fcd_rw*IF($I52*($C52-J$6)&lt;=0,0,IF($I52*($C52-J$6)&lt;0.002,1-(1-$I52*($C52-J$6)/0.002)^2,1))</f>
        <v/>
      </c>
      <c r="K52">
        <f>MAX(-fyd_rw,MIN(fyd_rw,200000*$I52*($C52-K$6)))-fcd_rw*IF($I52*($C52-K$6)&lt;=0,0,IF($I52*($C52-K$6)&lt;0.002,1-(1-$I52*($C52-K$6)/0.002)^2,1))</f>
        <v/>
      </c>
      <c r="L52">
        <f>$I52*$C52/0.002</f>
        <v/>
      </c>
      <c r="M52">
        <f>IF($C52&lt;=rw_h,0,$I52*($C52-rw_h)/0.002)</f>
        <v/>
      </c>
    </row>
    <row r="53">
      <c r="B53" s="52" t="n">
        <v>39</v>
      </c>
      <c r="C53" s="56">
        <f>1E6*rw_h</f>
        <v/>
      </c>
      <c r="D53" s="54" t="n">
        <v>2</v>
      </c>
      <c r="E53" s="55">
        <f>(fcd_rw*Ac_rw+As_rw*(MIN(fyd_rw,400)-fcd_rw))/1000</f>
        <v/>
      </c>
      <c r="F53" s="55">
        <f>(MIN(fyd_rw,400)-fcd_rw)*SUMPRODUCT($J$5:$K$5,$J$7:$K$7)/1E6</f>
        <v/>
      </c>
    </row>
    <row r="55">
      <c r="B55" s="57" t="inlineStr">
        <is>
          <t>The table draws the curve. MRd at NEd is found below by bisection on the neutral axis depth until N = NEd (within rounding).</t>
        </is>
      </c>
    </row>
    <row r="57">
      <c r="B57" s="51" t="inlineStr">
        <is>
          <t>step</t>
        </is>
      </c>
      <c r="C57" s="51" t="inlineStr">
        <is>
          <t>u low</t>
        </is>
      </c>
      <c r="D57" s="51" t="inlineStr">
        <is>
          <t>u high</t>
        </is>
      </c>
      <c r="E57" s="51" t="inlineStr">
        <is>
          <t>x (mm)</t>
        </is>
      </c>
      <c r="F57" s="51" t="inlineStr">
        <is>
          <t>εc face (‰)</t>
        </is>
      </c>
      <c r="G57" s="51" t="inlineStr">
        <is>
          <t>N (kN/m)</t>
        </is>
      </c>
      <c r="H57" s="51" t="inlineStr">
        <is>
          <t>M (kNm/m)</t>
        </is>
      </c>
    </row>
    <row r="58">
      <c r="B58" s="58" t="n">
        <v>1</v>
      </c>
      <c r="C58" s="59" t="n">
        <v>0</v>
      </c>
      <c r="D58" s="59" t="n">
        <v>0.9999</v>
      </c>
      <c r="E58" s="60">
        <f>rw_h*(($C58+$D58)/2)/(1-(($C58+$D58)/2))</f>
        <v/>
      </c>
      <c r="F58" s="61">
        <f>1000*$I58*$E58</f>
        <v/>
      </c>
      <c r="G58" s="60">
        <f>((2*fcd_rw/$I58*(IF($L58&lt;=1,$L58^2-$L58^3/3,$L58-1/3)-IF($M58&lt;=1,$M58^2-$M58^3/3,$M58-1/3)))+SUMPRODUCT($J$5:$K$5,$J58:$K58))/1000</f>
        <v/>
      </c>
      <c r="H58" s="60">
        <f>((rw_h/2-$E58)*(2*fcd_rw/$I58*(IF($L58&lt;=1,$L58^2-$L58^3/3,$L58-1/3)-IF($M58&lt;=1,$M58^2-$M58^3/3,$M58-1/3)))+0.004*fcd_rw/$I58^2*(IF($L58&lt;=1,2*$L58^3/3-$L58^4/4,$L58^2/2-1/12)-IF($M58&lt;=1,2*$M58^3/3-$M58^4/4,$M58^2/2-1/12))+SUMPRODUCT($J$5:$K$5,$J58:$K58,$J$7:$K$7))/1E6</f>
        <v/>
      </c>
      <c r="I58">
        <f>IF($E58&lt;=rw_h,0.0035/$E58,0.002/($E58-3*rw_h/7))</f>
        <v/>
      </c>
      <c r="J58">
        <f>MAX(-fyd_rw,MIN(fyd_rw,200000*$I58*($E58-J$6)))-fcd_rw*IF($I58*($E58-J$6)&lt;=0,0,IF($I58*($E58-J$6)&lt;0.002,1-(1-$I58*($E58-J$6)/0.002)^2,1))</f>
        <v/>
      </c>
      <c r="K58">
        <f>MAX(-fyd_rw,MIN(fyd_rw,200000*$I58*($E58-K$6)))-fcd_rw*IF($I58*($E58-K$6)&lt;=0,0,IF($I58*($E58-K$6)&lt;0.002,1-(1-$I58*($E58-K$6)/0.002)^2,1))</f>
        <v/>
      </c>
      <c r="L58">
        <f>$I58*$E58/0.002</f>
        <v/>
      </c>
      <c r="M58">
        <f>IF($E58&lt;=rw_h,0,$I58*($E58-rw_h)/0.002)</f>
        <v/>
      </c>
    </row>
    <row r="59">
      <c r="B59" s="58" t="n">
        <v>2</v>
      </c>
      <c r="C59" s="59">
        <f>IF($G58&lt;rw_N-1E-9*ABS(rw_N),($C58+$D58)/2,$C58)</f>
        <v/>
      </c>
      <c r="D59" s="59">
        <f>IF($G58&lt;rw_N-1E-9*ABS(rw_N),$D58,($C58+$D58)/2)</f>
        <v/>
      </c>
      <c r="E59" s="60">
        <f>rw_h*(($C59+$D59)/2)/(1-(($C59+$D59)/2))</f>
        <v/>
      </c>
      <c r="F59" s="61">
        <f>1000*$I59*$E59</f>
        <v/>
      </c>
      <c r="G59" s="60">
        <f>((2*fcd_rw/$I59*(IF($L59&lt;=1,$L59^2-$L59^3/3,$L59-1/3)-IF($M59&lt;=1,$M59^2-$M59^3/3,$M59-1/3)))+SUMPRODUCT($J$5:$K$5,$J59:$K59))/1000</f>
        <v/>
      </c>
      <c r="H59" s="60">
        <f>((rw_h/2-$E59)*(2*fcd_rw/$I59*(IF($L59&lt;=1,$L59^2-$L59^3/3,$L59-1/3)-IF($M59&lt;=1,$M59^2-$M59^3/3,$M59-1/3)))+0.004*fcd_rw/$I59^2*(IF($L59&lt;=1,2*$L59^3/3-$L59^4/4,$L59^2/2-1/12)-IF($M59&lt;=1,2*$M59^3/3-$M59^4/4,$M59^2/2-1/12))+SUMPRODUCT($J$5:$K$5,$J59:$K59,$J$7:$K$7))/1E6</f>
        <v/>
      </c>
      <c r="I59">
        <f>IF($E59&lt;=rw_h,0.0035/$E59,0.002/($E59-3*rw_h/7))</f>
        <v/>
      </c>
      <c r="J59">
        <f>MAX(-fyd_rw,MIN(fyd_rw,200000*$I59*($E59-J$6)))-fcd_rw*IF($I59*($E59-J$6)&lt;=0,0,IF($I59*($E59-J$6)&lt;0.002,1-(1-$I59*($E59-J$6)/0.002)^2,1))</f>
        <v/>
      </c>
      <c r="K59">
        <f>MAX(-fyd_rw,MIN(fyd_rw,200000*$I59*($E59-K$6)))-fcd_rw*IF($I59*($E59-K$6)&lt;=0,0,IF($I59*($E59-K$6)&lt;0.002,1-(1-$I59*($E59-K$6)/0.002)^2,1))</f>
        <v/>
      </c>
      <c r="L59">
        <f>$I59*$E59/0.002</f>
        <v/>
      </c>
      <c r="M59">
        <f>IF($E59&lt;=rw_h,0,$I59*($E59-rw_h)/0.002)</f>
        <v/>
      </c>
    </row>
    <row r="60">
      <c r="B60" s="58" t="n">
        <v>3</v>
      </c>
      <c r="C60" s="59">
        <f>IF($G59&lt;rw_N-1E-9*ABS(rw_N),($C59+$D59)/2,$C59)</f>
        <v/>
      </c>
      <c r="D60" s="59">
        <f>IF($G59&lt;rw_N-1E-9*ABS(rw_N),$D59,($C59+$D59)/2)</f>
        <v/>
      </c>
      <c r="E60" s="60">
        <f>rw_h*(($C60+$D60)/2)/(1-(($C60+$D60)/2))</f>
        <v/>
      </c>
      <c r="F60" s="61">
        <f>1000*$I60*$E60</f>
        <v/>
      </c>
      <c r="G60" s="60">
        <f>((2*fcd_rw/$I60*(IF($L60&lt;=1,$L60^2-$L60^3/3,$L60-1/3)-IF($M60&lt;=1,$M60^2-$M60^3/3,$M60-1/3)))+SUMPRODUCT($J$5:$K$5,$J60:$K60))/1000</f>
        <v/>
      </c>
      <c r="H60" s="60">
        <f>((rw_h/2-$E60)*(2*fcd_rw/$I60*(IF($L60&lt;=1,$L60^2-$L60^3/3,$L60-1/3)-IF($M60&lt;=1,$M60^2-$M60^3/3,$M60-1/3)))+0.004*fcd_rw/$I60^2*(IF($L60&lt;=1,2*$L60^3/3-$L60^4/4,$L60^2/2-1/12)-IF($M60&lt;=1,2*$M60^3/3-$M60^4/4,$M60^2/2-1/12))+SUMPRODUCT($J$5:$K$5,$J60:$K60,$J$7:$K$7))/1E6</f>
        <v/>
      </c>
      <c r="I60">
        <f>IF($E60&lt;=rw_h,0.0035/$E60,0.002/($E60-3*rw_h/7))</f>
        <v/>
      </c>
      <c r="J60">
        <f>MAX(-fyd_rw,MIN(fyd_rw,200000*$I60*($E60-J$6)))-fcd_rw*IF($I60*($E60-J$6)&lt;=0,0,IF($I60*($E60-J$6)&lt;0.002,1-(1-$I60*($E60-J$6)/0.002)^2,1))</f>
        <v/>
      </c>
      <c r="K60">
        <f>MAX(-fyd_rw,MIN(fyd_rw,200000*$I60*($E60-K$6)))-fcd_rw*IF($I60*($E60-K$6)&lt;=0,0,IF($I60*($E60-K$6)&lt;0.002,1-(1-$I60*($E60-K$6)/0.002)^2,1))</f>
        <v/>
      </c>
      <c r="L60">
        <f>$I60*$E60/0.002</f>
        <v/>
      </c>
      <c r="M60">
        <f>IF($E60&lt;=rw_h,0,$I60*($E60-rw_h)/0.002)</f>
        <v/>
      </c>
    </row>
    <row r="61">
      <c r="B61" s="58" t="n">
        <v>4</v>
      </c>
      <c r="C61" s="59">
        <f>IF($G60&lt;rw_N-1E-9*ABS(rw_N),($C60+$D60)/2,$C60)</f>
        <v/>
      </c>
      <c r="D61" s="59">
        <f>IF($G60&lt;rw_N-1E-9*ABS(rw_N),$D60,($C60+$D60)/2)</f>
        <v/>
      </c>
      <c r="E61" s="60">
        <f>rw_h*(($C61+$D61)/2)/(1-(($C61+$D61)/2))</f>
        <v/>
      </c>
      <c r="F61" s="61">
        <f>1000*$I61*$E61</f>
        <v/>
      </c>
      <c r="G61" s="60">
        <f>((2*fcd_rw/$I61*(IF($L61&lt;=1,$L61^2-$L61^3/3,$L61-1/3)-IF($M61&lt;=1,$M61^2-$M61^3/3,$M61-1/3)))+SUMPRODUCT($J$5:$K$5,$J61:$K61))/1000</f>
        <v/>
      </c>
      <c r="H61" s="60">
        <f>((rw_h/2-$E61)*(2*fcd_rw/$I61*(IF($L61&lt;=1,$L61^2-$L61^3/3,$L61-1/3)-IF($M61&lt;=1,$M61^2-$M61^3/3,$M61-1/3)))+0.004*fcd_rw/$I61^2*(IF($L61&lt;=1,2*$L61^3/3-$L61^4/4,$L61^2/2-1/12)-IF($M61&lt;=1,2*$M61^3/3-$M61^4/4,$M61^2/2-1/12))+SUMPRODUCT($J$5:$K$5,$J61:$K61,$J$7:$K$7))/1E6</f>
        <v/>
      </c>
      <c r="I61">
        <f>IF($E61&lt;=rw_h,0.0035/$E61,0.002/($E61-3*rw_h/7))</f>
        <v/>
      </c>
      <c r="J61">
        <f>MAX(-fyd_rw,MIN(fyd_rw,200000*$I61*($E61-J$6)))-fcd_rw*IF($I61*($E61-J$6)&lt;=0,0,IF($I61*($E61-J$6)&lt;0.002,1-(1-$I61*($E61-J$6)/0.002)^2,1))</f>
        <v/>
      </c>
      <c r="K61">
        <f>MAX(-fyd_rw,MIN(fyd_rw,200000*$I61*($E61-K$6)))-fcd_rw*IF($I61*($E61-K$6)&lt;=0,0,IF($I61*($E61-K$6)&lt;0.002,1-(1-$I61*($E61-K$6)/0.002)^2,1))</f>
        <v/>
      </c>
      <c r="L61">
        <f>$I61*$E61/0.002</f>
        <v/>
      </c>
      <c r="M61">
        <f>IF($E61&lt;=rw_h,0,$I61*($E61-rw_h)/0.002)</f>
        <v/>
      </c>
    </row>
    <row r="62">
      <c r="B62" s="58" t="n">
        <v>5</v>
      </c>
      <c r="C62" s="59">
        <f>IF($G61&lt;rw_N-1E-9*ABS(rw_N),($C61+$D61)/2,$C61)</f>
        <v/>
      </c>
      <c r="D62" s="59">
        <f>IF($G61&lt;rw_N-1E-9*ABS(rw_N),$D61,($C61+$D61)/2)</f>
        <v/>
      </c>
      <c r="E62" s="60">
        <f>rw_h*(($C62+$D62)/2)/(1-(($C62+$D62)/2))</f>
        <v/>
      </c>
      <c r="F62" s="61">
        <f>1000*$I62*$E62</f>
        <v/>
      </c>
      <c r="G62" s="60">
        <f>((2*fcd_rw/$I62*(IF($L62&lt;=1,$L62^2-$L62^3/3,$L62-1/3)-IF($M62&lt;=1,$M62^2-$M62^3/3,$M62-1/3)))+SUMPRODUCT($J$5:$K$5,$J62:$K62))/1000</f>
        <v/>
      </c>
      <c r="H62" s="60">
        <f>((rw_h/2-$E62)*(2*fcd_rw/$I62*(IF($L62&lt;=1,$L62^2-$L62^3/3,$L62-1/3)-IF($M62&lt;=1,$M62^2-$M62^3/3,$M62-1/3)))+0.004*fcd_rw/$I62^2*(IF($L62&lt;=1,2*$L62^3/3-$L62^4/4,$L62^2/2-1/12)-IF($M62&lt;=1,2*$M62^3/3-$M62^4/4,$M62^2/2-1/12))+SUMPRODUCT($J$5:$K$5,$J62:$K62,$J$7:$K$7))/1E6</f>
        <v/>
      </c>
      <c r="I62">
        <f>IF($E62&lt;=rw_h,0.0035/$E62,0.002/($E62-3*rw_h/7))</f>
        <v/>
      </c>
      <c r="J62">
        <f>MAX(-fyd_rw,MIN(fyd_rw,200000*$I62*($E62-J$6)))-fcd_rw*IF($I62*($E62-J$6)&lt;=0,0,IF($I62*($E62-J$6)&lt;0.002,1-(1-$I62*($E62-J$6)/0.002)^2,1))</f>
        <v/>
      </c>
      <c r="K62">
        <f>MAX(-fyd_rw,MIN(fyd_rw,200000*$I62*($E62-K$6)))-fcd_rw*IF($I62*($E62-K$6)&lt;=0,0,IF($I62*($E62-K$6)&lt;0.002,1-(1-$I62*($E62-K$6)/0.002)^2,1))</f>
        <v/>
      </c>
      <c r="L62">
        <f>$I62*$E62/0.002</f>
        <v/>
      </c>
      <c r="M62">
        <f>IF($E62&lt;=rw_h,0,$I62*($E62-rw_h)/0.002)</f>
        <v/>
      </c>
    </row>
    <row r="63">
      <c r="B63" s="58" t="n">
        <v>6</v>
      </c>
      <c r="C63" s="59">
        <f>IF($G62&lt;rw_N-1E-9*ABS(rw_N),($C62+$D62)/2,$C62)</f>
        <v/>
      </c>
      <c r="D63" s="59">
        <f>IF($G62&lt;rw_N-1E-9*ABS(rw_N),$D62,($C62+$D62)/2)</f>
        <v/>
      </c>
      <c r="E63" s="60">
        <f>rw_h*(($C63+$D63)/2)/(1-(($C63+$D63)/2))</f>
        <v/>
      </c>
      <c r="F63" s="61">
        <f>1000*$I63*$E63</f>
        <v/>
      </c>
      <c r="G63" s="60">
        <f>((2*fcd_rw/$I63*(IF($L63&lt;=1,$L63^2-$L63^3/3,$L63-1/3)-IF($M63&lt;=1,$M63^2-$M63^3/3,$M63-1/3)))+SUMPRODUCT($J$5:$K$5,$J63:$K63))/1000</f>
        <v/>
      </c>
      <c r="H63" s="60">
        <f>((rw_h/2-$E63)*(2*fcd_rw/$I63*(IF($L63&lt;=1,$L63^2-$L63^3/3,$L63-1/3)-IF($M63&lt;=1,$M63^2-$M63^3/3,$M63-1/3)))+0.004*fcd_rw/$I63^2*(IF($L63&lt;=1,2*$L63^3/3-$L63^4/4,$L63^2/2-1/12)-IF($M63&lt;=1,2*$M63^3/3-$M63^4/4,$M63^2/2-1/12))+SUMPRODUCT($J$5:$K$5,$J63:$K63,$J$7:$K$7))/1E6</f>
        <v/>
      </c>
      <c r="I63">
        <f>IF($E63&lt;=rw_h,0.0035/$E63,0.002/($E63-3*rw_h/7))</f>
        <v/>
      </c>
      <c r="J63">
        <f>MAX(-fyd_rw,MIN(fyd_rw,200000*$I63*($E63-J$6)))-fcd_rw*IF($I63*($E63-J$6)&lt;=0,0,IF($I63*($E63-J$6)&lt;0.002,1-(1-$I63*($E63-J$6)/0.002)^2,1))</f>
        <v/>
      </c>
      <c r="K63">
        <f>MAX(-fyd_rw,MIN(fyd_rw,200000*$I63*($E63-K$6)))-fcd_rw*IF($I63*($E63-K$6)&lt;=0,0,IF($I63*($E63-K$6)&lt;0.002,1-(1-$I63*($E63-K$6)/0.002)^2,1))</f>
        <v/>
      </c>
      <c r="L63">
        <f>$I63*$E63/0.002</f>
        <v/>
      </c>
      <c r="M63">
        <f>IF($E63&lt;=rw_h,0,$I63*($E63-rw_h)/0.002)</f>
        <v/>
      </c>
    </row>
    <row r="64">
      <c r="B64" s="58" t="n">
        <v>7</v>
      </c>
      <c r="C64" s="59">
        <f>IF($G63&lt;rw_N-1E-9*ABS(rw_N),($C63+$D63)/2,$C63)</f>
        <v/>
      </c>
      <c r="D64" s="59">
        <f>IF($G63&lt;rw_N-1E-9*ABS(rw_N),$D63,($C63+$D63)/2)</f>
        <v/>
      </c>
      <c r="E64" s="60">
        <f>rw_h*(($C64+$D64)/2)/(1-(($C64+$D64)/2))</f>
        <v/>
      </c>
      <c r="F64" s="61">
        <f>1000*$I64*$E64</f>
        <v/>
      </c>
      <c r="G64" s="60">
        <f>((2*fcd_rw/$I64*(IF($L64&lt;=1,$L64^2-$L64^3/3,$L64-1/3)-IF($M64&lt;=1,$M64^2-$M64^3/3,$M64-1/3)))+SUMPRODUCT($J$5:$K$5,$J64:$K64))/1000</f>
        <v/>
      </c>
      <c r="H64" s="60">
        <f>((rw_h/2-$E64)*(2*fcd_rw/$I64*(IF($L64&lt;=1,$L64^2-$L64^3/3,$L64-1/3)-IF($M64&lt;=1,$M64^2-$M64^3/3,$M64-1/3)))+0.004*fcd_rw/$I64^2*(IF($L64&lt;=1,2*$L64^3/3-$L64^4/4,$L64^2/2-1/12)-IF($M64&lt;=1,2*$M64^3/3-$M64^4/4,$M64^2/2-1/12))+SUMPRODUCT($J$5:$K$5,$J64:$K64,$J$7:$K$7))/1E6</f>
        <v/>
      </c>
      <c r="I64">
        <f>IF($E64&lt;=rw_h,0.0035/$E64,0.002/($E64-3*rw_h/7))</f>
        <v/>
      </c>
      <c r="J64">
        <f>MAX(-fyd_rw,MIN(fyd_rw,200000*$I64*($E64-J$6)))-fcd_rw*IF($I64*($E64-J$6)&lt;=0,0,IF($I64*($E64-J$6)&lt;0.002,1-(1-$I64*($E64-J$6)/0.002)^2,1))</f>
        <v/>
      </c>
      <c r="K64">
        <f>MAX(-fyd_rw,MIN(fyd_rw,200000*$I64*($E64-K$6)))-fcd_rw*IF($I64*($E64-K$6)&lt;=0,0,IF($I64*($E64-K$6)&lt;0.002,1-(1-$I64*($E64-K$6)/0.002)^2,1))</f>
        <v/>
      </c>
      <c r="L64">
        <f>$I64*$E64/0.002</f>
        <v/>
      </c>
      <c r="M64">
        <f>IF($E64&lt;=rw_h,0,$I64*($E64-rw_h)/0.002)</f>
        <v/>
      </c>
    </row>
    <row r="65">
      <c r="B65" s="58" t="n">
        <v>8</v>
      </c>
      <c r="C65" s="59">
        <f>IF($G64&lt;rw_N-1E-9*ABS(rw_N),($C64+$D64)/2,$C64)</f>
        <v/>
      </c>
      <c r="D65" s="59">
        <f>IF($G64&lt;rw_N-1E-9*ABS(rw_N),$D64,($C64+$D64)/2)</f>
        <v/>
      </c>
      <c r="E65" s="60">
        <f>rw_h*(($C65+$D65)/2)/(1-(($C65+$D65)/2))</f>
        <v/>
      </c>
      <c r="F65" s="61">
        <f>1000*$I65*$E65</f>
        <v/>
      </c>
      <c r="G65" s="60">
        <f>((2*fcd_rw/$I65*(IF($L65&lt;=1,$L65^2-$L65^3/3,$L65-1/3)-IF($M65&lt;=1,$M65^2-$M65^3/3,$M65-1/3)))+SUMPRODUCT($J$5:$K$5,$J65:$K65))/1000</f>
        <v/>
      </c>
      <c r="H65" s="60">
        <f>((rw_h/2-$E65)*(2*fcd_rw/$I65*(IF($L65&lt;=1,$L65^2-$L65^3/3,$L65-1/3)-IF($M65&lt;=1,$M65^2-$M65^3/3,$M65-1/3)))+0.004*fcd_rw/$I65^2*(IF($L65&lt;=1,2*$L65^3/3-$L65^4/4,$L65^2/2-1/12)-IF($M65&lt;=1,2*$M65^3/3-$M65^4/4,$M65^2/2-1/12))+SUMPRODUCT($J$5:$K$5,$J65:$K65,$J$7:$K$7))/1E6</f>
        <v/>
      </c>
      <c r="I65">
        <f>IF($E65&lt;=rw_h,0.0035/$E65,0.002/($E65-3*rw_h/7))</f>
        <v/>
      </c>
      <c r="J65">
        <f>MAX(-fyd_rw,MIN(fyd_rw,200000*$I65*($E65-J$6)))-fcd_rw*IF($I65*($E65-J$6)&lt;=0,0,IF($I65*($E65-J$6)&lt;0.002,1-(1-$I65*($E65-J$6)/0.002)^2,1))</f>
        <v/>
      </c>
      <c r="K65">
        <f>MAX(-fyd_rw,MIN(fyd_rw,200000*$I65*($E65-K$6)))-fcd_rw*IF($I65*($E65-K$6)&lt;=0,0,IF($I65*($E65-K$6)&lt;0.002,1-(1-$I65*($E65-K$6)/0.002)^2,1))</f>
        <v/>
      </c>
      <c r="L65">
        <f>$I65*$E65/0.002</f>
        <v/>
      </c>
      <c r="M65">
        <f>IF($E65&lt;=rw_h,0,$I65*($E65-rw_h)/0.002)</f>
        <v/>
      </c>
    </row>
    <row r="66">
      <c r="B66" s="58" t="n">
        <v>9</v>
      </c>
      <c r="C66" s="59">
        <f>IF($G65&lt;rw_N-1E-9*ABS(rw_N),($C65+$D65)/2,$C65)</f>
        <v/>
      </c>
      <c r="D66" s="59">
        <f>IF($G65&lt;rw_N-1E-9*ABS(rw_N),$D65,($C65+$D65)/2)</f>
        <v/>
      </c>
      <c r="E66" s="60">
        <f>rw_h*(($C66+$D66)/2)/(1-(($C66+$D66)/2))</f>
        <v/>
      </c>
      <c r="F66" s="61">
        <f>1000*$I66*$E66</f>
        <v/>
      </c>
      <c r="G66" s="60">
        <f>((2*fcd_rw/$I66*(IF($L66&lt;=1,$L66^2-$L66^3/3,$L66-1/3)-IF($M66&lt;=1,$M66^2-$M66^3/3,$M66-1/3)))+SUMPRODUCT($J$5:$K$5,$J66:$K66))/1000</f>
        <v/>
      </c>
      <c r="H66" s="60">
        <f>((rw_h/2-$E66)*(2*fcd_rw/$I66*(IF($L66&lt;=1,$L66^2-$L66^3/3,$L66-1/3)-IF($M66&lt;=1,$M66^2-$M66^3/3,$M66-1/3)))+0.004*fcd_rw/$I66^2*(IF($L66&lt;=1,2*$L66^3/3-$L66^4/4,$L66^2/2-1/12)-IF($M66&lt;=1,2*$M66^3/3-$M66^4/4,$M66^2/2-1/12))+SUMPRODUCT($J$5:$K$5,$J66:$K66,$J$7:$K$7))/1E6</f>
        <v/>
      </c>
      <c r="I66">
        <f>IF($E66&lt;=rw_h,0.0035/$E66,0.002/($E66-3*rw_h/7))</f>
        <v/>
      </c>
      <c r="J66">
        <f>MAX(-fyd_rw,MIN(fyd_rw,200000*$I66*($E66-J$6)))-fcd_rw*IF($I66*($E66-J$6)&lt;=0,0,IF($I66*($E66-J$6)&lt;0.002,1-(1-$I66*($E66-J$6)/0.002)^2,1))</f>
        <v/>
      </c>
      <c r="K66">
        <f>MAX(-fyd_rw,MIN(fyd_rw,200000*$I66*($E66-K$6)))-fcd_rw*IF($I66*($E66-K$6)&lt;=0,0,IF($I66*($E66-K$6)&lt;0.002,1-(1-$I66*($E66-K$6)/0.002)^2,1))</f>
        <v/>
      </c>
      <c r="L66">
        <f>$I66*$E66/0.002</f>
        <v/>
      </c>
      <c r="M66">
        <f>IF($E66&lt;=rw_h,0,$I66*($E66-rw_h)/0.002)</f>
        <v/>
      </c>
    </row>
    <row r="67">
      <c r="B67" s="58" t="n">
        <v>10</v>
      </c>
      <c r="C67" s="59">
        <f>IF($G66&lt;rw_N-1E-9*ABS(rw_N),($C66+$D66)/2,$C66)</f>
        <v/>
      </c>
      <c r="D67" s="59">
        <f>IF($G66&lt;rw_N-1E-9*ABS(rw_N),$D66,($C66+$D66)/2)</f>
        <v/>
      </c>
      <c r="E67" s="60">
        <f>rw_h*(($C67+$D67)/2)/(1-(($C67+$D67)/2))</f>
        <v/>
      </c>
      <c r="F67" s="61">
        <f>1000*$I67*$E67</f>
        <v/>
      </c>
      <c r="G67" s="60">
        <f>((2*fcd_rw/$I67*(IF($L67&lt;=1,$L67^2-$L67^3/3,$L67-1/3)-IF($M67&lt;=1,$M67^2-$M67^3/3,$M67-1/3)))+SUMPRODUCT($J$5:$K$5,$J67:$K67))/1000</f>
        <v/>
      </c>
      <c r="H67" s="60">
        <f>((rw_h/2-$E67)*(2*fcd_rw/$I67*(IF($L67&lt;=1,$L67^2-$L67^3/3,$L67-1/3)-IF($M67&lt;=1,$M67^2-$M67^3/3,$M67-1/3)))+0.004*fcd_rw/$I67^2*(IF($L67&lt;=1,2*$L67^3/3-$L67^4/4,$L67^2/2-1/12)-IF($M67&lt;=1,2*$M67^3/3-$M67^4/4,$M67^2/2-1/12))+SUMPRODUCT($J$5:$K$5,$J67:$K67,$J$7:$K$7))/1E6</f>
        <v/>
      </c>
      <c r="I67">
        <f>IF($E67&lt;=rw_h,0.0035/$E67,0.002/($E67-3*rw_h/7))</f>
        <v/>
      </c>
      <c r="J67">
        <f>MAX(-fyd_rw,MIN(fyd_rw,200000*$I67*($E67-J$6)))-fcd_rw*IF($I67*($E67-J$6)&lt;=0,0,IF($I67*($E67-J$6)&lt;0.002,1-(1-$I67*($E67-J$6)/0.002)^2,1))</f>
        <v/>
      </c>
      <c r="K67">
        <f>MAX(-fyd_rw,MIN(fyd_rw,200000*$I67*($E67-K$6)))-fcd_rw*IF($I67*($E67-K$6)&lt;=0,0,IF($I67*($E67-K$6)&lt;0.002,1-(1-$I67*($E67-K$6)/0.002)^2,1))</f>
        <v/>
      </c>
      <c r="L67">
        <f>$I67*$E67/0.002</f>
        <v/>
      </c>
      <c r="M67">
        <f>IF($E67&lt;=rw_h,0,$I67*($E67-rw_h)/0.002)</f>
        <v/>
      </c>
    </row>
    <row r="68">
      <c r="B68" s="58" t="n">
        <v>11</v>
      </c>
      <c r="C68" s="59">
        <f>IF($G67&lt;rw_N-1E-9*ABS(rw_N),($C67+$D67)/2,$C67)</f>
        <v/>
      </c>
      <c r="D68" s="59">
        <f>IF($G67&lt;rw_N-1E-9*ABS(rw_N),$D67,($C67+$D67)/2)</f>
        <v/>
      </c>
      <c r="E68" s="60">
        <f>rw_h*(($C68+$D68)/2)/(1-(($C68+$D68)/2))</f>
        <v/>
      </c>
      <c r="F68" s="61">
        <f>1000*$I68*$E68</f>
        <v/>
      </c>
      <c r="G68" s="60">
        <f>((2*fcd_rw/$I68*(IF($L68&lt;=1,$L68^2-$L68^3/3,$L68-1/3)-IF($M68&lt;=1,$M68^2-$M68^3/3,$M68-1/3)))+SUMPRODUCT($J$5:$K$5,$J68:$K68))/1000</f>
        <v/>
      </c>
      <c r="H68" s="60">
        <f>((rw_h/2-$E68)*(2*fcd_rw/$I68*(IF($L68&lt;=1,$L68^2-$L68^3/3,$L68-1/3)-IF($M68&lt;=1,$M68^2-$M68^3/3,$M68-1/3)))+0.004*fcd_rw/$I68^2*(IF($L68&lt;=1,2*$L68^3/3-$L68^4/4,$L68^2/2-1/12)-IF($M68&lt;=1,2*$M68^3/3-$M68^4/4,$M68^2/2-1/12))+SUMPRODUCT($J$5:$K$5,$J68:$K68,$J$7:$K$7))/1E6</f>
        <v/>
      </c>
      <c r="I68">
        <f>IF($E68&lt;=rw_h,0.0035/$E68,0.002/($E68-3*rw_h/7))</f>
        <v/>
      </c>
      <c r="J68">
        <f>MAX(-fyd_rw,MIN(fyd_rw,200000*$I68*($E68-J$6)))-fcd_rw*IF($I68*($E68-J$6)&lt;=0,0,IF($I68*($E68-J$6)&lt;0.002,1-(1-$I68*($E68-J$6)/0.002)^2,1))</f>
        <v/>
      </c>
      <c r="K68">
        <f>MAX(-fyd_rw,MIN(fyd_rw,200000*$I68*($E68-K$6)))-fcd_rw*IF($I68*($E68-K$6)&lt;=0,0,IF($I68*($E68-K$6)&lt;0.002,1-(1-$I68*($E68-K$6)/0.002)^2,1))</f>
        <v/>
      </c>
      <c r="L68">
        <f>$I68*$E68/0.002</f>
        <v/>
      </c>
      <c r="M68">
        <f>IF($E68&lt;=rw_h,0,$I68*($E68-rw_h)/0.002)</f>
        <v/>
      </c>
    </row>
    <row r="69">
      <c r="B69" s="58" t="n">
        <v>12</v>
      </c>
      <c r="C69" s="59">
        <f>IF($G68&lt;rw_N-1E-9*ABS(rw_N),($C68+$D68)/2,$C68)</f>
        <v/>
      </c>
      <c r="D69" s="59">
        <f>IF($G68&lt;rw_N-1E-9*ABS(rw_N),$D68,($C68+$D68)/2)</f>
        <v/>
      </c>
      <c r="E69" s="60">
        <f>rw_h*(($C69+$D69)/2)/(1-(($C69+$D69)/2))</f>
        <v/>
      </c>
      <c r="F69" s="61">
        <f>1000*$I69*$E69</f>
        <v/>
      </c>
      <c r="G69" s="60">
        <f>((2*fcd_rw/$I69*(IF($L69&lt;=1,$L69^2-$L69^3/3,$L69-1/3)-IF($M69&lt;=1,$M69^2-$M69^3/3,$M69-1/3)))+SUMPRODUCT($J$5:$K$5,$J69:$K69))/1000</f>
        <v/>
      </c>
      <c r="H69" s="60">
        <f>((rw_h/2-$E69)*(2*fcd_rw/$I69*(IF($L69&lt;=1,$L69^2-$L69^3/3,$L69-1/3)-IF($M69&lt;=1,$M69^2-$M69^3/3,$M69-1/3)))+0.004*fcd_rw/$I69^2*(IF($L69&lt;=1,2*$L69^3/3-$L69^4/4,$L69^2/2-1/12)-IF($M69&lt;=1,2*$M69^3/3-$M69^4/4,$M69^2/2-1/12))+SUMPRODUCT($J$5:$K$5,$J69:$K69,$J$7:$K$7))/1E6</f>
        <v/>
      </c>
      <c r="I69">
        <f>IF($E69&lt;=rw_h,0.0035/$E69,0.002/($E69-3*rw_h/7))</f>
        <v/>
      </c>
      <c r="J69">
        <f>MAX(-fyd_rw,MIN(fyd_rw,200000*$I69*($E69-J$6)))-fcd_rw*IF($I69*($E69-J$6)&lt;=0,0,IF($I69*($E69-J$6)&lt;0.002,1-(1-$I69*($E69-J$6)/0.002)^2,1))</f>
        <v/>
      </c>
      <c r="K69">
        <f>MAX(-fyd_rw,MIN(fyd_rw,200000*$I69*($E69-K$6)))-fcd_rw*IF($I69*($E69-K$6)&lt;=0,0,IF($I69*($E69-K$6)&lt;0.002,1-(1-$I69*($E69-K$6)/0.002)^2,1))</f>
        <v/>
      </c>
      <c r="L69">
        <f>$I69*$E69/0.002</f>
        <v/>
      </c>
      <c r="M69">
        <f>IF($E69&lt;=rw_h,0,$I69*($E69-rw_h)/0.002)</f>
        <v/>
      </c>
    </row>
    <row r="70">
      <c r="B70" s="58" t="n">
        <v>13</v>
      </c>
      <c r="C70" s="59">
        <f>IF($G69&lt;rw_N-1E-9*ABS(rw_N),($C69+$D69)/2,$C69)</f>
        <v/>
      </c>
      <c r="D70" s="59">
        <f>IF($G69&lt;rw_N-1E-9*ABS(rw_N),$D69,($C69+$D69)/2)</f>
        <v/>
      </c>
      <c r="E70" s="60">
        <f>rw_h*(($C70+$D70)/2)/(1-(($C70+$D70)/2))</f>
        <v/>
      </c>
      <c r="F70" s="61">
        <f>1000*$I70*$E70</f>
        <v/>
      </c>
      <c r="G70" s="60">
        <f>((2*fcd_rw/$I70*(IF($L70&lt;=1,$L70^2-$L70^3/3,$L70-1/3)-IF($M70&lt;=1,$M70^2-$M70^3/3,$M70-1/3)))+SUMPRODUCT($J$5:$K$5,$J70:$K70))/1000</f>
        <v/>
      </c>
      <c r="H70" s="60">
        <f>((rw_h/2-$E70)*(2*fcd_rw/$I70*(IF($L70&lt;=1,$L70^2-$L70^3/3,$L70-1/3)-IF($M70&lt;=1,$M70^2-$M70^3/3,$M70-1/3)))+0.004*fcd_rw/$I70^2*(IF($L70&lt;=1,2*$L70^3/3-$L70^4/4,$L70^2/2-1/12)-IF($M70&lt;=1,2*$M70^3/3-$M70^4/4,$M70^2/2-1/12))+SUMPRODUCT($J$5:$K$5,$J70:$K70,$J$7:$K$7))/1E6</f>
        <v/>
      </c>
      <c r="I70">
        <f>IF($E70&lt;=rw_h,0.0035/$E70,0.002/($E70-3*rw_h/7))</f>
        <v/>
      </c>
      <c r="J70">
        <f>MAX(-fyd_rw,MIN(fyd_rw,200000*$I70*($E70-J$6)))-fcd_rw*IF($I70*($E70-J$6)&lt;=0,0,IF($I70*($E70-J$6)&lt;0.002,1-(1-$I70*($E70-J$6)/0.002)^2,1))</f>
        <v/>
      </c>
      <c r="K70">
        <f>MAX(-fyd_rw,MIN(fyd_rw,200000*$I70*($E70-K$6)))-fcd_rw*IF($I70*($E70-K$6)&lt;=0,0,IF($I70*($E70-K$6)&lt;0.002,1-(1-$I70*($E70-K$6)/0.002)^2,1))</f>
        <v/>
      </c>
      <c r="L70">
        <f>$I70*$E70/0.002</f>
        <v/>
      </c>
      <c r="M70">
        <f>IF($E70&lt;=rw_h,0,$I70*($E70-rw_h)/0.002)</f>
        <v/>
      </c>
    </row>
    <row r="71">
      <c r="B71" s="58" t="n">
        <v>14</v>
      </c>
      <c r="C71" s="59">
        <f>IF($G70&lt;rw_N-1E-9*ABS(rw_N),($C70+$D70)/2,$C70)</f>
        <v/>
      </c>
      <c r="D71" s="59">
        <f>IF($G70&lt;rw_N-1E-9*ABS(rw_N),$D70,($C70+$D70)/2)</f>
        <v/>
      </c>
      <c r="E71" s="60">
        <f>rw_h*(($C71+$D71)/2)/(1-(($C71+$D71)/2))</f>
        <v/>
      </c>
      <c r="F71" s="61">
        <f>1000*$I71*$E71</f>
        <v/>
      </c>
      <c r="G71" s="60">
        <f>((2*fcd_rw/$I71*(IF($L71&lt;=1,$L71^2-$L71^3/3,$L71-1/3)-IF($M71&lt;=1,$M71^2-$M71^3/3,$M71-1/3)))+SUMPRODUCT($J$5:$K$5,$J71:$K71))/1000</f>
        <v/>
      </c>
      <c r="H71" s="60">
        <f>((rw_h/2-$E71)*(2*fcd_rw/$I71*(IF($L71&lt;=1,$L71^2-$L71^3/3,$L71-1/3)-IF($M71&lt;=1,$M71^2-$M71^3/3,$M71-1/3)))+0.004*fcd_rw/$I71^2*(IF($L71&lt;=1,2*$L71^3/3-$L71^4/4,$L71^2/2-1/12)-IF($M71&lt;=1,2*$M71^3/3-$M71^4/4,$M71^2/2-1/12))+SUMPRODUCT($J$5:$K$5,$J71:$K71,$J$7:$K$7))/1E6</f>
        <v/>
      </c>
      <c r="I71">
        <f>IF($E71&lt;=rw_h,0.0035/$E71,0.002/($E71-3*rw_h/7))</f>
        <v/>
      </c>
      <c r="J71">
        <f>MAX(-fyd_rw,MIN(fyd_rw,200000*$I71*($E71-J$6)))-fcd_rw*IF($I71*($E71-J$6)&lt;=0,0,IF($I71*($E71-J$6)&lt;0.002,1-(1-$I71*($E71-J$6)/0.002)^2,1))</f>
        <v/>
      </c>
      <c r="K71">
        <f>MAX(-fyd_rw,MIN(fyd_rw,200000*$I71*($E71-K$6)))-fcd_rw*IF($I71*($E71-K$6)&lt;=0,0,IF($I71*($E71-K$6)&lt;0.002,1-(1-$I71*($E71-K$6)/0.002)^2,1))</f>
        <v/>
      </c>
      <c r="L71">
        <f>$I71*$E71/0.002</f>
        <v/>
      </c>
      <c r="M71">
        <f>IF($E71&lt;=rw_h,0,$I71*($E71-rw_h)/0.002)</f>
        <v/>
      </c>
    </row>
    <row r="72">
      <c r="B72" s="58" t="n">
        <v>15</v>
      </c>
      <c r="C72" s="59">
        <f>IF($G71&lt;rw_N-1E-9*ABS(rw_N),($C71+$D71)/2,$C71)</f>
        <v/>
      </c>
      <c r="D72" s="59">
        <f>IF($G71&lt;rw_N-1E-9*ABS(rw_N),$D71,($C71+$D71)/2)</f>
        <v/>
      </c>
      <c r="E72" s="60">
        <f>rw_h*(($C72+$D72)/2)/(1-(($C72+$D72)/2))</f>
        <v/>
      </c>
      <c r="F72" s="61">
        <f>1000*$I72*$E72</f>
        <v/>
      </c>
      <c r="G72" s="60">
        <f>((2*fcd_rw/$I72*(IF($L72&lt;=1,$L72^2-$L72^3/3,$L72-1/3)-IF($M72&lt;=1,$M72^2-$M72^3/3,$M72-1/3)))+SUMPRODUCT($J$5:$K$5,$J72:$K72))/1000</f>
        <v/>
      </c>
      <c r="H72" s="60">
        <f>((rw_h/2-$E72)*(2*fcd_rw/$I72*(IF($L72&lt;=1,$L72^2-$L72^3/3,$L72-1/3)-IF($M72&lt;=1,$M72^2-$M72^3/3,$M72-1/3)))+0.004*fcd_rw/$I72^2*(IF($L72&lt;=1,2*$L72^3/3-$L72^4/4,$L72^2/2-1/12)-IF($M72&lt;=1,2*$M72^3/3-$M72^4/4,$M72^2/2-1/12))+SUMPRODUCT($J$5:$K$5,$J72:$K72,$J$7:$K$7))/1E6</f>
        <v/>
      </c>
      <c r="I72">
        <f>IF($E72&lt;=rw_h,0.0035/$E72,0.002/($E72-3*rw_h/7))</f>
        <v/>
      </c>
      <c r="J72">
        <f>MAX(-fyd_rw,MIN(fyd_rw,200000*$I72*($E72-J$6)))-fcd_rw*IF($I72*($E72-J$6)&lt;=0,0,IF($I72*($E72-J$6)&lt;0.002,1-(1-$I72*($E72-J$6)/0.002)^2,1))</f>
        <v/>
      </c>
      <c r="K72">
        <f>MAX(-fyd_rw,MIN(fyd_rw,200000*$I72*($E72-K$6)))-fcd_rw*IF($I72*($E72-K$6)&lt;=0,0,IF($I72*($E72-K$6)&lt;0.002,1-(1-$I72*($E72-K$6)/0.002)^2,1))</f>
        <v/>
      </c>
      <c r="L72">
        <f>$I72*$E72/0.002</f>
        <v/>
      </c>
      <c r="M72">
        <f>IF($E72&lt;=rw_h,0,$I72*($E72-rw_h)/0.002)</f>
        <v/>
      </c>
    </row>
    <row r="73">
      <c r="B73" s="58" t="n">
        <v>16</v>
      </c>
      <c r="C73" s="59">
        <f>IF($G72&lt;rw_N-1E-9*ABS(rw_N),($C72+$D72)/2,$C72)</f>
        <v/>
      </c>
      <c r="D73" s="59">
        <f>IF($G72&lt;rw_N-1E-9*ABS(rw_N),$D72,($C72+$D72)/2)</f>
        <v/>
      </c>
      <c r="E73" s="60">
        <f>rw_h*(($C73+$D73)/2)/(1-(($C73+$D73)/2))</f>
        <v/>
      </c>
      <c r="F73" s="61">
        <f>1000*$I73*$E73</f>
        <v/>
      </c>
      <c r="G73" s="60">
        <f>((2*fcd_rw/$I73*(IF($L73&lt;=1,$L73^2-$L73^3/3,$L73-1/3)-IF($M73&lt;=1,$M73^2-$M73^3/3,$M73-1/3)))+SUMPRODUCT($J$5:$K$5,$J73:$K73))/1000</f>
        <v/>
      </c>
      <c r="H73" s="60">
        <f>((rw_h/2-$E73)*(2*fcd_rw/$I73*(IF($L73&lt;=1,$L73^2-$L73^3/3,$L73-1/3)-IF($M73&lt;=1,$M73^2-$M73^3/3,$M73-1/3)))+0.004*fcd_rw/$I73^2*(IF($L73&lt;=1,2*$L73^3/3-$L73^4/4,$L73^2/2-1/12)-IF($M73&lt;=1,2*$M73^3/3-$M73^4/4,$M73^2/2-1/12))+SUMPRODUCT($J$5:$K$5,$J73:$K73,$J$7:$K$7))/1E6</f>
        <v/>
      </c>
      <c r="I73">
        <f>IF($E73&lt;=rw_h,0.0035/$E73,0.002/($E73-3*rw_h/7))</f>
        <v/>
      </c>
      <c r="J73">
        <f>MAX(-fyd_rw,MIN(fyd_rw,200000*$I73*($E73-J$6)))-fcd_rw*IF($I73*($E73-J$6)&lt;=0,0,IF($I73*($E73-J$6)&lt;0.002,1-(1-$I73*($E73-J$6)/0.002)^2,1))</f>
        <v/>
      </c>
      <c r="K73">
        <f>MAX(-fyd_rw,MIN(fyd_rw,200000*$I73*($E73-K$6)))-fcd_rw*IF($I73*($E73-K$6)&lt;=0,0,IF($I73*($E73-K$6)&lt;0.002,1-(1-$I73*($E73-K$6)/0.002)^2,1))</f>
        <v/>
      </c>
      <c r="L73">
        <f>$I73*$E73/0.002</f>
        <v/>
      </c>
      <c r="M73">
        <f>IF($E73&lt;=rw_h,0,$I73*($E73-rw_h)/0.002)</f>
        <v/>
      </c>
    </row>
    <row r="74">
      <c r="B74" s="58" t="n">
        <v>17</v>
      </c>
      <c r="C74" s="59">
        <f>IF($G73&lt;rw_N-1E-9*ABS(rw_N),($C73+$D73)/2,$C73)</f>
        <v/>
      </c>
      <c r="D74" s="59">
        <f>IF($G73&lt;rw_N-1E-9*ABS(rw_N),$D73,($C73+$D73)/2)</f>
        <v/>
      </c>
      <c r="E74" s="60">
        <f>rw_h*(($C74+$D74)/2)/(1-(($C74+$D74)/2))</f>
        <v/>
      </c>
      <c r="F74" s="61">
        <f>1000*$I74*$E74</f>
        <v/>
      </c>
      <c r="G74" s="60">
        <f>((2*fcd_rw/$I74*(IF($L74&lt;=1,$L74^2-$L74^3/3,$L74-1/3)-IF($M74&lt;=1,$M74^2-$M74^3/3,$M74-1/3)))+SUMPRODUCT($J$5:$K$5,$J74:$K74))/1000</f>
        <v/>
      </c>
      <c r="H74" s="60">
        <f>((rw_h/2-$E74)*(2*fcd_rw/$I74*(IF($L74&lt;=1,$L74^2-$L74^3/3,$L74-1/3)-IF($M74&lt;=1,$M74^2-$M74^3/3,$M74-1/3)))+0.004*fcd_rw/$I74^2*(IF($L74&lt;=1,2*$L74^3/3-$L74^4/4,$L74^2/2-1/12)-IF($M74&lt;=1,2*$M74^3/3-$M74^4/4,$M74^2/2-1/12))+SUMPRODUCT($J$5:$K$5,$J74:$K74,$J$7:$K$7))/1E6</f>
        <v/>
      </c>
      <c r="I74">
        <f>IF($E74&lt;=rw_h,0.0035/$E74,0.002/($E74-3*rw_h/7))</f>
        <v/>
      </c>
      <c r="J74">
        <f>MAX(-fyd_rw,MIN(fyd_rw,200000*$I74*($E74-J$6)))-fcd_rw*IF($I74*($E74-J$6)&lt;=0,0,IF($I74*($E74-J$6)&lt;0.002,1-(1-$I74*($E74-J$6)/0.002)^2,1))</f>
        <v/>
      </c>
      <c r="K74">
        <f>MAX(-fyd_rw,MIN(fyd_rw,200000*$I74*($E74-K$6)))-fcd_rw*IF($I74*($E74-K$6)&lt;=0,0,IF($I74*($E74-K$6)&lt;0.002,1-(1-$I74*($E74-K$6)/0.002)^2,1))</f>
        <v/>
      </c>
      <c r="L74">
        <f>$I74*$E74/0.002</f>
        <v/>
      </c>
      <c r="M74">
        <f>IF($E74&lt;=rw_h,0,$I74*($E74-rw_h)/0.002)</f>
        <v/>
      </c>
    </row>
    <row r="75">
      <c r="B75" s="58" t="n">
        <v>18</v>
      </c>
      <c r="C75" s="59">
        <f>IF($G74&lt;rw_N-1E-9*ABS(rw_N),($C74+$D74)/2,$C74)</f>
        <v/>
      </c>
      <c r="D75" s="59">
        <f>IF($G74&lt;rw_N-1E-9*ABS(rw_N),$D74,($C74+$D74)/2)</f>
        <v/>
      </c>
      <c r="E75" s="60">
        <f>rw_h*(($C75+$D75)/2)/(1-(($C75+$D75)/2))</f>
        <v/>
      </c>
      <c r="F75" s="61">
        <f>1000*$I75*$E75</f>
        <v/>
      </c>
      <c r="G75" s="60">
        <f>((2*fcd_rw/$I75*(IF($L75&lt;=1,$L75^2-$L75^3/3,$L75-1/3)-IF($M75&lt;=1,$M75^2-$M75^3/3,$M75-1/3)))+SUMPRODUCT($J$5:$K$5,$J75:$K75))/1000</f>
        <v/>
      </c>
      <c r="H75" s="60">
        <f>((rw_h/2-$E75)*(2*fcd_rw/$I75*(IF($L75&lt;=1,$L75^2-$L75^3/3,$L75-1/3)-IF($M75&lt;=1,$M75^2-$M75^3/3,$M75-1/3)))+0.004*fcd_rw/$I75^2*(IF($L75&lt;=1,2*$L75^3/3-$L75^4/4,$L75^2/2-1/12)-IF($M75&lt;=1,2*$M75^3/3-$M75^4/4,$M75^2/2-1/12))+SUMPRODUCT($J$5:$K$5,$J75:$K75,$J$7:$K$7))/1E6</f>
        <v/>
      </c>
      <c r="I75">
        <f>IF($E75&lt;=rw_h,0.0035/$E75,0.002/($E75-3*rw_h/7))</f>
        <v/>
      </c>
      <c r="J75">
        <f>MAX(-fyd_rw,MIN(fyd_rw,200000*$I75*($E75-J$6)))-fcd_rw*IF($I75*($E75-J$6)&lt;=0,0,IF($I75*($E75-J$6)&lt;0.002,1-(1-$I75*($E75-J$6)/0.002)^2,1))</f>
        <v/>
      </c>
      <c r="K75">
        <f>MAX(-fyd_rw,MIN(fyd_rw,200000*$I75*($E75-K$6)))-fcd_rw*IF($I75*($E75-K$6)&lt;=0,0,IF($I75*($E75-K$6)&lt;0.002,1-(1-$I75*($E75-K$6)/0.002)^2,1))</f>
        <v/>
      </c>
      <c r="L75">
        <f>$I75*$E75/0.002</f>
        <v/>
      </c>
      <c r="M75">
        <f>IF($E75&lt;=rw_h,0,$I75*($E75-rw_h)/0.002)</f>
        <v/>
      </c>
    </row>
    <row r="76">
      <c r="B76" s="58" t="n">
        <v>19</v>
      </c>
      <c r="C76" s="59">
        <f>IF($G75&lt;rw_N-1E-9*ABS(rw_N),($C75+$D75)/2,$C75)</f>
        <v/>
      </c>
      <c r="D76" s="59">
        <f>IF($G75&lt;rw_N-1E-9*ABS(rw_N),$D75,($C75+$D75)/2)</f>
        <v/>
      </c>
      <c r="E76" s="60">
        <f>rw_h*(($C76+$D76)/2)/(1-(($C76+$D76)/2))</f>
        <v/>
      </c>
      <c r="F76" s="61">
        <f>1000*$I76*$E76</f>
        <v/>
      </c>
      <c r="G76" s="60">
        <f>((2*fcd_rw/$I76*(IF($L76&lt;=1,$L76^2-$L76^3/3,$L76-1/3)-IF($M76&lt;=1,$M76^2-$M76^3/3,$M76-1/3)))+SUMPRODUCT($J$5:$K$5,$J76:$K76))/1000</f>
        <v/>
      </c>
      <c r="H76" s="60">
        <f>((rw_h/2-$E76)*(2*fcd_rw/$I76*(IF($L76&lt;=1,$L76^2-$L76^3/3,$L76-1/3)-IF($M76&lt;=1,$M76^2-$M76^3/3,$M76-1/3)))+0.004*fcd_rw/$I76^2*(IF($L76&lt;=1,2*$L76^3/3-$L76^4/4,$L76^2/2-1/12)-IF($M76&lt;=1,2*$M76^3/3-$M76^4/4,$M76^2/2-1/12))+SUMPRODUCT($J$5:$K$5,$J76:$K76,$J$7:$K$7))/1E6</f>
        <v/>
      </c>
      <c r="I76">
        <f>IF($E76&lt;=rw_h,0.0035/$E76,0.002/($E76-3*rw_h/7))</f>
        <v/>
      </c>
      <c r="J76">
        <f>MAX(-fyd_rw,MIN(fyd_rw,200000*$I76*($E76-J$6)))-fcd_rw*IF($I76*($E76-J$6)&lt;=0,0,IF($I76*($E76-J$6)&lt;0.002,1-(1-$I76*($E76-J$6)/0.002)^2,1))</f>
        <v/>
      </c>
      <c r="K76">
        <f>MAX(-fyd_rw,MIN(fyd_rw,200000*$I76*($E76-K$6)))-fcd_rw*IF($I76*($E76-K$6)&lt;=0,0,IF($I76*($E76-K$6)&lt;0.002,1-(1-$I76*($E76-K$6)/0.002)^2,1))</f>
        <v/>
      </c>
      <c r="L76">
        <f>$I76*$E76/0.002</f>
        <v/>
      </c>
      <c r="M76">
        <f>IF($E76&lt;=rw_h,0,$I76*($E76-rw_h)/0.002)</f>
        <v/>
      </c>
    </row>
    <row r="77">
      <c r="B77" s="58" t="n">
        <v>20</v>
      </c>
      <c r="C77" s="59">
        <f>IF($G76&lt;rw_N-1E-9*ABS(rw_N),($C76+$D76)/2,$C76)</f>
        <v/>
      </c>
      <c r="D77" s="59">
        <f>IF($G76&lt;rw_N-1E-9*ABS(rw_N),$D76,($C76+$D76)/2)</f>
        <v/>
      </c>
      <c r="E77" s="60">
        <f>rw_h*(($C77+$D77)/2)/(1-(($C77+$D77)/2))</f>
        <v/>
      </c>
      <c r="F77" s="61">
        <f>1000*$I77*$E77</f>
        <v/>
      </c>
      <c r="G77" s="60">
        <f>((2*fcd_rw/$I77*(IF($L77&lt;=1,$L77^2-$L77^3/3,$L77-1/3)-IF($M77&lt;=1,$M77^2-$M77^3/3,$M77-1/3)))+SUMPRODUCT($J$5:$K$5,$J77:$K77))/1000</f>
        <v/>
      </c>
      <c r="H77" s="60">
        <f>((rw_h/2-$E77)*(2*fcd_rw/$I77*(IF($L77&lt;=1,$L77^2-$L77^3/3,$L77-1/3)-IF($M77&lt;=1,$M77^2-$M77^3/3,$M77-1/3)))+0.004*fcd_rw/$I77^2*(IF($L77&lt;=1,2*$L77^3/3-$L77^4/4,$L77^2/2-1/12)-IF($M77&lt;=1,2*$M77^3/3-$M77^4/4,$M77^2/2-1/12))+SUMPRODUCT($J$5:$K$5,$J77:$K77,$J$7:$K$7))/1E6</f>
        <v/>
      </c>
      <c r="I77">
        <f>IF($E77&lt;=rw_h,0.0035/$E77,0.002/($E77-3*rw_h/7))</f>
        <v/>
      </c>
      <c r="J77">
        <f>MAX(-fyd_rw,MIN(fyd_rw,200000*$I77*($E77-J$6)))-fcd_rw*IF($I77*($E77-J$6)&lt;=0,0,IF($I77*($E77-J$6)&lt;0.002,1-(1-$I77*($E77-J$6)/0.002)^2,1))</f>
        <v/>
      </c>
      <c r="K77">
        <f>MAX(-fyd_rw,MIN(fyd_rw,200000*$I77*($E77-K$6)))-fcd_rw*IF($I77*($E77-K$6)&lt;=0,0,IF($I77*($E77-K$6)&lt;0.002,1-(1-$I77*($E77-K$6)/0.002)^2,1))</f>
        <v/>
      </c>
      <c r="L77">
        <f>$I77*$E77/0.002</f>
        <v/>
      </c>
      <c r="M77">
        <f>IF($E77&lt;=rw_h,0,$I77*($E77-rw_h)/0.002)</f>
        <v/>
      </c>
    </row>
    <row r="78">
      <c r="B78" s="58" t="n">
        <v>21</v>
      </c>
      <c r="C78" s="59">
        <f>IF($G77&lt;rw_N-1E-9*ABS(rw_N),($C77+$D77)/2,$C77)</f>
        <v/>
      </c>
      <c r="D78" s="59">
        <f>IF($G77&lt;rw_N-1E-9*ABS(rw_N),$D77,($C77+$D77)/2)</f>
        <v/>
      </c>
      <c r="E78" s="60">
        <f>rw_h*(($C78+$D78)/2)/(1-(($C78+$D78)/2))</f>
        <v/>
      </c>
      <c r="F78" s="61">
        <f>1000*$I78*$E78</f>
        <v/>
      </c>
      <c r="G78" s="60">
        <f>((2*fcd_rw/$I78*(IF($L78&lt;=1,$L78^2-$L78^3/3,$L78-1/3)-IF($M78&lt;=1,$M78^2-$M78^3/3,$M78-1/3)))+SUMPRODUCT($J$5:$K$5,$J78:$K78))/1000</f>
        <v/>
      </c>
      <c r="H78" s="60">
        <f>((rw_h/2-$E78)*(2*fcd_rw/$I78*(IF($L78&lt;=1,$L78^2-$L78^3/3,$L78-1/3)-IF($M78&lt;=1,$M78^2-$M78^3/3,$M78-1/3)))+0.004*fcd_rw/$I78^2*(IF($L78&lt;=1,2*$L78^3/3-$L78^4/4,$L78^2/2-1/12)-IF($M78&lt;=1,2*$M78^3/3-$M78^4/4,$M78^2/2-1/12))+SUMPRODUCT($J$5:$K$5,$J78:$K78,$J$7:$K$7))/1E6</f>
        <v/>
      </c>
      <c r="I78">
        <f>IF($E78&lt;=rw_h,0.0035/$E78,0.002/($E78-3*rw_h/7))</f>
        <v/>
      </c>
      <c r="J78">
        <f>MAX(-fyd_rw,MIN(fyd_rw,200000*$I78*($E78-J$6)))-fcd_rw*IF($I78*($E78-J$6)&lt;=0,0,IF($I78*($E78-J$6)&lt;0.002,1-(1-$I78*($E78-J$6)/0.002)^2,1))</f>
        <v/>
      </c>
      <c r="K78">
        <f>MAX(-fyd_rw,MIN(fyd_rw,200000*$I78*($E78-K$6)))-fcd_rw*IF($I78*($E78-K$6)&lt;=0,0,IF($I78*($E78-K$6)&lt;0.002,1-(1-$I78*($E78-K$6)/0.002)^2,1))</f>
        <v/>
      </c>
      <c r="L78">
        <f>$I78*$E78/0.002</f>
        <v/>
      </c>
      <c r="M78">
        <f>IF($E78&lt;=rw_h,0,$I78*($E78-rw_h)/0.002)</f>
        <v/>
      </c>
    </row>
    <row r="79">
      <c r="B79" s="58" t="n">
        <v>22</v>
      </c>
      <c r="C79" s="59">
        <f>IF($G78&lt;rw_N-1E-9*ABS(rw_N),($C78+$D78)/2,$C78)</f>
        <v/>
      </c>
      <c r="D79" s="59">
        <f>IF($G78&lt;rw_N-1E-9*ABS(rw_N),$D78,($C78+$D78)/2)</f>
        <v/>
      </c>
      <c r="E79" s="60">
        <f>rw_h*(($C79+$D79)/2)/(1-(($C79+$D79)/2))</f>
        <v/>
      </c>
      <c r="F79" s="61">
        <f>1000*$I79*$E79</f>
        <v/>
      </c>
      <c r="G79" s="60">
        <f>((2*fcd_rw/$I79*(IF($L79&lt;=1,$L79^2-$L79^3/3,$L79-1/3)-IF($M79&lt;=1,$M79^2-$M79^3/3,$M79-1/3)))+SUMPRODUCT($J$5:$K$5,$J79:$K79))/1000</f>
        <v/>
      </c>
      <c r="H79" s="60">
        <f>((rw_h/2-$E79)*(2*fcd_rw/$I79*(IF($L79&lt;=1,$L79^2-$L79^3/3,$L79-1/3)-IF($M79&lt;=1,$M79^2-$M79^3/3,$M79-1/3)))+0.004*fcd_rw/$I79^2*(IF($L79&lt;=1,2*$L79^3/3-$L79^4/4,$L79^2/2-1/12)-IF($M79&lt;=1,2*$M79^3/3-$M79^4/4,$M79^2/2-1/12))+SUMPRODUCT($J$5:$K$5,$J79:$K79,$J$7:$K$7))/1E6</f>
        <v/>
      </c>
      <c r="I79">
        <f>IF($E79&lt;=rw_h,0.0035/$E79,0.002/($E79-3*rw_h/7))</f>
        <v/>
      </c>
      <c r="J79">
        <f>MAX(-fyd_rw,MIN(fyd_rw,200000*$I79*($E79-J$6)))-fcd_rw*IF($I79*($E79-J$6)&lt;=0,0,IF($I79*($E79-J$6)&lt;0.002,1-(1-$I79*($E79-J$6)/0.002)^2,1))</f>
        <v/>
      </c>
      <c r="K79">
        <f>MAX(-fyd_rw,MIN(fyd_rw,200000*$I79*($E79-K$6)))-fcd_rw*IF($I79*($E79-K$6)&lt;=0,0,IF($I79*($E79-K$6)&lt;0.002,1-(1-$I79*($E79-K$6)/0.002)^2,1))</f>
        <v/>
      </c>
      <c r="L79">
        <f>$I79*$E79/0.002</f>
        <v/>
      </c>
      <c r="M79">
        <f>IF($E79&lt;=rw_h,0,$I79*($E79-rw_h)/0.002)</f>
        <v/>
      </c>
    </row>
    <row r="80">
      <c r="B80" s="58" t="n">
        <v>23</v>
      </c>
      <c r="C80" s="59">
        <f>IF($G79&lt;rw_N-1E-9*ABS(rw_N),($C79+$D79)/2,$C79)</f>
        <v/>
      </c>
      <c r="D80" s="59">
        <f>IF($G79&lt;rw_N-1E-9*ABS(rw_N),$D79,($C79+$D79)/2)</f>
        <v/>
      </c>
      <c r="E80" s="60">
        <f>rw_h*(($C80+$D80)/2)/(1-(($C80+$D80)/2))</f>
        <v/>
      </c>
      <c r="F80" s="61">
        <f>1000*$I80*$E80</f>
        <v/>
      </c>
      <c r="G80" s="60">
        <f>((2*fcd_rw/$I80*(IF($L80&lt;=1,$L80^2-$L80^3/3,$L80-1/3)-IF($M80&lt;=1,$M80^2-$M80^3/3,$M80-1/3)))+SUMPRODUCT($J$5:$K$5,$J80:$K80))/1000</f>
        <v/>
      </c>
      <c r="H80" s="60">
        <f>((rw_h/2-$E80)*(2*fcd_rw/$I80*(IF($L80&lt;=1,$L80^2-$L80^3/3,$L80-1/3)-IF($M80&lt;=1,$M80^2-$M80^3/3,$M80-1/3)))+0.004*fcd_rw/$I80^2*(IF($L80&lt;=1,2*$L80^3/3-$L80^4/4,$L80^2/2-1/12)-IF($M80&lt;=1,2*$M80^3/3-$M80^4/4,$M80^2/2-1/12))+SUMPRODUCT($J$5:$K$5,$J80:$K80,$J$7:$K$7))/1E6</f>
        <v/>
      </c>
      <c r="I80">
        <f>IF($E80&lt;=rw_h,0.0035/$E80,0.002/($E80-3*rw_h/7))</f>
        <v/>
      </c>
      <c r="J80">
        <f>MAX(-fyd_rw,MIN(fyd_rw,200000*$I80*($E80-J$6)))-fcd_rw*IF($I80*($E80-J$6)&lt;=0,0,IF($I80*($E80-J$6)&lt;0.002,1-(1-$I80*($E80-J$6)/0.002)^2,1))</f>
        <v/>
      </c>
      <c r="K80">
        <f>MAX(-fyd_rw,MIN(fyd_rw,200000*$I80*($E80-K$6)))-fcd_rw*IF($I80*($E80-K$6)&lt;=0,0,IF($I80*($E80-K$6)&lt;0.002,1-(1-$I80*($E80-K$6)/0.002)^2,1))</f>
        <v/>
      </c>
      <c r="L80">
        <f>$I80*$E80/0.002</f>
        <v/>
      </c>
      <c r="M80">
        <f>IF($E80&lt;=rw_h,0,$I80*($E80-rw_h)/0.002)</f>
        <v/>
      </c>
    </row>
    <row r="81">
      <c r="B81" s="58" t="n">
        <v>24</v>
      </c>
      <c r="C81" s="59">
        <f>IF($G80&lt;rw_N-1E-9*ABS(rw_N),($C80+$D80)/2,$C80)</f>
        <v/>
      </c>
      <c r="D81" s="59">
        <f>IF($G80&lt;rw_N-1E-9*ABS(rw_N),$D80,($C80+$D80)/2)</f>
        <v/>
      </c>
      <c r="E81" s="60">
        <f>rw_h*(($C81+$D81)/2)/(1-(($C81+$D81)/2))</f>
        <v/>
      </c>
      <c r="F81" s="61">
        <f>1000*$I81*$E81</f>
        <v/>
      </c>
      <c r="G81" s="60">
        <f>((2*fcd_rw/$I81*(IF($L81&lt;=1,$L81^2-$L81^3/3,$L81-1/3)-IF($M81&lt;=1,$M81^2-$M81^3/3,$M81-1/3)))+SUMPRODUCT($J$5:$K$5,$J81:$K81))/1000</f>
        <v/>
      </c>
      <c r="H81" s="60">
        <f>((rw_h/2-$E81)*(2*fcd_rw/$I81*(IF($L81&lt;=1,$L81^2-$L81^3/3,$L81-1/3)-IF($M81&lt;=1,$M81^2-$M81^3/3,$M81-1/3)))+0.004*fcd_rw/$I81^2*(IF($L81&lt;=1,2*$L81^3/3-$L81^4/4,$L81^2/2-1/12)-IF($M81&lt;=1,2*$M81^3/3-$M81^4/4,$M81^2/2-1/12))+SUMPRODUCT($J$5:$K$5,$J81:$K81,$J$7:$K$7))/1E6</f>
        <v/>
      </c>
      <c r="I81">
        <f>IF($E81&lt;=rw_h,0.0035/$E81,0.002/($E81-3*rw_h/7))</f>
        <v/>
      </c>
      <c r="J81">
        <f>MAX(-fyd_rw,MIN(fyd_rw,200000*$I81*($E81-J$6)))-fcd_rw*IF($I81*($E81-J$6)&lt;=0,0,IF($I81*($E81-J$6)&lt;0.002,1-(1-$I81*($E81-J$6)/0.002)^2,1))</f>
        <v/>
      </c>
      <c r="K81">
        <f>MAX(-fyd_rw,MIN(fyd_rw,200000*$I81*($E81-K$6)))-fcd_rw*IF($I81*($E81-K$6)&lt;=0,0,IF($I81*($E81-K$6)&lt;0.002,1-(1-$I81*($E81-K$6)/0.002)^2,1))</f>
        <v/>
      </c>
      <c r="L81">
        <f>$I81*$E81/0.002</f>
        <v/>
      </c>
      <c r="M81">
        <f>IF($E81&lt;=rw_h,0,$I81*($E81-rw_h)/0.002)</f>
        <v/>
      </c>
    </row>
    <row r="82">
      <c r="B82" s="58" t="n">
        <v>25</v>
      </c>
      <c r="C82" s="59">
        <f>IF($G81&lt;rw_N-1E-9*ABS(rw_N),($C81+$D81)/2,$C81)</f>
        <v/>
      </c>
      <c r="D82" s="59">
        <f>IF($G81&lt;rw_N-1E-9*ABS(rw_N),$D81,($C81+$D81)/2)</f>
        <v/>
      </c>
      <c r="E82" s="60">
        <f>rw_h*(($C82+$D82)/2)/(1-(($C82+$D82)/2))</f>
        <v/>
      </c>
      <c r="F82" s="61">
        <f>1000*$I82*$E82</f>
        <v/>
      </c>
      <c r="G82" s="60">
        <f>((2*fcd_rw/$I82*(IF($L82&lt;=1,$L82^2-$L82^3/3,$L82-1/3)-IF($M82&lt;=1,$M82^2-$M82^3/3,$M82-1/3)))+SUMPRODUCT($J$5:$K$5,$J82:$K82))/1000</f>
        <v/>
      </c>
      <c r="H82" s="60">
        <f>((rw_h/2-$E82)*(2*fcd_rw/$I82*(IF($L82&lt;=1,$L82^2-$L82^3/3,$L82-1/3)-IF($M82&lt;=1,$M82^2-$M82^3/3,$M82-1/3)))+0.004*fcd_rw/$I82^2*(IF($L82&lt;=1,2*$L82^3/3-$L82^4/4,$L82^2/2-1/12)-IF($M82&lt;=1,2*$M82^3/3-$M82^4/4,$M82^2/2-1/12))+SUMPRODUCT($J$5:$K$5,$J82:$K82,$J$7:$K$7))/1E6</f>
        <v/>
      </c>
      <c r="I82">
        <f>IF($E82&lt;=rw_h,0.0035/$E82,0.002/($E82-3*rw_h/7))</f>
        <v/>
      </c>
      <c r="J82">
        <f>MAX(-fyd_rw,MIN(fyd_rw,200000*$I82*($E82-J$6)))-fcd_rw*IF($I82*($E82-J$6)&lt;=0,0,IF($I82*($E82-J$6)&lt;0.002,1-(1-$I82*($E82-J$6)/0.002)^2,1))</f>
        <v/>
      </c>
      <c r="K82">
        <f>MAX(-fyd_rw,MIN(fyd_rw,200000*$I82*($E82-K$6)))-fcd_rw*IF($I82*($E82-K$6)&lt;=0,0,IF($I82*($E82-K$6)&lt;0.002,1-(1-$I82*($E82-K$6)/0.002)^2,1))</f>
        <v/>
      </c>
      <c r="L82">
        <f>$I82*$E82/0.002</f>
        <v/>
      </c>
      <c r="M82">
        <f>IF($E82&lt;=rw_h,0,$I82*($E82-rw_h)/0.002)</f>
        <v/>
      </c>
    </row>
    <row r="83">
      <c r="B83" s="58" t="n">
        <v>26</v>
      </c>
      <c r="C83" s="59">
        <f>IF($G82&lt;rw_N-1E-9*ABS(rw_N),($C82+$D82)/2,$C82)</f>
        <v/>
      </c>
      <c r="D83" s="59">
        <f>IF($G82&lt;rw_N-1E-9*ABS(rw_N),$D82,($C82+$D82)/2)</f>
        <v/>
      </c>
      <c r="E83" s="60">
        <f>rw_h*(($C83+$D83)/2)/(1-(($C83+$D83)/2))</f>
        <v/>
      </c>
      <c r="F83" s="61">
        <f>1000*$I83*$E83</f>
        <v/>
      </c>
      <c r="G83" s="60">
        <f>((2*fcd_rw/$I83*(IF($L83&lt;=1,$L83^2-$L83^3/3,$L83-1/3)-IF($M83&lt;=1,$M83^2-$M83^3/3,$M83-1/3)))+SUMPRODUCT($J$5:$K$5,$J83:$K83))/1000</f>
        <v/>
      </c>
      <c r="H83" s="60">
        <f>((rw_h/2-$E83)*(2*fcd_rw/$I83*(IF($L83&lt;=1,$L83^2-$L83^3/3,$L83-1/3)-IF($M83&lt;=1,$M83^2-$M83^3/3,$M83-1/3)))+0.004*fcd_rw/$I83^2*(IF($L83&lt;=1,2*$L83^3/3-$L83^4/4,$L83^2/2-1/12)-IF($M83&lt;=1,2*$M83^3/3-$M83^4/4,$M83^2/2-1/12))+SUMPRODUCT($J$5:$K$5,$J83:$K83,$J$7:$K$7))/1E6</f>
        <v/>
      </c>
      <c r="I83">
        <f>IF($E83&lt;=rw_h,0.0035/$E83,0.002/($E83-3*rw_h/7))</f>
        <v/>
      </c>
      <c r="J83">
        <f>MAX(-fyd_rw,MIN(fyd_rw,200000*$I83*($E83-J$6)))-fcd_rw*IF($I83*($E83-J$6)&lt;=0,0,IF($I83*($E83-J$6)&lt;0.002,1-(1-$I83*($E83-J$6)/0.002)^2,1))</f>
        <v/>
      </c>
      <c r="K83">
        <f>MAX(-fyd_rw,MIN(fyd_rw,200000*$I83*($E83-K$6)))-fcd_rw*IF($I83*($E83-K$6)&lt;=0,0,IF($I83*($E83-K$6)&lt;0.002,1-(1-$I83*($E83-K$6)/0.002)^2,1))</f>
        <v/>
      </c>
      <c r="L83">
        <f>$I83*$E83/0.002</f>
        <v/>
      </c>
      <c r="M83">
        <f>IF($E83&lt;=rw_h,0,$I83*($E83-rw_h)/0.002)</f>
        <v/>
      </c>
    </row>
    <row r="84">
      <c r="B84" s="58" t="n">
        <v>27</v>
      </c>
      <c r="C84" s="59">
        <f>IF($G83&lt;rw_N-1E-9*ABS(rw_N),($C83+$D83)/2,$C83)</f>
        <v/>
      </c>
      <c r="D84" s="59">
        <f>IF($G83&lt;rw_N-1E-9*ABS(rw_N),$D83,($C83+$D83)/2)</f>
        <v/>
      </c>
      <c r="E84" s="60">
        <f>rw_h*(($C84+$D84)/2)/(1-(($C84+$D84)/2))</f>
        <v/>
      </c>
      <c r="F84" s="61">
        <f>1000*$I84*$E84</f>
        <v/>
      </c>
      <c r="G84" s="60">
        <f>((2*fcd_rw/$I84*(IF($L84&lt;=1,$L84^2-$L84^3/3,$L84-1/3)-IF($M84&lt;=1,$M84^2-$M84^3/3,$M84-1/3)))+SUMPRODUCT($J$5:$K$5,$J84:$K84))/1000</f>
        <v/>
      </c>
      <c r="H84" s="60">
        <f>((rw_h/2-$E84)*(2*fcd_rw/$I84*(IF($L84&lt;=1,$L84^2-$L84^3/3,$L84-1/3)-IF($M84&lt;=1,$M84^2-$M84^3/3,$M84-1/3)))+0.004*fcd_rw/$I84^2*(IF($L84&lt;=1,2*$L84^3/3-$L84^4/4,$L84^2/2-1/12)-IF($M84&lt;=1,2*$M84^3/3-$M84^4/4,$M84^2/2-1/12))+SUMPRODUCT($J$5:$K$5,$J84:$K84,$J$7:$K$7))/1E6</f>
        <v/>
      </c>
      <c r="I84">
        <f>IF($E84&lt;=rw_h,0.0035/$E84,0.002/($E84-3*rw_h/7))</f>
        <v/>
      </c>
      <c r="J84">
        <f>MAX(-fyd_rw,MIN(fyd_rw,200000*$I84*($E84-J$6)))-fcd_rw*IF($I84*($E84-J$6)&lt;=0,0,IF($I84*($E84-J$6)&lt;0.002,1-(1-$I84*($E84-J$6)/0.002)^2,1))</f>
        <v/>
      </c>
      <c r="K84">
        <f>MAX(-fyd_rw,MIN(fyd_rw,200000*$I84*($E84-K$6)))-fcd_rw*IF($I84*($E84-K$6)&lt;=0,0,IF($I84*($E84-K$6)&lt;0.002,1-(1-$I84*($E84-K$6)/0.002)^2,1))</f>
        <v/>
      </c>
      <c r="L84">
        <f>$I84*$E84/0.002</f>
        <v/>
      </c>
      <c r="M84">
        <f>IF($E84&lt;=rw_h,0,$I84*($E84-rw_h)/0.002)</f>
        <v/>
      </c>
    </row>
    <row r="85">
      <c r="B85" s="58" t="n">
        <v>28</v>
      </c>
      <c r="C85" s="59">
        <f>IF($G84&lt;rw_N-1E-9*ABS(rw_N),($C84+$D84)/2,$C84)</f>
        <v/>
      </c>
      <c r="D85" s="59">
        <f>IF($G84&lt;rw_N-1E-9*ABS(rw_N),$D84,($C84+$D84)/2)</f>
        <v/>
      </c>
      <c r="E85" s="60">
        <f>rw_h*(($C85+$D85)/2)/(1-(($C85+$D85)/2))</f>
        <v/>
      </c>
      <c r="F85" s="61">
        <f>1000*$I85*$E85</f>
        <v/>
      </c>
      <c r="G85" s="60">
        <f>((2*fcd_rw/$I85*(IF($L85&lt;=1,$L85^2-$L85^3/3,$L85-1/3)-IF($M85&lt;=1,$M85^2-$M85^3/3,$M85-1/3)))+SUMPRODUCT($J$5:$K$5,$J85:$K85))/1000</f>
        <v/>
      </c>
      <c r="H85" s="60">
        <f>((rw_h/2-$E85)*(2*fcd_rw/$I85*(IF($L85&lt;=1,$L85^2-$L85^3/3,$L85-1/3)-IF($M85&lt;=1,$M85^2-$M85^3/3,$M85-1/3)))+0.004*fcd_rw/$I85^2*(IF($L85&lt;=1,2*$L85^3/3-$L85^4/4,$L85^2/2-1/12)-IF($M85&lt;=1,2*$M85^3/3-$M85^4/4,$M85^2/2-1/12))+SUMPRODUCT($J$5:$K$5,$J85:$K85,$J$7:$K$7))/1E6</f>
        <v/>
      </c>
      <c r="I85">
        <f>IF($E85&lt;=rw_h,0.0035/$E85,0.002/($E85-3*rw_h/7))</f>
        <v/>
      </c>
      <c r="J85">
        <f>MAX(-fyd_rw,MIN(fyd_rw,200000*$I85*($E85-J$6)))-fcd_rw*IF($I85*($E85-J$6)&lt;=0,0,IF($I85*($E85-J$6)&lt;0.002,1-(1-$I85*($E85-J$6)/0.002)^2,1))</f>
        <v/>
      </c>
      <c r="K85">
        <f>MAX(-fyd_rw,MIN(fyd_rw,200000*$I85*($E85-K$6)))-fcd_rw*IF($I85*($E85-K$6)&lt;=0,0,IF($I85*($E85-K$6)&lt;0.002,1-(1-$I85*($E85-K$6)/0.002)^2,1))</f>
        <v/>
      </c>
      <c r="L85">
        <f>$I85*$E85/0.002</f>
        <v/>
      </c>
      <c r="M85">
        <f>IF($E85&lt;=rw_h,0,$I85*($E85-rw_h)/0.002)</f>
        <v/>
      </c>
    </row>
    <row r="86">
      <c r="B86" s="58" t="n">
        <v>29</v>
      </c>
      <c r="C86" s="59">
        <f>IF($G85&lt;rw_N-1E-9*ABS(rw_N),($C85+$D85)/2,$C85)</f>
        <v/>
      </c>
      <c r="D86" s="59">
        <f>IF($G85&lt;rw_N-1E-9*ABS(rw_N),$D85,($C85+$D85)/2)</f>
        <v/>
      </c>
      <c r="E86" s="60">
        <f>rw_h*(($C86+$D86)/2)/(1-(($C86+$D86)/2))</f>
        <v/>
      </c>
      <c r="F86" s="61">
        <f>1000*$I86*$E86</f>
        <v/>
      </c>
      <c r="G86" s="60">
        <f>((2*fcd_rw/$I86*(IF($L86&lt;=1,$L86^2-$L86^3/3,$L86-1/3)-IF($M86&lt;=1,$M86^2-$M86^3/3,$M86-1/3)))+SUMPRODUCT($J$5:$K$5,$J86:$K86))/1000</f>
        <v/>
      </c>
      <c r="H86" s="60">
        <f>((rw_h/2-$E86)*(2*fcd_rw/$I86*(IF($L86&lt;=1,$L86^2-$L86^3/3,$L86-1/3)-IF($M86&lt;=1,$M86^2-$M86^3/3,$M86-1/3)))+0.004*fcd_rw/$I86^2*(IF($L86&lt;=1,2*$L86^3/3-$L86^4/4,$L86^2/2-1/12)-IF($M86&lt;=1,2*$M86^3/3-$M86^4/4,$M86^2/2-1/12))+SUMPRODUCT($J$5:$K$5,$J86:$K86,$J$7:$K$7))/1E6</f>
        <v/>
      </c>
      <c r="I86">
        <f>IF($E86&lt;=rw_h,0.0035/$E86,0.002/($E86-3*rw_h/7))</f>
        <v/>
      </c>
      <c r="J86">
        <f>MAX(-fyd_rw,MIN(fyd_rw,200000*$I86*($E86-J$6)))-fcd_rw*IF($I86*($E86-J$6)&lt;=0,0,IF($I86*($E86-J$6)&lt;0.002,1-(1-$I86*($E86-J$6)/0.002)^2,1))</f>
        <v/>
      </c>
      <c r="K86">
        <f>MAX(-fyd_rw,MIN(fyd_rw,200000*$I86*($E86-K$6)))-fcd_rw*IF($I86*($E86-K$6)&lt;=0,0,IF($I86*($E86-K$6)&lt;0.002,1-(1-$I86*($E86-K$6)/0.002)^2,1))</f>
        <v/>
      </c>
      <c r="L86">
        <f>$I86*$E86/0.002</f>
        <v/>
      </c>
      <c r="M86">
        <f>IF($E86&lt;=rw_h,0,$I86*($E86-rw_h)/0.002)</f>
        <v/>
      </c>
    </row>
    <row r="87">
      <c r="B87" s="58" t="n">
        <v>30</v>
      </c>
      <c r="C87" s="59">
        <f>IF($G86&lt;rw_N-1E-9*ABS(rw_N),($C86+$D86)/2,$C86)</f>
        <v/>
      </c>
      <c r="D87" s="59">
        <f>IF($G86&lt;rw_N-1E-9*ABS(rw_N),$D86,($C86+$D86)/2)</f>
        <v/>
      </c>
      <c r="E87" s="60">
        <f>rw_h*(($C87+$D87)/2)/(1-(($C87+$D87)/2))</f>
        <v/>
      </c>
      <c r="F87" s="61">
        <f>1000*$I87*$E87</f>
        <v/>
      </c>
      <c r="G87" s="60">
        <f>((2*fcd_rw/$I87*(IF($L87&lt;=1,$L87^2-$L87^3/3,$L87-1/3)-IF($M87&lt;=1,$M87^2-$M87^3/3,$M87-1/3)))+SUMPRODUCT($J$5:$K$5,$J87:$K87))/1000</f>
        <v/>
      </c>
      <c r="H87" s="60">
        <f>((rw_h/2-$E87)*(2*fcd_rw/$I87*(IF($L87&lt;=1,$L87^2-$L87^3/3,$L87-1/3)-IF($M87&lt;=1,$M87^2-$M87^3/3,$M87-1/3)))+0.004*fcd_rw/$I87^2*(IF($L87&lt;=1,2*$L87^3/3-$L87^4/4,$L87^2/2-1/12)-IF($M87&lt;=1,2*$M87^3/3-$M87^4/4,$M87^2/2-1/12))+SUMPRODUCT($J$5:$K$5,$J87:$K87,$J$7:$K$7))/1E6</f>
        <v/>
      </c>
      <c r="I87">
        <f>IF($E87&lt;=rw_h,0.0035/$E87,0.002/($E87-3*rw_h/7))</f>
        <v/>
      </c>
      <c r="J87">
        <f>MAX(-fyd_rw,MIN(fyd_rw,200000*$I87*($E87-J$6)))-fcd_rw*IF($I87*($E87-J$6)&lt;=0,0,IF($I87*($E87-J$6)&lt;0.002,1-(1-$I87*($E87-J$6)/0.002)^2,1))</f>
        <v/>
      </c>
      <c r="K87">
        <f>MAX(-fyd_rw,MIN(fyd_rw,200000*$I87*($E87-K$6)))-fcd_rw*IF($I87*($E87-K$6)&lt;=0,0,IF($I87*($E87-K$6)&lt;0.002,1-(1-$I87*($E87-K$6)/0.002)^2,1))</f>
        <v/>
      </c>
      <c r="L87">
        <f>$I87*$E87/0.002</f>
        <v/>
      </c>
      <c r="M87">
        <f>IF($E87&lt;=rw_h,0,$I87*($E87-rw_h)/0.002)</f>
        <v/>
      </c>
    </row>
    <row r="88">
      <c r="B88" s="58" t="n">
        <v>31</v>
      </c>
      <c r="C88" s="59">
        <f>IF($G87&lt;rw_N-1E-9*ABS(rw_N),($C87+$D87)/2,$C87)</f>
        <v/>
      </c>
      <c r="D88" s="59">
        <f>IF($G87&lt;rw_N-1E-9*ABS(rw_N),$D87,($C87+$D87)/2)</f>
        <v/>
      </c>
      <c r="E88" s="60">
        <f>rw_h*(($C88+$D88)/2)/(1-(($C88+$D88)/2))</f>
        <v/>
      </c>
      <c r="F88" s="61">
        <f>1000*$I88*$E88</f>
        <v/>
      </c>
      <c r="G88" s="60">
        <f>((2*fcd_rw/$I88*(IF($L88&lt;=1,$L88^2-$L88^3/3,$L88-1/3)-IF($M88&lt;=1,$M88^2-$M88^3/3,$M88-1/3)))+SUMPRODUCT($J$5:$K$5,$J88:$K88))/1000</f>
        <v/>
      </c>
      <c r="H88" s="60">
        <f>((rw_h/2-$E88)*(2*fcd_rw/$I88*(IF($L88&lt;=1,$L88^2-$L88^3/3,$L88-1/3)-IF($M88&lt;=1,$M88^2-$M88^3/3,$M88-1/3)))+0.004*fcd_rw/$I88^2*(IF($L88&lt;=1,2*$L88^3/3-$L88^4/4,$L88^2/2-1/12)-IF($M88&lt;=1,2*$M88^3/3-$M88^4/4,$M88^2/2-1/12))+SUMPRODUCT($J$5:$K$5,$J88:$K88,$J$7:$K$7))/1E6</f>
        <v/>
      </c>
      <c r="I88">
        <f>IF($E88&lt;=rw_h,0.0035/$E88,0.002/($E88-3*rw_h/7))</f>
        <v/>
      </c>
      <c r="J88">
        <f>MAX(-fyd_rw,MIN(fyd_rw,200000*$I88*($E88-J$6)))-fcd_rw*IF($I88*($E88-J$6)&lt;=0,0,IF($I88*($E88-J$6)&lt;0.002,1-(1-$I88*($E88-J$6)/0.002)^2,1))</f>
        <v/>
      </c>
      <c r="K88">
        <f>MAX(-fyd_rw,MIN(fyd_rw,200000*$I88*($E88-K$6)))-fcd_rw*IF($I88*($E88-K$6)&lt;=0,0,IF($I88*($E88-K$6)&lt;0.002,1-(1-$I88*($E88-K$6)/0.002)^2,1))</f>
        <v/>
      </c>
      <c r="L88">
        <f>$I88*$E88/0.002</f>
        <v/>
      </c>
      <c r="M88">
        <f>IF($E88&lt;=rw_h,0,$I88*($E88-rw_h)/0.002)</f>
        <v/>
      </c>
    </row>
    <row r="89">
      <c r="B89" s="58" t="n">
        <v>32</v>
      </c>
      <c r="C89" s="59">
        <f>IF($G88&lt;rw_N-1E-9*ABS(rw_N),($C88+$D88)/2,$C88)</f>
        <v/>
      </c>
      <c r="D89" s="59">
        <f>IF($G88&lt;rw_N-1E-9*ABS(rw_N),$D88,($C88+$D88)/2)</f>
        <v/>
      </c>
      <c r="E89" s="60">
        <f>rw_h*(($C89+$D89)/2)/(1-(($C89+$D89)/2))</f>
        <v/>
      </c>
      <c r="F89" s="61">
        <f>1000*$I89*$E89</f>
        <v/>
      </c>
      <c r="G89" s="60">
        <f>((2*fcd_rw/$I89*(IF($L89&lt;=1,$L89^2-$L89^3/3,$L89-1/3)-IF($M89&lt;=1,$M89^2-$M89^3/3,$M89-1/3)))+SUMPRODUCT($J$5:$K$5,$J89:$K89))/1000</f>
        <v/>
      </c>
      <c r="H89" s="60">
        <f>((rw_h/2-$E89)*(2*fcd_rw/$I89*(IF($L89&lt;=1,$L89^2-$L89^3/3,$L89-1/3)-IF($M89&lt;=1,$M89^2-$M89^3/3,$M89-1/3)))+0.004*fcd_rw/$I89^2*(IF($L89&lt;=1,2*$L89^3/3-$L89^4/4,$L89^2/2-1/12)-IF($M89&lt;=1,2*$M89^3/3-$M89^4/4,$M89^2/2-1/12))+SUMPRODUCT($J$5:$K$5,$J89:$K89,$J$7:$K$7))/1E6</f>
        <v/>
      </c>
      <c r="I89">
        <f>IF($E89&lt;=rw_h,0.0035/$E89,0.002/($E89-3*rw_h/7))</f>
        <v/>
      </c>
      <c r="J89">
        <f>MAX(-fyd_rw,MIN(fyd_rw,200000*$I89*($E89-J$6)))-fcd_rw*IF($I89*($E89-J$6)&lt;=0,0,IF($I89*($E89-J$6)&lt;0.002,1-(1-$I89*($E89-J$6)/0.002)^2,1))</f>
        <v/>
      </c>
      <c r="K89">
        <f>MAX(-fyd_rw,MIN(fyd_rw,200000*$I89*($E89-K$6)))-fcd_rw*IF($I89*($E89-K$6)&lt;=0,0,IF($I89*($E89-K$6)&lt;0.002,1-(1-$I89*($E89-K$6)/0.002)^2,1))</f>
        <v/>
      </c>
      <c r="L89">
        <f>$I89*$E89/0.002</f>
        <v/>
      </c>
      <c r="M89">
        <f>IF($E89&lt;=rw_h,0,$I89*($E89-rw_h)/0.002)</f>
        <v/>
      </c>
    </row>
    <row r="90">
      <c r="B90" s="58" t="n">
        <v>33</v>
      </c>
      <c r="C90" s="59">
        <f>IF($G89&lt;rw_N-1E-9*ABS(rw_N),($C89+$D89)/2,$C89)</f>
        <v/>
      </c>
      <c r="D90" s="59">
        <f>IF($G89&lt;rw_N-1E-9*ABS(rw_N),$D89,($C89+$D89)/2)</f>
        <v/>
      </c>
      <c r="E90" s="60">
        <f>rw_h*(($C90+$D90)/2)/(1-(($C90+$D90)/2))</f>
        <v/>
      </c>
      <c r="F90" s="61">
        <f>1000*$I90*$E90</f>
        <v/>
      </c>
      <c r="G90" s="60">
        <f>((2*fcd_rw/$I90*(IF($L90&lt;=1,$L90^2-$L90^3/3,$L90-1/3)-IF($M90&lt;=1,$M90^2-$M90^3/3,$M90-1/3)))+SUMPRODUCT($J$5:$K$5,$J90:$K90))/1000</f>
        <v/>
      </c>
      <c r="H90" s="60">
        <f>((rw_h/2-$E90)*(2*fcd_rw/$I90*(IF($L90&lt;=1,$L90^2-$L90^3/3,$L90-1/3)-IF($M90&lt;=1,$M90^2-$M90^3/3,$M90-1/3)))+0.004*fcd_rw/$I90^2*(IF($L90&lt;=1,2*$L90^3/3-$L90^4/4,$L90^2/2-1/12)-IF($M90&lt;=1,2*$M90^3/3-$M90^4/4,$M90^2/2-1/12))+SUMPRODUCT($J$5:$K$5,$J90:$K90,$J$7:$K$7))/1E6</f>
        <v/>
      </c>
      <c r="I90">
        <f>IF($E90&lt;=rw_h,0.0035/$E90,0.002/($E90-3*rw_h/7))</f>
        <v/>
      </c>
      <c r="J90">
        <f>MAX(-fyd_rw,MIN(fyd_rw,200000*$I90*($E90-J$6)))-fcd_rw*IF($I90*($E90-J$6)&lt;=0,0,IF($I90*($E90-J$6)&lt;0.002,1-(1-$I90*($E90-J$6)/0.002)^2,1))</f>
        <v/>
      </c>
      <c r="K90">
        <f>MAX(-fyd_rw,MIN(fyd_rw,200000*$I90*($E90-K$6)))-fcd_rw*IF($I90*($E90-K$6)&lt;=0,0,IF($I90*($E90-K$6)&lt;0.002,1-(1-$I90*($E90-K$6)/0.002)^2,1))</f>
        <v/>
      </c>
      <c r="L90">
        <f>$I90*$E90/0.002</f>
        <v/>
      </c>
      <c r="M90">
        <f>IF($E90&lt;=rw_h,0,$I90*($E90-rw_h)/0.002)</f>
        <v/>
      </c>
    </row>
    <row r="91">
      <c r="B91" s="58" t="n">
        <v>34</v>
      </c>
      <c r="C91" s="59">
        <f>IF($G90&lt;rw_N-1E-9*ABS(rw_N),($C90+$D90)/2,$C90)</f>
        <v/>
      </c>
      <c r="D91" s="59">
        <f>IF($G90&lt;rw_N-1E-9*ABS(rw_N),$D90,($C90+$D90)/2)</f>
        <v/>
      </c>
      <c r="E91" s="60">
        <f>rw_h*(($C91+$D91)/2)/(1-(($C91+$D91)/2))</f>
        <v/>
      </c>
      <c r="F91" s="61">
        <f>1000*$I91*$E91</f>
        <v/>
      </c>
      <c r="G91" s="60">
        <f>((2*fcd_rw/$I91*(IF($L91&lt;=1,$L91^2-$L91^3/3,$L91-1/3)-IF($M91&lt;=1,$M91^2-$M91^3/3,$M91-1/3)))+SUMPRODUCT($J$5:$K$5,$J91:$K91))/1000</f>
        <v/>
      </c>
      <c r="H91" s="60">
        <f>((rw_h/2-$E91)*(2*fcd_rw/$I91*(IF($L91&lt;=1,$L91^2-$L91^3/3,$L91-1/3)-IF($M91&lt;=1,$M91^2-$M91^3/3,$M91-1/3)))+0.004*fcd_rw/$I91^2*(IF($L91&lt;=1,2*$L91^3/3-$L91^4/4,$L91^2/2-1/12)-IF($M91&lt;=1,2*$M91^3/3-$M91^4/4,$M91^2/2-1/12))+SUMPRODUCT($J$5:$K$5,$J91:$K91,$J$7:$K$7))/1E6</f>
        <v/>
      </c>
      <c r="I91">
        <f>IF($E91&lt;=rw_h,0.0035/$E91,0.002/($E91-3*rw_h/7))</f>
        <v/>
      </c>
      <c r="J91">
        <f>MAX(-fyd_rw,MIN(fyd_rw,200000*$I91*($E91-J$6)))-fcd_rw*IF($I91*($E91-J$6)&lt;=0,0,IF($I91*($E91-J$6)&lt;0.002,1-(1-$I91*($E91-J$6)/0.002)^2,1))</f>
        <v/>
      </c>
      <c r="K91">
        <f>MAX(-fyd_rw,MIN(fyd_rw,200000*$I91*($E91-K$6)))-fcd_rw*IF($I91*($E91-K$6)&lt;=0,0,IF($I91*($E91-K$6)&lt;0.002,1-(1-$I91*($E91-K$6)/0.002)^2,1))</f>
        <v/>
      </c>
      <c r="L91">
        <f>$I91*$E91/0.002</f>
        <v/>
      </c>
      <c r="M91">
        <f>IF($E91&lt;=rw_h,0,$I91*($E91-rw_h)/0.002)</f>
        <v/>
      </c>
    </row>
    <row r="92">
      <c r="B92" s="58" t="n">
        <v>35</v>
      </c>
      <c r="C92" s="59">
        <f>IF($G91&lt;rw_N-1E-9*ABS(rw_N),($C91+$D91)/2,$C91)</f>
        <v/>
      </c>
      <c r="D92" s="59">
        <f>IF($G91&lt;rw_N-1E-9*ABS(rw_N),$D91,($C91+$D91)/2)</f>
        <v/>
      </c>
      <c r="E92" s="60">
        <f>rw_h*(($C92+$D92)/2)/(1-(($C92+$D92)/2))</f>
        <v/>
      </c>
      <c r="F92" s="61">
        <f>1000*$I92*$E92</f>
        <v/>
      </c>
      <c r="G92" s="60">
        <f>((2*fcd_rw/$I92*(IF($L92&lt;=1,$L92^2-$L92^3/3,$L92-1/3)-IF($M92&lt;=1,$M92^2-$M92^3/3,$M92-1/3)))+SUMPRODUCT($J$5:$K$5,$J92:$K92))/1000</f>
        <v/>
      </c>
      <c r="H92" s="60">
        <f>((rw_h/2-$E92)*(2*fcd_rw/$I92*(IF($L92&lt;=1,$L92^2-$L92^3/3,$L92-1/3)-IF($M92&lt;=1,$M92^2-$M92^3/3,$M92-1/3)))+0.004*fcd_rw/$I92^2*(IF($L92&lt;=1,2*$L92^3/3-$L92^4/4,$L92^2/2-1/12)-IF($M92&lt;=1,2*$M92^3/3-$M92^4/4,$M92^2/2-1/12))+SUMPRODUCT($J$5:$K$5,$J92:$K92,$J$7:$K$7))/1E6</f>
        <v/>
      </c>
      <c r="I92">
        <f>IF($E92&lt;=rw_h,0.0035/$E92,0.002/($E92-3*rw_h/7))</f>
        <v/>
      </c>
      <c r="J92">
        <f>MAX(-fyd_rw,MIN(fyd_rw,200000*$I92*($E92-J$6)))-fcd_rw*IF($I92*($E92-J$6)&lt;=0,0,IF($I92*($E92-J$6)&lt;0.002,1-(1-$I92*($E92-J$6)/0.002)^2,1))</f>
        <v/>
      </c>
      <c r="K92">
        <f>MAX(-fyd_rw,MIN(fyd_rw,200000*$I92*($E92-K$6)))-fcd_rw*IF($I92*($E92-K$6)&lt;=0,0,IF($I92*($E92-K$6)&lt;0.002,1-(1-$I92*($E92-K$6)/0.002)^2,1))</f>
        <v/>
      </c>
      <c r="L92">
        <f>$I92*$E92/0.002</f>
        <v/>
      </c>
      <c r="M92">
        <f>IF($E92&lt;=rw_h,0,$I92*($E92-rw_h)/0.002)</f>
        <v/>
      </c>
    </row>
    <row r="93">
      <c r="B93" s="58" t="n">
        <v>36</v>
      </c>
      <c r="C93" s="59">
        <f>IF($G92&lt;rw_N-1E-9*ABS(rw_N),($C92+$D92)/2,$C92)</f>
        <v/>
      </c>
      <c r="D93" s="59">
        <f>IF($G92&lt;rw_N-1E-9*ABS(rw_N),$D92,($C92+$D92)/2)</f>
        <v/>
      </c>
      <c r="E93" s="60">
        <f>rw_h*(($C93+$D93)/2)/(1-(($C93+$D93)/2))</f>
        <v/>
      </c>
      <c r="F93" s="61">
        <f>1000*$I93*$E93</f>
        <v/>
      </c>
      <c r="G93" s="60">
        <f>((2*fcd_rw/$I93*(IF($L93&lt;=1,$L93^2-$L93^3/3,$L93-1/3)-IF($M93&lt;=1,$M93^2-$M93^3/3,$M93-1/3)))+SUMPRODUCT($J$5:$K$5,$J93:$K93))/1000</f>
        <v/>
      </c>
      <c r="H93" s="60">
        <f>((rw_h/2-$E93)*(2*fcd_rw/$I93*(IF($L93&lt;=1,$L93^2-$L93^3/3,$L93-1/3)-IF($M93&lt;=1,$M93^2-$M93^3/3,$M93-1/3)))+0.004*fcd_rw/$I93^2*(IF($L93&lt;=1,2*$L93^3/3-$L93^4/4,$L93^2/2-1/12)-IF($M93&lt;=1,2*$M93^3/3-$M93^4/4,$M93^2/2-1/12))+SUMPRODUCT($J$5:$K$5,$J93:$K93,$J$7:$K$7))/1E6</f>
        <v/>
      </c>
      <c r="I93">
        <f>IF($E93&lt;=rw_h,0.0035/$E93,0.002/($E93-3*rw_h/7))</f>
        <v/>
      </c>
      <c r="J93">
        <f>MAX(-fyd_rw,MIN(fyd_rw,200000*$I93*($E93-J$6)))-fcd_rw*IF($I93*($E93-J$6)&lt;=0,0,IF($I93*($E93-J$6)&lt;0.002,1-(1-$I93*($E93-J$6)/0.002)^2,1))</f>
        <v/>
      </c>
      <c r="K93">
        <f>MAX(-fyd_rw,MIN(fyd_rw,200000*$I93*($E93-K$6)))-fcd_rw*IF($I93*($E93-K$6)&lt;=0,0,IF($I93*($E93-K$6)&lt;0.002,1-(1-$I93*($E93-K$6)/0.002)^2,1))</f>
        <v/>
      </c>
      <c r="L93">
        <f>$I93*$E93/0.002</f>
        <v/>
      </c>
      <c r="M93">
        <f>IF($E93&lt;=rw_h,0,$I93*($E93-rw_h)/0.002)</f>
        <v/>
      </c>
    </row>
    <row r="94">
      <c r="B94" s="58" t="n">
        <v>37</v>
      </c>
      <c r="C94" s="59">
        <f>IF($G93&lt;rw_N-1E-9*ABS(rw_N),($C93+$D93)/2,$C93)</f>
        <v/>
      </c>
      <c r="D94" s="59">
        <f>IF($G93&lt;rw_N-1E-9*ABS(rw_N),$D93,($C93+$D93)/2)</f>
        <v/>
      </c>
      <c r="E94" s="60">
        <f>rw_h*(($C94+$D94)/2)/(1-(($C94+$D94)/2))</f>
        <v/>
      </c>
      <c r="F94" s="61">
        <f>1000*$I94*$E94</f>
        <v/>
      </c>
      <c r="G94" s="60">
        <f>((2*fcd_rw/$I94*(IF($L94&lt;=1,$L94^2-$L94^3/3,$L94-1/3)-IF($M94&lt;=1,$M94^2-$M94^3/3,$M94-1/3)))+SUMPRODUCT($J$5:$K$5,$J94:$K94))/1000</f>
        <v/>
      </c>
      <c r="H94" s="60">
        <f>((rw_h/2-$E94)*(2*fcd_rw/$I94*(IF($L94&lt;=1,$L94^2-$L94^3/3,$L94-1/3)-IF($M94&lt;=1,$M94^2-$M94^3/3,$M94-1/3)))+0.004*fcd_rw/$I94^2*(IF($L94&lt;=1,2*$L94^3/3-$L94^4/4,$L94^2/2-1/12)-IF($M94&lt;=1,2*$M94^3/3-$M94^4/4,$M94^2/2-1/12))+SUMPRODUCT($J$5:$K$5,$J94:$K94,$J$7:$K$7))/1E6</f>
        <v/>
      </c>
      <c r="I94">
        <f>IF($E94&lt;=rw_h,0.0035/$E94,0.002/($E94-3*rw_h/7))</f>
        <v/>
      </c>
      <c r="J94">
        <f>MAX(-fyd_rw,MIN(fyd_rw,200000*$I94*($E94-J$6)))-fcd_rw*IF($I94*($E94-J$6)&lt;=0,0,IF($I94*($E94-J$6)&lt;0.002,1-(1-$I94*($E94-J$6)/0.002)^2,1))</f>
        <v/>
      </c>
      <c r="K94">
        <f>MAX(-fyd_rw,MIN(fyd_rw,200000*$I94*($E94-K$6)))-fcd_rw*IF($I94*($E94-K$6)&lt;=0,0,IF($I94*($E94-K$6)&lt;0.002,1-(1-$I94*($E94-K$6)/0.002)^2,1))</f>
        <v/>
      </c>
      <c r="L94">
        <f>$I94*$E94/0.002</f>
        <v/>
      </c>
      <c r="M94">
        <f>IF($E94&lt;=rw_h,0,$I94*($E94-rw_h)/0.002)</f>
        <v/>
      </c>
    </row>
    <row r="95">
      <c r="B95" s="58" t="n">
        <v>38</v>
      </c>
      <c r="C95" s="59">
        <f>IF($G94&lt;rw_N-1E-9*ABS(rw_N),($C94+$D94)/2,$C94)</f>
        <v/>
      </c>
      <c r="D95" s="59">
        <f>IF($G94&lt;rw_N-1E-9*ABS(rw_N),$D94,($C94+$D94)/2)</f>
        <v/>
      </c>
      <c r="E95" s="60">
        <f>rw_h*(($C95+$D95)/2)/(1-(($C95+$D95)/2))</f>
        <v/>
      </c>
      <c r="F95" s="61">
        <f>1000*$I95*$E95</f>
        <v/>
      </c>
      <c r="G95" s="60">
        <f>((2*fcd_rw/$I95*(IF($L95&lt;=1,$L95^2-$L95^3/3,$L95-1/3)-IF($M95&lt;=1,$M95^2-$M95^3/3,$M95-1/3)))+SUMPRODUCT($J$5:$K$5,$J95:$K95))/1000</f>
        <v/>
      </c>
      <c r="H95" s="60">
        <f>((rw_h/2-$E95)*(2*fcd_rw/$I95*(IF($L95&lt;=1,$L95^2-$L95^3/3,$L95-1/3)-IF($M95&lt;=1,$M95^2-$M95^3/3,$M95-1/3)))+0.004*fcd_rw/$I95^2*(IF($L95&lt;=1,2*$L95^3/3-$L95^4/4,$L95^2/2-1/12)-IF($M95&lt;=1,2*$M95^3/3-$M95^4/4,$M95^2/2-1/12))+SUMPRODUCT($J$5:$K$5,$J95:$K95,$J$7:$K$7))/1E6</f>
        <v/>
      </c>
      <c r="I95">
        <f>IF($E95&lt;=rw_h,0.0035/$E95,0.002/($E95-3*rw_h/7))</f>
        <v/>
      </c>
      <c r="J95">
        <f>MAX(-fyd_rw,MIN(fyd_rw,200000*$I95*($E95-J$6)))-fcd_rw*IF($I95*($E95-J$6)&lt;=0,0,IF($I95*($E95-J$6)&lt;0.002,1-(1-$I95*($E95-J$6)/0.002)^2,1))</f>
        <v/>
      </c>
      <c r="K95">
        <f>MAX(-fyd_rw,MIN(fyd_rw,200000*$I95*($E95-K$6)))-fcd_rw*IF($I95*($E95-K$6)&lt;=0,0,IF($I95*($E95-K$6)&lt;0.002,1-(1-$I95*($E95-K$6)/0.002)^2,1))</f>
        <v/>
      </c>
      <c r="L95">
        <f>$I95*$E95/0.002</f>
        <v/>
      </c>
      <c r="M95">
        <f>IF($E95&lt;=rw_h,0,$I95*($E95-rw_h)/0.002)</f>
        <v/>
      </c>
    </row>
    <row r="96">
      <c r="B96" s="58" t="n">
        <v>39</v>
      </c>
      <c r="C96" s="59">
        <f>IF($G95&lt;rw_N-1E-9*ABS(rw_N),($C95+$D95)/2,$C95)</f>
        <v/>
      </c>
      <c r="D96" s="59">
        <f>IF($G95&lt;rw_N-1E-9*ABS(rw_N),$D95,($C95+$D95)/2)</f>
        <v/>
      </c>
      <c r="E96" s="60">
        <f>rw_h*(($C96+$D96)/2)/(1-(($C96+$D96)/2))</f>
        <v/>
      </c>
      <c r="F96" s="61">
        <f>1000*$I96*$E96</f>
        <v/>
      </c>
      <c r="G96" s="60">
        <f>((2*fcd_rw/$I96*(IF($L96&lt;=1,$L96^2-$L96^3/3,$L96-1/3)-IF($M96&lt;=1,$M96^2-$M96^3/3,$M96-1/3)))+SUMPRODUCT($J$5:$K$5,$J96:$K96))/1000</f>
        <v/>
      </c>
      <c r="H96" s="60">
        <f>((rw_h/2-$E96)*(2*fcd_rw/$I96*(IF($L96&lt;=1,$L96^2-$L96^3/3,$L96-1/3)-IF($M96&lt;=1,$M96^2-$M96^3/3,$M96-1/3)))+0.004*fcd_rw/$I96^2*(IF($L96&lt;=1,2*$L96^3/3-$L96^4/4,$L96^2/2-1/12)-IF($M96&lt;=1,2*$M96^3/3-$M96^4/4,$M96^2/2-1/12))+SUMPRODUCT($J$5:$K$5,$J96:$K96,$J$7:$K$7))/1E6</f>
        <v/>
      </c>
      <c r="I96">
        <f>IF($E96&lt;=rw_h,0.0035/$E96,0.002/($E96-3*rw_h/7))</f>
        <v/>
      </c>
      <c r="J96">
        <f>MAX(-fyd_rw,MIN(fyd_rw,200000*$I96*($E96-J$6)))-fcd_rw*IF($I96*($E96-J$6)&lt;=0,0,IF($I96*($E96-J$6)&lt;0.002,1-(1-$I96*($E96-J$6)/0.002)^2,1))</f>
        <v/>
      </c>
      <c r="K96">
        <f>MAX(-fyd_rw,MIN(fyd_rw,200000*$I96*($E96-K$6)))-fcd_rw*IF($I96*($E96-K$6)&lt;=0,0,IF($I96*($E96-K$6)&lt;0.002,1-(1-$I96*($E96-K$6)/0.002)^2,1))</f>
        <v/>
      </c>
      <c r="L96">
        <f>$I96*$E96/0.002</f>
        <v/>
      </c>
      <c r="M96">
        <f>IF($E96&lt;=rw_h,0,$I96*($E96-rw_h)/0.002)</f>
        <v/>
      </c>
    </row>
    <row r="97">
      <c r="B97" s="58" t="n">
        <v>40</v>
      </c>
      <c r="C97" s="59">
        <f>IF($G96&lt;rw_N-1E-9*ABS(rw_N),($C96+$D96)/2,$C96)</f>
        <v/>
      </c>
      <c r="D97" s="59">
        <f>IF($G96&lt;rw_N-1E-9*ABS(rw_N),$D96,($C96+$D96)/2)</f>
        <v/>
      </c>
      <c r="E97" s="60">
        <f>rw_h*(($C97+$D97)/2)/(1-(($C97+$D97)/2))</f>
        <v/>
      </c>
      <c r="F97" s="61">
        <f>1000*$I97*$E97</f>
        <v/>
      </c>
      <c r="G97" s="60">
        <f>((2*fcd_rw/$I97*(IF($L97&lt;=1,$L97^2-$L97^3/3,$L97-1/3)-IF($M97&lt;=1,$M97^2-$M97^3/3,$M97-1/3)))+SUMPRODUCT($J$5:$K$5,$J97:$K97))/1000</f>
        <v/>
      </c>
      <c r="H97" s="60">
        <f>((rw_h/2-$E97)*(2*fcd_rw/$I97*(IF($L97&lt;=1,$L97^2-$L97^3/3,$L97-1/3)-IF($M97&lt;=1,$M97^2-$M97^3/3,$M97-1/3)))+0.004*fcd_rw/$I97^2*(IF($L97&lt;=1,2*$L97^3/3-$L97^4/4,$L97^2/2-1/12)-IF($M97&lt;=1,2*$M97^3/3-$M97^4/4,$M97^2/2-1/12))+SUMPRODUCT($J$5:$K$5,$J97:$K97,$J$7:$K$7))/1E6</f>
        <v/>
      </c>
      <c r="I97">
        <f>IF($E97&lt;=rw_h,0.0035/$E97,0.002/($E97-3*rw_h/7))</f>
        <v/>
      </c>
      <c r="J97">
        <f>MAX(-fyd_rw,MIN(fyd_rw,200000*$I97*($E97-J$6)))-fcd_rw*IF($I97*($E97-J$6)&lt;=0,0,IF($I97*($E97-J$6)&lt;0.002,1-(1-$I97*($E97-J$6)/0.002)^2,1))</f>
        <v/>
      </c>
      <c r="K97">
        <f>MAX(-fyd_rw,MIN(fyd_rw,200000*$I97*($E97-K$6)))-fcd_rw*IF($I97*($E97-K$6)&lt;=0,0,IF($I97*($E97-K$6)&lt;0.002,1-(1-$I97*($E97-K$6)/0.002)^2,1))</f>
        <v/>
      </c>
      <c r="L97">
        <f>$I97*$E97/0.002</f>
        <v/>
      </c>
      <c r="M97">
        <f>IF($E97&lt;=rw_h,0,$I97*($E97-rw_h)/0.002)</f>
        <v/>
      </c>
    </row>
    <row r="98">
      <c r="B98" s="58" t="n">
        <v>41</v>
      </c>
      <c r="C98" s="59">
        <f>IF($G97&lt;rw_N-1E-9*ABS(rw_N),($C97+$D97)/2,$C97)</f>
        <v/>
      </c>
      <c r="D98" s="59">
        <f>IF($G97&lt;rw_N-1E-9*ABS(rw_N),$D97,($C97+$D97)/2)</f>
        <v/>
      </c>
      <c r="E98" s="60">
        <f>rw_h*(($C98+$D98)/2)/(1-(($C98+$D98)/2))</f>
        <v/>
      </c>
      <c r="F98" s="61">
        <f>1000*$I98*$E98</f>
        <v/>
      </c>
      <c r="G98" s="60">
        <f>((2*fcd_rw/$I98*(IF($L98&lt;=1,$L98^2-$L98^3/3,$L98-1/3)-IF($M98&lt;=1,$M98^2-$M98^3/3,$M98-1/3)))+SUMPRODUCT($J$5:$K$5,$J98:$K98))/1000</f>
        <v/>
      </c>
      <c r="H98" s="60">
        <f>((rw_h/2-$E98)*(2*fcd_rw/$I98*(IF($L98&lt;=1,$L98^2-$L98^3/3,$L98-1/3)-IF($M98&lt;=1,$M98^2-$M98^3/3,$M98-1/3)))+0.004*fcd_rw/$I98^2*(IF($L98&lt;=1,2*$L98^3/3-$L98^4/4,$L98^2/2-1/12)-IF($M98&lt;=1,2*$M98^3/3-$M98^4/4,$M98^2/2-1/12))+SUMPRODUCT($J$5:$K$5,$J98:$K98,$J$7:$K$7))/1E6</f>
        <v/>
      </c>
      <c r="I98">
        <f>IF($E98&lt;=rw_h,0.0035/$E98,0.002/($E98-3*rw_h/7))</f>
        <v/>
      </c>
      <c r="J98">
        <f>MAX(-fyd_rw,MIN(fyd_rw,200000*$I98*($E98-J$6)))-fcd_rw*IF($I98*($E98-J$6)&lt;=0,0,IF($I98*($E98-J$6)&lt;0.002,1-(1-$I98*($E98-J$6)/0.002)^2,1))</f>
        <v/>
      </c>
      <c r="K98">
        <f>MAX(-fyd_rw,MIN(fyd_rw,200000*$I98*($E98-K$6)))-fcd_rw*IF($I98*($E98-K$6)&lt;=0,0,IF($I98*($E98-K$6)&lt;0.002,1-(1-$I98*($E98-K$6)/0.002)^2,1))</f>
        <v/>
      </c>
      <c r="L98">
        <f>$I98*$E98/0.002</f>
        <v/>
      </c>
      <c r="M98">
        <f>IF($E98&lt;=rw_h,0,$I98*($E98-rw_h)/0.002)</f>
        <v/>
      </c>
    </row>
    <row r="99">
      <c r="B99" s="58" t="n">
        <v>42</v>
      </c>
      <c r="C99" s="59">
        <f>IF($G98&lt;rw_N-1E-9*ABS(rw_N),($C98+$D98)/2,$C98)</f>
        <v/>
      </c>
      <c r="D99" s="59">
        <f>IF($G98&lt;rw_N-1E-9*ABS(rw_N),$D98,($C98+$D98)/2)</f>
        <v/>
      </c>
      <c r="E99" s="60">
        <f>rw_h*(($C99+$D99)/2)/(1-(($C99+$D99)/2))</f>
        <v/>
      </c>
      <c r="F99" s="61">
        <f>1000*$I99*$E99</f>
        <v/>
      </c>
      <c r="G99" s="60">
        <f>((2*fcd_rw/$I99*(IF($L99&lt;=1,$L99^2-$L99^3/3,$L99-1/3)-IF($M99&lt;=1,$M99^2-$M99^3/3,$M99-1/3)))+SUMPRODUCT($J$5:$K$5,$J99:$K99))/1000</f>
        <v/>
      </c>
      <c r="H99" s="60">
        <f>((rw_h/2-$E99)*(2*fcd_rw/$I99*(IF($L99&lt;=1,$L99^2-$L99^3/3,$L99-1/3)-IF($M99&lt;=1,$M99^2-$M99^3/3,$M99-1/3)))+0.004*fcd_rw/$I99^2*(IF($L99&lt;=1,2*$L99^3/3-$L99^4/4,$L99^2/2-1/12)-IF($M99&lt;=1,2*$M99^3/3-$M99^4/4,$M99^2/2-1/12))+SUMPRODUCT($J$5:$K$5,$J99:$K99,$J$7:$K$7))/1E6</f>
        <v/>
      </c>
      <c r="I99">
        <f>IF($E99&lt;=rw_h,0.0035/$E99,0.002/($E99-3*rw_h/7))</f>
        <v/>
      </c>
      <c r="J99">
        <f>MAX(-fyd_rw,MIN(fyd_rw,200000*$I99*($E99-J$6)))-fcd_rw*IF($I99*($E99-J$6)&lt;=0,0,IF($I99*($E99-J$6)&lt;0.002,1-(1-$I99*($E99-J$6)/0.002)^2,1))</f>
        <v/>
      </c>
      <c r="K99">
        <f>MAX(-fyd_rw,MIN(fyd_rw,200000*$I99*($E99-K$6)))-fcd_rw*IF($I99*($E99-K$6)&lt;=0,0,IF($I99*($E99-K$6)&lt;0.002,1-(1-$I99*($E99-K$6)/0.002)^2,1))</f>
        <v/>
      </c>
      <c r="L99">
        <f>$I99*$E99/0.002</f>
        <v/>
      </c>
      <c r="M99">
        <f>IF($E99&lt;=rw_h,0,$I99*($E99-rw_h)/0.002)</f>
        <v/>
      </c>
    </row>
    <row r="100">
      <c r="B100" s="58" t="n">
        <v>43</v>
      </c>
      <c r="C100" s="59">
        <f>IF($G99&lt;rw_N-1E-9*ABS(rw_N),($C99+$D99)/2,$C99)</f>
        <v/>
      </c>
      <c r="D100" s="59">
        <f>IF($G99&lt;rw_N-1E-9*ABS(rw_N),$D99,($C99+$D99)/2)</f>
        <v/>
      </c>
      <c r="E100" s="60">
        <f>rw_h*(($C100+$D100)/2)/(1-(($C100+$D100)/2))</f>
        <v/>
      </c>
      <c r="F100" s="61">
        <f>1000*$I100*$E100</f>
        <v/>
      </c>
      <c r="G100" s="60">
        <f>((2*fcd_rw/$I100*(IF($L100&lt;=1,$L100^2-$L100^3/3,$L100-1/3)-IF($M100&lt;=1,$M100^2-$M100^3/3,$M100-1/3)))+SUMPRODUCT($J$5:$K$5,$J100:$K100))/1000</f>
        <v/>
      </c>
      <c r="H100" s="60">
        <f>((rw_h/2-$E100)*(2*fcd_rw/$I100*(IF($L100&lt;=1,$L100^2-$L100^3/3,$L100-1/3)-IF($M100&lt;=1,$M100^2-$M100^3/3,$M100-1/3)))+0.004*fcd_rw/$I100^2*(IF($L100&lt;=1,2*$L100^3/3-$L100^4/4,$L100^2/2-1/12)-IF($M100&lt;=1,2*$M100^3/3-$M100^4/4,$M100^2/2-1/12))+SUMPRODUCT($J$5:$K$5,$J100:$K100,$J$7:$K$7))/1E6</f>
        <v/>
      </c>
      <c r="I100">
        <f>IF($E100&lt;=rw_h,0.0035/$E100,0.002/($E100-3*rw_h/7))</f>
        <v/>
      </c>
      <c r="J100">
        <f>MAX(-fyd_rw,MIN(fyd_rw,200000*$I100*($E100-J$6)))-fcd_rw*IF($I100*($E100-J$6)&lt;=0,0,IF($I100*($E100-J$6)&lt;0.002,1-(1-$I100*($E100-J$6)/0.002)^2,1))</f>
        <v/>
      </c>
      <c r="K100">
        <f>MAX(-fyd_rw,MIN(fyd_rw,200000*$I100*($E100-K$6)))-fcd_rw*IF($I100*($E100-K$6)&lt;=0,0,IF($I100*($E100-K$6)&lt;0.002,1-(1-$I100*($E100-K$6)/0.002)^2,1))</f>
        <v/>
      </c>
      <c r="L100">
        <f>$I100*$E100/0.002</f>
        <v/>
      </c>
      <c r="M100">
        <f>IF($E100&lt;=rw_h,0,$I100*($E100-rw_h)/0.002)</f>
        <v/>
      </c>
    </row>
    <row r="101">
      <c r="B101" s="58" t="n">
        <v>44</v>
      </c>
      <c r="C101" s="59">
        <f>IF($G100&lt;rw_N-1E-9*ABS(rw_N),($C100+$D100)/2,$C100)</f>
        <v/>
      </c>
      <c r="D101" s="59">
        <f>IF($G100&lt;rw_N-1E-9*ABS(rw_N),$D100,($C100+$D100)/2)</f>
        <v/>
      </c>
      <c r="E101" s="60">
        <f>rw_h*(($C101+$D101)/2)/(1-(($C101+$D101)/2))</f>
        <v/>
      </c>
      <c r="F101" s="61">
        <f>1000*$I101*$E101</f>
        <v/>
      </c>
      <c r="G101" s="60">
        <f>((2*fcd_rw/$I101*(IF($L101&lt;=1,$L101^2-$L101^3/3,$L101-1/3)-IF($M101&lt;=1,$M101^2-$M101^3/3,$M101-1/3)))+SUMPRODUCT($J$5:$K$5,$J101:$K101))/1000</f>
        <v/>
      </c>
      <c r="H101" s="60">
        <f>((rw_h/2-$E101)*(2*fcd_rw/$I101*(IF($L101&lt;=1,$L101^2-$L101^3/3,$L101-1/3)-IF($M101&lt;=1,$M101^2-$M101^3/3,$M101-1/3)))+0.004*fcd_rw/$I101^2*(IF($L101&lt;=1,2*$L101^3/3-$L101^4/4,$L101^2/2-1/12)-IF($M101&lt;=1,2*$M101^3/3-$M101^4/4,$M101^2/2-1/12))+SUMPRODUCT($J$5:$K$5,$J101:$K101,$J$7:$K$7))/1E6</f>
        <v/>
      </c>
      <c r="I101">
        <f>IF($E101&lt;=rw_h,0.0035/$E101,0.002/($E101-3*rw_h/7))</f>
        <v/>
      </c>
      <c r="J101">
        <f>MAX(-fyd_rw,MIN(fyd_rw,200000*$I101*($E101-J$6)))-fcd_rw*IF($I101*($E101-J$6)&lt;=0,0,IF($I101*($E101-J$6)&lt;0.002,1-(1-$I101*($E101-J$6)/0.002)^2,1))</f>
        <v/>
      </c>
      <c r="K101">
        <f>MAX(-fyd_rw,MIN(fyd_rw,200000*$I101*($E101-K$6)))-fcd_rw*IF($I101*($E101-K$6)&lt;=0,0,IF($I101*($E101-K$6)&lt;0.002,1-(1-$I101*($E101-K$6)/0.002)^2,1))</f>
        <v/>
      </c>
      <c r="L101">
        <f>$I101*$E101/0.002</f>
        <v/>
      </c>
      <c r="M101">
        <f>IF($E101&lt;=rw_h,0,$I101*($E101-rw_h)/0.002)</f>
        <v/>
      </c>
    </row>
    <row r="102">
      <c r="B102" s="58" t="n">
        <v>45</v>
      </c>
      <c r="C102" s="59">
        <f>IF($G101&lt;rw_N-1E-9*ABS(rw_N),($C101+$D101)/2,$C101)</f>
        <v/>
      </c>
      <c r="D102" s="59">
        <f>IF($G101&lt;rw_N-1E-9*ABS(rw_N),$D101,($C101+$D101)/2)</f>
        <v/>
      </c>
      <c r="E102" s="60">
        <f>rw_h*(($C102+$D102)/2)/(1-(($C102+$D102)/2))</f>
        <v/>
      </c>
      <c r="F102" s="61">
        <f>1000*$I102*$E102</f>
        <v/>
      </c>
      <c r="G102" s="60">
        <f>((2*fcd_rw/$I102*(IF($L102&lt;=1,$L102^2-$L102^3/3,$L102-1/3)-IF($M102&lt;=1,$M102^2-$M102^3/3,$M102-1/3)))+SUMPRODUCT($J$5:$K$5,$J102:$K102))/1000</f>
        <v/>
      </c>
      <c r="H102" s="60">
        <f>((rw_h/2-$E102)*(2*fcd_rw/$I102*(IF($L102&lt;=1,$L102^2-$L102^3/3,$L102-1/3)-IF($M102&lt;=1,$M102^2-$M102^3/3,$M102-1/3)))+0.004*fcd_rw/$I102^2*(IF($L102&lt;=1,2*$L102^3/3-$L102^4/4,$L102^2/2-1/12)-IF($M102&lt;=1,2*$M102^3/3-$M102^4/4,$M102^2/2-1/12))+SUMPRODUCT($J$5:$K$5,$J102:$K102,$J$7:$K$7))/1E6</f>
        <v/>
      </c>
      <c r="I102">
        <f>IF($E102&lt;=rw_h,0.0035/$E102,0.002/($E102-3*rw_h/7))</f>
        <v/>
      </c>
      <c r="J102">
        <f>MAX(-fyd_rw,MIN(fyd_rw,200000*$I102*($E102-J$6)))-fcd_rw*IF($I102*($E102-J$6)&lt;=0,0,IF($I102*($E102-J$6)&lt;0.002,1-(1-$I102*($E102-J$6)/0.002)^2,1))</f>
        <v/>
      </c>
      <c r="K102">
        <f>MAX(-fyd_rw,MIN(fyd_rw,200000*$I102*($E102-K$6)))-fcd_rw*IF($I102*($E102-K$6)&lt;=0,0,IF($I102*($E102-K$6)&lt;0.002,1-(1-$I102*($E102-K$6)/0.002)^2,1))</f>
        <v/>
      </c>
      <c r="L102">
        <f>$I102*$E102/0.002</f>
        <v/>
      </c>
      <c r="M102">
        <f>IF($E102&lt;=rw_h,0,$I102*($E102-rw_h)/0.002)</f>
        <v/>
      </c>
    </row>
    <row r="103">
      <c r="B103" s="58" t="n">
        <v>46</v>
      </c>
      <c r="C103" s="59">
        <f>IF($G102&lt;rw_N-1E-9*ABS(rw_N),($C102+$D102)/2,$C102)</f>
        <v/>
      </c>
      <c r="D103" s="59">
        <f>IF($G102&lt;rw_N-1E-9*ABS(rw_N),$D102,($C102+$D102)/2)</f>
        <v/>
      </c>
      <c r="E103" s="60">
        <f>rw_h*(($C103+$D103)/2)/(1-(($C103+$D103)/2))</f>
        <v/>
      </c>
      <c r="F103" s="61">
        <f>1000*$I103*$E103</f>
        <v/>
      </c>
      <c r="G103" s="60">
        <f>((2*fcd_rw/$I103*(IF($L103&lt;=1,$L103^2-$L103^3/3,$L103-1/3)-IF($M103&lt;=1,$M103^2-$M103^3/3,$M103-1/3)))+SUMPRODUCT($J$5:$K$5,$J103:$K103))/1000</f>
        <v/>
      </c>
      <c r="H103" s="60">
        <f>((rw_h/2-$E103)*(2*fcd_rw/$I103*(IF($L103&lt;=1,$L103^2-$L103^3/3,$L103-1/3)-IF($M103&lt;=1,$M103^2-$M103^3/3,$M103-1/3)))+0.004*fcd_rw/$I103^2*(IF($L103&lt;=1,2*$L103^3/3-$L103^4/4,$L103^2/2-1/12)-IF($M103&lt;=1,2*$M103^3/3-$M103^4/4,$M103^2/2-1/12))+SUMPRODUCT($J$5:$K$5,$J103:$K103,$J$7:$K$7))/1E6</f>
        <v/>
      </c>
      <c r="I103">
        <f>IF($E103&lt;=rw_h,0.0035/$E103,0.002/($E103-3*rw_h/7))</f>
        <v/>
      </c>
      <c r="J103">
        <f>MAX(-fyd_rw,MIN(fyd_rw,200000*$I103*($E103-J$6)))-fcd_rw*IF($I103*($E103-J$6)&lt;=0,0,IF($I103*($E103-J$6)&lt;0.002,1-(1-$I103*($E103-J$6)/0.002)^2,1))</f>
        <v/>
      </c>
      <c r="K103">
        <f>MAX(-fyd_rw,MIN(fyd_rw,200000*$I103*($E103-K$6)))-fcd_rw*IF($I103*($E103-K$6)&lt;=0,0,IF($I103*($E103-K$6)&lt;0.002,1-(1-$I103*($E103-K$6)/0.002)^2,1))</f>
        <v/>
      </c>
      <c r="L103">
        <f>$I103*$E103/0.002</f>
        <v/>
      </c>
      <c r="M103">
        <f>IF($E103&lt;=rw_h,0,$I103*($E103-rw_h)/0.002)</f>
        <v/>
      </c>
    </row>
    <row r="104">
      <c r="B104" s="58" t="n">
        <v>47</v>
      </c>
      <c r="C104" s="59">
        <f>IF($G103&lt;rw_N-1E-9*ABS(rw_N),($C103+$D103)/2,$C103)</f>
        <v/>
      </c>
      <c r="D104" s="59">
        <f>IF($G103&lt;rw_N-1E-9*ABS(rw_N),$D103,($C103+$D103)/2)</f>
        <v/>
      </c>
      <c r="E104" s="60">
        <f>rw_h*(($C104+$D104)/2)/(1-(($C104+$D104)/2))</f>
        <v/>
      </c>
      <c r="F104" s="61">
        <f>1000*$I104*$E104</f>
        <v/>
      </c>
      <c r="G104" s="60">
        <f>((2*fcd_rw/$I104*(IF($L104&lt;=1,$L104^2-$L104^3/3,$L104-1/3)-IF($M104&lt;=1,$M104^2-$M104^3/3,$M104-1/3)))+SUMPRODUCT($J$5:$K$5,$J104:$K104))/1000</f>
        <v/>
      </c>
      <c r="H104" s="60">
        <f>((rw_h/2-$E104)*(2*fcd_rw/$I104*(IF($L104&lt;=1,$L104^2-$L104^3/3,$L104-1/3)-IF($M104&lt;=1,$M104^2-$M104^3/3,$M104-1/3)))+0.004*fcd_rw/$I104^2*(IF($L104&lt;=1,2*$L104^3/3-$L104^4/4,$L104^2/2-1/12)-IF($M104&lt;=1,2*$M104^3/3-$M104^4/4,$M104^2/2-1/12))+SUMPRODUCT($J$5:$K$5,$J104:$K104,$J$7:$K$7))/1E6</f>
        <v/>
      </c>
      <c r="I104">
        <f>IF($E104&lt;=rw_h,0.0035/$E104,0.002/($E104-3*rw_h/7))</f>
        <v/>
      </c>
      <c r="J104">
        <f>MAX(-fyd_rw,MIN(fyd_rw,200000*$I104*($E104-J$6)))-fcd_rw*IF($I104*($E104-J$6)&lt;=0,0,IF($I104*($E104-J$6)&lt;0.002,1-(1-$I104*($E104-J$6)/0.002)^2,1))</f>
        <v/>
      </c>
      <c r="K104">
        <f>MAX(-fyd_rw,MIN(fyd_rw,200000*$I104*($E104-K$6)))-fcd_rw*IF($I104*($E104-K$6)&lt;=0,0,IF($I104*($E104-K$6)&lt;0.002,1-(1-$I104*($E104-K$6)/0.002)^2,1))</f>
        <v/>
      </c>
      <c r="L104">
        <f>$I104*$E104/0.002</f>
        <v/>
      </c>
      <c r="M104">
        <f>IF($E104&lt;=rw_h,0,$I104*($E104-rw_h)/0.002)</f>
        <v/>
      </c>
    </row>
    <row r="105">
      <c r="B105" s="58" t="n">
        <v>48</v>
      </c>
      <c r="C105" s="59">
        <f>IF($G104&lt;rw_N-1E-9*ABS(rw_N),($C104+$D104)/2,$C104)</f>
        <v/>
      </c>
      <c r="D105" s="59">
        <f>IF($G104&lt;rw_N-1E-9*ABS(rw_N),$D104,($C104+$D104)/2)</f>
        <v/>
      </c>
      <c r="E105" s="60">
        <f>rw_h*(($C105+$D105)/2)/(1-(($C105+$D105)/2))</f>
        <v/>
      </c>
      <c r="F105" s="61">
        <f>1000*$I105*$E105</f>
        <v/>
      </c>
      <c r="G105" s="60">
        <f>((2*fcd_rw/$I105*(IF($L105&lt;=1,$L105^2-$L105^3/3,$L105-1/3)-IF($M105&lt;=1,$M105^2-$M105^3/3,$M105-1/3)))+SUMPRODUCT($J$5:$K$5,$J105:$K105))/1000</f>
        <v/>
      </c>
      <c r="H105" s="60">
        <f>((rw_h/2-$E105)*(2*fcd_rw/$I105*(IF($L105&lt;=1,$L105^2-$L105^3/3,$L105-1/3)-IF($M105&lt;=1,$M105^2-$M105^3/3,$M105-1/3)))+0.004*fcd_rw/$I105^2*(IF($L105&lt;=1,2*$L105^3/3-$L105^4/4,$L105^2/2-1/12)-IF($M105&lt;=1,2*$M105^3/3-$M105^4/4,$M105^2/2-1/12))+SUMPRODUCT($J$5:$K$5,$J105:$K105,$J$7:$K$7))/1E6</f>
        <v/>
      </c>
      <c r="I105">
        <f>IF($E105&lt;=rw_h,0.0035/$E105,0.002/($E105-3*rw_h/7))</f>
        <v/>
      </c>
      <c r="J105">
        <f>MAX(-fyd_rw,MIN(fyd_rw,200000*$I105*($E105-J$6)))-fcd_rw*IF($I105*($E105-J$6)&lt;=0,0,IF($I105*($E105-J$6)&lt;0.002,1-(1-$I105*($E105-J$6)/0.002)^2,1))</f>
        <v/>
      </c>
      <c r="K105">
        <f>MAX(-fyd_rw,MIN(fyd_rw,200000*$I105*($E105-K$6)))-fcd_rw*IF($I105*($E105-K$6)&lt;=0,0,IF($I105*($E105-K$6)&lt;0.002,1-(1-$I105*($E105-K$6)/0.002)^2,1))</f>
        <v/>
      </c>
      <c r="L105">
        <f>$I105*$E105/0.002</f>
        <v/>
      </c>
      <c r="M105">
        <f>IF($E105&lt;=rw_h,0,$I105*($E105-rw_h)/0.002)</f>
        <v/>
      </c>
    </row>
    <row r="106">
      <c r="B106" s="58" t="n">
        <v>49</v>
      </c>
      <c r="C106" s="59">
        <f>IF($G105&lt;rw_N-1E-9*ABS(rw_N),($C105+$D105)/2,$C105)</f>
        <v/>
      </c>
      <c r="D106" s="59">
        <f>IF($G105&lt;rw_N-1E-9*ABS(rw_N),$D105,($C105+$D105)/2)</f>
        <v/>
      </c>
      <c r="E106" s="60">
        <f>rw_h*(($C106+$D106)/2)/(1-(($C106+$D106)/2))</f>
        <v/>
      </c>
      <c r="F106" s="61">
        <f>1000*$I106*$E106</f>
        <v/>
      </c>
      <c r="G106" s="60">
        <f>((2*fcd_rw/$I106*(IF($L106&lt;=1,$L106^2-$L106^3/3,$L106-1/3)-IF($M106&lt;=1,$M106^2-$M106^3/3,$M106-1/3)))+SUMPRODUCT($J$5:$K$5,$J106:$K106))/1000</f>
        <v/>
      </c>
      <c r="H106" s="60">
        <f>((rw_h/2-$E106)*(2*fcd_rw/$I106*(IF($L106&lt;=1,$L106^2-$L106^3/3,$L106-1/3)-IF($M106&lt;=1,$M106^2-$M106^3/3,$M106-1/3)))+0.004*fcd_rw/$I106^2*(IF($L106&lt;=1,2*$L106^3/3-$L106^4/4,$L106^2/2-1/12)-IF($M106&lt;=1,2*$M106^3/3-$M106^4/4,$M106^2/2-1/12))+SUMPRODUCT($J$5:$K$5,$J106:$K106,$J$7:$K$7))/1E6</f>
        <v/>
      </c>
      <c r="I106">
        <f>IF($E106&lt;=rw_h,0.0035/$E106,0.002/($E106-3*rw_h/7))</f>
        <v/>
      </c>
      <c r="J106">
        <f>MAX(-fyd_rw,MIN(fyd_rw,200000*$I106*($E106-J$6)))-fcd_rw*IF($I106*($E106-J$6)&lt;=0,0,IF($I106*($E106-J$6)&lt;0.002,1-(1-$I106*($E106-J$6)/0.002)^2,1))</f>
        <v/>
      </c>
      <c r="K106">
        <f>MAX(-fyd_rw,MIN(fyd_rw,200000*$I106*($E106-K$6)))-fcd_rw*IF($I106*($E106-K$6)&lt;=0,0,IF($I106*($E106-K$6)&lt;0.002,1-(1-$I106*($E106-K$6)/0.002)^2,1))</f>
        <v/>
      </c>
      <c r="L106">
        <f>$I106*$E106/0.002</f>
        <v/>
      </c>
      <c r="M106">
        <f>IF($E106&lt;=rw_h,0,$I106*($E106-rw_h)/0.002)</f>
        <v/>
      </c>
    </row>
    <row r="107">
      <c r="B107" s="58" t="n">
        <v>50</v>
      </c>
      <c r="C107" s="59">
        <f>IF($G106&lt;rw_N-1E-9*ABS(rw_N),($C106+$D106)/2,$C106)</f>
        <v/>
      </c>
      <c r="D107" s="59">
        <f>IF($G106&lt;rw_N-1E-9*ABS(rw_N),$D106,($C106+$D106)/2)</f>
        <v/>
      </c>
      <c r="E107" s="60">
        <f>rw_h*(($C107+$D107)/2)/(1-(($C107+$D107)/2))</f>
        <v/>
      </c>
      <c r="F107" s="61">
        <f>1000*$I107*$E107</f>
        <v/>
      </c>
      <c r="G107" s="60">
        <f>((2*fcd_rw/$I107*(IF($L107&lt;=1,$L107^2-$L107^3/3,$L107-1/3)-IF($M107&lt;=1,$M107^2-$M107^3/3,$M107-1/3)))+SUMPRODUCT($J$5:$K$5,$J107:$K107))/1000</f>
        <v/>
      </c>
      <c r="H107" s="60">
        <f>((rw_h/2-$E107)*(2*fcd_rw/$I107*(IF($L107&lt;=1,$L107^2-$L107^3/3,$L107-1/3)-IF($M107&lt;=1,$M107^2-$M107^3/3,$M107-1/3)))+0.004*fcd_rw/$I107^2*(IF($L107&lt;=1,2*$L107^3/3-$L107^4/4,$L107^2/2-1/12)-IF($M107&lt;=1,2*$M107^3/3-$M107^4/4,$M107^2/2-1/12))+SUMPRODUCT($J$5:$K$5,$J107:$K107,$J$7:$K$7))/1E6</f>
        <v/>
      </c>
      <c r="I107">
        <f>IF($E107&lt;=rw_h,0.0035/$E107,0.002/($E107-3*rw_h/7))</f>
        <v/>
      </c>
      <c r="J107">
        <f>MAX(-fyd_rw,MIN(fyd_rw,200000*$I107*($E107-J$6)))-fcd_rw*IF($I107*($E107-J$6)&lt;=0,0,IF($I107*($E107-J$6)&lt;0.002,1-(1-$I107*($E107-J$6)/0.002)^2,1))</f>
        <v/>
      </c>
      <c r="K107">
        <f>MAX(-fyd_rw,MIN(fyd_rw,200000*$I107*($E107-K$6)))-fcd_rw*IF($I107*($E107-K$6)&lt;=0,0,IF($I107*($E107-K$6)&lt;0.002,1-(1-$I107*($E107-K$6)/0.002)^2,1))</f>
        <v/>
      </c>
      <c r="L107">
        <f>$I107*$E107/0.002</f>
        <v/>
      </c>
      <c r="M107">
        <f>IF($E107&lt;=rw_h,0,$I107*($E107-rw_h)/0.002)</f>
        <v/>
      </c>
    </row>
    <row r="108">
      <c r="B108" s="58" t="n">
        <v>51</v>
      </c>
      <c r="C108" s="59">
        <f>IF($G107&lt;rw_N-1E-9*ABS(rw_N),($C107+$D107)/2,$C107)</f>
        <v/>
      </c>
      <c r="D108" s="59">
        <f>IF($G107&lt;rw_N-1E-9*ABS(rw_N),$D107,($C107+$D107)/2)</f>
        <v/>
      </c>
      <c r="E108" s="60">
        <f>rw_h*(($C108+$D108)/2)/(1-(($C108+$D108)/2))</f>
        <v/>
      </c>
      <c r="F108" s="61">
        <f>1000*$I108*$E108</f>
        <v/>
      </c>
      <c r="G108" s="60">
        <f>((2*fcd_rw/$I108*(IF($L108&lt;=1,$L108^2-$L108^3/3,$L108-1/3)-IF($M108&lt;=1,$M108^2-$M108^3/3,$M108-1/3)))+SUMPRODUCT($J$5:$K$5,$J108:$K108))/1000</f>
        <v/>
      </c>
      <c r="H108" s="60">
        <f>((rw_h/2-$E108)*(2*fcd_rw/$I108*(IF($L108&lt;=1,$L108^2-$L108^3/3,$L108-1/3)-IF($M108&lt;=1,$M108^2-$M108^3/3,$M108-1/3)))+0.004*fcd_rw/$I108^2*(IF($L108&lt;=1,2*$L108^3/3-$L108^4/4,$L108^2/2-1/12)-IF($M108&lt;=1,2*$M108^3/3-$M108^4/4,$M108^2/2-1/12))+SUMPRODUCT($J$5:$K$5,$J108:$K108,$J$7:$K$7))/1E6</f>
        <v/>
      </c>
      <c r="I108">
        <f>IF($E108&lt;=rw_h,0.0035/$E108,0.002/($E108-3*rw_h/7))</f>
        <v/>
      </c>
      <c r="J108">
        <f>MAX(-fyd_rw,MIN(fyd_rw,200000*$I108*($E108-J$6)))-fcd_rw*IF($I108*($E108-J$6)&lt;=0,0,IF($I108*($E108-J$6)&lt;0.002,1-(1-$I108*($E108-J$6)/0.002)^2,1))</f>
        <v/>
      </c>
      <c r="K108">
        <f>MAX(-fyd_rw,MIN(fyd_rw,200000*$I108*($E108-K$6)))-fcd_rw*IF($I108*($E108-K$6)&lt;=0,0,IF($I108*($E108-K$6)&lt;0.002,1-(1-$I108*($E108-K$6)/0.002)^2,1))</f>
        <v/>
      </c>
      <c r="L108">
        <f>$I108*$E108/0.002</f>
        <v/>
      </c>
      <c r="M108">
        <f>IF($E108&lt;=rw_h,0,$I108*($E108-rw_h)/0.002)</f>
        <v/>
      </c>
    </row>
    <row r="109">
      <c r="B109" s="58" t="n">
        <v>52</v>
      </c>
      <c r="C109" s="59">
        <f>IF($G108&lt;rw_N-1E-9*ABS(rw_N),($C108+$D108)/2,$C108)</f>
        <v/>
      </c>
      <c r="D109" s="59">
        <f>IF($G108&lt;rw_N-1E-9*ABS(rw_N),$D108,($C108+$D108)/2)</f>
        <v/>
      </c>
      <c r="E109" s="60">
        <f>rw_h*(($C109+$D109)/2)/(1-(($C109+$D109)/2))</f>
        <v/>
      </c>
      <c r="F109" s="61">
        <f>1000*$I109*$E109</f>
        <v/>
      </c>
      <c r="G109" s="60">
        <f>((2*fcd_rw/$I109*(IF($L109&lt;=1,$L109^2-$L109^3/3,$L109-1/3)-IF($M109&lt;=1,$M109^2-$M109^3/3,$M109-1/3)))+SUMPRODUCT($J$5:$K$5,$J109:$K109))/1000</f>
        <v/>
      </c>
      <c r="H109" s="60">
        <f>((rw_h/2-$E109)*(2*fcd_rw/$I109*(IF($L109&lt;=1,$L109^2-$L109^3/3,$L109-1/3)-IF($M109&lt;=1,$M109^2-$M109^3/3,$M109-1/3)))+0.004*fcd_rw/$I109^2*(IF($L109&lt;=1,2*$L109^3/3-$L109^4/4,$L109^2/2-1/12)-IF($M109&lt;=1,2*$M109^3/3-$M109^4/4,$M109^2/2-1/12))+SUMPRODUCT($J$5:$K$5,$J109:$K109,$J$7:$K$7))/1E6</f>
        <v/>
      </c>
      <c r="I109">
        <f>IF($E109&lt;=rw_h,0.0035/$E109,0.002/($E109-3*rw_h/7))</f>
        <v/>
      </c>
      <c r="J109">
        <f>MAX(-fyd_rw,MIN(fyd_rw,200000*$I109*($E109-J$6)))-fcd_rw*IF($I109*($E109-J$6)&lt;=0,0,IF($I109*($E109-J$6)&lt;0.002,1-(1-$I109*($E109-J$6)/0.002)^2,1))</f>
        <v/>
      </c>
      <c r="K109">
        <f>MAX(-fyd_rw,MIN(fyd_rw,200000*$I109*($E109-K$6)))-fcd_rw*IF($I109*($E109-K$6)&lt;=0,0,IF($I109*($E109-K$6)&lt;0.002,1-(1-$I109*($E109-K$6)/0.002)^2,1))</f>
        <v/>
      </c>
      <c r="L109">
        <f>$I109*$E109/0.002</f>
        <v/>
      </c>
      <c r="M109">
        <f>IF($E109&lt;=rw_h,0,$I109*($E109-rw_h)/0.002)</f>
        <v/>
      </c>
    </row>
    <row r="110">
      <c r="B110" s="58" t="n">
        <v>53</v>
      </c>
      <c r="C110" s="59">
        <f>IF($G109&lt;rw_N-1E-9*ABS(rw_N),($C109+$D109)/2,$C109)</f>
        <v/>
      </c>
      <c r="D110" s="59">
        <f>IF($G109&lt;rw_N-1E-9*ABS(rw_N),$D109,($C109+$D109)/2)</f>
        <v/>
      </c>
      <c r="E110" s="60">
        <f>rw_h*(($C110+$D110)/2)/(1-(($C110+$D110)/2))</f>
        <v/>
      </c>
      <c r="F110" s="61">
        <f>1000*$I110*$E110</f>
        <v/>
      </c>
      <c r="G110" s="60">
        <f>((2*fcd_rw/$I110*(IF($L110&lt;=1,$L110^2-$L110^3/3,$L110-1/3)-IF($M110&lt;=1,$M110^2-$M110^3/3,$M110-1/3)))+SUMPRODUCT($J$5:$K$5,$J110:$K110))/1000</f>
        <v/>
      </c>
      <c r="H110" s="60">
        <f>((rw_h/2-$E110)*(2*fcd_rw/$I110*(IF($L110&lt;=1,$L110^2-$L110^3/3,$L110-1/3)-IF($M110&lt;=1,$M110^2-$M110^3/3,$M110-1/3)))+0.004*fcd_rw/$I110^2*(IF($L110&lt;=1,2*$L110^3/3-$L110^4/4,$L110^2/2-1/12)-IF($M110&lt;=1,2*$M110^3/3-$M110^4/4,$M110^2/2-1/12))+SUMPRODUCT($J$5:$K$5,$J110:$K110,$J$7:$K$7))/1E6</f>
        <v/>
      </c>
      <c r="I110">
        <f>IF($E110&lt;=rw_h,0.0035/$E110,0.002/($E110-3*rw_h/7))</f>
        <v/>
      </c>
      <c r="J110">
        <f>MAX(-fyd_rw,MIN(fyd_rw,200000*$I110*($E110-J$6)))-fcd_rw*IF($I110*($E110-J$6)&lt;=0,0,IF($I110*($E110-J$6)&lt;0.002,1-(1-$I110*($E110-J$6)/0.002)^2,1))</f>
        <v/>
      </c>
      <c r="K110">
        <f>MAX(-fyd_rw,MIN(fyd_rw,200000*$I110*($E110-K$6)))-fcd_rw*IF($I110*($E110-K$6)&lt;=0,0,IF($I110*($E110-K$6)&lt;0.002,1-(1-$I110*($E110-K$6)/0.002)^2,1))</f>
        <v/>
      </c>
      <c r="L110">
        <f>$I110*$E110/0.002</f>
        <v/>
      </c>
      <c r="M110">
        <f>IF($E110&lt;=rw_h,0,$I110*($E110-rw_h)/0.002)</f>
        <v/>
      </c>
    </row>
    <row r="111">
      <c r="B111" s="58" t="n">
        <v>54</v>
      </c>
      <c r="C111" s="59">
        <f>IF($G110&lt;rw_N-1E-9*ABS(rw_N),($C110+$D110)/2,$C110)</f>
        <v/>
      </c>
      <c r="D111" s="59">
        <f>IF($G110&lt;rw_N-1E-9*ABS(rw_N),$D110,($C110+$D110)/2)</f>
        <v/>
      </c>
      <c r="E111" s="60">
        <f>rw_h*(($C111+$D111)/2)/(1-(($C111+$D111)/2))</f>
        <v/>
      </c>
      <c r="F111" s="61">
        <f>1000*$I111*$E111</f>
        <v/>
      </c>
      <c r="G111" s="60">
        <f>((2*fcd_rw/$I111*(IF($L111&lt;=1,$L111^2-$L111^3/3,$L111-1/3)-IF($M111&lt;=1,$M111^2-$M111^3/3,$M111-1/3)))+SUMPRODUCT($J$5:$K$5,$J111:$K111))/1000</f>
        <v/>
      </c>
      <c r="H111" s="60">
        <f>((rw_h/2-$E111)*(2*fcd_rw/$I111*(IF($L111&lt;=1,$L111^2-$L111^3/3,$L111-1/3)-IF($M111&lt;=1,$M111^2-$M111^3/3,$M111-1/3)))+0.004*fcd_rw/$I111^2*(IF($L111&lt;=1,2*$L111^3/3-$L111^4/4,$L111^2/2-1/12)-IF($M111&lt;=1,2*$M111^3/3-$M111^4/4,$M111^2/2-1/12))+SUMPRODUCT($J$5:$K$5,$J111:$K111,$J$7:$K$7))/1E6</f>
        <v/>
      </c>
      <c r="I111">
        <f>IF($E111&lt;=rw_h,0.0035/$E111,0.002/($E111-3*rw_h/7))</f>
        <v/>
      </c>
      <c r="J111">
        <f>MAX(-fyd_rw,MIN(fyd_rw,200000*$I111*($E111-J$6)))-fcd_rw*IF($I111*($E111-J$6)&lt;=0,0,IF($I111*($E111-J$6)&lt;0.002,1-(1-$I111*($E111-J$6)/0.002)^2,1))</f>
        <v/>
      </c>
      <c r="K111">
        <f>MAX(-fyd_rw,MIN(fyd_rw,200000*$I111*($E111-K$6)))-fcd_rw*IF($I111*($E111-K$6)&lt;=0,0,IF($I111*($E111-K$6)&lt;0.002,1-(1-$I111*($E111-K$6)/0.002)^2,1))</f>
        <v/>
      </c>
      <c r="L111">
        <f>$I111*$E111/0.002</f>
        <v/>
      </c>
      <c r="M111">
        <f>IF($E111&lt;=rw_h,0,$I111*($E111-rw_h)/0.002)</f>
        <v/>
      </c>
    </row>
    <row r="112">
      <c r="B112" s="58" t="n">
        <v>55</v>
      </c>
      <c r="C112" s="59">
        <f>IF($G111&lt;rw_N-1E-9*ABS(rw_N),($C111+$D111)/2,$C111)</f>
        <v/>
      </c>
      <c r="D112" s="59">
        <f>IF($G111&lt;rw_N-1E-9*ABS(rw_N),$D111,($C111+$D111)/2)</f>
        <v/>
      </c>
      <c r="E112" s="60">
        <f>rw_h*(($C112+$D112)/2)/(1-(($C112+$D112)/2))</f>
        <v/>
      </c>
      <c r="F112" s="61">
        <f>1000*$I112*$E112</f>
        <v/>
      </c>
      <c r="G112" s="60">
        <f>((2*fcd_rw/$I112*(IF($L112&lt;=1,$L112^2-$L112^3/3,$L112-1/3)-IF($M112&lt;=1,$M112^2-$M112^3/3,$M112-1/3)))+SUMPRODUCT($J$5:$K$5,$J112:$K112))/1000</f>
        <v/>
      </c>
      <c r="H112" s="60">
        <f>((rw_h/2-$E112)*(2*fcd_rw/$I112*(IF($L112&lt;=1,$L112^2-$L112^3/3,$L112-1/3)-IF($M112&lt;=1,$M112^2-$M112^3/3,$M112-1/3)))+0.004*fcd_rw/$I112^2*(IF($L112&lt;=1,2*$L112^3/3-$L112^4/4,$L112^2/2-1/12)-IF($M112&lt;=1,2*$M112^3/3-$M112^4/4,$M112^2/2-1/12))+SUMPRODUCT($J$5:$K$5,$J112:$K112,$J$7:$K$7))/1E6</f>
        <v/>
      </c>
      <c r="I112">
        <f>IF($E112&lt;=rw_h,0.0035/$E112,0.002/($E112-3*rw_h/7))</f>
        <v/>
      </c>
      <c r="J112">
        <f>MAX(-fyd_rw,MIN(fyd_rw,200000*$I112*($E112-J$6)))-fcd_rw*IF($I112*($E112-J$6)&lt;=0,0,IF($I112*($E112-J$6)&lt;0.002,1-(1-$I112*($E112-J$6)/0.002)^2,1))</f>
        <v/>
      </c>
      <c r="K112">
        <f>MAX(-fyd_rw,MIN(fyd_rw,200000*$I112*($E112-K$6)))-fcd_rw*IF($I112*($E112-K$6)&lt;=0,0,IF($I112*($E112-K$6)&lt;0.002,1-(1-$I112*($E112-K$6)/0.002)^2,1))</f>
        <v/>
      </c>
      <c r="L112">
        <f>$I112*$E112/0.002</f>
        <v/>
      </c>
      <c r="M112">
        <f>IF($E112&lt;=rw_h,0,$I112*($E112-rw_h)/0.002)</f>
        <v/>
      </c>
    </row>
    <row r="113">
      <c r="B113" s="58" t="n">
        <v>56</v>
      </c>
      <c r="C113" s="59">
        <f>IF($G112&lt;rw_N-1E-9*ABS(rw_N),($C112+$D112)/2,$C112)</f>
        <v/>
      </c>
      <c r="D113" s="59">
        <f>IF($G112&lt;rw_N-1E-9*ABS(rw_N),$D112,($C112+$D112)/2)</f>
        <v/>
      </c>
      <c r="E113" s="60">
        <f>rw_h*(($C113+$D113)/2)/(1-(($C113+$D113)/2))</f>
        <v/>
      </c>
      <c r="F113" s="61">
        <f>1000*$I113*$E113</f>
        <v/>
      </c>
      <c r="G113" s="60">
        <f>((2*fcd_rw/$I113*(IF($L113&lt;=1,$L113^2-$L113^3/3,$L113-1/3)-IF($M113&lt;=1,$M113^2-$M113^3/3,$M113-1/3)))+SUMPRODUCT($J$5:$K$5,$J113:$K113))/1000</f>
        <v/>
      </c>
      <c r="H113" s="60">
        <f>((rw_h/2-$E113)*(2*fcd_rw/$I113*(IF($L113&lt;=1,$L113^2-$L113^3/3,$L113-1/3)-IF($M113&lt;=1,$M113^2-$M113^3/3,$M113-1/3)))+0.004*fcd_rw/$I113^2*(IF($L113&lt;=1,2*$L113^3/3-$L113^4/4,$L113^2/2-1/12)-IF($M113&lt;=1,2*$M113^3/3-$M113^4/4,$M113^2/2-1/12))+SUMPRODUCT($J$5:$K$5,$J113:$K113,$J$7:$K$7))/1E6</f>
        <v/>
      </c>
      <c r="I113">
        <f>IF($E113&lt;=rw_h,0.0035/$E113,0.002/($E113-3*rw_h/7))</f>
        <v/>
      </c>
      <c r="J113">
        <f>MAX(-fyd_rw,MIN(fyd_rw,200000*$I113*($E113-J$6)))-fcd_rw*IF($I113*($E113-J$6)&lt;=0,0,IF($I113*($E113-J$6)&lt;0.002,1-(1-$I113*($E113-J$6)/0.002)^2,1))</f>
        <v/>
      </c>
      <c r="K113">
        <f>MAX(-fyd_rw,MIN(fyd_rw,200000*$I113*($E113-K$6)))-fcd_rw*IF($I113*($E113-K$6)&lt;=0,0,IF($I113*($E113-K$6)&lt;0.002,1-(1-$I113*($E113-K$6)/0.002)^2,1))</f>
        <v/>
      </c>
      <c r="L113">
        <f>$I113*$E113/0.002</f>
        <v/>
      </c>
      <c r="M113">
        <f>IF($E113&lt;=rw_h,0,$I113*($E113-rw_h)/0.002)</f>
        <v/>
      </c>
    </row>
    <row r="114">
      <c r="B114" s="58" t="n">
        <v>57</v>
      </c>
      <c r="C114" s="59">
        <f>IF($G113&lt;rw_N-1E-9*ABS(rw_N),($C113+$D113)/2,$C113)</f>
        <v/>
      </c>
      <c r="D114" s="59">
        <f>IF($G113&lt;rw_N-1E-9*ABS(rw_N),$D113,($C113+$D113)/2)</f>
        <v/>
      </c>
      <c r="E114" s="60">
        <f>rw_h*(($C114+$D114)/2)/(1-(($C114+$D114)/2))</f>
        <v/>
      </c>
      <c r="F114" s="61">
        <f>1000*$I114*$E114</f>
        <v/>
      </c>
      <c r="G114" s="60">
        <f>((2*fcd_rw/$I114*(IF($L114&lt;=1,$L114^2-$L114^3/3,$L114-1/3)-IF($M114&lt;=1,$M114^2-$M114^3/3,$M114-1/3)))+SUMPRODUCT($J$5:$K$5,$J114:$K114))/1000</f>
        <v/>
      </c>
      <c r="H114" s="60">
        <f>((rw_h/2-$E114)*(2*fcd_rw/$I114*(IF($L114&lt;=1,$L114^2-$L114^3/3,$L114-1/3)-IF($M114&lt;=1,$M114^2-$M114^3/3,$M114-1/3)))+0.004*fcd_rw/$I114^2*(IF($L114&lt;=1,2*$L114^3/3-$L114^4/4,$L114^2/2-1/12)-IF($M114&lt;=1,2*$M114^3/3-$M114^4/4,$M114^2/2-1/12))+SUMPRODUCT($J$5:$K$5,$J114:$K114,$J$7:$K$7))/1E6</f>
        <v/>
      </c>
      <c r="I114">
        <f>IF($E114&lt;=rw_h,0.0035/$E114,0.002/($E114-3*rw_h/7))</f>
        <v/>
      </c>
      <c r="J114">
        <f>MAX(-fyd_rw,MIN(fyd_rw,200000*$I114*($E114-J$6)))-fcd_rw*IF($I114*($E114-J$6)&lt;=0,0,IF($I114*($E114-J$6)&lt;0.002,1-(1-$I114*($E114-J$6)/0.002)^2,1))</f>
        <v/>
      </c>
      <c r="K114">
        <f>MAX(-fyd_rw,MIN(fyd_rw,200000*$I114*($E114-K$6)))-fcd_rw*IF($I114*($E114-K$6)&lt;=0,0,IF($I114*($E114-K$6)&lt;0.002,1-(1-$I114*($E114-K$6)/0.002)^2,1))</f>
        <v/>
      </c>
      <c r="L114">
        <f>$I114*$E114/0.002</f>
        <v/>
      </c>
      <c r="M114">
        <f>IF($E114&lt;=rw_h,0,$I114*($E114-rw_h)/0.002)</f>
        <v/>
      </c>
    </row>
    <row r="115">
      <c r="B115" s="58" t="n">
        <v>58</v>
      </c>
      <c r="C115" s="59">
        <f>IF($G114&lt;rw_N-1E-9*ABS(rw_N),($C114+$D114)/2,$C114)</f>
        <v/>
      </c>
      <c r="D115" s="59">
        <f>IF($G114&lt;rw_N-1E-9*ABS(rw_N),$D114,($C114+$D114)/2)</f>
        <v/>
      </c>
      <c r="E115" s="60">
        <f>rw_h*(($C115+$D115)/2)/(1-(($C115+$D115)/2))</f>
        <v/>
      </c>
      <c r="F115" s="61">
        <f>1000*$I115*$E115</f>
        <v/>
      </c>
      <c r="G115" s="60">
        <f>((2*fcd_rw/$I115*(IF($L115&lt;=1,$L115^2-$L115^3/3,$L115-1/3)-IF($M115&lt;=1,$M115^2-$M115^3/3,$M115-1/3)))+SUMPRODUCT($J$5:$K$5,$J115:$K115))/1000</f>
        <v/>
      </c>
      <c r="H115" s="60">
        <f>((rw_h/2-$E115)*(2*fcd_rw/$I115*(IF($L115&lt;=1,$L115^2-$L115^3/3,$L115-1/3)-IF($M115&lt;=1,$M115^2-$M115^3/3,$M115-1/3)))+0.004*fcd_rw/$I115^2*(IF($L115&lt;=1,2*$L115^3/3-$L115^4/4,$L115^2/2-1/12)-IF($M115&lt;=1,2*$M115^3/3-$M115^4/4,$M115^2/2-1/12))+SUMPRODUCT($J$5:$K$5,$J115:$K115,$J$7:$K$7))/1E6</f>
        <v/>
      </c>
      <c r="I115">
        <f>IF($E115&lt;=rw_h,0.0035/$E115,0.002/($E115-3*rw_h/7))</f>
        <v/>
      </c>
      <c r="J115">
        <f>MAX(-fyd_rw,MIN(fyd_rw,200000*$I115*($E115-J$6)))-fcd_rw*IF($I115*($E115-J$6)&lt;=0,0,IF($I115*($E115-J$6)&lt;0.002,1-(1-$I115*($E115-J$6)/0.002)^2,1))</f>
        <v/>
      </c>
      <c r="K115">
        <f>MAX(-fyd_rw,MIN(fyd_rw,200000*$I115*($E115-K$6)))-fcd_rw*IF($I115*($E115-K$6)&lt;=0,0,IF($I115*($E115-K$6)&lt;0.002,1-(1-$I115*($E115-K$6)/0.002)^2,1))</f>
        <v/>
      </c>
      <c r="L115">
        <f>$I115*$E115/0.002</f>
        <v/>
      </c>
      <c r="M115">
        <f>IF($E115&lt;=rw_h,0,$I115*($E115-rw_h)/0.002)</f>
        <v/>
      </c>
    </row>
    <row r="116">
      <c r="B116" s="58" t="n">
        <v>59</v>
      </c>
      <c r="C116" s="59">
        <f>IF($G115&lt;rw_N-1E-9*ABS(rw_N),($C115+$D115)/2,$C115)</f>
        <v/>
      </c>
      <c r="D116" s="59">
        <f>IF($G115&lt;rw_N-1E-9*ABS(rw_N),$D115,($C115+$D115)/2)</f>
        <v/>
      </c>
      <c r="E116" s="60">
        <f>rw_h*(($C116+$D116)/2)/(1-(($C116+$D116)/2))</f>
        <v/>
      </c>
      <c r="F116" s="61">
        <f>1000*$I116*$E116</f>
        <v/>
      </c>
      <c r="G116" s="60">
        <f>((2*fcd_rw/$I116*(IF($L116&lt;=1,$L116^2-$L116^3/3,$L116-1/3)-IF($M116&lt;=1,$M116^2-$M116^3/3,$M116-1/3)))+SUMPRODUCT($J$5:$K$5,$J116:$K116))/1000</f>
        <v/>
      </c>
      <c r="H116" s="60">
        <f>((rw_h/2-$E116)*(2*fcd_rw/$I116*(IF($L116&lt;=1,$L116^2-$L116^3/3,$L116-1/3)-IF($M116&lt;=1,$M116^2-$M116^3/3,$M116-1/3)))+0.004*fcd_rw/$I116^2*(IF($L116&lt;=1,2*$L116^3/3-$L116^4/4,$L116^2/2-1/12)-IF($M116&lt;=1,2*$M116^3/3-$M116^4/4,$M116^2/2-1/12))+SUMPRODUCT($J$5:$K$5,$J116:$K116,$J$7:$K$7))/1E6</f>
        <v/>
      </c>
      <c r="I116">
        <f>IF($E116&lt;=rw_h,0.0035/$E116,0.002/($E116-3*rw_h/7))</f>
        <v/>
      </c>
      <c r="J116">
        <f>MAX(-fyd_rw,MIN(fyd_rw,200000*$I116*($E116-J$6)))-fcd_rw*IF($I116*($E116-J$6)&lt;=0,0,IF($I116*($E116-J$6)&lt;0.002,1-(1-$I116*($E116-J$6)/0.002)^2,1))</f>
        <v/>
      </c>
      <c r="K116">
        <f>MAX(-fyd_rw,MIN(fyd_rw,200000*$I116*($E116-K$6)))-fcd_rw*IF($I116*($E116-K$6)&lt;=0,0,IF($I116*($E116-K$6)&lt;0.002,1-(1-$I116*($E116-K$6)/0.002)^2,1))</f>
        <v/>
      </c>
      <c r="L116">
        <f>$I116*$E116/0.002</f>
        <v/>
      </c>
      <c r="M116">
        <f>IF($E116&lt;=rw_h,0,$I116*($E116-rw_h)/0.002)</f>
        <v/>
      </c>
    </row>
    <row r="117">
      <c r="B117" s="58" t="n">
        <v>60</v>
      </c>
      <c r="C117" s="59">
        <f>IF($G116&lt;rw_N-1E-9*ABS(rw_N),($C116+$D116)/2,$C116)</f>
        <v/>
      </c>
      <c r="D117" s="59">
        <f>IF($G116&lt;rw_N-1E-9*ABS(rw_N),$D116,($C116+$D116)/2)</f>
        <v/>
      </c>
      <c r="E117" s="60">
        <f>rw_h*(($C117+$D117)/2)/(1-(($C117+$D117)/2))</f>
        <v/>
      </c>
      <c r="F117" s="61">
        <f>1000*$I117*$E117</f>
        <v/>
      </c>
      <c r="G117" s="60">
        <f>((2*fcd_rw/$I117*(IF($L117&lt;=1,$L117^2-$L117^3/3,$L117-1/3)-IF($M117&lt;=1,$M117^2-$M117^3/3,$M117-1/3)))+SUMPRODUCT($J$5:$K$5,$J117:$K117))/1000</f>
        <v/>
      </c>
      <c r="H117" s="60">
        <f>((rw_h/2-$E117)*(2*fcd_rw/$I117*(IF($L117&lt;=1,$L117^2-$L117^3/3,$L117-1/3)-IF($M117&lt;=1,$M117^2-$M117^3/3,$M117-1/3)))+0.004*fcd_rw/$I117^2*(IF($L117&lt;=1,2*$L117^3/3-$L117^4/4,$L117^2/2-1/12)-IF($M117&lt;=1,2*$M117^3/3-$M117^4/4,$M117^2/2-1/12))+SUMPRODUCT($J$5:$K$5,$J117:$K117,$J$7:$K$7))/1E6</f>
        <v/>
      </c>
      <c r="I117">
        <f>IF($E117&lt;=rw_h,0.0035/$E117,0.002/($E117-3*rw_h/7))</f>
        <v/>
      </c>
      <c r="J117">
        <f>MAX(-fyd_rw,MIN(fyd_rw,200000*$I117*($E117-J$6)))-fcd_rw*IF($I117*($E117-J$6)&lt;=0,0,IF($I117*($E117-J$6)&lt;0.002,1-(1-$I117*($E117-J$6)/0.002)^2,1))</f>
        <v/>
      </c>
      <c r="K117">
        <f>MAX(-fyd_rw,MIN(fyd_rw,200000*$I117*($E117-K$6)))-fcd_rw*IF($I117*($E117-K$6)&lt;=0,0,IF($I117*($E117-K$6)&lt;0.002,1-(1-$I117*($E117-K$6)/0.002)^2,1))</f>
        <v/>
      </c>
      <c r="L117">
        <f>$I117*$E117/0.002</f>
        <v/>
      </c>
      <c r="M117">
        <f>IF($E117&lt;=rw_h,0,$I117*($E117-rw_h)/0.002)</f>
        <v/>
      </c>
    </row>
  </sheetData>
  <sheetProtection selectLockedCells="0" selectUnlockedCells="0" sheet="1" objects="1" insertRows="1" insertHyperlinks="1" autoFilter="1" scenarios="0" formatColumns="1" deleteColumns="1" insertColumns="1" pivotTables="1" deleteRows="1" formatCells="1" formatRows="1" sort="1" password="AA0A"/>
  <mergeCells count="1">
    <mergeCell ref="B3:H3"/>
  </mergeCell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&amp;K8A8A8ANAE-RC-045  v1.0</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62"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63" t="inlineStr">
        <is>
          <t>Parameter</t>
        </is>
      </c>
      <c r="C5" s="63" t="inlineStr">
        <is>
          <t>Clause</t>
        </is>
      </c>
      <c r="D5" s="63" t="inlineStr">
        <is>
          <t>UK NA</t>
        </is>
      </c>
      <c r="E5" s="63" t="inlineStr">
        <is>
          <t>PL NA</t>
        </is>
      </c>
      <c r="F5" s="63" t="inlineStr">
        <is>
          <t>Notes</t>
        </is>
      </c>
    </row>
    <row r="6">
      <c r="B6" s="64" t="inlineStr">
        <is>
          <t>Partial factor, concrete  γc</t>
        </is>
      </c>
      <c r="C6" s="65" t="inlineStr">
        <is>
          <t>2.4.2.4(1)</t>
        </is>
      </c>
      <c r="D6" s="66" t="n">
        <v>1.5</v>
      </c>
      <c r="E6" s="66" t="n">
        <v>1.4</v>
      </c>
      <c r="F6" s="65" t="inlineStr">
        <is>
          <t>Persistent &amp; transient. UK NA: recommended; PL: NA.2, Table NA.2</t>
        </is>
      </c>
    </row>
    <row r="7">
      <c r="B7" s="64" t="inlineStr">
        <is>
          <t>Partial factor, reinforcement  γs</t>
        </is>
      </c>
      <c r="C7" s="65" t="inlineStr">
        <is>
          <t>2.4.2.4(1)</t>
        </is>
      </c>
      <c r="D7" s="66" t="n">
        <v>1.15</v>
      </c>
      <c r="E7" s="66" t="n">
        <v>1.15</v>
      </c>
      <c r="F7" s="65" t="inlineStr">
        <is>
          <t>UK NA: recommended; PL: NA.2, Table NA.2</t>
        </is>
      </c>
    </row>
    <row r="8">
      <c r="B8" s="64" t="inlineStr">
        <is>
          <t>αcc  (compression in flexure / axial)</t>
        </is>
      </c>
      <c r="C8" s="65" t="inlineStr">
        <is>
          <t>3.1.6(1)</t>
        </is>
      </c>
      <c r="D8" s="66" t="n">
        <v>0.85</v>
      </c>
      <c r="E8" s="66" t="n">
        <v>1</v>
      </c>
      <c r="F8" s="65" t="inlineStr">
        <is>
          <t>UK NA: 0.85; PL: recommended (NA.9)</t>
        </is>
      </c>
    </row>
    <row r="9">
      <c r="B9" s="64" t="inlineStr">
        <is>
          <t>αcc,pl  (plain concrete, compression)</t>
        </is>
      </c>
      <c r="C9" s="65" t="inlineStr">
        <is>
          <t>12.3.1(1)</t>
        </is>
      </c>
      <c r="D9" s="66" t="n">
        <v>0.6</v>
      </c>
      <c r="E9" s="66" t="n">
        <v>0.8</v>
      </c>
      <c r="F9" s="65" t="inlineStr">
        <is>
          <t>UK NA Table NA.1: 0.6; PL: recommended (NA.9)</t>
        </is>
      </c>
    </row>
    <row r="10">
      <c r="B10" s="64" t="inlineStr">
        <is>
          <t>αcc  (shear and punching)</t>
        </is>
      </c>
      <c r="C10" s="65" t="inlineStr">
        <is>
          <t>3.1.6(1)</t>
        </is>
      </c>
      <c r="D10" s="66" t="n">
        <v>1</v>
      </c>
      <c r="E10" s="66" t="n">
        <v>1</v>
      </c>
      <c r="F10" s="65" t="inlineStr">
        <is>
          <t>UK NA: 1.0 for other phenomena; PL: recommended (NA.9)</t>
        </is>
      </c>
    </row>
    <row r="11">
      <c r="B11" s="64" t="inlineStr">
        <is>
          <t>αct  (design tensile strength)</t>
        </is>
      </c>
      <c r="C11" s="65" t="inlineStr">
        <is>
          <t>3.1.6(2)</t>
        </is>
      </c>
      <c r="D11" s="66" t="n">
        <v>1</v>
      </c>
      <c r="E11" s="66" t="n">
        <v>1</v>
      </c>
      <c r="F11" s="65" t="inlineStr">
        <is>
          <t>Recommended value in both annexes</t>
        </is>
      </c>
    </row>
    <row r="12">
      <c r="B12" s="64" t="inlineStr">
        <is>
          <t>CRd,c numerator  (CRd,c = value / γc)</t>
        </is>
      </c>
      <c r="C12" s="65" t="inlineStr">
        <is>
          <t>6.2.2(1), 6.4.4(1)</t>
        </is>
      </c>
      <c r="D12" s="66" t="n">
        <v>0.18</v>
      </c>
      <c r="E12" s="66" t="n">
        <v>0.18</v>
      </c>
      <c r="F12" s="65" t="inlineStr">
        <is>
          <t>Recommended value in both annexes</t>
        </is>
      </c>
    </row>
    <row r="13">
      <c r="B13" s="64" t="inlineStr">
        <is>
          <t>k1  (axial stress term, punching)</t>
        </is>
      </c>
      <c r="C13" s="65" t="inlineStr">
        <is>
          <t>6.4.4(1)</t>
        </is>
      </c>
      <c r="D13" s="66" t="n">
        <v>0.1</v>
      </c>
      <c r="E13" s="66" t="n">
        <v>0.1</v>
      </c>
      <c r="F13" s="65" t="inlineStr">
        <is>
          <t>Recommended value in both annexes</t>
        </is>
      </c>
    </row>
    <row r="14">
      <c r="B14" s="64" t="inlineStr">
        <is>
          <t>vRd,max factor  (vRd,max = factor · ν · fcd)</t>
        </is>
      </c>
      <c r="C14" s="65" t="inlineStr">
        <is>
          <t>6.4.5(3)</t>
        </is>
      </c>
      <c r="D14" s="66" t="n">
        <v>0.5</v>
      </c>
      <c r="E14" s="66" t="n">
        <v>0.4</v>
      </c>
      <c r="F14" s="65" t="inlineStr">
        <is>
          <t>UK NA: 0.5 ν fcd; PL: recommended value (NA.9), 0.4 ν fcd since EN 1992-1-1 AC:2010 (PN-EN 1992-1-1:2008/AC:2011)</t>
        </is>
      </c>
    </row>
    <row r="15">
      <c r="B15" s="64" t="inlineStr">
        <is>
          <t>kmax  (vEd ≤ kmax · vRd,c at u1)</t>
        </is>
      </c>
      <c r="C15" s="65" t="inlineStr">
        <is>
          <t>6.4.5</t>
        </is>
      </c>
      <c r="D15" s="66" t="n">
        <v>2</v>
      </c>
      <c r="E15" s="66" t="n">
        <v>1.5</v>
      </c>
      <c r="F15" s="65" t="inlineStr">
        <is>
          <t>UK NA 6.4.5(3): 2 vRd,c. PL: no limit in PN-EN 1992-1-1:2008; 1.5 (A1:2014 recommendation) applied conservatively</t>
        </is>
      </c>
    </row>
    <row r="16">
      <c r="B16" s="64" t="inlineStr">
        <is>
          <t>φlarge  (large bar threshold, mm)</t>
        </is>
      </c>
      <c r="C16" s="65" t="inlineStr">
        <is>
          <t>8.8(1)</t>
        </is>
      </c>
      <c r="D16" s="66" t="n">
        <v>40</v>
      </c>
      <c r="E16" s="66" t="n">
        <v>32</v>
      </c>
      <c r="F16" s="65" t="inlineStr">
        <is>
          <t>UK NA: 40 mm; PL: 32 mm recommended (NA.9)</t>
        </is>
      </c>
    </row>
    <row r="17">
      <c r="B17" s="64" t="inlineStr">
        <is>
          <t>cot θ upper limit  (variable strut)</t>
        </is>
      </c>
      <c r="C17" s="65" t="inlineStr">
        <is>
          <t>6.2.3(2)</t>
        </is>
      </c>
      <c r="D17" s="66" t="n">
        <v>2.5</v>
      </c>
      <c r="E17" s="66" t="n">
        <v>2</v>
      </c>
      <c r="F17" s="65" t="inlineStr">
        <is>
          <t>UK NA: 2.5 (1.25 with axial tension); PL: NA.4, 1 ≤ cot θ ≤ 2.0</t>
        </is>
      </c>
    </row>
    <row r="18">
      <c r="B18" s="64" t="inlineStr">
        <is>
          <t>k1  (x/d limit, δ ≥ k1 + k2 xu/d)</t>
        </is>
      </c>
      <c r="C18" s="65" t="inlineStr">
        <is>
          <t>5.5(4)</t>
        </is>
      </c>
      <c r="D18" s="66" t="n">
        <v>0.4</v>
      </c>
      <c r="E18" s="66" t="n">
        <v>0.44</v>
      </c>
      <c r="F18" s="65" t="inlineStr">
        <is>
          <t>UK NA for fyk ≤ 500 MPa; PL: recommended (NA.9)</t>
        </is>
      </c>
    </row>
    <row r="19">
      <c r="B19" s="64" t="inlineStr">
        <is>
          <t>k2  (x/d limit, εcu2 = 0.0035)</t>
        </is>
      </c>
      <c r="C19" s="65" t="inlineStr">
        <is>
          <t>5.5(4)</t>
        </is>
      </c>
      <c r="D19" s="66" t="n">
        <v>1</v>
      </c>
      <c r="E19" s="66" t="n">
        <v>1.25</v>
      </c>
      <c r="F19" s="65" t="inlineStr">
        <is>
          <t>UK NA: 0.6 + 0.0014/εcu2; PL: 1.25(0.6 + 0.0014/εcu2)</t>
        </is>
      </c>
    </row>
    <row r="20">
      <c r="B20" s="64" t="inlineStr">
        <is>
          <t>Upper limit on the (310/σs) factor  (0 = none)</t>
        </is>
      </c>
      <c r="C20" s="65" t="inlineStr">
        <is>
          <t>7.4.2(2)</t>
        </is>
      </c>
      <c r="D20" s="66" t="n">
        <v>1.5</v>
      </c>
      <c r="E20" s="66" t="n">
        <v>0</v>
      </c>
      <c r="F20" s="65" t="inlineStr">
        <is>
          <t>UK NA Table NA.5 Note 5: (310/σs) or (500/fyk)(As,prov/As,req) ≤ 1.5; PL: none</t>
        </is>
      </c>
    </row>
    <row r="21">
      <c r="B21" s="64" t="inlineStr">
        <is>
          <t>L/d not to exceed 40 K  (1 = applies)</t>
        </is>
      </c>
      <c r="C21" s="65" t="inlineStr">
        <is>
          <t>7.4.2(2)</t>
        </is>
      </c>
      <c r="D21" s="66" t="n">
        <v>1</v>
      </c>
      <c r="E21" s="66" t="n">
        <v>0</v>
      </c>
      <c r="F21" s="65" t="inlineStr">
        <is>
          <t>UK NA Table NA.5 Note 6; not in EN text</t>
        </is>
      </c>
    </row>
    <row r="22">
      <c r="B22" s="64" t="inlineStr">
        <is>
          <t>φmin  (longitudinal bars in columns, mm)</t>
        </is>
      </c>
      <c r="C22" s="65" t="inlineStr">
        <is>
          <t>9.5.2(1)</t>
        </is>
      </c>
      <c r="D22" s="66" t="n">
        <v>12</v>
      </c>
      <c r="E22" s="66" t="n">
        <v>6</v>
      </c>
      <c r="F22" s="65" t="inlineStr">
        <is>
          <t>UK NA: 12 mm; PL: NA.6, 6 mm</t>
        </is>
      </c>
    </row>
    <row r="23">
      <c r="B23" s="64" t="inlineStr">
        <is>
          <t>k3  (crack spacing)</t>
        </is>
      </c>
      <c r="C23" s="65" t="inlineStr">
        <is>
          <t>7.3.4(3)</t>
        </is>
      </c>
      <c r="D23" s="66" t="n">
        <v>3.4</v>
      </c>
      <c r="E23" s="66" t="n">
        <v>3.4</v>
      </c>
      <c r="F23" s="65" t="inlineStr">
        <is>
          <t>Recommended value in both annexes</t>
        </is>
      </c>
    </row>
    <row r="24">
      <c r="B24" s="64" t="inlineStr">
        <is>
          <t>k4  (crack spacing)</t>
        </is>
      </c>
      <c r="C24" s="65" t="inlineStr">
        <is>
          <t>7.3.4(3)</t>
        </is>
      </c>
      <c r="D24" s="66" t="n">
        <v>0.425</v>
      </c>
      <c r="E24" s="66" t="n">
        <v>0.425</v>
      </c>
      <c r="F24" s="65" t="inlineStr">
        <is>
          <t>Recommended value in both annexes</t>
        </is>
      </c>
    </row>
    <row r="25">
      <c r="B25" s="64" t="inlineStr">
        <is>
          <t>k1  (concrete stress, characteristic; XD, XF, XS)</t>
        </is>
      </c>
      <c r="C25" s="65" t="inlineStr">
        <is>
          <t>7.2(2)</t>
        </is>
      </c>
      <c r="D25" s="66" t="n">
        <v>0.6</v>
      </c>
      <c r="E25" s="66" t="n">
        <v>1</v>
      </c>
      <c r="F25" s="65" t="inlineStr">
        <is>
          <t>UK NA: recommended; PL: NA.5, k1 = 1.0</t>
        </is>
      </c>
    </row>
    <row r="26">
      <c r="B26" s="64" t="inlineStr">
        <is>
          <t>k2  (concrete stress, quasi-permanent; linear creep)</t>
        </is>
      </c>
      <c r="C26" s="65" t="inlineStr">
        <is>
          <t>7.2(3)</t>
        </is>
      </c>
      <c r="D26" s="66" t="n">
        <v>0.45</v>
      </c>
      <c r="E26" s="66" t="n">
        <v>0.45</v>
      </c>
      <c r="F26" s="65" t="inlineStr">
        <is>
          <t>Recommended value in both annexes (UK NA; PL NA.9)</t>
        </is>
      </c>
    </row>
    <row r="27">
      <c r="B27" s="64" t="inlineStr">
        <is>
          <t>k3  (steel stress, characteristic)</t>
        </is>
      </c>
      <c r="C27" s="65" t="inlineStr">
        <is>
          <t>7.2(5)</t>
        </is>
      </c>
      <c r="D27" s="66" t="n">
        <v>0.8</v>
      </c>
      <c r="E27" s="66" t="n">
        <v>0.8</v>
      </c>
      <c r="F27" s="65" t="inlineStr">
        <is>
          <t>Recommended value in both annexes (UK NA; PL NA.9)</t>
        </is>
      </c>
    </row>
    <row r="28">
      <c r="B28" s="64" t="inlineStr">
        <is>
          <t>k4  (steel stress, imposed deformation)</t>
        </is>
      </c>
      <c r="C28" s="65" t="inlineStr">
        <is>
          <t>7.2(5)</t>
        </is>
      </c>
      <c r="D28" s="66" t="n">
        <v>1</v>
      </c>
      <c r="E28" s="66" t="n">
        <v>1</v>
      </c>
      <c r="F28" s="65"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&amp;K8A8A8ANAE-RC-045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NAE-RC-045 Reinforced wall</dc:title>
  <dc:subject xmlns:dc="http://purl.org/dc/elements/1.1/">Braced reinforced concrete wall per metre run  ·  EN 1992-1-1 §5.8, §6.1, §9.6  ·  UK NA / PN-EN</dc:subject>
  <dcterms:created xmlns:dcterms="http://purl.org/dc/terms/" xmlns:xsi="http://www.w3.org/2001/XMLSchema-instance" xsi:type="dcterms:W3CDTF">2026-10-30T10:58:42Z</dcterms:created>
  <dcterms:modified xmlns:dcterms="http://purl.org/dc/terms/" xmlns:xsi="http://www.w3.org/2001/XMLSchema-instance" xsi:type="dcterms:W3CDTF">2026-10-30T10:58:42Z</dcterms:modified>
  <cp:lastModifiedBy>NA Engineering sp. z o.o.</cp:lastModifiedBy>
  <cp:keywords>NA Engineering; Eurocode 2; EN 1992-1-1</cp:keywords>
</cp:coreProperties>
</file>