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db_fyk">'Calculation'!$E$13</definedName>
    <definedName name="db_dg">'Calculation'!$E$14</definedName>
    <definedName name="db_b">'Calculation'!$E$15</definedName>
    <definedName name="db_h">'Calculation'!$E$16</definedName>
    <definedName name="db_l">'Calculation'!$E$17</definedName>
    <definedName name="db_e">'Calculation'!$E$18</definedName>
    <definedName name="db_a1">'Calculation'!$E$19</definedName>
    <definedName name="db_a2">'Calculation'!$E$20</definedName>
    <definedName name="db_c">'Calculation'!$E$21</definedName>
    <definedName name="db_pt">'Calculation'!$E$24</definedName>
    <definedName name="db_nt">'Calculation'!$E$25</definedName>
    <definedName name="db_nl">'Calculation'!$E$26</definedName>
    <definedName name="db_anc">'Calculation'!$E$27</definedName>
    <definedName name="db_pv">'Calculation'!$E$28</definedName>
    <definedName name="db_sv">'Calculation'!$E$29</definedName>
    <definedName name="db_ph">'Calculation'!$E$30</definedName>
    <definedName name="db_sh">'Calculation'!$E$31</definedName>
    <definedName name="db_w">'Calculation'!$E$34</definedName>
    <definedName name="db_F">'Calculation'!$E$35</definedName>
    <definedName name="gap_db">MAX(db_pt,db_dg+5,20)</definedName>
    <definedName name="u_db">db_c+db_pv+db_pt/2+(db_nl-1)*(db_pt+gap_db)/2</definedName>
    <definedName name="xv0_db">-db_e+db_c+db_pv/2</definedName>
    <definedName name="ytop_db">db_c+db_pv+db_pt/2+(db_nl-1)*(db_pt+gap_db)</definedName>
    <definedName name="yh0_db">ytop_db+db_pt/2+MAX(db_pt,db_ph,db_dg+5,20)+db_ph/2</definedName>
    <definedName name="bend_db">db_anc="90° bend up  (standard bend)"</definedName>
    <definedName name="cs_db">db_c+db_pv+IF(bend_db,db_ph,0)</definedName>
    <definedName name="yh1_db">db_h-db_c-db_pv-db_ph/2</definedName>
    <definedName name="dc_db">IF(db_dg&gt;32,5,0)</definedName>
    <definedName name="nv_db">INT((db_l+2*db_e-2*db_c-db_pv)/db_sv+1E-9)+1</definedName>
    <definedName name="nh_db">INT((yh1_db-yh0_db)/db_sh+1E-9)+1</definedName>
    <definedName name="inputs_ok">IFERROR(AND(OR(NA_sel="UK NA (BS EN)",NA_sel="PL NA (PN-EN)"),OR(conc_class="C20/25",conc_class="C25/30",conc_class="C28/35",conc_class="C30/37",conc_class="C32/40",conc_class="C35/45",conc_class="C40/50",conc_class="C45/55",conc_class="C50/60"),ISNUMBER(db_fyk),db_fyk&gt;0,ISNUMBER(db_dg),db_dg&gt;0,ISNUMBER(db_b),db_b&gt;0,ISNUMBER(db_h),db_h&gt;0,ISNUMBER(db_l),db_l&gt;0,ISNUMBER(db_e),db_e&gt;0,ISNUMBER(db_a1),db_a1&gt;0,ISNUMBER(db_a2),db_a2&gt;0,ISNUMBER(db_c),db_c&gt;0,OR(AND(ISNUMBER(db_pt),db_pt=8),AND(ISNUMBER(db_pt),db_pt=10),AND(ISNUMBER(db_pt),db_pt=12),AND(ISNUMBER(db_pt),db_pt=16),AND(ISNUMBER(db_pt),db_pt=20),AND(ISNUMBER(db_pt),db_pt=25),AND(ISNUMBER(db_pt),db_pt=32),AND(ISNUMBER(db_pt),db_pt=40)),OR(AND(ISNUMBER(db_nt),db_nt=2),AND(ISNUMBER(db_nt),db_nt=3),AND(ISNUMBER(db_nt),db_nt=4),AND(ISNUMBER(db_nt),db_nt=5),AND(ISNUMBER(db_nt),db_nt=6),AND(ISNUMBER(db_nt),db_nt=7),AND(ISNUMBER(db_nt),db_nt=8),AND(ISNUMBER(db_nt),db_nt=9),AND(ISNUMBER(db_nt),db_nt=10),AND(ISNUMBER(db_nt),db_nt=11),AND(ISNUMBER(db_nt),db_nt=12)),OR(AND(ISNUMBER(db_nl),db_nl=1),AND(ISNUMBER(db_nl),db_nl=2),AND(ISNUMBER(db_nl),db_nl=3)),OR(db_anc="Straight",db_anc="90° bend up  (standard bend)"),OR(AND(ISNUMBER(db_pv),db_pv=8),AND(ISNUMBER(db_pv),db_pv=10),AND(ISNUMBER(db_pv),db_pv=12),AND(ISNUMBER(db_pv),db_pv=16),AND(ISNUMBER(db_pv),db_pv=20)),ISNUMBER(db_sv),db_sv&gt;0,OR(AND(ISNUMBER(db_ph),db_ph=8),AND(ISNUMBER(db_ph),db_ph=10),AND(ISNUMBER(db_ph),db_ph=12),AND(ISNUMBER(db_ph),db_ph=16),AND(ISNUMBER(db_ph),db_ph=20)),ISNUMBER(db_sh),db_sh&gt;0,ISNUMBER(db_w),db_w&gt;=0,ISNUMBER(db_F),db_F&gt;=0,AND(db_fyk&gt;=400,db_fyk&lt;=500,db_w+db_F&gt;0,db_e&gt;=db_a1/2,db_e&gt;db_c+db_pv,db_a1+db_a2&lt;db_l,db_b&gt;2*(db_c+db_pv)+db_nt*db_pt,MIN(db_h,db_l)&gt;4*u_db,db_sv&gt;db_pv,db_sh&gt;db_ph,nv_db&lt;=160,nh_db&lt;=80,yh0_db&lt;=yh1_db,db_c&gt;=db_pv+dc_db,db_c+db_pv&gt;=db_pt+dc_db,db_c+db_pv&gt;=db_ph+dc_db)),FALSE)</definedName>
    <definedName name="input_status">'Calculation'!$G$36</definedName>
    <definedName name="mod_db">IFERROR(AND(inputs_ok,IF(db_F&gt;0,tanF_db,tanw_db)&gt;=0.5),FALSE)</definedName>
    <definedName name="geom_status">'Calculation'!$G$60</definedName>
    <definedName name="tie_status">'Calculation'!$G$61</definedName>
    <definedName name="sup_status">'Calculation'!$G$62</definedName>
    <definedName name="top_status">'Calculation'!$G$63</definedName>
    <definedName name="strut_status">'Calculation'!$G$64</definedName>
    <definedName name="anch_status">'Calculation'!$G$65</definedName>
    <definedName name="web_status">'Calculation'!$G$66</definedName>
    <definedName name="gamma_c">'Calculation'!$E$70</definedName>
    <definedName name="gamma_s">'Calculation'!$E$71</definedName>
    <definedName name="alpha_cc">'Calculation'!$E$72</definedName>
    <definedName name="alpha_ct">'Calculation'!$E$73</definedName>
    <definedName name="phi_large">'Calculation'!$E$74</definedName>
    <definedName name="k1_db">'Calculation'!$E$75</definedName>
    <definedName name="k2_db">'Calculation'!$E$76</definedName>
    <definedName name="f_ck">'Calculation'!$E$77</definedName>
    <definedName name="f_ctm">'Calculation'!$E$78</definedName>
    <definedName name="fcd_db">'Calculation'!$E$79</definedName>
    <definedName name="fyd_db">'Calculation'!$E$80</definedName>
    <definedName name="nup_db">'Calculation'!$E$81</definedName>
    <definedName name="sccc_db">'Calculation'!$E$82</definedName>
    <definedName name="scct_db">'Calculation'!$E$83</definedName>
    <definedName name="sstr_db">'Calculation'!$E$84</definedName>
    <definedName name="lh_db">'Calculation'!$E$87</definedName>
    <definedName name="d_db">'Calculation'!$E$90</definedName>
    <definedName name="de_db">'Calculation'!$E$91</definedName>
    <definedName name="Rw_db">'Calculation'!$E$92</definedName>
    <definedName name="RF_db">'Calculation'!$E$93</definedName>
    <definedName name="R_db">'Calculation'!$E$94</definedName>
    <definedName name="M_db">'Calculation'!$E$95</definedName>
    <definedName name="as_db">'Calculation'!$E$96</definedName>
    <definedName name="disc_db">de_db^2-2*M_db*1E6/(db_b*sccc_db)</definedName>
    <definedName name="y0_db">'Calculation'!$E$99</definedName>
    <definedName name="z0_db">'Calculation'!$E$100</definedName>
    <definedName name="zel_db">'Calculation'!$E$101</definedName>
    <definedName name="z_db">'Calculation'!$E$102</definedName>
    <definedName name="y_db">'Calculation'!$E$103</definedName>
    <definedName name="T_db">'Calculation'!$E$104</definedName>
    <definedName name="Cw_db">'Calculation'!$E$105</definedName>
    <definedName name="tanw_db">'Calculation'!$E$106</definedName>
    <definedName name="tanF_db">'Calculation'!$E$107</definedName>
    <definedName name="thw_db">'Calculation'!$E$109</definedName>
    <definedName name="thF_db">'Calculation'!$E$110</definedName>
    <definedName name="Fcw_db">'Calculation'!$E$111</definedName>
    <definedName name="FcF_db">'Calculation'!$E$112</definedName>
    <definedName name="tan_db">'Calculation'!$E$113</definedName>
    <definedName name="th_db">'Calculation'!$E$114</definedName>
    <definedName name="Fc_db">'Calculation'!$E$115</definedName>
    <definedName name="Asreq_db">'Calculation'!$E$118</definedName>
    <definedName name="Asprov_db">'Calculation'!$E$119</definedName>
    <definedName name="gapa_db">'Calculation'!$E$122</definedName>
    <definedName name="sb1_db">'Calculation'!$E$126</definedName>
    <definedName name="wb_db">'Calculation'!$E$127</definedName>
    <definedName name="sn1_db">'Calculation'!$E$128</definedName>
    <definedName name="sb2_db">'Calculation'!$E$130</definedName>
    <definedName name="sgh_db">'Calculation'!$E$131</definedName>
    <definedName name="wtw_db">'Calculation'!$E$132</definedName>
    <definedName name="wtF_db">'Calculation'!$E$133</definedName>
    <definedName name="sn2_db">'Calculation'!$E$134</definedName>
    <definedName name="Hw_db">'Calculation'!$E$138</definedName>
    <definedName name="aw_db">'Calculation'!$E$139</definedName>
    <definedName name="sigw_db">'Calculation'!$E$140</definedName>
    <definedName name="Tsw_db">'Calculation'!$E$141</definedName>
    <definedName name="Rspw_db">'Calculation'!$E$142</definedName>
    <definedName name="HF_db">'Calculation'!$E$143</definedName>
    <definedName name="aF_db">'Calculation'!$E$144</definedName>
    <definedName name="sigF_db">'Calculation'!$E$145</definedName>
    <definedName name="TsF_db">'Calculation'!$E$146</definedName>
    <definedName name="RspF_db">'Calculation'!$E$147</definedName>
    <definedName name="strut_ok_db">AND(sigw_db&lt;=sstr_db,sigF_db&lt;=sstr_db,Tsw_db/Rspw_db+TsF_db/RspF_db&lt;=1)</definedName>
    <definedName name="fctd_db">'Calculation'!$E$151</definedName>
    <definedName name="eta1_db">'Calculation'!$E$152</definedName>
    <definedName name="fbd_db">'Calculation'!$E$153</definedName>
    <definedName name="sigsd_db">'Calculation'!$E$154</definedName>
    <definedName name="lbr_db">'Calculation'!$E$155</definedName>
    <definedName name="cd_db">'Calculation'!$E$156</definedName>
    <definedName name="al1_db">'Calculation'!$E$157</definedName>
    <definedName name="al2_db">'Calculation'!$E$158</definedName>
    <definedName name="lbmin_db">'Calculation'!$E$159</definedName>
    <definedName name="lbd_db">'Calculation'!$E$160</definedName>
    <definedName name="lav_db">'Calculation'!$E$161</definedName>
    <definedName name="Fbt_db">'Calculation'!$E$163</definedName>
    <definedName name="ab_db">'Calculation'!$E$164</definedName>
    <definedName name="phim_db">'Calculation'!$E$165</definedName>
    <definedName name="ytail_db">'Calculation'!$E$166</definedName>
    <definedName name="bend_ok_db">OR(db_anc&lt;&gt;"90° bend up  (standard bend)",AND(db_nl=1,ytail_db&lt;=db_h-db_c-db_pv))</definedName>
    <definedName name="rhodb_db">'Calculation'!$E$170</definedName>
    <definedName name="Asdb0_db">'Calculation'!$E$171</definedName>
    <definedName name="Asdbmin_db">'Calculation'!$E$172</definedName>
    <definedName name="Ash_db">'Calculation'!$E$173</definedName>
    <definedName name="Asv_db">'Calculation'!$E$174</definedName>
    <definedName name="smax_db">'Calculation'!$E$175</definedName>
    <definedName name="gmh_db">'Calculation'!$E$176</definedName>
    <definedName name="gmv_db">'Calculation'!$E$177</definedName>
    <definedName name="web_ok_db">AND(Ash_db&gt;=Asdbmin_db,Asv_db&gt;=Asdbmin_db,db_sh&lt;=smax_db,db_sv&lt;=smax_db,db_sh-db_ph&gt;=gmh_db,db_sv-db_pv&gt;=gmv_db)</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dp_k1_db">INDEX('NDP'!$D$29:$E$29,na_idx)</definedName>
    <definedName name="ndp_k2_db">INDEX('NDP'!$D$30:$E$30,na_idx)</definedName>
    <definedName name="ndp_rhodb_db">INDEX('NDP'!$D$31:$E$31,na_idx)</definedName>
    <definedName name="ndp_Asdb0_db">INDEX('NDP'!$D$32:$E$32,na_idx)</definedName>
    <definedName name="na_idx">IF(NA_sel="PL NA (PN-EN)",2,IF(NA_sel="UK NA (BS EN)",1,NA()))</definedName>
    <definedName name="_xlnm.Print_Area" localSheetId="0">'About'!$A$1:$D$39</definedName>
    <definedName name="_xlnm.Print_Area" localSheetId="1">'Calculation'!$A$1:$H$184</definedName>
    <definedName name="_xlnm.Print_Area" localSheetId="3">'NDP'!$A$1:$G$33</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5" fontId="12" fillId="0" borderId="1" applyAlignment="1" pivotButton="0" quotePrefix="0" xfId="0">
      <alignment horizontal="center" vertical="center"/>
    </xf>
    <xf numFmtId="1"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outline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bearing 0</v>
          </tx>
          <spPr>
            <a:ln xmlns:a="http://schemas.openxmlformats.org/drawingml/2006/main" w="19050">
              <a:solidFill>
                <a:srgbClr val="9A9A9A"/>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bearing 1</v>
          </tx>
          <spPr>
            <a:ln xmlns:a="http://schemas.openxmlformats.org/drawingml/2006/main" w="19050">
              <a:solidFill>
                <a:srgbClr val="9A9A9A"/>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load plate</v>
          </tx>
          <spPr>
            <a:ln xmlns:a="http://schemas.openxmlformats.org/drawingml/2006/main" w="19050">
              <a:solidFill>
                <a:srgbClr val="9A9A9A"/>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F</v>
          </tx>
          <spPr>
            <a:ln xmlns:a="http://schemas.openxmlformats.org/drawingml/2006/main" w="25400">
              <a:solidFill>
                <a:srgbClr val="B3261E"/>
              </a:solidFill>
              <a:prstDash val="solid"/>
              <a:tailEnd type="triangle" w="sm" len="sm"/>
            </a:ln>
          </spPr>
          <marker>
            <symbol val="none"/>
            <spPr>
              <a:ln xmlns:a="http://schemas.openxmlformats.org/drawingml/2006/main">
                <a:prstDash val="solid"/>
              </a:ln>
            </spPr>
          </marker>
          <xVal>
            <numRef>
              <f>'Geometry'!$P$3:$P$4</f>
            </numRef>
          </xVal>
          <yVal>
            <numRef>
              <f>'Geometry'!$Q$3:$Q$4</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'Geometry'!$S$3</f>
            </numRef>
          </xVal>
          <yVal>
            <numRef>
              <f>'Geometry'!$T$3</f>
            </numRef>
          </yVal>
          <smooth val="0"/>
        </ser>
        <ser>
          <idx val="7"/>
          <order val="7"/>
          <tx>
            <v>w line</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w 0</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v>w 1</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'Geometry'!$AB$3:$AB$4</f>
            </numRef>
          </xVal>
          <yVal>
            <numRef>
              <f>'Geometry'!$AC$3:$AC$4</f>
            </numRef>
          </yVal>
          <smooth val="0"/>
        </ser>
        <ser>
          <idx val="10"/>
          <order val="10"/>
          <tx>
            <v>w 2</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v>w 3</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'Geometry'!$AH$3:$AH$4</f>
            </numRef>
          </xVal>
          <yVal>
            <numRef>
              <f>'Geometry'!$AI$3:$AI$4</f>
            </numRef>
          </yVal>
          <smooth val="0"/>
        </ser>
        <ser>
          <idx val="12"/>
          <order val="12"/>
          <tx>
            <v>w 4</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v>w 5</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'Geometry'!$AN$3:$AN$4</f>
            </numRef>
          </xVal>
          <yVal>
            <numRef>
              <f>'Geometry'!$AO$3:$AO$4</f>
            </numRef>
          </yVal>
          <smooth val="0"/>
        </ser>
        <ser>
          <idx val="14"/>
          <order val="14"/>
          <tx>
            <v>w 6</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'Geometry'!$AQ$3:$AQ$4</f>
            </numRef>
          </xVal>
          <yVal>
            <numRef>
              <f>'Geometry'!$AR$3:$AR$4</f>
            </numRef>
          </yVal>
          <smooth val="0"/>
        </ser>
        <ser>
          <idx val="15"/>
          <order val="15"/>
          <tx>
            <v>w 7</v>
          </tx>
          <spPr>
            <a:ln xmlns:a="http://schemas.openxmlformats.org/drawingml/2006/main" w="12700">
              <a:solidFill>
                <a:srgbClr val="B3261E"/>
              </a:solidFill>
              <a:prstDash val="solid"/>
              <a:tailEnd type="triangle" w="sm" len="sm"/>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'Geometry'!$AW$3</f>
            </numRef>
          </xVal>
          <yVal>
            <numRef>
              <f>'Geometry'!$AX$3</f>
            </numRef>
          </yVal>
          <smooth val="0"/>
        </ser>
        <ser>
          <idx val="17"/>
          <order val="17"/>
          <tx>
            <v>tie layer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'Geometry'!$AZ$3:$AZ$18</f>
            </numRef>
          </xVal>
          <yVal>
            <numRef>
              <f>'Geometry'!$BA$3:$BA$18</f>
            </numRef>
          </yVal>
          <smooth val="0"/>
        </ser>
        <ser>
          <idx val="18"/>
          <order val="18"/>
          <tx>
            <v>tie layer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'Geometry'!$BC$3:$BC$18</f>
            </numRef>
          </xVal>
          <yVal>
            <numRef>
              <f>'Geometry'!$BD$3:$BD$18</f>
            </numRef>
          </yVal>
          <smooth val="0"/>
        </ser>
        <ser>
          <idx val="19"/>
          <order val="19"/>
          <tx>
            <v>tie layer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'Geometry'!$BF$3:$BF$18</f>
            </numRef>
          </xVal>
          <yVal>
            <numRef>
              <f>'Geometry'!$BG$3:$BG$18</f>
            </numRef>
          </yVal>
          <smooth val="0"/>
        </ser>
        <ser>
          <idx val="20"/>
          <order val="20"/>
          <tx>
            <v>vertical bars</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'Geometry'!$BI$3:$BI$322</f>
            </numRef>
          </xVal>
          <yVal>
            <numRef>
              <f>'Geometry'!$BJ$3:$BJ$322</f>
            </numRef>
          </yVal>
          <smooth val="0"/>
        </ser>
        <ser>
          <idx val="21"/>
          <order val="21"/>
          <tx>
            <v>horizontal bars</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'Geometry'!$BL$3:$BL$162</f>
            </numRef>
          </xVal>
          <yVal>
            <numRef>
              <f>'Geometry'!$BM$3:$BM$162</f>
            </numRef>
          </yVal>
          <smooth val="0"/>
        </ser>
        <ser>
          <idx val="22"/>
          <order val="22"/>
          <tx>
            <v>tie</v>
          </tx>
          <spPr>
            <a:ln xmlns:a="http://schemas.openxmlformats.org/drawingml/2006/main" w="31750">
              <a:solidFill>
                <a:srgbClr val="5B7F8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strut w left</v>
          </tx>
          <spPr>
            <a:ln xmlns:a="http://schemas.openxmlformats.org/drawingml/2006/main" w="25400">
              <a:solidFill>
                <a:srgbClr val="5B7F8A"/>
              </a:solidFill>
              <a:prstDash val="dash"/>
            </a:ln>
          </spPr>
          <marker>
            <symbol val="none"/>
            <spPr>
              <a:ln xmlns:a="http://schemas.openxmlformats.org/drawingml/2006/main">
                <a:prstDash val="solid"/>
              </a:ln>
            </spPr>
          </marker>
          <xVal>
            <numRef>
              <f>'Geometry'!$BR$3:$BR$4</f>
            </numRef>
          </xVal>
          <yVal>
            <numRef>
              <f>'Geometry'!$BS$3:$BS$4</f>
            </numRef>
          </yVal>
          <smooth val="0"/>
        </ser>
        <ser>
          <idx val="24"/>
          <order val="24"/>
          <tx>
            <v>strut w right</v>
          </tx>
          <spPr>
            <a:ln xmlns:a="http://schemas.openxmlformats.org/drawingml/2006/main" w="25400">
              <a:solidFill>
                <a:srgbClr val="5B7F8A"/>
              </a:solidFill>
              <a:prstDash val="dash"/>
            </a:ln>
          </spPr>
          <marker>
            <symbol val="none"/>
            <spPr>
              <a:ln xmlns:a="http://schemas.openxmlformats.org/drawingml/2006/main">
                <a:prstDash val="solid"/>
              </a:ln>
            </spPr>
          </marker>
          <xVal>
            <numRef>
              <f>'Geometry'!$BU$3:$BU$4</f>
            </numRef>
          </xVal>
          <yVal>
            <numRef>
              <f>'Geometry'!$BV$3:$BV$4</f>
            </numRef>
          </yVal>
          <smooth val="0"/>
        </ser>
        <ser>
          <idx val="25"/>
          <order val="25"/>
          <tx>
            <v>strut F left</v>
          </tx>
          <spPr>
            <a:ln xmlns:a="http://schemas.openxmlformats.org/drawingml/2006/main" w="25400">
              <a:solidFill>
                <a:srgbClr val="5B7F8A"/>
              </a:solidFill>
              <a:prstDash val="dash"/>
            </a:ln>
          </spPr>
          <marker>
            <symbol val="none"/>
            <spPr>
              <a:ln xmlns:a="http://schemas.openxmlformats.org/drawingml/2006/main">
                <a:prstDash val="solid"/>
              </a:ln>
            </spPr>
          </marker>
          <xVal>
            <numRef>
              <f>'Geometry'!$BX$3:$BX$4</f>
            </numRef>
          </xVal>
          <yVal>
            <numRef>
              <f>'Geometry'!$BY$3:$BY$4</f>
            </numRef>
          </yVal>
          <smooth val="0"/>
        </ser>
        <ser>
          <idx val="26"/>
          <order val="26"/>
          <tx>
            <v>strut F right</v>
          </tx>
          <spPr>
            <a:ln xmlns:a="http://schemas.openxmlformats.org/drawingml/2006/main" w="25400">
              <a:solidFill>
                <a:srgbClr val="5B7F8A"/>
              </a:solidFill>
              <a:prstDash val="dash"/>
            </a:ln>
          </spPr>
          <marker>
            <symbol val="none"/>
            <spPr>
              <a:ln xmlns:a="http://schemas.openxmlformats.org/drawingml/2006/main">
                <a:prstDash val="solid"/>
              </a:ln>
            </spPr>
          </marker>
          <xVal>
            <numRef>
              <f>'Geometry'!$CA$3:$CA$4</f>
            </numRef>
          </xVal>
          <yVal>
            <numRef>
              <f>'Geometry'!$CB$3:$CB$4</f>
            </numRef>
          </yVal>
          <smooth val="0"/>
        </ser>
        <ser>
          <idx val="27"/>
          <order val="27"/>
          <tx>
            <v>strut top</v>
          </tx>
          <spPr>
            <a:ln xmlns:a="http://schemas.openxmlformats.org/drawingml/2006/main" w="25400">
              <a:solidFill>
                <a:srgbClr val="5B7F8A"/>
              </a:solidFill>
              <a:prstDash val="dash"/>
            </a:ln>
          </spPr>
          <marker>
            <symbol val="none"/>
            <spPr>
              <a:ln xmlns:a="http://schemas.openxmlformats.org/drawingml/2006/main">
                <a:prstDash val="solid"/>
              </a:ln>
            </spPr>
          </marker>
          <xVal>
            <numRef>
              <f>'Geometry'!$CD$3:$CD$4</f>
            </numRef>
          </xVal>
          <yVal>
            <numRef>
              <f>'Geometry'!$CE$3:$CE$4</f>
            </numRef>
          </yVal>
          <smooth val="0"/>
        </ser>
        <ser>
          <idx val="28"/>
          <order val="28"/>
          <tx>
            <v>nodes</v>
          </tx>
          <spPr>
            <a:ln xmlns:a="http://schemas.openxmlformats.org/drawingml/2006/main">
              <a:noFill/>
              <a:prstDash val="solid"/>
            </a:ln>
          </spPr>
          <marker>
            <symbol val="circle"/>
            <size val="5"/>
            <spPr>
              <a:solidFill xmlns:a="http://schemas.openxmlformats.org/drawingml/2006/main">
                <a:srgbClr val="B3261E"/>
              </a:solidFill>
              <a:ln xmlns:a="http://schemas.openxmlformats.org/drawingml/2006/main">
                <a:solidFill>
                  <a:srgbClr val="B3261E"/>
                </a:solidFill>
                <a:prstDash val="solid"/>
              </a:ln>
            </spPr>
          </marker>
          <xVal>
            <numRef>
              <f>'Geometry'!$CG$3:$CG$4</f>
            </numRef>
          </xVal>
          <yVal>
            <numRef>
              <f>'Geometry'!$CH$3:$CH$4</f>
            </numRef>
          </yVal>
          <smooth val="0"/>
        </ser>
        <ser>
          <idx val="29"/>
          <order val="29"/>
          <tx>
            <v>nodes w</v>
          </tx>
          <spPr>
            <a:ln xmlns:a="http://schemas.openxmlformats.org/drawingml/2006/main">
              <a:noFill/>
              <a:prstDash val="solid"/>
            </a:ln>
          </spPr>
          <marker>
            <symbol val="circle"/>
            <size val="5"/>
            <spPr>
              <a:solidFill xmlns:a="http://schemas.openxmlformats.org/drawingml/2006/main">
                <a:srgbClr val="B3261E"/>
              </a:solidFill>
              <a:ln xmlns:a="http://schemas.openxmlformats.org/drawingml/2006/main">
                <a:solidFill>
                  <a:srgbClr val="B3261E"/>
                </a:solidFill>
                <a:prstDash val="solid"/>
              </a:ln>
            </spPr>
          </marker>
          <xVal>
            <numRef>
              <f>'Geometry'!$CJ$3:$CJ$4</f>
            </numRef>
          </xVal>
          <yVal>
            <numRef>
              <f>'Geometry'!$CK$3:$CK$4</f>
            </numRef>
          </yVal>
          <smooth val="0"/>
        </ser>
        <ser>
          <idx val="30"/>
          <order val="30"/>
          <tx>
            <v>node F</v>
          </tx>
          <spPr>
            <a:ln xmlns:a="http://schemas.openxmlformats.org/drawingml/2006/main">
              <a:noFill/>
              <a:prstDash val="solid"/>
            </a:ln>
          </spPr>
          <marker>
            <symbol val="circle"/>
            <size val="5"/>
            <spPr>
              <a:solidFill xmlns:a="http://schemas.openxmlformats.org/drawingml/2006/main">
                <a:srgbClr val="B3261E"/>
              </a:solidFill>
              <a:ln xmlns:a="http://schemas.openxmlformats.org/drawingml/2006/main">
                <a:solidFill>
                  <a:srgbClr val="B3261E"/>
                </a:solidFill>
                <a:prstDash val="solid"/>
              </a:ln>
            </spPr>
          </marker>
          <xVal>
            <numRef>
              <f>'Geometry'!$CM$3</f>
            </numRef>
          </xVal>
          <yVal>
            <numRef>
              <f>'Geometry'!$CN$3</f>
            </numRef>
          </yVal>
          <smooth val="0"/>
        </ser>
        <ser>
          <idx val="31"/>
          <order val="3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'Geometry'!$CP$3:$CP$4</f>
            </numRef>
          </xVal>
          <yVal>
            <numRef>
              <f>'Geometry'!$CQ$3:$CQ$4</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'Geometry'!$CS$3</f>
            </numRef>
          </xVal>
          <yVal>
            <numRef>
              <f>'Geometry'!$CT$3</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'Geometry'!$DB$3</f>
            </numRef>
          </xVal>
          <yVal>
            <numRef>
              <f>'Geometry'!$DC$3</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'Geometry'!$DE$3</f>
            </numRef>
          </xVal>
          <yVal>
            <numRef>
              <f>'Geometry'!$DF$3</f>
            </numRef>
          </yVal>
          <smooth val="0"/>
        </ser>
        <ser>
          <idx val="37"/>
          <order val="3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'Geometry'!$DH$3:$DH$4</f>
            </numRef>
          </xVal>
          <yVal>
            <numRef>
              <f>'Geometry'!$DI$3:$DI$4</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'Geometry'!$DK$3</f>
            </numRef>
          </xVal>
          <yVal>
            <numRef>
              <f>'Geometry'!$DL$3</f>
            </numRef>
          </yVal>
          <smooth val="0"/>
        </ser>
        <ser>
          <idx val="39"/>
          <order val="3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'Geometry'!$DN$3:$DN$4</f>
            </numRef>
          </xVal>
          <yVal>
            <numRef>
              <f>'Geometry'!$DO$3:$DO$4</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'Geometry'!$DQ$3</f>
            </numRef>
          </xVal>
          <yVal>
            <numRef>
              <f>'Geometry'!$DR$3</f>
            </numRef>
          </yVal>
          <smooth val="0"/>
        </ser>
        <ser>
          <idx val="41"/>
          <order val="41"/>
          <tx>
            <strRef>
              <f>'Geometry'!$DT$2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'Geometry'!$DT$3</f>
            </numRef>
          </xVal>
          <yVal>
            <numRef>
              <f>'Geometry'!$DU$3</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'Geometry'!$DW$3</f>
            </numRef>
          </xVal>
          <yVal>
            <numRef>
              <f>'Geometry'!$DX$3</f>
            </numRef>
          </yVal>
          <smooth val="0"/>
        </ser>
        <ser>
          <idx val="43"/>
          <order val="43"/>
          <tx>
            <v>frame</v>
          </tx>
          <spPr>
            <a:ln xmlns:a="http://schemas.openxmlformats.org/drawingml/2006/main">
              <a:noFill/>
              <a:prstDash val="solid"/>
            </a:ln>
          </spPr>
          <marker>
            <symbol val="none"/>
            <spPr>
              <a:ln xmlns:a="http://schemas.openxmlformats.org/drawingml/2006/main">
                <a:prstDash val="solid"/>
              </a:ln>
            </spPr>
          </marker>
          <xVal>
            <numRef>
              <f>'Geometry'!$DZ$3:$DZ$4</f>
            </numRef>
          </xVal>
          <yVal>
            <numRef>
              <f>'Geometry'!$EA$3:$EA$4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38</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Deep beam</t>
        </is>
      </c>
    </row>
    <row r="8" ht="20" customHeight="1">
      <c r="B8" s="4" t="inlineStr">
        <is>
          <t>Simply supported deep beams  ·  strut-and-tie, EN 1992-1-1 §6.5, §9.7  ·  UK NA / PN-EN</t>
        </is>
      </c>
    </row>
    <row r="10">
      <c r="B10" s="5" t="inlineStr">
        <is>
          <t>Reference</t>
        </is>
      </c>
      <c r="C10" s="6" t="inlineStr">
        <is>
          <t>NAE-RC-044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Design of a simply supported deep beam (span less than three times the depth, 5.3.1(3)) under a uniformly distributed load and a point load at midspan by a strut-and-tie model: tie force and bars, the support (CCT) and loaded (CCC) nodes and bearings, the bottle-shaped struts and their splitting force, the anchorage of the tie from the node face and the web mesh of 9.7.</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08.5" customHeight="1">
      <c r="B22" s="7" t="inlineStr">
        <is>
          <t>Rectangular beam of constant width, one span on two equal bearings, loads on the top face: a design UDL wEd over the span between bearing centres (include the self weight) and a design point load FEd at midspan on a plate as wide as the beam. Bearings as wide as the beam. Two trusses share one tie on the centroid of the bottom bars and one top chord: the UDL of each half span goes down a strut from a node at l/4, the point load down two struts from a node under the plate. Lever arm z = min(z0; zel): z0 from a compression block at the top at k1 ν' fcd, b y0 k1 ν' fcd (de − y0/2) = M, and zel = min(0.2 (l + 2h); 0.6 l), the elastic deep-beam lever arm of CEB-FIP and CIRIA Guide 2 (extrapolated above l/h = 2, where z0 usually governs); de = min(h; l) − u, as above a height l the wall only carries load down. Top node depth y0 where z0 governs, else 2 (de − z). Struts no flatter than 26.6° (cot θ ≤ 2). Nodes to 6.5.4(4): at the support the two struts are taken as their resultant on a node of height 2u (Figure 6.27), bearing and strut face at k2 ν' fcd; at the top the plate (FEd / (a2 b) plus the whole UDL / b), the top chord and the strut faces at k1 ν' fcd, the point-load strut on a2/2 of the plate, the UDL node smeared over l/2; the top chord between the UDL nodes carries Rw (l/4) / z and the midspan section the whole T. Each strut is checked at 0.6 ν' fcd (6.5.2(2)) on its narrower end (conservative; the strut at the support on its share of the node face), and the splitting force (6.59) of a bottle (Figure 6.25 b) is carried by the mesh crossing the strut over H/2, the mesh shared by the two struts. Tie anchorage (8.4, as RC-001) from the inner face of the bearing (6.5.4(7)) within the end of the beam: straight, or for one layer a 90° bend up with the mandrel of Table 8.1N and (8.1) and a 5φ tail inside the mesh; bars above φlarge are flagged for 8.8; good bond, α3 = α4 = α5 = 1; between layers cd also ≤ half the clear gap. Mesh As,dbmin and spacing of 9.7; the horizontal mesh bars start a clear gap above the top tie layer. Cover: c ≥ φ (+ 5 mm for dg &gt; 32) for bond (4.4.1.2) is checked; durability and fire cover are the user's. Crack widths, deflection, lateral stability of thin beams, loads hung from the bottom face, openings and continuous deep beams are not covered. Concrete classes up to C50/60, fyk ≤ 500 MPa.
The second-generation EN 1992-1-1:2023 is not yet implemented.</t>
        </is>
      </c>
    </row>
    <row r="24" ht="20" customHeight="1">
      <c r="B24" s="8" t="inlineStr">
        <is>
          <t>Further reading and independent cross-check</t>
        </is>
      </c>
      <c r="C24" s="9" t="n"/>
    </row>
    <row r="25" ht="91" customHeight="1">
      <c r="B25" s="10" t="inlineStr">
        <is>
          <t>•  EN 1992-1-1, 5.3.1, 5.6.4, 6.5, 8.3, 8.4 and 9.7.
•  CIRIA Guide 2, The design of deep beams in reinforced concrete (lever arm zel).
•  fib Bulletin 61, Design examples for strut-and-tie models.
•  IStructE, Manual for the design of concrete building structures to Eurocode 2.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&amp;K8A8A8ANAE-RC-044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83"/>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Deep beam</t>
        </is>
      </c>
      <c r="H2" s="1" t="n"/>
    </row>
    <row r="3" ht="16" customHeight="1">
      <c r="A3" s="1" t="n"/>
      <c r="B3" s="1" t="n"/>
      <c r="C3" s="15" t="inlineStr">
        <is>
          <t>NAE-RC-044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beam</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Beam width  (thickness)</t>
        </is>
      </c>
      <c r="D15" s="27" t="inlineStr">
        <is>
          <r>
            <rPr>
              <rFont val="Calibri"/>
              <i val="1"/>
              <color rgb="002B2B2B"/>
              <sz val="10"/>
            </rPr>
            <t>b</t>
          </r>
        </is>
      </c>
      <c r="E15" s="25" t="n">
        <v>450</v>
      </c>
      <c r="F15" s="28" t="inlineStr">
        <is>
          <t>mm</t>
        </is>
      </c>
      <c r="G15" s="23" t="n"/>
    </row>
    <row r="16" ht="17" customHeight="1">
      <c r="B16" s="23" t="n"/>
      <c r="C16" s="24" t="inlineStr">
        <is>
          <t>Overall depth</t>
        </is>
      </c>
      <c r="D16" s="27" t="inlineStr">
        <is>
          <r>
            <rPr>
              <rFont val="Calibri"/>
              <i val="1"/>
              <color rgb="002B2B2B"/>
              <sz val="10"/>
            </rPr>
            <t>h</t>
          </r>
        </is>
      </c>
      <c r="E16" s="25" t="n">
        <v>1800</v>
      </c>
      <c r="F16" s="28" t="inlineStr">
        <is>
          <t>mm</t>
        </is>
      </c>
      <c r="G16" s="23" t="n"/>
    </row>
    <row r="17" ht="17" customHeight="1">
      <c r="B17" s="26" t="inlineStr">
        <is>
          <t>5.3.1(3)</t>
        </is>
      </c>
      <c r="C17" s="24" t="inlineStr">
        <is>
          <t>Span between bearing centres  (l &lt; 3h: deep beam)</t>
        </is>
      </c>
      <c r="D17" s="27" t="inlineStr">
        <is>
          <r>
            <rPr>
              <rFont val="Calibri"/>
              <i val="1"/>
              <color rgb="002B2B2B"/>
              <sz val="10"/>
            </rPr>
            <t>l</t>
          </r>
        </is>
      </c>
      <c r="E17" s="25" t="n">
        <v>4500</v>
      </c>
      <c r="F17" s="28" t="inlineStr">
        <is>
          <t>mm</t>
        </is>
      </c>
      <c r="G17" s="23" t="n"/>
    </row>
    <row r="18" ht="17" customHeight="1">
      <c r="B18" s="23" t="n"/>
      <c r="C18" s="24" t="inlineStr">
        <is>
          <t>End of the beam beyond the bearing centre  (≥ a1/2)</t>
        </is>
      </c>
      <c r="D18" s="27" t="inlineStr">
        <is>
          <r>
            <rPr>
              <rFont val="Calibri"/>
              <i val="1"/>
              <color rgb="002B2B2B"/>
              <sz val="10"/>
            </rPr>
            <t>e</t>
          </r>
        </is>
      </c>
      <c r="E18" s="25" t="n">
        <v>500</v>
      </c>
      <c r="F18" s="28" t="inlineStr">
        <is>
          <t>mm</t>
        </is>
      </c>
      <c r="G18" s="23" t="n"/>
    </row>
    <row r="19" ht="17" customHeight="1">
      <c r="B19" s="23" t="n"/>
      <c r="C19" s="24" t="inlineStr">
        <is>
          <t>Support bearing length  (along the span)</t>
        </is>
      </c>
      <c r="D19" s="27" t="inlineStr">
        <is>
          <r>
            <rPr>
              <rFont val="Calibri"/>
              <i val="1"/>
              <color rgb="002B2B2B"/>
              <sz val="10"/>
            </rPr>
            <t>a</t>
          </r>
          <r>
            <rPr>
              <rFont val="Calibri"/>
              <i val="1"/>
              <color rgb="002B2B2B"/>
              <sz val="10"/>
              <vertAlign val="subscript"/>
            </rPr>
            <t>1</t>
          </r>
        </is>
      </c>
      <c r="E19" s="25" t="n">
        <v>550</v>
      </c>
      <c r="F19" s="28" t="inlineStr">
        <is>
          <t>mm</t>
        </is>
      </c>
      <c r="G19" s="23" t="n"/>
    </row>
    <row r="20" ht="17" customHeight="1">
      <c r="B20" s="23" t="n"/>
      <c r="C20" s="24" t="inlineStr">
        <is>
          <t>Load plate length at midspan  (along the span)</t>
        </is>
      </c>
      <c r="D20" s="27" t="inlineStr">
        <is>
          <r>
            <rPr>
              <rFont val="Calibri"/>
              <i val="1"/>
              <color rgb="002B2B2B"/>
              <sz val="10"/>
            </rPr>
            <t>a</t>
          </r>
          <r>
            <rPr>
              <rFont val="Calibri"/>
              <i val="1"/>
              <color rgb="002B2B2B"/>
              <sz val="10"/>
              <vertAlign val="subscript"/>
            </rPr>
            <t>2</t>
          </r>
        </is>
      </c>
      <c r="E20" s="25" t="n">
        <v>600</v>
      </c>
      <c r="F20" s="28" t="inlineStr">
        <is>
          <t>mm</t>
        </is>
      </c>
      <c r="G20" s="23" t="n"/>
    </row>
    <row r="21" ht="17" customHeight="1">
      <c r="B21" s="26" t="inlineStr">
        <is>
          <t>4.4.1</t>
        </is>
      </c>
      <c r="C21" s="24" t="inlineStr">
        <is>
          <t>Nominal cover to the web mesh  (≥ φ for bond; durability by the user)</t>
        </is>
      </c>
      <c r="D21" s="27" t="inlineStr">
        <is>
          <r>
            <rPr>
              <rFont val="Calibri"/>
              <i val="1"/>
              <color rgb="002B2B2B"/>
              <sz val="10"/>
            </rPr>
            <t>c</t>
          </r>
          <r>
            <rPr>
              <rFont val="Calibri"/>
              <i val="1"/>
              <color rgb="002B2B2B"/>
              <sz val="10"/>
              <vertAlign val="subscript"/>
            </rPr>
            <t>nom</t>
          </r>
        </is>
      </c>
      <c r="E21" s="25" t="n">
        <v>40</v>
      </c>
      <c r="F21" s="28" t="inlineStr">
        <is>
          <t>mm</t>
        </is>
      </c>
      <c r="G21" s="23" t="n"/>
    </row>
    <row r="23" ht="22" customHeight="1">
      <c r="B23" s="20" t="inlineStr">
        <is>
          <t>Inputs  ·  reinforcement</t>
        </is>
      </c>
      <c r="C23" s="21" t="n"/>
      <c r="D23" s="21" t="n"/>
      <c r="E23" s="21" t="n"/>
      <c r="F23" s="21" t="n"/>
      <c r="G23" s="22" t="inlineStr">
        <is>
          <t>Tie bars inside the vertical mesh bars</t>
        </is>
      </c>
    </row>
    <row r="24" ht="17" customHeight="1">
      <c r="B24" s="23" t="n"/>
      <c r="C24" s="24" t="inlineStr">
        <is>
          <t>Tie bars: diameter</t>
        </is>
      </c>
      <c r="D24" s="27" t="inlineStr">
        <is>
          <r>
            <rPr>
              <rFont val="Calibri"/>
              <i val="1"/>
              <color rgb="002B2B2B"/>
              <sz val="10"/>
            </rPr>
            <t>φ</t>
          </r>
          <r>
            <rPr>
              <rFont val="Calibri"/>
              <i val="1"/>
              <color rgb="002B2B2B"/>
              <sz val="10"/>
              <vertAlign val="subscript"/>
            </rPr>
            <t>t</t>
          </r>
        </is>
      </c>
      <c r="E24" s="25" t="n">
        <v>20</v>
      </c>
      <c r="F24" s="28" t="inlineStr">
        <is>
          <t>mm</t>
        </is>
      </c>
      <c r="G24" s="23" t="n"/>
    </row>
    <row r="25" ht="17" customHeight="1">
      <c r="B25" s="23" t="n"/>
      <c r="C25" s="24" t="inlineStr">
        <is>
          <t>Tie bars: number in each layer</t>
        </is>
      </c>
      <c r="D25" s="27" t="inlineStr">
        <is>
          <r>
            <rPr>
              <rFont val="Calibri"/>
              <i val="1"/>
              <color rgb="002B2B2B"/>
              <sz val="10"/>
            </rPr>
            <t>n</t>
          </r>
          <r>
            <rPr>
              <rFont val="Calibri"/>
              <i val="1"/>
              <color rgb="002B2B2B"/>
              <sz val="10"/>
              <vertAlign val="subscript"/>
            </rPr>
            <t>t</t>
          </r>
        </is>
      </c>
      <c r="E25" s="25" t="n">
        <v>5</v>
      </c>
      <c r="F25" s="23" t="n"/>
      <c r="G25" s="23" t="n"/>
    </row>
    <row r="26" ht="17" customHeight="1">
      <c r="B26" s="23" t="n"/>
      <c r="C26" s="24" t="inlineStr">
        <is>
          <t>Tie bars: layers  (clear gap between layers max(φ; dg + 5; 20))</t>
        </is>
      </c>
      <c r="D26" s="27" t="inlineStr">
        <is>
          <r>
            <rPr>
              <rFont val="Calibri"/>
              <i val="1"/>
              <color rgb="002B2B2B"/>
              <sz val="10"/>
            </rPr>
            <t>n</t>
          </r>
          <r>
            <rPr>
              <rFont val="Calibri"/>
              <i val="1"/>
              <color rgb="002B2B2B"/>
              <sz val="10"/>
              <vertAlign val="subscript"/>
            </rPr>
            <t>l</t>
          </r>
        </is>
      </c>
      <c r="E26" s="25" t="n">
        <v>2</v>
      </c>
      <c r="F26" s="23" t="n"/>
      <c r="G26" s="23" t="n"/>
    </row>
    <row r="27" ht="17" customHeight="1">
      <c r="B27" s="26" t="inlineStr">
        <is>
          <t>9.7(3)</t>
        </is>
      </c>
      <c r="C27" s="24" t="inlineStr">
        <is>
          <t>Tie bar ends</t>
        </is>
      </c>
      <c r="D27" s="23" t="n"/>
      <c r="E27" s="25" t="inlineStr">
        <is>
          <t>Straight</t>
        </is>
      </c>
      <c r="F27" s="23" t="n"/>
      <c r="G27" s="23" t="n"/>
    </row>
    <row r="28" ht="17" customHeight="1">
      <c r="B28" s="26" t="inlineStr">
        <is>
          <t>9.7(1)</t>
        </is>
      </c>
      <c r="C28" s="24" t="inlineStr">
        <is>
          <t>Web mesh, vertical bars: diameter  (outermost)</t>
        </is>
      </c>
      <c r="D28" s="27" t="inlineStr">
        <is>
          <r>
            <rPr>
              <rFont val="Calibri"/>
              <i val="1"/>
              <color rgb="002B2B2B"/>
              <sz val="10"/>
            </rPr>
            <t>φ</t>
          </r>
          <r>
            <rPr>
              <rFont val="Calibri"/>
              <i val="1"/>
              <color rgb="002B2B2B"/>
              <sz val="10"/>
              <vertAlign val="subscript"/>
            </rPr>
            <t>v</t>
          </r>
        </is>
      </c>
      <c r="E28" s="25" t="n">
        <v>12</v>
      </c>
      <c r="F28" s="28" t="inlineStr">
        <is>
          <t>mm</t>
        </is>
      </c>
      <c r="G28" s="23" t="n"/>
    </row>
    <row r="29" ht="17" customHeight="1">
      <c r="B29" s="26" t="inlineStr">
        <is>
          <t>9.7(2)</t>
        </is>
      </c>
      <c r="C29" s="24" t="inlineStr">
        <is>
          <t>Web mesh, vertical bars: spacing</t>
        </is>
      </c>
      <c r="D29" s="27" t="inlineStr">
        <is>
          <r>
            <rPr>
              <rFont val="Calibri"/>
              <i val="1"/>
              <color rgb="002B2B2B"/>
              <sz val="10"/>
            </rPr>
            <t>s</t>
          </r>
          <r>
            <rPr>
              <rFont val="Calibri"/>
              <i val="1"/>
              <color rgb="002B2B2B"/>
              <sz val="10"/>
              <vertAlign val="subscript"/>
            </rPr>
            <t>v</t>
          </r>
        </is>
      </c>
      <c r="E29" s="25" t="n">
        <v>125</v>
      </c>
      <c r="F29" s="28" t="inlineStr">
        <is>
          <t>mm</t>
        </is>
      </c>
      <c r="G29" s="23" t="n"/>
    </row>
    <row r="30" ht="17" customHeight="1">
      <c r="B30" s="26" t="inlineStr">
        <is>
          <t>9.7(1)</t>
        </is>
      </c>
      <c r="C30" s="24" t="inlineStr">
        <is>
          <t>Web mesh, horizontal bars: diameter</t>
        </is>
      </c>
      <c r="D30" s="27" t="inlineStr">
        <is>
          <r>
            <rPr>
              <rFont val="Calibri"/>
              <i val="1"/>
              <color rgb="002B2B2B"/>
              <sz val="10"/>
            </rPr>
            <t>φ</t>
          </r>
          <r>
            <rPr>
              <rFont val="Calibri"/>
              <i val="1"/>
              <color rgb="002B2B2B"/>
              <sz val="10"/>
              <vertAlign val="subscript"/>
            </rPr>
            <t>h</t>
          </r>
        </is>
      </c>
      <c r="E30" s="25" t="n">
        <v>12</v>
      </c>
      <c r="F30" s="28" t="inlineStr">
        <is>
          <t>mm</t>
        </is>
      </c>
      <c r="G30" s="23" t="n"/>
    </row>
    <row r="31" ht="17" customHeight="1">
      <c r="B31" s="26" t="inlineStr">
        <is>
          <t>9.7(2)</t>
        </is>
      </c>
      <c r="C31" s="24" t="inlineStr">
        <is>
          <t>Web mesh, horizontal bars: spacing</t>
        </is>
      </c>
      <c r="D31" s="27" t="inlineStr">
        <is>
          <r>
            <rPr>
              <rFont val="Calibri"/>
              <i val="1"/>
              <color rgb="002B2B2B"/>
              <sz val="10"/>
            </rPr>
            <t>s</t>
          </r>
          <r>
            <rPr>
              <rFont val="Calibri"/>
              <i val="1"/>
              <color rgb="002B2B2B"/>
              <sz val="10"/>
              <vertAlign val="subscript"/>
            </rPr>
            <t>h</t>
          </r>
        </is>
      </c>
      <c r="E31" s="25" t="n">
        <v>125</v>
      </c>
      <c r="F31" s="28" t="inlineStr">
        <is>
          <t>mm</t>
        </is>
      </c>
      <c r="G31" s="23" t="n"/>
    </row>
    <row r="33" ht="22" customHeight="1">
      <c r="B33" s="20" t="inlineStr">
        <is>
          <t>Inputs  ·  actions</t>
        </is>
      </c>
      <c r="C33" s="21" t="n"/>
      <c r="D33" s="21" t="n"/>
      <c r="E33" s="21" t="n"/>
      <c r="F33" s="21" t="n"/>
      <c r="G33" s="22" t="inlineStr">
        <is>
          <t>ULS design values</t>
        </is>
      </c>
    </row>
    <row r="34" ht="17" customHeight="1">
      <c r="B34" s="23" t="n"/>
      <c r="C34" s="24" t="inlineStr">
        <is>
          <t>Uniformly distributed load over the span  (with self weight)</t>
        </is>
      </c>
      <c r="D34" s="27" t="inlineStr">
        <is>
          <r>
            <rPr>
              <rFont val="Calibri"/>
              <i val="1"/>
              <color rgb="002B2B2B"/>
              <sz val="10"/>
            </rPr>
            <t>w</t>
          </r>
          <r>
            <rPr>
              <rFont val="Calibri"/>
              <i val="1"/>
              <color rgb="002B2B2B"/>
              <sz val="10"/>
              <vertAlign val="subscript"/>
            </rPr>
            <t>Ed</t>
          </r>
        </is>
      </c>
      <c r="E34" s="29" t="n">
        <v>150</v>
      </c>
      <c r="F34" s="28" t="inlineStr">
        <is>
          <t>kN/m</t>
        </is>
      </c>
      <c r="G34" s="23" t="n"/>
    </row>
    <row r="35" ht="17" customHeight="1">
      <c r="B35" s="23" t="n"/>
      <c r="C35" s="24" t="inlineStr">
        <is>
          <t>Point load at midspan</t>
        </is>
      </c>
      <c r="D35" s="27" t="inlineStr">
        <is>
          <r>
            <rPr>
              <rFont val="Calibri"/>
              <i val="1"/>
              <color rgb="002B2B2B"/>
              <sz val="10"/>
            </rPr>
            <t>F</t>
          </r>
          <r>
            <rPr>
              <rFont val="Calibri"/>
              <i val="1"/>
              <color rgb="002B2B2B"/>
              <sz val="10"/>
              <vertAlign val="subscript"/>
            </rPr>
            <t>Ed</t>
          </r>
        </is>
      </c>
      <c r="E35" s="30" t="n">
        <v>1500</v>
      </c>
      <c r="F35" s="28" t="inlineStr">
        <is>
          <t>kN</t>
        </is>
      </c>
      <c r="G35" s="23" t="n"/>
    </row>
    <row r="36" ht="17" customHeight="1">
      <c r="B36" s="23" t="n"/>
      <c r="C36" s="24" t="inlineStr">
        <is>
          <t>Inputs valid and consistent</t>
        </is>
      </c>
      <c r="D36" s="23" t="n"/>
      <c r="E36" s="9" t="n"/>
      <c r="F36" s="23" t="n"/>
      <c r="G36" s="31">
        <f>IF(inputs_ok,"OK","FAIL")</f>
        <v/>
      </c>
    </row>
    <row r="38">
      <c r="B38" s="32" t="inlineStr">
        <is>
          <t>Your deep beam, to scale  ·  elevation  ·  struts (dashed), tie (solid) and nodes (red) of the two trusses</t>
        </is>
      </c>
    </row>
    <row r="59" ht="22" customHeight="1">
      <c r="B59" s="20" t="inlineStr">
        <is>
          <t>Results</t>
        </is>
      </c>
      <c r="C59" s="21" t="n"/>
      <c r="D59" s="21" t="n"/>
      <c r="E59" s="21" t="n"/>
      <c r="F59" s="21" t="n"/>
      <c r="G59" s="21" t="n"/>
    </row>
    <row r="60" ht="26" customHeight="1">
      <c r="B60" s="33" t="n"/>
      <c r="C60" s="34" t="inlineStr">
        <is>
          <t>Deep beam l/h &lt; 3 and strut model valid  (θ ≥ 26.6°)</t>
        </is>
      </c>
      <c r="D60" s="35" t="inlineStr">
        <is>
          <r>
            <rPr>
              <rFont val="Calibri"/>
              <i val="1"/>
              <color rgb="002B2B2B"/>
              <sz val="11"/>
            </rPr>
            <t>l / h</t>
          </r>
        </is>
      </c>
      <c r="E60" s="36">
        <f>IF(inputs_ok,lh_db,"–")</f>
        <v/>
      </c>
      <c r="F60" s="37" t="inlineStr"/>
      <c r="G60" s="38">
        <f>IF(NOT(inputs_ok),"FAIL",IF(AND(mod_db,lh_db&lt;3),"OK","FAIL"))</f>
        <v/>
      </c>
    </row>
    <row r="61" ht="26" customHeight="1">
      <c r="B61" s="33" t="n"/>
      <c r="C61" s="34" t="inlineStr">
        <is>
          <t>Tie  As,req / As,prov  (bars fit across the width)</t>
        </is>
      </c>
      <c r="D61" s="35" t="inlineStr">
        <is>
          <r>
            <rPr>
              <rFont val="Calibri"/>
              <i val="1"/>
              <color rgb="002B2B2B"/>
              <sz val="11"/>
            </rPr>
            <t>A</t>
          </r>
          <r>
            <rPr>
              <rFont val="Calibri"/>
              <i val="1"/>
              <color rgb="002B2B2B"/>
              <sz val="11"/>
              <vertAlign val="subscript"/>
            </rPr>
            <t>s</t>
          </r>
        </is>
      </c>
      <c r="E61" s="36">
        <f>IF(inputs_ok,IF(mod_db,Asreq_db/Asprov_db,"–"),"–")</f>
        <v/>
      </c>
      <c r="F61" s="37" t="inlineStr"/>
      <c r="G61" s="38">
        <f>IF(NOT(inputs_ok),"FAIL",IF(mod_db,IF(AND(Asreq_db&lt;=Asprov_db,gapa_db&gt;=gap_db),"OK","FAIL"),"FAIL"))</f>
        <v/>
      </c>
    </row>
    <row r="62" ht="26" customHeight="1">
      <c r="B62" s="33" t="n"/>
      <c r="C62" s="34" t="inlineStr">
        <is>
          <t>Support node (CCT): bearing and strut face  σ / k2 ν' fcd</t>
        </is>
      </c>
      <c r="D62" s="33" t="n"/>
      <c r="E62" s="36">
        <f>IF(inputs_ok,IF(mod_db,MAX(sb1_db,sn1_db)/scct_db,"–"),"–")</f>
        <v/>
      </c>
      <c r="F62" s="37" t="inlineStr"/>
      <c r="G62" s="38">
        <f>IF(NOT(inputs_ok),"FAIL",IF(mod_db,IF(AND(sb1_db&lt;=scct_db,sn1_db&lt;=scct_db),"OK","FAIL"),"FAIL"))</f>
        <v/>
      </c>
    </row>
    <row r="63" ht="26" customHeight="1">
      <c r="B63" s="33" t="n"/>
      <c r="C63" s="34" t="inlineStr">
        <is>
          <t>Top node (CCC): load plate, top chord, strut faces  σ / k1 ν' fcd</t>
        </is>
      </c>
      <c r="D63" s="33" t="n"/>
      <c r="E63" s="36">
        <f>IF(inputs_ok,IF(mod_db,MAX(sb2_db,sgh_db,sn2_db)/sccc_db,"–"),"–")</f>
        <v/>
      </c>
      <c r="F63" s="37" t="inlineStr"/>
      <c r="G63" s="38">
        <f>IF(NOT(inputs_ok),"FAIL",IF(mod_db,IF(AND(sb2_db&lt;=sccc_db,sgh_db&lt;=sccc_db*(1+1E-9),sn2_db&lt;=sccc_db),"OK","FAIL"),"FAIL"))</f>
        <v/>
      </c>
    </row>
    <row r="64" ht="26" customHeight="1">
      <c r="B64" s="33" t="n"/>
      <c r="C64" s="34" t="inlineStr">
        <is>
          <t>Struts: body 0.6 ν' fcd and splitting force on the mesh</t>
        </is>
      </c>
      <c r="D64" s="33" t="n"/>
      <c r="E64" s="36">
        <f>IF(inputs_ok,IF(mod_db,MAX(sigw_db/sstr_db,sigF_db/sstr_db,Tsw_db/Rspw_db+TsF_db/RspF_db),"–"),"–")</f>
        <v/>
      </c>
      <c r="F64" s="37" t="inlineStr"/>
      <c r="G64" s="38">
        <f>IF(NOT(inputs_ok),"FAIL",IF(mod_db,IF(strut_ok_db,"OK","FAIL"),"FAIL"))</f>
        <v/>
      </c>
    </row>
    <row r="65" ht="26" customHeight="1">
      <c r="B65" s="33" t="n"/>
      <c r="C65" s="34" t="inlineStr">
        <is>
          <t>Tie anchorage from the node face  lbd / l_av  (and the bend)</t>
        </is>
      </c>
      <c r="D65" s="33" t="n"/>
      <c r="E65" s="36">
        <f>IF(inputs_ok,IF(mod_db,lbd_db/lav_db,"–"),"–")</f>
        <v/>
      </c>
      <c r="F65" s="37" t="inlineStr"/>
      <c r="G65" s="38">
        <f>IF(NOT(inputs_ok),"FAIL",IF(mod_db,IF(AND(lbd_db&lt;=lav_db,bend_ok_db),IF(db_pt&gt;phi_large,"! Large bars: 8.8","OK"),"FAIL"),"FAIL"))</f>
        <v/>
      </c>
    </row>
    <row r="66" ht="26" customHeight="1">
      <c r="B66" s="33" t="n"/>
      <c r="C66" s="34" t="inlineStr">
        <is>
          <t>Web mesh 9.7: As,dbmin / As and spacing</t>
        </is>
      </c>
      <c r="D66" s="33" t="n"/>
      <c r="E66" s="36">
        <f>IF(inputs_ok,MAX(Asdbmin_db/Ash_db,Asdbmin_db/Asv_db,MAX(db_sh,db_sv)/smax_db),"–")</f>
        <v/>
      </c>
      <c r="F66" s="37" t="inlineStr"/>
      <c r="G66" s="38">
        <f>IF(NOT(inputs_ok),"FAIL",IF(web_ok_db,"OK","FAIL"))</f>
        <v/>
      </c>
    </row>
    <row r="67" ht="41.5" customHeight="1">
      <c r="B67" s="39" t="inlineStr">
        <is>
          <t>No compression block fits at the top (z0 not real): increase b, h or the concrete class. θ &lt; 26.6°: the beam is too shallow for this model. l/h ≥ 3: not a deep beam; design it as a beam (RC-004). Anchorage too short: lengthen the end of the beam, bend the bars up (9.7(3)) or use more, smaller bars.</t>
        </is>
      </c>
    </row>
    <row r="68"/>
    <row r="69" ht="22" customHeight="1">
      <c r="B69" s="20" t="inlineStr">
        <is>
          <t>Calculation  ·  materials</t>
        </is>
      </c>
      <c r="C69" s="21" t="n"/>
      <c r="D69" s="21" t="n"/>
      <c r="E69" s="21" t="n"/>
      <c r="F69" s="21" t="n"/>
      <c r="G69" s="21" t="n"/>
    </row>
    <row r="70" ht="17" customHeight="1">
      <c r="B70" s="26" t="inlineStr">
        <is>
          <t>2.4.2.4(1)</t>
        </is>
      </c>
      <c r="C70" s="24" t="inlineStr">
        <is>
          <t>Partial factor, concrete</t>
        </is>
      </c>
      <c r="D70" s="27" t="inlineStr">
        <is>
          <r>
            <rPr>
              <rFont val="Calibri"/>
              <i val="1"/>
              <color rgb="002B2B2B"/>
              <sz val="10"/>
            </rPr>
            <t>γ</t>
          </r>
          <r>
            <rPr>
              <rFont val="Calibri"/>
              <i val="1"/>
              <color rgb="002B2B2B"/>
              <sz val="10"/>
              <vertAlign val="subscript"/>
            </rPr>
            <t>c</t>
          </r>
        </is>
      </c>
      <c r="E70" s="40">
        <f>IF(inputs_ok,ndp_gamma_c,NA())</f>
        <v/>
      </c>
      <c r="F70" s="23" t="n"/>
      <c r="G70" s="26" t="inlineStr">
        <is>
          <t>NDP sheet</t>
        </is>
      </c>
    </row>
    <row r="71" ht="17" customHeight="1">
      <c r="B71" s="26" t="inlineStr">
        <is>
          <t>2.4.2.4(1)</t>
        </is>
      </c>
      <c r="C71" s="24" t="inlineStr">
        <is>
          <t>Partial factor, reinforcement</t>
        </is>
      </c>
      <c r="D71" s="27" t="inlineStr">
        <is>
          <r>
            <rPr>
              <rFont val="Calibri"/>
              <i val="1"/>
              <color rgb="002B2B2B"/>
              <sz val="10"/>
            </rPr>
            <t>γ</t>
          </r>
          <r>
            <rPr>
              <rFont val="Calibri"/>
              <i val="1"/>
              <color rgb="002B2B2B"/>
              <sz val="10"/>
              <vertAlign val="subscript"/>
            </rPr>
            <t>s</t>
          </r>
        </is>
      </c>
      <c r="E71" s="40">
        <f>IF(inputs_ok,ndp_gamma_s,NA())</f>
        <v/>
      </c>
      <c r="F71" s="23" t="n"/>
      <c r="G71" s="26" t="inlineStr">
        <is>
          <t>NDP sheet</t>
        </is>
      </c>
    </row>
    <row r="72" ht="17" customHeight="1">
      <c r="B72" s="26" t="inlineStr">
        <is>
          <t>3.1.6(1)</t>
        </is>
      </c>
      <c r="C72" s="24" t="inlineStr">
        <is>
          <t>Coefficient on compressive strength (flexure)</t>
        </is>
      </c>
      <c r="D72" s="27" t="inlineStr">
        <is>
          <r>
            <rPr>
              <rFont val="Calibri"/>
              <i val="1"/>
              <color rgb="002B2B2B"/>
              <sz val="10"/>
            </rPr>
            <t>α</t>
          </r>
          <r>
            <rPr>
              <rFont val="Calibri"/>
              <i val="1"/>
              <color rgb="002B2B2B"/>
              <sz val="10"/>
              <vertAlign val="subscript"/>
            </rPr>
            <t>cc</t>
          </r>
        </is>
      </c>
      <c r="E72" s="40">
        <f>IF(inputs_ok,ndp_alpha_cc,NA())</f>
        <v/>
      </c>
      <c r="F72" s="23" t="n"/>
      <c r="G72" s="26" t="inlineStr">
        <is>
          <t>NDP sheet</t>
        </is>
      </c>
    </row>
    <row r="73" ht="17" customHeight="1">
      <c r="B73" s="26" t="inlineStr">
        <is>
          <t>3.1.6(2)</t>
        </is>
      </c>
      <c r="C73" s="24" t="inlineStr">
        <is>
          <t>Coefficient on tensile strength</t>
        </is>
      </c>
      <c r="D73" s="27" t="inlineStr">
        <is>
          <r>
            <rPr>
              <rFont val="Calibri"/>
              <i val="1"/>
              <color rgb="002B2B2B"/>
              <sz val="10"/>
            </rPr>
            <t>α</t>
          </r>
          <r>
            <rPr>
              <rFont val="Calibri"/>
              <i val="1"/>
              <color rgb="002B2B2B"/>
              <sz val="10"/>
              <vertAlign val="subscript"/>
            </rPr>
            <t>ct</t>
          </r>
        </is>
      </c>
      <c r="E73" s="40">
        <f>IF(inputs_ok,ndp_alpha_ct,NA())</f>
        <v/>
      </c>
      <c r="F73" s="23" t="n"/>
      <c r="G73" s="26" t="inlineStr">
        <is>
          <t>NDP sheet</t>
        </is>
      </c>
    </row>
    <row r="74" ht="17" customHeight="1">
      <c r="B74" s="26" t="inlineStr">
        <is>
          <t>8.8(1)</t>
        </is>
      </c>
      <c r="C74" s="24" t="inlineStr">
        <is>
          <t>Large bar threshold</t>
        </is>
      </c>
      <c r="D74" s="27" t="inlineStr">
        <is>
          <r>
            <rPr>
              <rFont val="Calibri"/>
              <i val="1"/>
              <color rgb="002B2B2B"/>
              <sz val="10"/>
            </rPr>
            <t>φ</t>
          </r>
          <r>
            <rPr>
              <rFont val="Calibri"/>
              <i val="1"/>
              <color rgb="002B2B2B"/>
              <sz val="10"/>
              <vertAlign val="subscript"/>
            </rPr>
            <t>large</t>
          </r>
        </is>
      </c>
      <c r="E74" s="41">
        <f>IF(inputs_ok,ndp_phi_large,NA())</f>
        <v/>
      </c>
      <c r="F74" s="28" t="inlineStr">
        <is>
          <t>mm</t>
        </is>
      </c>
      <c r="G74" s="26" t="inlineStr">
        <is>
          <t>NDP sheet</t>
        </is>
      </c>
    </row>
    <row r="75" ht="17" customHeight="1">
      <c r="B75" s="26" t="inlineStr">
        <is>
          <t>6.5.4(4)a</t>
        </is>
      </c>
      <c r="C75" s="24" t="inlineStr">
        <is>
          <t>k1  (CCC node)</t>
        </is>
      </c>
      <c r="D75" s="27" t="inlineStr">
        <is>
          <r>
            <rPr>
              <rFont val="Calibri"/>
              <i val="1"/>
              <color rgb="002B2B2B"/>
              <sz val="10"/>
            </rPr>
            <t>k</t>
          </r>
          <r>
            <rPr>
              <rFont val="Calibri"/>
              <i val="1"/>
              <color rgb="002B2B2B"/>
              <sz val="10"/>
              <vertAlign val="subscript"/>
            </rPr>
            <t>1</t>
          </r>
        </is>
      </c>
      <c r="E75" s="40">
        <f>IF(inputs_ok,ndp_k1_db,NA())</f>
        <v/>
      </c>
      <c r="F75" s="23" t="n"/>
      <c r="G75" s="26" t="inlineStr">
        <is>
          <t>NDP sheet</t>
        </is>
      </c>
    </row>
    <row r="76" ht="17" customHeight="1">
      <c r="B76" s="26" t="inlineStr">
        <is>
          <t>6.5.4(4)b</t>
        </is>
      </c>
      <c r="C76" s="24" t="inlineStr">
        <is>
          <t>k2  (CCT node)</t>
        </is>
      </c>
      <c r="D76" s="27" t="inlineStr">
        <is>
          <r>
            <rPr>
              <rFont val="Calibri"/>
              <i val="1"/>
              <color rgb="002B2B2B"/>
              <sz val="10"/>
            </rPr>
            <t>k</t>
          </r>
          <r>
            <rPr>
              <rFont val="Calibri"/>
              <i val="1"/>
              <color rgb="002B2B2B"/>
              <sz val="10"/>
              <vertAlign val="subscript"/>
            </rPr>
            <t>2</t>
          </r>
        </is>
      </c>
      <c r="E76" s="40">
        <f>IF(inputs_ok,ndp_k2_db,NA())</f>
        <v/>
      </c>
      <c r="F76" s="23" t="n"/>
      <c r="G76" s="26" t="inlineStr">
        <is>
          <t>NDP sheet</t>
        </is>
      </c>
    </row>
    <row r="77" ht="17" customHeight="1">
      <c r="B77" s="26" t="inlineStr">
        <is>
          <t>Table 3.1</t>
        </is>
      </c>
      <c r="C77" s="24" t="inlineStr">
        <is>
          <t>Characteristic cylinder strength</t>
        </is>
      </c>
      <c r="D77" s="27" t="inlineStr">
        <is>
          <r>
            <rPr>
              <rFont val="Calibri"/>
              <i val="1"/>
              <color rgb="002B2B2B"/>
              <sz val="10"/>
            </rPr>
            <t>f</t>
          </r>
          <r>
            <rPr>
              <rFont val="Calibri"/>
              <i val="1"/>
              <color rgb="002B2B2B"/>
              <sz val="10"/>
              <vertAlign val="subscript"/>
            </rPr>
            <t>ck</t>
          </r>
        </is>
      </c>
      <c r="E77" s="41">
        <f>IF(inputs_ok,VALUE(MID(conc_class,2,FIND("/",conc_class)-2)),NA())</f>
        <v/>
      </c>
      <c r="F77" s="28" t="inlineStr">
        <is>
          <t>MPa</t>
        </is>
      </c>
      <c r="G77" s="23" t="n"/>
    </row>
    <row r="78" ht="17" customHeight="1">
      <c r="B78" s="26" t="inlineStr">
        <is>
          <t>Table 3.1</t>
        </is>
      </c>
      <c r="C78" s="24" t="inlineStr">
        <is>
          <t>Mean tensile strength</t>
        </is>
      </c>
      <c r="D78" s="27" t="inlineStr">
        <is>
          <r>
            <rPr>
              <rFont val="Calibri"/>
              <i val="1"/>
              <color rgb="002B2B2B"/>
              <sz val="10"/>
            </rPr>
            <t>f</t>
          </r>
          <r>
            <rPr>
              <rFont val="Calibri"/>
              <i val="1"/>
              <color rgb="002B2B2B"/>
              <sz val="10"/>
              <vertAlign val="subscript"/>
            </rPr>
            <t>ctm</t>
          </r>
        </is>
      </c>
      <c r="E78" s="40">
        <f>IF(inputs_ok,IF(f_ck&lt;=50,0.3*f_ck^(2/3),2.12*LN(1+(f_ck+8)/10)),NA())</f>
        <v/>
      </c>
      <c r="F78" s="28" t="inlineStr">
        <is>
          <t>MPa</t>
        </is>
      </c>
      <c r="G78" s="23" t="n"/>
    </row>
    <row r="79" ht="17" customHeight="1">
      <c r="B79" s="26" t="inlineStr">
        <is>
          <t>3.1.6(1)</t>
        </is>
      </c>
      <c r="C79" s="24" t="inlineStr">
        <is>
          <t>Design compressive strength  αcc fck / γc</t>
        </is>
      </c>
      <c r="D79" s="27" t="inlineStr">
        <is>
          <r>
            <rPr>
              <rFont val="Calibri"/>
              <i val="1"/>
              <color rgb="002B2B2B"/>
              <sz val="10"/>
            </rPr>
            <t>f</t>
          </r>
          <r>
            <rPr>
              <rFont val="Calibri"/>
              <i val="1"/>
              <color rgb="002B2B2B"/>
              <sz val="10"/>
              <vertAlign val="subscript"/>
            </rPr>
            <t>cd</t>
          </r>
        </is>
      </c>
      <c r="E79" s="40">
        <f>IF(inputs_ok,alpha_cc*f_ck/gamma_c,NA())</f>
        <v/>
      </c>
      <c r="F79" s="28" t="inlineStr">
        <is>
          <t>MPa</t>
        </is>
      </c>
      <c r="G79" s="23" t="n"/>
    </row>
    <row r="80" ht="17" customHeight="1">
      <c r="B80" s="26" t="inlineStr">
        <is>
          <t>3.2.7</t>
        </is>
      </c>
      <c r="C80" s="24" t="inlineStr">
        <is>
          <t>Design yield strength</t>
        </is>
      </c>
      <c r="D80" s="27" t="inlineStr">
        <is>
          <r>
            <rPr>
              <rFont val="Calibri"/>
              <i val="1"/>
              <color rgb="002B2B2B"/>
              <sz val="10"/>
            </rPr>
            <t>f</t>
          </r>
          <r>
            <rPr>
              <rFont val="Calibri"/>
              <i val="1"/>
              <color rgb="002B2B2B"/>
              <sz val="10"/>
              <vertAlign val="subscript"/>
            </rPr>
            <t>yd</t>
          </r>
        </is>
      </c>
      <c r="E80" s="42">
        <f>IF(inputs_ok,db_fyk/gamma_s,NA())</f>
        <v/>
      </c>
      <c r="F80" s="28" t="inlineStr">
        <is>
          <t>MPa</t>
        </is>
      </c>
      <c r="G80" s="23" t="n"/>
    </row>
    <row r="81" ht="17" customHeight="1">
      <c r="B81" s="26" t="inlineStr">
        <is>
          <t>(6.57N)</t>
        </is>
      </c>
      <c r="C81" s="24" t="inlineStr">
        <is>
          <t>ν' = 1 − fck / 250  (recommended; UK NA and PL NA.9)</t>
        </is>
      </c>
      <c r="D81" s="27" t="inlineStr">
        <is>
          <r>
            <rPr>
              <rFont val="Calibri"/>
              <i val="1"/>
              <color rgb="002B2B2B"/>
              <sz val="10"/>
            </rPr>
            <t>ν'</t>
          </r>
        </is>
      </c>
      <c r="E81" s="43">
        <f>IF(inputs_ok,1-f_ck/250,NA())</f>
        <v/>
      </c>
      <c r="F81" s="23" t="n"/>
      <c r="G81" s="23" t="n"/>
    </row>
    <row r="82" ht="17" customHeight="1">
      <c r="B82" s="26" t="inlineStr">
        <is>
          <t>(6.60)</t>
        </is>
      </c>
      <c r="C82" s="24" t="inlineStr">
        <is>
          <t>CCC node limit  k1 ν' fcd</t>
        </is>
      </c>
      <c r="D82" s="27" t="inlineStr">
        <is>
          <r>
            <rPr>
              <rFont val="Calibri"/>
              <i val="1"/>
              <color rgb="002B2B2B"/>
              <sz val="10"/>
            </rPr>
            <t>σ</t>
          </r>
          <r>
            <rPr>
              <rFont val="Calibri"/>
              <i val="1"/>
              <color rgb="002B2B2B"/>
              <sz val="10"/>
              <vertAlign val="subscript"/>
            </rPr>
            <t>Rd,CCC</t>
          </r>
        </is>
      </c>
      <c r="E82" s="40">
        <f>IF(inputs_ok,k1_db*nup_db*fcd_db,NA())</f>
        <v/>
      </c>
      <c r="F82" s="28" t="inlineStr">
        <is>
          <t>MPa</t>
        </is>
      </c>
      <c r="G82" s="23" t="n"/>
    </row>
    <row r="83" ht="17" customHeight="1">
      <c r="B83" s="26" t="inlineStr">
        <is>
          <t>(6.61)</t>
        </is>
      </c>
      <c r="C83" s="24" t="inlineStr">
        <is>
          <t>CCT node limit  k2 ν' fcd</t>
        </is>
      </c>
      <c r="D83" s="27" t="inlineStr">
        <is>
          <r>
            <rPr>
              <rFont val="Calibri"/>
              <i val="1"/>
              <color rgb="002B2B2B"/>
              <sz val="10"/>
            </rPr>
            <t>σ</t>
          </r>
          <r>
            <rPr>
              <rFont val="Calibri"/>
              <i val="1"/>
              <color rgb="002B2B2B"/>
              <sz val="10"/>
              <vertAlign val="subscript"/>
            </rPr>
            <t>Rd,CCT</t>
          </r>
        </is>
      </c>
      <c r="E83" s="40">
        <f>IF(inputs_ok,k2_db*nup_db*fcd_db,NA())</f>
        <v/>
      </c>
      <c r="F83" s="28" t="inlineStr">
        <is>
          <t>MPa</t>
        </is>
      </c>
      <c r="G83" s="23" t="n"/>
    </row>
    <row r="84" ht="17" customHeight="1">
      <c r="B84" s="26" t="inlineStr">
        <is>
          <t>(6.56)</t>
        </is>
      </c>
      <c r="C84" s="24" t="inlineStr">
        <is>
          <t>Strut with transverse tension  0.6 ν' fcd</t>
        </is>
      </c>
      <c r="D84" s="27" t="inlineStr">
        <is>
          <r>
            <rPr>
              <rFont val="Calibri"/>
              <i val="1"/>
              <color rgb="002B2B2B"/>
              <sz val="10"/>
            </rPr>
            <t>σ</t>
          </r>
          <r>
            <rPr>
              <rFont val="Calibri"/>
              <i val="1"/>
              <color rgb="002B2B2B"/>
              <sz val="10"/>
              <vertAlign val="subscript"/>
            </rPr>
            <t>Rd,max</t>
          </r>
        </is>
      </c>
      <c r="E84" s="40">
        <f>IF(inputs_ok,0.6*nup_db*fcd_db,NA())</f>
        <v/>
      </c>
      <c r="F84" s="28" t="inlineStr">
        <is>
          <t>MPa</t>
        </is>
      </c>
      <c r="G84" s="23" t="n"/>
    </row>
    <row r="85"/>
    <row r="86" ht="22" customHeight="1">
      <c r="B86" s="20" t="inlineStr">
        <is>
          <t>Calculation  ·  geometry and actions</t>
        </is>
      </c>
      <c r="C86" s="21" t="n"/>
      <c r="D86" s="21" t="n"/>
      <c r="E86" s="21" t="n"/>
      <c r="F86" s="21" t="n"/>
      <c r="G86" s="21" t="n"/>
    </row>
    <row r="87" ht="17" customHeight="1">
      <c r="B87" s="26" t="inlineStr">
        <is>
          <t>5.3.1(3)</t>
        </is>
      </c>
      <c r="C87" s="24" t="inlineStr">
        <is>
          <t>Span to depth  l / h  (&lt; 3: deep beam)</t>
        </is>
      </c>
      <c r="D87" s="27" t="inlineStr">
        <is>
          <r>
            <rPr>
              <rFont val="Calibri"/>
              <i val="1"/>
              <color rgb="002B2B2B"/>
              <sz val="10"/>
            </rPr>
            <t>l/h</t>
          </r>
        </is>
      </c>
      <c r="E87" s="40">
        <f>IF(inputs_ok,db_l/db_h,NA())</f>
        <v/>
      </c>
      <c r="F87" s="23" t="n"/>
      <c r="G87" s="23" t="n"/>
    </row>
    <row r="88" ht="17" customHeight="1">
      <c r="B88" s="26" t="inlineStr">
        <is>
          <t>8.2(2)</t>
        </is>
      </c>
      <c r="C88" s="24" t="inlineStr">
        <is>
          <t>Clear gap between tie bars and layers  max(φt; dg + 5; 20)</t>
        </is>
      </c>
      <c r="D88" s="27" t="inlineStr">
        <is>
          <r>
            <rPr>
              <rFont val="Calibri"/>
              <i val="1"/>
              <color rgb="002B2B2B"/>
              <sz val="10"/>
            </rPr>
            <t>a</t>
          </r>
          <r>
            <rPr>
              <rFont val="Calibri"/>
              <i val="1"/>
              <color rgb="002B2B2B"/>
              <sz val="10"/>
              <vertAlign val="subscript"/>
            </rPr>
            <t>min</t>
          </r>
        </is>
      </c>
      <c r="E88" s="41">
        <f>IF(inputs_ok,gap_db,NA())</f>
        <v/>
      </c>
      <c r="F88" s="28" t="inlineStr">
        <is>
          <t>mm</t>
        </is>
      </c>
      <c r="G88" s="23" t="n"/>
    </row>
    <row r="89" ht="17" customHeight="1">
      <c r="B89" s="26" t="inlineStr">
        <is>
          <t>Figure 6.27</t>
        </is>
      </c>
      <c r="C89" s="24" t="inlineStr">
        <is>
          <t>Tie centroid  c + φv + φt/2 + (nl − 1)(φt + a_min)/2</t>
        </is>
      </c>
      <c r="D89" s="27" t="inlineStr">
        <is>
          <r>
            <rPr>
              <rFont val="Calibri"/>
              <i val="1"/>
              <color rgb="002B2B2B"/>
              <sz val="10"/>
            </rPr>
            <t>u</t>
          </r>
        </is>
      </c>
      <c r="E89" s="42">
        <f>IF(inputs_ok,u_db,NA())</f>
        <v/>
      </c>
      <c r="F89" s="28" t="inlineStr">
        <is>
          <t>mm</t>
        </is>
      </c>
      <c r="G89" s="23" t="n"/>
    </row>
    <row r="90" ht="17" customHeight="1">
      <c r="B90" s="23" t="n"/>
      <c r="C90" s="24" t="inlineStr">
        <is>
          <t>Effective depth  h − u</t>
        </is>
      </c>
      <c r="D90" s="27" t="inlineStr">
        <is>
          <r>
            <rPr>
              <rFont val="Calibri"/>
              <i val="1"/>
              <color rgb="002B2B2B"/>
              <sz val="10"/>
            </rPr>
            <t>d</t>
          </r>
        </is>
      </c>
      <c r="E90" s="42">
        <f>IF(inputs_ok,db_h-u_db,NA())</f>
        <v/>
      </c>
      <c r="F90" s="28" t="inlineStr">
        <is>
          <t>mm</t>
        </is>
      </c>
      <c r="G90" s="23" t="n"/>
    </row>
    <row r="91" ht="17" customHeight="1">
      <c r="B91" s="23" t="n"/>
      <c r="C91" s="24" t="inlineStr">
        <is>
          <t>Active depth  min(h; l) − u</t>
        </is>
      </c>
      <c r="D91" s="27" t="inlineStr">
        <is>
          <r>
            <rPr>
              <rFont val="Calibri"/>
              <i val="1"/>
              <color rgb="002B2B2B"/>
              <sz val="10"/>
            </rPr>
            <t>d</t>
          </r>
          <r>
            <rPr>
              <rFont val="Calibri"/>
              <i val="1"/>
              <color rgb="002B2B2B"/>
              <sz val="10"/>
              <vertAlign val="subscript"/>
            </rPr>
            <t>e</t>
          </r>
        </is>
      </c>
      <c r="E91" s="42">
        <f>IF(inputs_ok,MIN(db_h,db_l)-u_db,NA())</f>
        <v/>
      </c>
      <c r="F91" s="28" t="inlineStr">
        <is>
          <t>mm</t>
        </is>
      </c>
      <c r="G91" s="23" t="n"/>
    </row>
    <row r="92" ht="17" customHeight="1">
      <c r="B92" s="23" t="n"/>
      <c r="C92" s="24" t="inlineStr">
        <is>
          <t>Reaction from the UDL  wEd l / 2</t>
        </is>
      </c>
      <c r="D92" s="27" t="inlineStr">
        <is>
          <r>
            <rPr>
              <rFont val="Calibri"/>
              <i val="1"/>
              <color rgb="002B2B2B"/>
              <sz val="10"/>
            </rPr>
            <t>R</t>
          </r>
          <r>
            <rPr>
              <rFont val="Calibri"/>
              <i val="1"/>
              <color rgb="002B2B2B"/>
              <sz val="10"/>
              <vertAlign val="subscript"/>
            </rPr>
            <t>w</t>
          </r>
        </is>
      </c>
      <c r="E92" s="42">
        <f>IF(inputs_ok,db_w*db_l/1000/2,NA())</f>
        <v/>
      </c>
      <c r="F92" s="28" t="inlineStr">
        <is>
          <t>kN</t>
        </is>
      </c>
      <c r="G92" s="23" t="n"/>
    </row>
    <row r="93" ht="17" customHeight="1">
      <c r="B93" s="23" t="n"/>
      <c r="C93" s="24" t="inlineStr">
        <is>
          <t>Reaction from the point load  FEd / 2</t>
        </is>
      </c>
      <c r="D93" s="27" t="inlineStr">
        <is>
          <r>
            <rPr>
              <rFont val="Calibri"/>
              <i val="1"/>
              <color rgb="002B2B2B"/>
              <sz val="10"/>
            </rPr>
            <t>R</t>
          </r>
          <r>
            <rPr>
              <rFont val="Calibri"/>
              <i val="1"/>
              <color rgb="002B2B2B"/>
              <sz val="10"/>
              <vertAlign val="subscript"/>
            </rPr>
            <t>F</t>
          </r>
        </is>
      </c>
      <c r="E93" s="42">
        <f>IF(inputs_ok,db_F/2,NA())</f>
        <v/>
      </c>
      <c r="F93" s="28" t="inlineStr">
        <is>
          <t>kN</t>
        </is>
      </c>
      <c r="G93" s="23" t="n"/>
    </row>
    <row r="94" ht="17" customHeight="1">
      <c r="B94" s="23" t="n"/>
      <c r="C94" s="24" t="inlineStr">
        <is>
          <t>Support reaction  Rw + RF</t>
        </is>
      </c>
      <c r="D94" s="27" t="inlineStr">
        <is>
          <r>
            <rPr>
              <rFont val="Calibri"/>
              <i val="1"/>
              <color rgb="002B2B2B"/>
              <sz val="10"/>
            </rPr>
            <t>R</t>
          </r>
        </is>
      </c>
      <c r="E94" s="42">
        <f>IF(inputs_ok,Rw_db+RF_db,NA())</f>
        <v/>
      </c>
      <c r="F94" s="28" t="inlineStr">
        <is>
          <t>kN</t>
        </is>
      </c>
      <c r="G94" s="23" t="n"/>
    </row>
    <row r="95" ht="17" customHeight="1">
      <c r="B95" s="23" t="n"/>
      <c r="C95" s="24" t="inlineStr">
        <is>
          <t>Midspan moment  wEd l² / 8 + FEd l / 4</t>
        </is>
      </c>
      <c r="D95" s="27" t="inlineStr">
        <is>
          <r>
            <rPr>
              <rFont val="Calibri"/>
              <i val="1"/>
              <color rgb="002B2B2B"/>
              <sz val="10"/>
            </rPr>
            <t>M</t>
          </r>
          <r>
            <rPr>
              <rFont val="Calibri"/>
              <i val="1"/>
              <color rgb="002B2B2B"/>
              <sz val="10"/>
              <vertAlign val="subscript"/>
            </rPr>
            <t>Ed</t>
          </r>
        </is>
      </c>
      <c r="E95" s="42">
        <f>IF(inputs_ok,db_w*(db_l/1000)^2/8+db_F*db_l/1000/4,NA())</f>
        <v/>
      </c>
      <c r="F95" s="28" t="inlineStr">
        <is>
          <t>kNm</t>
        </is>
      </c>
      <c r="G95" s="23" t="n"/>
    </row>
    <row r="96" ht="17" customHeight="1">
      <c r="B96" s="23" t="n"/>
      <c r="C96" s="24" t="inlineStr">
        <is>
          <t>Resultant of the struts at the support  a = M / R</t>
        </is>
      </c>
      <c r="D96" s="27" t="inlineStr">
        <is>
          <r>
            <rPr>
              <rFont val="Calibri"/>
              <i val="1"/>
              <color rgb="002B2B2B"/>
              <sz val="10"/>
            </rPr>
            <t>a</t>
          </r>
        </is>
      </c>
      <c r="E96" s="42">
        <f>IF(inputs_ok,M_db/R_db*1000,NA())</f>
        <v/>
      </c>
      <c r="F96" s="28" t="inlineStr">
        <is>
          <t>mm</t>
        </is>
      </c>
      <c r="G96" s="23" t="n"/>
    </row>
    <row r="97"/>
    <row r="98" ht="22" customHeight="1">
      <c r="B98" s="20" t="inlineStr">
        <is>
          <t>Calculation  ·  trusses</t>
        </is>
      </c>
      <c r="C98" s="21" t="n"/>
      <c r="D98" s="21" t="n"/>
      <c r="E98" s="21" t="n"/>
      <c r="F98" s="21" t="n"/>
      <c r="G98" s="21" t="n"/>
    </row>
    <row r="99" ht="17" customHeight="1">
      <c r="B99" s="26" t="inlineStr">
        <is>
          <t>6.5.4(4)a</t>
        </is>
      </c>
      <c r="C99" s="24" t="inlineStr">
        <is>
          <t>Compression block at k1 ν' fcd  (de − √(de² − 2M / (b σRd,CCC)))</t>
        </is>
      </c>
      <c r="D99" s="27" t="inlineStr">
        <is>
          <r>
            <rPr>
              <rFont val="Calibri"/>
              <i val="1"/>
              <color rgb="002B2B2B"/>
              <sz val="10"/>
            </rPr>
            <t>y</t>
          </r>
          <r>
            <rPr>
              <rFont val="Calibri"/>
              <i val="1"/>
              <color rgb="002B2B2B"/>
              <sz val="10"/>
              <vertAlign val="subscript"/>
            </rPr>
            <t>0</t>
          </r>
        </is>
      </c>
      <c r="E99" s="42">
        <f>IF(inputs_ok,IF(disc_db&gt;=0,2*M_db*1E6/(db_b*sccc_db)/(de_db+SQRT(disc_db)),NA()),NA())</f>
        <v/>
      </c>
      <c r="F99" s="28" t="inlineStr">
        <is>
          <t>mm</t>
        </is>
      </c>
      <c r="G99" s="26" t="inlineStr">
        <is>
          <t>N/A: no block fits</t>
        </is>
      </c>
    </row>
    <row r="100" ht="17" customHeight="1">
      <c r="B100" s="26" t="inlineStr">
        <is>
          <t>6.5</t>
        </is>
      </c>
      <c r="C100" s="24" t="inlineStr">
        <is>
          <t>Lever arm from the node  z0 = de − y0/2</t>
        </is>
      </c>
      <c r="D100" s="27" t="inlineStr">
        <is>
          <r>
            <rPr>
              <rFont val="Calibri"/>
              <i val="1"/>
              <color rgb="002B2B2B"/>
              <sz val="10"/>
            </rPr>
            <t>z</t>
          </r>
          <r>
            <rPr>
              <rFont val="Calibri"/>
              <i val="1"/>
              <color rgb="002B2B2B"/>
              <sz val="10"/>
              <vertAlign val="subscript"/>
            </rPr>
            <t>0</t>
          </r>
        </is>
      </c>
      <c r="E100" s="42">
        <f>IF(inputs_ok,de_db-y0_db/2,NA())</f>
        <v/>
      </c>
      <c r="F100" s="28" t="inlineStr">
        <is>
          <t>mm</t>
        </is>
      </c>
      <c r="G100" s="23" t="n"/>
    </row>
    <row r="101" ht="17" customHeight="1">
      <c r="B101" s="26" t="inlineStr">
        <is>
          <t>CIRIA Guide 2</t>
        </is>
      </c>
      <c r="C101" s="24" t="inlineStr">
        <is>
          <t>Elastic deep-beam lever arm  min(0.2 (l + 2h); 0.6 l)</t>
        </is>
      </c>
      <c r="D101" s="27" t="inlineStr">
        <is>
          <r>
            <rPr>
              <rFont val="Calibri"/>
              <i val="1"/>
              <color rgb="002B2B2B"/>
              <sz val="10"/>
            </rPr>
            <t>z</t>
          </r>
          <r>
            <rPr>
              <rFont val="Calibri"/>
              <i val="1"/>
              <color rgb="002B2B2B"/>
              <sz val="10"/>
              <vertAlign val="subscript"/>
            </rPr>
            <t>el</t>
          </r>
        </is>
      </c>
      <c r="E101" s="42">
        <f>IF(inputs_ok,MIN(0.2*(db_l+2*db_h),0.6*db_l),NA())</f>
        <v/>
      </c>
      <c r="F101" s="28" t="inlineStr">
        <is>
          <t>mm</t>
        </is>
      </c>
      <c r="G101" s="23" t="n"/>
    </row>
    <row r="102" ht="17" customHeight="1">
      <c r="B102" s="23" t="n"/>
      <c r="C102" s="24" t="inlineStr">
        <is>
          <t>Lever arm used  min(z0; zel)</t>
        </is>
      </c>
      <c r="D102" s="27" t="inlineStr">
        <is>
          <r>
            <rPr>
              <rFont val="Calibri"/>
              <i val="1"/>
              <color rgb="002B2B2B"/>
              <sz val="10"/>
            </rPr>
            <t>z</t>
          </r>
        </is>
      </c>
      <c r="E102" s="44">
        <f>IF(inputs_ok,MIN(z0_db,zel_db),NA())</f>
        <v/>
      </c>
      <c r="F102" s="28" t="inlineStr">
        <is>
          <t>mm</t>
        </is>
      </c>
      <c r="G102" s="23" t="n"/>
    </row>
    <row r="103" ht="17" customHeight="1">
      <c r="B103" s="23" t="n"/>
      <c r="C103" s="24" t="inlineStr">
        <is>
          <t>Top node depth  (z0 governs: y0; else 2 (de − z))</t>
        </is>
      </c>
      <c r="D103" s="27" t="inlineStr">
        <is>
          <r>
            <rPr>
              <rFont val="Calibri"/>
              <i val="1"/>
              <color rgb="002B2B2B"/>
              <sz val="10"/>
            </rPr>
            <t>y</t>
          </r>
        </is>
      </c>
      <c r="E103" s="42">
        <f>IF(inputs_ok,IF(z0_db&lt;=zel_db,y0_db,2*(de_db-z_db)),NA())</f>
        <v/>
      </c>
      <c r="F103" s="28" t="inlineStr">
        <is>
          <t>mm</t>
        </is>
      </c>
      <c r="G103" s="23" t="n"/>
    </row>
    <row r="104" ht="17" customHeight="1">
      <c r="B104" s="26" t="inlineStr">
        <is>
          <t>6.5</t>
        </is>
      </c>
      <c r="C104" s="24" t="inlineStr">
        <is>
          <t>Tie force  M / z  (= compression through the section at midspan)</t>
        </is>
      </c>
      <c r="D104" s="27" t="inlineStr">
        <is>
          <r>
            <rPr>
              <rFont val="Calibri"/>
              <i val="1"/>
              <color rgb="002B2B2B"/>
              <sz val="10"/>
            </rPr>
            <t>T</t>
          </r>
        </is>
      </c>
      <c r="E104" s="44">
        <f>IF(inputs_ok,M_db*1000/z_db,NA())</f>
        <v/>
      </c>
      <c r="F104" s="28" t="inlineStr">
        <is>
          <t>kN</t>
        </is>
      </c>
      <c r="G104" s="23" t="n"/>
    </row>
    <row r="105" ht="17" customHeight="1">
      <c r="B105" s="26" t="inlineStr">
        <is>
          <t>6.5</t>
        </is>
      </c>
      <c r="C105" s="24" t="inlineStr">
        <is>
          <t>Top chord between the UDL nodes  Rw (l/4) / z</t>
        </is>
      </c>
      <c r="D105" s="27" t="inlineStr">
        <is>
          <r>
            <rPr>
              <rFont val="Calibri"/>
              <i val="1"/>
              <color rgb="002B2B2B"/>
              <sz val="10"/>
            </rPr>
            <t>C</t>
          </r>
          <r>
            <rPr>
              <rFont val="Calibri"/>
              <i val="1"/>
              <color rgb="002B2B2B"/>
              <sz val="10"/>
              <vertAlign val="subscript"/>
            </rPr>
            <t>w</t>
          </r>
        </is>
      </c>
      <c r="E105" s="42">
        <f>IF(inputs_ok,Rw_db*(db_l/4)/z_db,NA())</f>
        <v/>
      </c>
      <c r="F105" s="28" t="inlineStr">
        <is>
          <t>kN</t>
        </is>
      </c>
      <c r="G105" s="23" t="n"/>
    </row>
    <row r="106" ht="17" customHeight="1">
      <c r="B106" s="23" t="n"/>
      <c r="C106" s="24" t="inlineStr">
        <is>
          <t>UDL struts to l/4  tan θw = z / (l/4)</t>
        </is>
      </c>
      <c r="D106" s="27" t="inlineStr">
        <is>
          <r>
            <rPr>
              <rFont val="Calibri"/>
              <i val="1"/>
              <color rgb="002B2B2B"/>
              <sz val="10"/>
            </rPr>
            <t>tan θ</t>
          </r>
          <r>
            <rPr>
              <rFont val="Calibri"/>
              <i val="1"/>
              <color rgb="002B2B2B"/>
              <sz val="10"/>
              <vertAlign val="subscript"/>
            </rPr>
            <t>w</t>
          </r>
        </is>
      </c>
      <c r="E106" s="43">
        <f>IF(inputs_ok,z_db/(db_l/4),NA())</f>
        <v/>
      </c>
      <c r="F106" s="23" t="n"/>
      <c r="G106" s="23" t="n"/>
    </row>
    <row r="107" ht="17" customHeight="1">
      <c r="B107" s="23" t="n"/>
      <c r="C107" s="24" t="inlineStr">
        <is>
          <t>Point-load struts to l/2  tan θF = z / (l/2)</t>
        </is>
      </c>
      <c r="D107" s="27" t="inlineStr">
        <is>
          <r>
            <rPr>
              <rFont val="Calibri"/>
              <i val="1"/>
              <color rgb="002B2B2B"/>
              <sz val="10"/>
            </rPr>
            <t>tan θ</t>
          </r>
          <r>
            <rPr>
              <rFont val="Calibri"/>
              <i val="1"/>
              <color rgb="002B2B2B"/>
              <sz val="10"/>
              <vertAlign val="subscript"/>
            </rPr>
            <t>F</t>
          </r>
        </is>
      </c>
      <c r="E107" s="43">
        <f>IF(inputs_ok,z_db/(db_l/2),NA())</f>
        <v/>
      </c>
      <c r="F107" s="23" t="n"/>
      <c r="G107" s="23" t="n"/>
    </row>
    <row r="108" ht="17" customHeight="1">
      <c r="B108" s="23" t="n"/>
      <c r="C108" s="24" t="inlineStr">
        <is>
          <t>Flattest strut present  tan θ ≥ 0.5  (θ ≥ 26.6°)</t>
        </is>
      </c>
      <c r="D108" s="27" t="inlineStr">
        <is>
          <r>
            <rPr>
              <rFont val="Calibri"/>
              <i val="1"/>
              <color rgb="002B2B2B"/>
              <sz val="10"/>
            </rPr>
            <t>tan θ</t>
          </r>
        </is>
      </c>
      <c r="E108" s="43">
        <f>IF(inputs_ok,IF(db_F&gt;0,tanF_db,tanw_db),NA())</f>
        <v/>
      </c>
      <c r="F108" s="23" t="n"/>
      <c r="G108" s="23" t="n"/>
    </row>
    <row r="109" ht="17" customHeight="1">
      <c r="B109" s="23" t="n"/>
      <c r="C109" s="24" t="inlineStr">
        <is>
          <t>Angles  θw,  θF</t>
        </is>
      </c>
      <c r="D109" s="27" t="inlineStr">
        <is>
          <r>
            <rPr>
              <rFont val="Calibri"/>
              <i val="1"/>
              <color rgb="002B2B2B"/>
              <sz val="10"/>
            </rPr>
            <t>θ</t>
          </r>
          <r>
            <rPr>
              <rFont val="Calibri"/>
              <i val="1"/>
              <color rgb="002B2B2B"/>
              <sz val="10"/>
              <vertAlign val="subscript"/>
            </rPr>
            <t>w</t>
          </r>
        </is>
      </c>
      <c r="E109" s="42">
        <f>IF(inputs_ok,DEGREES(ATAN(tanw_db)),NA())</f>
        <v/>
      </c>
      <c r="F109" s="28" t="inlineStr">
        <is>
          <t>°</t>
        </is>
      </c>
      <c r="G109" s="23" t="n"/>
    </row>
    <row r="110" ht="17" customHeight="1">
      <c r="B110" s="23" t="n"/>
      <c r="C110" s="24" t="inlineStr"/>
      <c r="D110" s="27" t="inlineStr">
        <is>
          <r>
            <rPr>
              <rFont val="Calibri"/>
              <i val="1"/>
              <color rgb="002B2B2B"/>
              <sz val="10"/>
            </rPr>
            <t>θ</t>
          </r>
          <r>
            <rPr>
              <rFont val="Calibri"/>
              <i val="1"/>
              <color rgb="002B2B2B"/>
              <sz val="10"/>
              <vertAlign val="subscript"/>
            </rPr>
            <t>F</t>
          </r>
        </is>
      </c>
      <c r="E110" s="42">
        <f>IF(inputs_ok,DEGREES(ATAN(tanF_db)),NA())</f>
        <v/>
      </c>
      <c r="F110" s="28" t="inlineStr">
        <is>
          <t>°</t>
        </is>
      </c>
      <c r="G110" s="23" t="n"/>
    </row>
    <row r="111" ht="17" customHeight="1">
      <c r="B111" s="26" t="inlineStr">
        <is>
          <t>6.5</t>
        </is>
      </c>
      <c r="C111" s="24" t="inlineStr">
        <is>
          <t>UDL strut force  Rw / sin θw</t>
        </is>
      </c>
      <c r="D111" s="27" t="inlineStr">
        <is>
          <r>
            <rPr>
              <rFont val="Calibri"/>
              <i val="1"/>
              <color rgb="002B2B2B"/>
              <sz val="10"/>
            </rPr>
            <t>F</t>
          </r>
          <r>
            <rPr>
              <rFont val="Calibri"/>
              <i val="1"/>
              <color rgb="002B2B2B"/>
              <sz val="10"/>
              <vertAlign val="subscript"/>
            </rPr>
            <t>c,w</t>
          </r>
        </is>
      </c>
      <c r="E111" s="42">
        <f>IF(inputs_ok,Rw_db/SIN(ATAN(tanw_db)),NA())</f>
        <v/>
      </c>
      <c r="F111" s="28" t="inlineStr">
        <is>
          <t>kN</t>
        </is>
      </c>
      <c r="G111" s="23" t="n"/>
    </row>
    <row r="112" ht="17" customHeight="1">
      <c r="B112" s="26" t="inlineStr">
        <is>
          <t>6.5</t>
        </is>
      </c>
      <c r="C112" s="24" t="inlineStr">
        <is>
          <t>Point-load strut force  RF / sin θF</t>
        </is>
      </c>
      <c r="D112" s="27" t="inlineStr">
        <is>
          <r>
            <rPr>
              <rFont val="Calibri"/>
              <i val="1"/>
              <color rgb="002B2B2B"/>
              <sz val="10"/>
            </rPr>
            <t>F</t>
          </r>
          <r>
            <rPr>
              <rFont val="Calibri"/>
              <i val="1"/>
              <color rgb="002B2B2B"/>
              <sz val="10"/>
              <vertAlign val="subscript"/>
            </rPr>
            <t>c,F</t>
          </r>
        </is>
      </c>
      <c r="E112" s="42">
        <f>IF(inputs_ok,RF_db/SIN(ATAN(tanF_db)),NA())</f>
        <v/>
      </c>
      <c r="F112" s="28" t="inlineStr">
        <is>
          <t>kN</t>
        </is>
      </c>
      <c r="G112" s="23" t="n"/>
    </row>
    <row r="113" ht="17" customHeight="1">
      <c r="B113" s="23" t="n"/>
      <c r="C113" s="24" t="inlineStr">
        <is>
          <t>Resultant at the support  tan θ = z / a</t>
        </is>
      </c>
      <c r="D113" s="27" t="inlineStr">
        <is>
          <r>
            <rPr>
              <rFont val="Calibri"/>
              <i val="1"/>
              <color rgb="002B2B2B"/>
              <sz val="10"/>
            </rPr>
            <t>tan θ</t>
          </r>
        </is>
      </c>
      <c r="E113" s="43">
        <f>IF(inputs_ok,z_db/as_db,NA())</f>
        <v/>
      </c>
      <c r="F113" s="23" t="n"/>
      <c r="G113" s="23" t="n"/>
    </row>
    <row r="114" ht="17" customHeight="1">
      <c r="B114" s="23" t="n"/>
      <c r="C114" s="24" t="inlineStr">
        <is>
          <t>Resultant angle</t>
        </is>
      </c>
      <c r="D114" s="27" t="inlineStr">
        <is>
          <r>
            <rPr>
              <rFont val="Calibri"/>
              <i val="1"/>
              <color rgb="002B2B2B"/>
              <sz val="10"/>
            </rPr>
            <t>θ</t>
          </r>
        </is>
      </c>
      <c r="E114" s="42">
        <f>IF(inputs_ok,DEGREES(ATAN(tan_db)),NA())</f>
        <v/>
      </c>
      <c r="F114" s="28" t="inlineStr">
        <is>
          <t>°</t>
        </is>
      </c>
      <c r="G114" s="23" t="n"/>
    </row>
    <row r="115" ht="17" customHeight="1">
      <c r="B115" s="26" t="inlineStr">
        <is>
          <t>6.5</t>
        </is>
      </c>
      <c r="C115" s="24" t="inlineStr">
        <is>
          <t>Resultant strut force  R / sin θ</t>
        </is>
      </c>
      <c r="D115" s="27" t="inlineStr">
        <is>
          <r>
            <rPr>
              <rFont val="Calibri"/>
              <i val="1"/>
              <color rgb="002B2B2B"/>
              <sz val="10"/>
            </rPr>
            <t>F</t>
          </r>
          <r>
            <rPr>
              <rFont val="Calibri"/>
              <i val="1"/>
              <color rgb="002B2B2B"/>
              <sz val="10"/>
              <vertAlign val="subscript"/>
            </rPr>
            <t>c</t>
          </r>
        </is>
      </c>
      <c r="E115" s="42">
        <f>IF(inputs_ok,R_db/SIN(ATAN(tan_db)),NA())</f>
        <v/>
      </c>
      <c r="F115" s="28" t="inlineStr">
        <is>
          <t>kN</t>
        </is>
      </c>
      <c r="G115" s="23" t="n"/>
    </row>
    <row r="116"/>
    <row r="117" ht="22" customHeight="1">
      <c r="B117" s="20" t="inlineStr">
        <is>
          <t>Calculation  ·  tie</t>
        </is>
      </c>
      <c r="C117" s="21" t="n"/>
      <c r="D117" s="21" t="n"/>
      <c r="E117" s="21" t="n"/>
      <c r="F117" s="21" t="n"/>
      <c r="G117" s="21" t="n"/>
    </row>
    <row r="118" ht="17" customHeight="1">
      <c r="B118" s="23" t="n"/>
      <c r="C118" s="24" t="inlineStr">
        <is>
          <t>Required  T / fyd</t>
        </is>
      </c>
      <c r="D118" s="27" t="inlineStr">
        <is>
          <r>
            <rPr>
              <rFont val="Calibri"/>
              <i val="1"/>
              <color rgb="002B2B2B"/>
              <sz val="10"/>
            </rPr>
            <t>A</t>
          </r>
          <r>
            <rPr>
              <rFont val="Calibri"/>
              <i val="1"/>
              <color rgb="002B2B2B"/>
              <sz val="10"/>
              <vertAlign val="subscript"/>
            </rPr>
            <t>s,req</t>
          </r>
        </is>
      </c>
      <c r="E118" s="41">
        <f>IF(inputs_ok,T_db*1000/fyd_db,NA())</f>
        <v/>
      </c>
      <c r="F118" s="28" t="inlineStr">
        <is>
          <t>mm²</t>
        </is>
      </c>
      <c r="G118" s="23" t="n"/>
    </row>
    <row r="119" ht="17" customHeight="1">
      <c r="B119" s="23" t="n"/>
      <c r="C119" s="24" t="inlineStr">
        <is>
          <t>Provided  nl nt π φt² / 4</t>
        </is>
      </c>
      <c r="D119" s="27" t="inlineStr">
        <is>
          <r>
            <rPr>
              <rFont val="Calibri"/>
              <i val="1"/>
              <color rgb="002B2B2B"/>
              <sz val="10"/>
            </rPr>
            <t>A</t>
          </r>
          <r>
            <rPr>
              <rFont val="Calibri"/>
              <i val="1"/>
              <color rgb="002B2B2B"/>
              <sz val="10"/>
              <vertAlign val="subscript"/>
            </rPr>
            <t>s,prov</t>
          </r>
        </is>
      </c>
      <c r="E119" s="41">
        <f>IF(inputs_ok,db_nl*db_nt*PI()*db_pt^2/4,NA())</f>
        <v/>
      </c>
      <c r="F119" s="28" t="inlineStr">
        <is>
          <t>mm²</t>
        </is>
      </c>
      <c r="G119" s="23" t="n"/>
    </row>
    <row r="120" ht="17" customHeight="1">
      <c r="B120" s="26" t="inlineStr">
        <is>
          <t>6.5.2(3)</t>
        </is>
      </c>
      <c r="C120" s="24" t="inlineStr">
        <is>
          <t>Tie  As,req ≤ As,prov</t>
        </is>
      </c>
      <c r="D120" s="27" t="inlineStr">
        <is>
          <r>
            <rPr>
              <rFont val="Calibri"/>
              <i val="1"/>
              <color rgb="002B2B2B"/>
              <sz val="10"/>
            </rPr>
            <t>A</t>
          </r>
          <r>
            <rPr>
              <rFont val="Calibri"/>
              <i val="1"/>
              <color rgb="002B2B2B"/>
              <sz val="10"/>
              <vertAlign val="subscript"/>
            </rPr>
            <t>s,prov</t>
          </r>
        </is>
      </c>
      <c r="E120" s="41">
        <f>IF(inputs_ok,Asprov_db,NA())</f>
        <v/>
      </c>
      <c r="F120" s="28" t="inlineStr">
        <is>
          <t>mm²</t>
        </is>
      </c>
      <c r="G120" s="31">
        <f>IF(NOT(inputs_ok),"FAIL",IF(IF(mod_db,Asreq_db&lt;=Asprov_db,FALSE),"OK","FAIL"))</f>
        <v/>
      </c>
    </row>
    <row r="121" ht="17" customHeight="1">
      <c r="B121" s="23" t="n"/>
      <c r="C121" s="24" t="inlineStr">
        <is>
          <t>Side cover to the tie  c + φv  (bent bars: + φh, inside the mesh)</t>
        </is>
      </c>
      <c r="D121" s="27" t="inlineStr">
        <is>
          <r>
            <rPr>
              <rFont val="Calibri"/>
              <i val="1"/>
              <color rgb="002B2B2B"/>
              <sz val="10"/>
            </rPr>
            <t>c</t>
          </r>
          <r>
            <rPr>
              <rFont val="Calibri"/>
              <i val="1"/>
              <color rgb="002B2B2B"/>
              <sz val="10"/>
              <vertAlign val="subscript"/>
            </rPr>
            <t>s</t>
          </r>
        </is>
      </c>
      <c r="E121" s="41">
        <f>IF(inputs_ok,cs_db,NA())</f>
        <v/>
      </c>
      <c r="F121" s="28" t="inlineStr">
        <is>
          <t>mm</t>
        </is>
      </c>
      <c r="G121" s="23" t="n"/>
    </row>
    <row r="122" ht="17" customHeight="1">
      <c r="B122" s="23" t="n"/>
      <c r="C122" s="24" t="inlineStr">
        <is>
          <t>Clear gap  (b − 2 cs − nt φt) / (nt − 1)</t>
        </is>
      </c>
      <c r="D122" s="27" t="inlineStr">
        <is>
          <r>
            <rPr>
              <rFont val="Calibri"/>
              <i val="1"/>
              <color rgb="002B2B2B"/>
              <sz val="10"/>
            </rPr>
            <t>a</t>
          </r>
        </is>
      </c>
      <c r="E122" s="42">
        <f>IF(inputs_ok,(db_b-2*cs_db-db_nt*db_pt)/(db_nt-1),NA())</f>
        <v/>
      </c>
      <c r="F122" s="28" t="inlineStr">
        <is>
          <t>mm</t>
        </is>
      </c>
      <c r="G122" s="23" t="n"/>
    </row>
    <row r="123" ht="17" customHeight="1">
      <c r="B123" s="26" t="inlineStr">
        <is>
          <t>8.2(2)</t>
        </is>
      </c>
      <c r="C123" s="24" t="inlineStr">
        <is>
          <t>Tie bars fit  a ≥ a_min</t>
        </is>
      </c>
      <c r="D123" s="27" t="inlineStr">
        <is>
          <r>
            <rPr>
              <rFont val="Calibri"/>
              <i val="1"/>
              <color rgb="002B2B2B"/>
              <sz val="10"/>
            </rPr>
            <t>a</t>
          </r>
        </is>
      </c>
      <c r="E123" s="42">
        <f>IF(inputs_ok,gapa_db,NA())</f>
        <v/>
      </c>
      <c r="F123" s="28" t="inlineStr">
        <is>
          <t>mm</t>
        </is>
      </c>
      <c r="G123" s="31">
        <f>IF(NOT(inputs_ok),"FAIL",IF(gapa_db&gt;=gap_db,"OK","FAIL"))</f>
        <v/>
      </c>
    </row>
    <row r="124"/>
    <row r="125" ht="22" customHeight="1">
      <c r="B125" s="20" t="inlineStr">
        <is>
          <t>Calculation  ·  nodes</t>
        </is>
      </c>
      <c r="C125" s="21" t="n"/>
      <c r="D125" s="21" t="n"/>
      <c r="E125" s="21" t="n"/>
      <c r="F125" s="21" t="n"/>
      <c r="G125" s="21" t="n"/>
    </row>
    <row r="126" ht="17" customHeight="1">
      <c r="B126" s="26" t="inlineStr">
        <is>
          <t>6.5.4(4)b</t>
        </is>
      </c>
      <c r="C126" s="24" t="inlineStr">
        <is>
          <t>Support bearing  R / (a1 b)</t>
        </is>
      </c>
      <c r="D126" s="27" t="inlineStr">
        <is>
          <r>
            <rPr>
              <rFont val="Calibri"/>
              <i val="1"/>
              <color rgb="002B2B2B"/>
              <sz val="10"/>
            </rPr>
            <t>σ</t>
          </r>
          <r>
            <rPr>
              <rFont val="Calibri"/>
              <i val="1"/>
              <color rgb="002B2B2B"/>
              <sz val="10"/>
              <vertAlign val="subscript"/>
            </rPr>
            <t>Ed,1</t>
          </r>
        </is>
      </c>
      <c r="E126" s="40">
        <f>IF(inputs_ok,R_db*1000/(db_a1*db_b),NA())</f>
        <v/>
      </c>
      <c r="F126" s="28" t="inlineStr">
        <is>
          <t>MPa</t>
        </is>
      </c>
      <c r="G126" s="23" t="n"/>
    </row>
    <row r="127" ht="17" customHeight="1">
      <c r="B127" s="26" t="inlineStr">
        <is>
          <t>Figure 6.27</t>
        </is>
      </c>
      <c r="C127" s="24" t="inlineStr">
        <is>
          <t>Strut width at the support  a1 sin θ + 2u cos θ</t>
        </is>
      </c>
      <c r="D127" s="27" t="inlineStr">
        <is>
          <r>
            <rPr>
              <rFont val="Calibri"/>
              <i val="1"/>
              <color rgb="002B2B2B"/>
              <sz val="10"/>
            </rPr>
            <t>w</t>
          </r>
          <r>
            <rPr>
              <rFont val="Calibri"/>
              <i val="1"/>
              <color rgb="002B2B2B"/>
              <sz val="10"/>
              <vertAlign val="subscript"/>
            </rPr>
            <t>1</t>
          </r>
        </is>
      </c>
      <c r="E127" s="42">
        <f>IF(inputs_ok,db_a1*SIN(ATAN(tan_db))+2*u_db*COS(ATAN(tan_db)),NA())</f>
        <v/>
      </c>
      <c r="F127" s="28" t="inlineStr">
        <is>
          <t>mm</t>
        </is>
      </c>
      <c r="G127" s="23" t="n"/>
    </row>
    <row r="128" ht="17" customHeight="1">
      <c r="B128" s="26" t="inlineStr">
        <is>
          <t>6.5.4(4)b</t>
        </is>
      </c>
      <c r="C128" s="24" t="inlineStr">
        <is>
          <t>Strut face at the support  Fc / (b w1)</t>
        </is>
      </c>
      <c r="D128" s="27" t="inlineStr">
        <is>
          <r>
            <rPr>
              <rFont val="Calibri"/>
              <i val="1"/>
              <color rgb="002B2B2B"/>
              <sz val="10"/>
            </rPr>
            <t>σ</t>
          </r>
          <r>
            <rPr>
              <rFont val="Calibri"/>
              <i val="1"/>
              <color rgb="002B2B2B"/>
              <sz val="10"/>
              <vertAlign val="subscript"/>
            </rPr>
            <t>Ed,2</t>
          </r>
        </is>
      </c>
      <c r="E128" s="40">
        <f>IF(inputs_ok,Fc_db*1000/(db_b*wb_db),NA())</f>
        <v/>
      </c>
      <c r="F128" s="28" t="inlineStr">
        <is>
          <t>MPa</t>
        </is>
      </c>
      <c r="G128" s="23" t="n"/>
    </row>
    <row r="129" ht="17" customHeight="1">
      <c r="B129" s="26" t="inlineStr">
        <is>
          <t>(6.61)</t>
        </is>
      </c>
      <c r="C129" s="24" t="inlineStr">
        <is>
          <t>Support node  max(σEd,1; σEd,2) ≤ k2 ν' fcd</t>
        </is>
      </c>
      <c r="D129" s="27" t="inlineStr">
        <is>
          <r>
            <rPr>
              <rFont val="Calibri"/>
              <i val="1"/>
              <color rgb="002B2B2B"/>
              <sz val="10"/>
            </rPr>
            <t>σ</t>
          </r>
          <r>
            <rPr>
              <rFont val="Calibri"/>
              <i val="1"/>
              <color rgb="002B2B2B"/>
              <sz val="10"/>
              <vertAlign val="subscript"/>
            </rPr>
            <t>Ed</t>
          </r>
        </is>
      </c>
      <c r="E129" s="40">
        <f>IF(inputs_ok,MAX(sb1_db,sn1_db),NA())</f>
        <v/>
      </c>
      <c r="F129" s="28" t="inlineStr">
        <is>
          <t>MPa</t>
        </is>
      </c>
      <c r="G129" s="31">
        <f>IF(NOT(inputs_ok),"FAIL",IF(IF(mod_db,AND(sb1_db&lt;=scct_db,sn1_db&lt;=scct_db),FALSE),"OK","FAIL"))</f>
        <v/>
      </c>
    </row>
    <row r="130" ht="17" customHeight="1">
      <c r="B130" s="26" t="inlineStr">
        <is>
          <t>6.5.4(4)a</t>
        </is>
      </c>
      <c r="C130" s="24" t="inlineStr">
        <is>
          <t>Load plate  FEd / (a2 b) + wEd / b  (whole UDL on the top face)</t>
        </is>
      </c>
      <c r="D130" s="27" t="inlineStr">
        <is>
          <r>
            <rPr>
              <rFont val="Calibri"/>
              <i val="1"/>
              <color rgb="002B2B2B"/>
              <sz val="10"/>
            </rPr>
            <t>σ</t>
          </r>
          <r>
            <rPr>
              <rFont val="Calibri"/>
              <i val="1"/>
              <color rgb="002B2B2B"/>
              <sz val="10"/>
              <vertAlign val="subscript"/>
            </rPr>
            <t>Ed,3</t>
          </r>
        </is>
      </c>
      <c r="E130" s="40">
        <f>IF(inputs_ok,db_F*1000/(db_a2*db_b)+db_w/db_b,NA())</f>
        <v/>
      </c>
      <c r="F130" s="28" t="inlineStr">
        <is>
          <t>MPa</t>
        </is>
      </c>
      <c r="G130" s="23" t="n"/>
    </row>
    <row r="131" ht="17" customHeight="1">
      <c r="B131" s="26" t="inlineStr">
        <is>
          <t>6.5.4(4)a</t>
        </is>
      </c>
      <c r="C131" s="24" t="inlineStr">
        <is>
          <t>Midspan node, vertical face  T / (b y)  (chord + point-load struts)</t>
        </is>
      </c>
      <c r="D131" s="27" t="inlineStr">
        <is>
          <r>
            <rPr>
              <rFont val="Calibri"/>
              <i val="1"/>
              <color rgb="002B2B2B"/>
              <sz val="10"/>
            </rPr>
            <t>σ</t>
          </r>
          <r>
            <rPr>
              <rFont val="Calibri"/>
              <i val="1"/>
              <color rgb="002B2B2B"/>
              <sz val="10"/>
              <vertAlign val="subscript"/>
            </rPr>
            <t>Ed,4</t>
          </r>
        </is>
      </c>
      <c r="E131" s="40">
        <f>IF(inputs_ok,T_db*1000/(db_b*y_db),NA())</f>
        <v/>
      </c>
      <c r="F131" s="28" t="inlineStr">
        <is>
          <t>MPa</t>
        </is>
      </c>
      <c r="G131" s="23" t="n"/>
    </row>
    <row r="132" ht="17" customHeight="1">
      <c r="B132" s="26" t="inlineStr">
        <is>
          <t>6.5.4(4)a</t>
        </is>
      </c>
      <c r="C132" s="24" t="inlineStr">
        <is>
          <t>UDL strut, top end  y cos θw + (l/2) sin θw  (smeared)</t>
        </is>
      </c>
      <c r="D132" s="27" t="inlineStr">
        <is>
          <r>
            <rPr>
              <rFont val="Calibri"/>
              <i val="1"/>
              <color rgb="002B2B2B"/>
              <sz val="10"/>
            </rPr>
            <t>w</t>
          </r>
          <r>
            <rPr>
              <rFont val="Calibri"/>
              <i val="1"/>
              <color rgb="002B2B2B"/>
              <sz val="10"/>
              <vertAlign val="subscript"/>
            </rPr>
            <t>2,w</t>
          </r>
        </is>
      </c>
      <c r="E132" s="42">
        <f>IF(inputs_ok,y_db*COS(ATAN(tanw_db))+db_l/2*SIN(ATAN(tanw_db)),NA())</f>
        <v/>
      </c>
      <c r="F132" s="28" t="inlineStr">
        <is>
          <t>mm</t>
        </is>
      </c>
      <c r="G132" s="23" t="n"/>
    </row>
    <row r="133" ht="17" customHeight="1">
      <c r="B133" s="26" t="inlineStr">
        <is>
          <t>6.5.4(4)a</t>
        </is>
      </c>
      <c r="C133" s="24" t="inlineStr">
        <is>
          <t>Point-load strut, top end  y cos θF + (a2/2) sin θF</t>
        </is>
      </c>
      <c r="D133" s="27" t="inlineStr">
        <is>
          <r>
            <rPr>
              <rFont val="Calibri"/>
              <i val="1"/>
              <color rgb="002B2B2B"/>
              <sz val="10"/>
            </rPr>
            <t>w</t>
          </r>
          <r>
            <rPr>
              <rFont val="Calibri"/>
              <i val="1"/>
              <color rgb="002B2B2B"/>
              <sz val="10"/>
              <vertAlign val="subscript"/>
            </rPr>
            <t>2,F</t>
          </r>
        </is>
      </c>
      <c r="E133" s="42">
        <f>IF(inputs_ok,y_db*COS(ATAN(tanF_db))+db_a2/2*SIN(ATAN(tanF_db)),NA())</f>
        <v/>
      </c>
      <c r="F133" s="28" t="inlineStr">
        <is>
          <t>mm</t>
        </is>
      </c>
      <c r="G133" s="23" t="n"/>
    </row>
    <row r="134" ht="17" customHeight="1">
      <c r="B134" s="26" t="inlineStr">
        <is>
          <t>6.5.4(4)a</t>
        </is>
      </c>
      <c r="C134" s="24" t="inlineStr">
        <is>
          <t>Strut faces at the top  max(Fc / (b w2))</t>
        </is>
      </c>
      <c r="D134" s="27" t="inlineStr">
        <is>
          <r>
            <rPr>
              <rFont val="Calibri"/>
              <i val="1"/>
              <color rgb="002B2B2B"/>
              <sz val="10"/>
            </rPr>
            <t>σ</t>
          </r>
          <r>
            <rPr>
              <rFont val="Calibri"/>
              <i val="1"/>
              <color rgb="002B2B2B"/>
              <sz val="10"/>
              <vertAlign val="subscript"/>
            </rPr>
            <t>Ed,5</t>
          </r>
        </is>
      </c>
      <c r="E134" s="40">
        <f>IF(inputs_ok,MAX(Fcw_db*1000/(db_b*wtw_db),FcF_db*1000/(db_b*wtF_db)),NA())</f>
        <v/>
      </c>
      <c r="F134" s="28" t="inlineStr">
        <is>
          <t>MPa</t>
        </is>
      </c>
      <c r="G134" s="23" t="n"/>
    </row>
    <row r="135" ht="17" customHeight="1">
      <c r="B135" s="26" t="inlineStr">
        <is>
          <t>(6.60)</t>
        </is>
      </c>
      <c r="C135" s="24" t="inlineStr">
        <is>
          <t>Top node  max(σEd,3; σEd,4; σEd,5) ≤ k1 ν' fcd</t>
        </is>
      </c>
      <c r="D135" s="27" t="inlineStr">
        <is>
          <r>
            <rPr>
              <rFont val="Calibri"/>
              <i val="1"/>
              <color rgb="002B2B2B"/>
              <sz val="10"/>
            </rPr>
            <t>σ</t>
          </r>
          <r>
            <rPr>
              <rFont val="Calibri"/>
              <i val="1"/>
              <color rgb="002B2B2B"/>
              <sz val="10"/>
              <vertAlign val="subscript"/>
            </rPr>
            <t>Ed</t>
          </r>
        </is>
      </c>
      <c r="E135" s="40">
        <f>IF(inputs_ok,MAX(sb2_db,sgh_db,sn2_db),NA())</f>
        <v/>
      </c>
      <c r="F135" s="28" t="inlineStr">
        <is>
          <t>MPa</t>
        </is>
      </c>
      <c r="G135" s="31">
        <f>IF(NOT(inputs_ok),"FAIL",IF(IF(mod_db,AND(sb2_db&lt;=sccc_db,sgh_db&lt;=sccc_db*(1+1E-9),sn2_db&lt;=sccc_db),FALSE),"OK","FAIL"))</f>
        <v/>
      </c>
    </row>
    <row r="136"/>
    <row r="137" ht="22" customHeight="1">
      <c r="B137" s="20" t="inlineStr">
        <is>
          <t>Calculation  ·  struts  (0.6 ν' fcd on the narrower end; splitting (6.59))</t>
        </is>
      </c>
      <c r="C137" s="21" t="n"/>
      <c r="D137" s="21" t="n"/>
      <c r="E137" s="21" t="n"/>
      <c r="F137" s="21" t="n"/>
      <c r="G137" s="21" t="n"/>
    </row>
    <row r="138" ht="17" customHeight="1">
      <c r="B138" s="23" t="n"/>
      <c r="C138" s="24" t="inlineStr">
        <is>
          <t>UDL strut: length  √(a² + z²),  a = l/4</t>
        </is>
      </c>
      <c r="D138" s="27" t="inlineStr">
        <is>
          <r>
            <rPr>
              <rFont val="Calibri"/>
              <i val="1"/>
              <color rgb="002B2B2B"/>
              <sz val="10"/>
            </rPr>
            <t>H</t>
          </r>
          <r>
            <rPr>
              <rFont val="Calibri"/>
              <i val="1"/>
              <color rgb="002B2B2B"/>
              <sz val="10"/>
              <vertAlign val="subscript"/>
            </rPr>
            <t>w</t>
          </r>
        </is>
      </c>
      <c r="E138" s="42">
        <f>IF(inputs_ok,SQRT((db_l/4)^2+z_db^2),NA())</f>
        <v/>
      </c>
      <c r="F138" s="28" t="inlineStr">
        <is>
          <t>mm</t>
        </is>
      </c>
      <c r="G138" s="23" t="n"/>
    </row>
    <row r="139" ht="17" customHeight="1">
      <c r="B139" s="26" t="inlineStr">
        <is>
          <t>Figure 6.25</t>
        </is>
      </c>
      <c r="C139" s="24" t="inlineStr">
        <is>
          <t>UDL strut: narrower end  min(w1 share; w2)</t>
        </is>
      </c>
      <c r="D139" s="27" t="inlineStr">
        <is>
          <r>
            <rPr>
              <rFont val="Calibri"/>
              <i val="1"/>
              <color rgb="002B2B2B"/>
              <sz val="10"/>
            </rPr>
            <t>a</t>
          </r>
          <r>
            <rPr>
              <rFont val="Calibri"/>
              <i val="1"/>
              <color rgb="002B2B2B"/>
              <sz val="10"/>
              <vertAlign val="subscript"/>
            </rPr>
            <t>w</t>
          </r>
        </is>
      </c>
      <c r="E139" s="42">
        <f>IF(inputs_ok,MIN(wb_db*Fcw_db/(Fcw_db+FcF_db),wtw_db),NA())</f>
        <v/>
      </c>
      <c r="F139" s="28" t="inlineStr">
        <is>
          <t>mm</t>
        </is>
      </c>
      <c r="G139" s="23" t="n"/>
    </row>
    <row r="140" ht="17" customHeight="1">
      <c r="B140" s="26" t="inlineStr">
        <is>
          <t>6.5.2(2)</t>
        </is>
      </c>
      <c r="C140" s="24" t="inlineStr">
        <is>
          <t>UDL strut: stress on the narrower end  Fc / (b a)</t>
        </is>
      </c>
      <c r="D140" s="27" t="inlineStr">
        <is>
          <r>
            <rPr>
              <rFont val="Calibri"/>
              <i val="1"/>
              <color rgb="002B2B2B"/>
              <sz val="10"/>
            </rPr>
            <t>σ</t>
          </r>
          <r>
            <rPr>
              <rFont val="Calibri"/>
              <i val="1"/>
              <color rgb="002B2B2B"/>
              <sz val="10"/>
              <vertAlign val="subscript"/>
            </rPr>
            <t>c,w</t>
          </r>
        </is>
      </c>
      <c r="E140" s="40">
        <f>IF(inputs_ok,IF(Fcw_db&gt;0,Fcw_db*1000/(db_b*aw_db),0),NA())</f>
        <v/>
      </c>
      <c r="F140" s="28" t="inlineStr">
        <is>
          <t>MPa</t>
        </is>
      </c>
      <c r="G140" s="23" t="n"/>
    </row>
    <row r="141" ht="17" customHeight="1">
      <c r="B141" s="26" t="inlineStr">
        <is>
          <t>(6.59)</t>
        </is>
      </c>
      <c r="C141" s="24" t="inlineStr">
        <is>
          <t>UDL strut: splitting force  ¼ (1 − 0.7 a / (H/2)) Fc  (≥ 0)</t>
        </is>
      </c>
      <c r="D141" s="27" t="inlineStr">
        <is>
          <r>
            <rPr>
              <rFont val="Calibri"/>
              <i val="1"/>
              <color rgb="002B2B2B"/>
              <sz val="10"/>
            </rPr>
            <t>T</t>
          </r>
          <r>
            <rPr>
              <rFont val="Calibri"/>
              <i val="1"/>
              <color rgb="002B2B2B"/>
              <sz val="10"/>
              <vertAlign val="subscript"/>
            </rPr>
            <t>s,w</t>
          </r>
        </is>
      </c>
      <c r="E141" s="42">
        <f>IF(inputs_ok,0.25*MAX(0,1-0.7*aw_db/(Hw_db/2))*Fcw_db,NA())</f>
        <v/>
      </c>
      <c r="F141" s="28" t="inlineStr">
        <is>
          <t>kN</t>
        </is>
      </c>
      <c r="G141" s="23" t="n"/>
    </row>
    <row r="142" ht="17" customHeight="1">
      <c r="B142" s="26" t="inlineStr">
        <is>
          <t>6.5.3(3)</t>
        </is>
      </c>
      <c r="C142" s="24" t="inlineStr">
        <is>
          <t>UDL: mesh  2 fyd (As,h sin²θ + As,v cos²θ) H/2</t>
        </is>
      </c>
      <c r="D142" s="27" t="inlineStr">
        <is>
          <r>
            <rPr>
              <rFont val="Calibri"/>
              <i val="1"/>
              <color rgb="002B2B2B"/>
              <sz val="10"/>
            </rPr>
            <t>T</t>
          </r>
          <r>
            <rPr>
              <rFont val="Calibri"/>
              <i val="1"/>
              <color rgb="002B2B2B"/>
              <sz val="10"/>
              <vertAlign val="subscript"/>
            </rPr>
            <t>Rd,w</t>
          </r>
        </is>
      </c>
      <c r="E142" s="42">
        <f>IF(inputs_ok,2*fyd_db*(Ash_db*SIN(ATAN(tanw_db))^2+Asv_db*COS(ATAN(tanw_db))^2)*(Hw_db/2)/1E6,NA())</f>
        <v/>
      </c>
      <c r="F142" s="28" t="inlineStr">
        <is>
          <t>kN</t>
        </is>
      </c>
      <c r="G142" s="23" t="n"/>
    </row>
    <row r="143" ht="17" customHeight="1">
      <c r="B143" s="23" t="n"/>
      <c r="C143" s="24" t="inlineStr">
        <is>
          <t>Point-load strut: length  √(a² + z²),  a = l/2</t>
        </is>
      </c>
      <c r="D143" s="27" t="inlineStr">
        <is>
          <r>
            <rPr>
              <rFont val="Calibri"/>
              <i val="1"/>
              <color rgb="002B2B2B"/>
              <sz val="10"/>
            </rPr>
            <t>H</t>
          </r>
          <r>
            <rPr>
              <rFont val="Calibri"/>
              <i val="1"/>
              <color rgb="002B2B2B"/>
              <sz val="10"/>
              <vertAlign val="subscript"/>
            </rPr>
            <t>F</t>
          </r>
        </is>
      </c>
      <c r="E143" s="42">
        <f>IF(inputs_ok,SQRT((db_l/2)^2+z_db^2),NA())</f>
        <v/>
      </c>
      <c r="F143" s="28" t="inlineStr">
        <is>
          <t>mm</t>
        </is>
      </c>
      <c r="G143" s="23" t="n"/>
    </row>
    <row r="144" ht="17" customHeight="1">
      <c r="B144" s="26" t="inlineStr">
        <is>
          <t>Figure 6.25</t>
        </is>
      </c>
      <c r="C144" s="24" t="inlineStr">
        <is>
          <t>Point-load strut: narrower end  min(w1 share; w2)</t>
        </is>
      </c>
      <c r="D144" s="27" t="inlineStr">
        <is>
          <r>
            <rPr>
              <rFont val="Calibri"/>
              <i val="1"/>
              <color rgb="002B2B2B"/>
              <sz val="10"/>
            </rPr>
            <t>a</t>
          </r>
          <r>
            <rPr>
              <rFont val="Calibri"/>
              <i val="1"/>
              <color rgb="002B2B2B"/>
              <sz val="10"/>
              <vertAlign val="subscript"/>
            </rPr>
            <t>F</t>
          </r>
        </is>
      </c>
      <c r="E144" s="42">
        <f>IF(inputs_ok,MIN(wb_db*FcF_db/(Fcw_db+FcF_db),wtF_db),NA())</f>
        <v/>
      </c>
      <c r="F144" s="28" t="inlineStr">
        <is>
          <t>mm</t>
        </is>
      </c>
      <c r="G144" s="23" t="n"/>
    </row>
    <row r="145" ht="17" customHeight="1">
      <c r="B145" s="26" t="inlineStr">
        <is>
          <t>6.5.2(2)</t>
        </is>
      </c>
      <c r="C145" s="24" t="inlineStr">
        <is>
          <t>Point-load strut: stress on the narrower end  Fc / (b a)</t>
        </is>
      </c>
      <c r="D145" s="27" t="inlineStr">
        <is>
          <r>
            <rPr>
              <rFont val="Calibri"/>
              <i val="1"/>
              <color rgb="002B2B2B"/>
              <sz val="10"/>
            </rPr>
            <t>σ</t>
          </r>
          <r>
            <rPr>
              <rFont val="Calibri"/>
              <i val="1"/>
              <color rgb="002B2B2B"/>
              <sz val="10"/>
              <vertAlign val="subscript"/>
            </rPr>
            <t>c,F</t>
          </r>
        </is>
      </c>
      <c r="E145" s="40">
        <f>IF(inputs_ok,IF(FcF_db&gt;0,FcF_db*1000/(db_b*aF_db),0),NA())</f>
        <v/>
      </c>
      <c r="F145" s="28" t="inlineStr">
        <is>
          <t>MPa</t>
        </is>
      </c>
      <c r="G145" s="23" t="n"/>
    </row>
    <row r="146" ht="17" customHeight="1">
      <c r="B146" s="26" t="inlineStr">
        <is>
          <t>(6.59)</t>
        </is>
      </c>
      <c r="C146" s="24" t="inlineStr">
        <is>
          <t>Point-load strut: splitting force  ¼ (1 − 0.7 a / (H/2)) Fc  (≥ 0)</t>
        </is>
      </c>
      <c r="D146" s="27" t="inlineStr">
        <is>
          <r>
            <rPr>
              <rFont val="Calibri"/>
              <i val="1"/>
              <color rgb="002B2B2B"/>
              <sz val="10"/>
            </rPr>
            <t>T</t>
          </r>
          <r>
            <rPr>
              <rFont val="Calibri"/>
              <i val="1"/>
              <color rgb="002B2B2B"/>
              <sz val="10"/>
              <vertAlign val="subscript"/>
            </rPr>
            <t>s,F</t>
          </r>
        </is>
      </c>
      <c r="E146" s="42">
        <f>IF(inputs_ok,0.25*MAX(0,1-0.7*aF_db/(HF_db/2))*FcF_db,NA())</f>
        <v/>
      </c>
      <c r="F146" s="28" t="inlineStr">
        <is>
          <t>kN</t>
        </is>
      </c>
      <c r="G146" s="23" t="n"/>
    </row>
    <row r="147" ht="17" customHeight="1">
      <c r="B147" s="26" t="inlineStr">
        <is>
          <t>6.5.3(3)</t>
        </is>
      </c>
      <c r="C147" s="24" t="inlineStr">
        <is>
          <t>Point-load: mesh  2 fyd (As,h sin²θ + As,v cos²θ) H/2</t>
        </is>
      </c>
      <c r="D147" s="27" t="inlineStr">
        <is>
          <r>
            <rPr>
              <rFont val="Calibri"/>
              <i val="1"/>
              <color rgb="002B2B2B"/>
              <sz val="10"/>
            </rPr>
            <t>T</t>
          </r>
          <r>
            <rPr>
              <rFont val="Calibri"/>
              <i val="1"/>
              <color rgb="002B2B2B"/>
              <sz val="10"/>
              <vertAlign val="subscript"/>
            </rPr>
            <t>Rd,F</t>
          </r>
        </is>
      </c>
      <c r="E147" s="42">
        <f>IF(inputs_ok,2*fyd_db*(Ash_db*SIN(ATAN(tanF_db))^2+Asv_db*COS(ATAN(tanF_db))^2)*(HF_db/2)/1E6,NA())</f>
        <v/>
      </c>
      <c r="F147" s="28" t="inlineStr">
        <is>
          <t>kN</t>
        </is>
      </c>
      <c r="G147" s="23" t="n"/>
    </row>
    <row r="148" ht="17" customHeight="1">
      <c r="B148" s="26" t="inlineStr">
        <is>
          <t>6.5.2(2), 6.5.3(3)</t>
        </is>
      </c>
      <c r="C148" s="24" t="inlineStr">
        <is>
          <t>Struts  σc ≤ 0.6 ν' fcd;  mesh shared  Ts,w/TRd,w + Ts,F/TRd,F ≤ 1</t>
        </is>
      </c>
      <c r="D148" s="23" t="n"/>
      <c r="E148" s="40">
        <f>IF(inputs_ok,Tsw_db/Rspw_db+TsF_db/RspF_db,NA())</f>
        <v/>
      </c>
      <c r="F148" s="23" t="n"/>
      <c r="G148" s="31">
        <f>IF(NOT(inputs_ok),"FAIL",IF(IF(mod_db,strut_ok_db,FALSE),"OK","FAIL"))</f>
        <v/>
      </c>
    </row>
    <row r="149"/>
    <row r="150" ht="22" customHeight="1">
      <c r="B150" s="20" t="inlineStr">
        <is>
          <t>Calculation  ·  anchorage of the tie, 8.4</t>
        </is>
      </c>
      <c r="C150" s="21" t="n"/>
      <c r="D150" s="21" t="n"/>
      <c r="E150" s="21" t="n"/>
      <c r="F150" s="21" t="n"/>
      <c r="G150" s="21" t="n"/>
    </row>
    <row r="151" ht="17" customHeight="1">
      <c r="B151" s="26" t="inlineStr">
        <is>
          <t>3.1.6(2)</t>
        </is>
      </c>
      <c r="C151" s="24" t="inlineStr">
        <is>
          <t>Design tensile strength  αct 0.7 fctm / γc</t>
        </is>
      </c>
      <c r="D151" s="27" t="inlineStr">
        <is>
          <r>
            <rPr>
              <rFont val="Calibri"/>
              <i val="1"/>
              <color rgb="002B2B2B"/>
              <sz val="10"/>
            </rPr>
            <t>f</t>
          </r>
          <r>
            <rPr>
              <rFont val="Calibri"/>
              <i val="1"/>
              <color rgb="002B2B2B"/>
              <sz val="10"/>
              <vertAlign val="subscript"/>
            </rPr>
            <t>ctd</t>
          </r>
        </is>
      </c>
      <c r="E151" s="43">
        <f>IF(inputs_ok,alpha_ct*0.7*f_ctm/gamma_c,NA())</f>
        <v/>
      </c>
      <c r="F151" s="28" t="inlineStr">
        <is>
          <t>MPa</t>
        </is>
      </c>
      <c r="G151" s="23" t="n"/>
    </row>
    <row r="152" ht="17" customHeight="1">
      <c r="B152" s="26" t="inlineStr">
        <is>
          <t>Figure 8.2</t>
        </is>
      </c>
      <c r="C152" s="24" t="inlineStr">
        <is>
          <t>Bond condition of the top layer  (good: 1; else 0.7)</t>
        </is>
      </c>
      <c r="D152" s="27" t="inlineStr">
        <is>
          <r>
            <rPr>
              <rFont val="Calibri"/>
              <i val="1"/>
              <color rgb="002B2B2B"/>
              <sz val="10"/>
            </rPr>
            <t>η</t>
          </r>
          <r>
            <rPr>
              <rFont val="Calibri"/>
              <i val="1"/>
              <color rgb="002B2B2B"/>
              <sz val="10"/>
              <vertAlign val="subscript"/>
            </rPr>
            <t>1</t>
          </r>
        </is>
      </c>
      <c r="E152" s="42">
        <f>IF(inputs_ok,IF(OR(db_h&lt;=250,IF(db_h&lt;=600,ytop_db&lt;=250,db_h-ytop_db&gt;=300)),1,0.7),NA())</f>
        <v/>
      </c>
      <c r="F152" s="23" t="n"/>
      <c r="G152" s="23" t="n"/>
    </row>
    <row r="153" ht="17" customHeight="1">
      <c r="B153" s="26" t="inlineStr">
        <is>
          <t>(8.2)</t>
        </is>
      </c>
      <c r="C153" s="24" t="inlineStr">
        <is>
          <t>Bond stress  2.25 η1 η2 fctd</t>
        </is>
      </c>
      <c r="D153" s="27" t="inlineStr">
        <is>
          <r>
            <rPr>
              <rFont val="Calibri"/>
              <i val="1"/>
              <color rgb="002B2B2B"/>
              <sz val="10"/>
            </rPr>
            <t>f</t>
          </r>
          <r>
            <rPr>
              <rFont val="Calibri"/>
              <i val="1"/>
              <color rgb="002B2B2B"/>
              <sz val="10"/>
              <vertAlign val="subscript"/>
            </rPr>
            <t>bd</t>
          </r>
        </is>
      </c>
      <c r="E153" s="40">
        <f>IF(inputs_ok,2.25*eta1_db*IF(db_pt&lt;=32,1,(132-db_pt)/100)*fctd_db,NA())</f>
        <v/>
      </c>
      <c r="F153" s="28" t="inlineStr">
        <is>
          <t>MPa</t>
        </is>
      </c>
      <c r="G153" s="23" t="n"/>
    </row>
    <row r="154" ht="17" customHeight="1">
      <c r="B154" s="26" t="inlineStr">
        <is>
          <t>8.4.3(2)</t>
        </is>
      </c>
      <c r="C154" s="24" t="inlineStr">
        <is>
          <t>Stress in the bars  T / As,prov  (≤ fyd)</t>
        </is>
      </c>
      <c r="D154" s="27" t="inlineStr">
        <is>
          <r>
            <rPr>
              <rFont val="Calibri"/>
              <i val="1"/>
              <color rgb="002B2B2B"/>
              <sz val="10"/>
            </rPr>
            <t>σ</t>
          </r>
          <r>
            <rPr>
              <rFont val="Calibri"/>
              <i val="1"/>
              <color rgb="002B2B2B"/>
              <sz val="10"/>
              <vertAlign val="subscript"/>
            </rPr>
            <t>sd</t>
          </r>
        </is>
      </c>
      <c r="E154" s="42">
        <f>IF(inputs_ok,MIN(fyd_db,T_db*1000/Asprov_db),NA())</f>
        <v/>
      </c>
      <c r="F154" s="28" t="inlineStr">
        <is>
          <t>MPa</t>
        </is>
      </c>
      <c r="G154" s="23" t="n"/>
    </row>
    <row r="155" ht="17" customHeight="1">
      <c r="B155" s="26" t="inlineStr">
        <is>
          <t>(8.3)</t>
        </is>
      </c>
      <c r="C155" s="24" t="inlineStr">
        <is>
          <t>Basic length  φ σsd / (4 fbd)</t>
        </is>
      </c>
      <c r="D155" s="27" t="inlineStr">
        <is>
          <r>
            <rPr>
              <rFont val="Calibri"/>
              <i val="1"/>
              <color rgb="002B2B2B"/>
              <sz val="10"/>
            </rPr>
            <t>l</t>
          </r>
          <r>
            <rPr>
              <rFont val="Calibri"/>
              <i val="1"/>
              <color rgb="002B2B2B"/>
              <sz val="10"/>
              <vertAlign val="subscript"/>
            </rPr>
            <t>b,rqd</t>
          </r>
        </is>
      </c>
      <c r="E155" s="41">
        <f>IF(inputs_ok,db_pt/4*sigsd_db/fbd_db,NA())</f>
        <v/>
      </c>
      <c r="F155" s="28" t="inlineStr">
        <is>
          <t>mm</t>
        </is>
      </c>
      <c r="G155" s="23" t="n"/>
    </row>
    <row r="156" ht="17" customHeight="1">
      <c r="B156" s="26" t="inlineStr">
        <is>
          <t>Figure 8.3</t>
        </is>
      </c>
      <c r="C156" s="24" t="inlineStr">
        <is>
          <t>Cover dimension  min(a/2; layer gap/2; cs)</t>
        </is>
      </c>
      <c r="D156" s="27" t="inlineStr">
        <is>
          <r>
            <rPr>
              <rFont val="Calibri"/>
              <i val="1"/>
              <color rgb="002B2B2B"/>
              <sz val="10"/>
            </rPr>
            <t>c</t>
          </r>
          <r>
            <rPr>
              <rFont val="Calibri"/>
              <i val="1"/>
              <color rgb="002B2B2B"/>
              <sz val="10"/>
              <vertAlign val="subscript"/>
            </rPr>
            <t>d</t>
          </r>
        </is>
      </c>
      <c r="E156" s="42">
        <f>IF(inputs_ok,MIN(gapa_db/2,IF(db_nl&gt;1,gap_db/2,gapa_db/2),cs_db),NA())</f>
        <v/>
      </c>
      <c r="F156" s="28" t="inlineStr">
        <is>
          <t>mm</t>
        </is>
      </c>
      <c r="G156" s="23" t="n"/>
    </row>
    <row r="157" ht="17" customHeight="1">
      <c r="B157" s="26" t="inlineStr">
        <is>
          <t>Table 8.2</t>
        </is>
      </c>
      <c r="C157" s="24" t="inlineStr">
        <is>
          <t>α1  (bend with cd &gt; 3 φ: 0.7)</t>
        </is>
      </c>
      <c r="D157" s="27" t="inlineStr">
        <is>
          <r>
            <rPr>
              <rFont val="Calibri"/>
              <i val="1"/>
              <color rgb="002B2B2B"/>
              <sz val="10"/>
            </rPr>
            <t>α</t>
          </r>
          <r>
            <rPr>
              <rFont val="Calibri"/>
              <i val="1"/>
              <color rgb="002B2B2B"/>
              <sz val="10"/>
              <vertAlign val="subscript"/>
            </rPr>
            <t>1</t>
          </r>
        </is>
      </c>
      <c r="E157" s="40">
        <f>IF(inputs_ok,IF(AND(db_anc="90° bend up  (standard bend)",cd_db&gt;3*db_pt),0.7,1),NA())</f>
        <v/>
      </c>
      <c r="F157" s="23" t="n"/>
      <c r="G157" s="23" t="n"/>
    </row>
    <row r="158" ht="17" customHeight="1">
      <c r="B158" s="26" t="inlineStr">
        <is>
          <t>Table 8.2</t>
        </is>
      </c>
      <c r="C158" s="24" t="inlineStr">
        <is>
          <t>α2  straight 1 − 0.15 (cd − φ)/φ; bend 1 − 0.15 (cd − 3φ)/φ (0.7 – 1.0)</t>
        </is>
      </c>
      <c r="D158" s="27" t="inlineStr">
        <is>
          <r>
            <rPr>
              <rFont val="Calibri"/>
              <i val="1"/>
              <color rgb="002B2B2B"/>
              <sz val="10"/>
            </rPr>
            <t>α</t>
          </r>
          <r>
            <rPr>
              <rFont val="Calibri"/>
              <i val="1"/>
              <color rgb="002B2B2B"/>
              <sz val="10"/>
              <vertAlign val="subscript"/>
            </rPr>
            <t>2</t>
          </r>
        </is>
      </c>
      <c r="E158" s="43">
        <f>IF(inputs_ok,MIN(1,MAX(0.7,1-0.15*(cd_db-IF(db_anc="90° bend up  (standard bend)",3,1)*db_pt)/db_pt)),NA())</f>
        <v/>
      </c>
      <c r="F158" s="23" t="n"/>
      <c r="G158" s="23" t="n"/>
    </row>
    <row r="159" ht="17" customHeight="1">
      <c r="B159" s="26" t="inlineStr">
        <is>
          <t>(8.6)</t>
        </is>
      </c>
      <c r="C159" s="24" t="inlineStr">
        <is>
          <t>Minimum  max(0.3 lb,rqd; 10 φ; 100)</t>
        </is>
      </c>
      <c r="D159" s="27" t="inlineStr">
        <is>
          <r>
            <rPr>
              <rFont val="Calibri"/>
              <i val="1"/>
              <color rgb="002B2B2B"/>
              <sz val="10"/>
            </rPr>
            <t>l</t>
          </r>
          <r>
            <rPr>
              <rFont val="Calibri"/>
              <i val="1"/>
              <color rgb="002B2B2B"/>
              <sz val="10"/>
              <vertAlign val="subscript"/>
            </rPr>
            <t>b,min</t>
          </r>
        </is>
      </c>
      <c r="E159" s="41">
        <f>IF(inputs_ok,MAX(0.3*lbr_db,10*db_pt,100),NA())</f>
        <v/>
      </c>
      <c r="F159" s="28" t="inlineStr">
        <is>
          <t>mm</t>
        </is>
      </c>
      <c r="G159" s="23" t="n"/>
    </row>
    <row r="160" ht="17" customHeight="1">
      <c r="B160" s="26" t="inlineStr">
        <is>
          <t>(8.4)</t>
        </is>
      </c>
      <c r="C160" s="24" t="inlineStr">
        <is>
          <t>Design anchorage length  max(α1 α2 lb,rqd; lb,min)</t>
        </is>
      </c>
      <c r="D160" s="27" t="inlineStr">
        <is>
          <r>
            <rPr>
              <rFont val="Calibri"/>
              <i val="1"/>
              <color rgb="002B2B2B"/>
              <sz val="10"/>
            </rPr>
            <t>l</t>
          </r>
          <r>
            <rPr>
              <rFont val="Calibri"/>
              <i val="1"/>
              <color rgb="002B2B2B"/>
              <sz val="10"/>
              <vertAlign val="subscript"/>
            </rPr>
            <t>bd</t>
          </r>
        </is>
      </c>
      <c r="E160" s="45">
        <f>IF(inputs_ok,MAX(al1_db*al2_db*lbr_db,lbmin_db),NA())</f>
        <v/>
      </c>
      <c r="F160" s="28" t="inlineStr">
        <is>
          <t>mm</t>
        </is>
      </c>
      <c r="G160" s="23" t="n"/>
    </row>
    <row r="161" ht="17" customHeight="1">
      <c r="B161" s="26" t="inlineStr">
        <is>
          <t>6.5.4(7)</t>
        </is>
      </c>
      <c r="C161" s="24" t="inlineStr">
        <is>
          <t>Available  a1/2 + e − c − φv  (bearing face to bar end)</t>
        </is>
      </c>
      <c r="D161" s="27" t="inlineStr">
        <is>
          <r>
            <rPr>
              <rFont val="Calibri"/>
              <i val="1"/>
              <color rgb="002B2B2B"/>
              <sz val="10"/>
            </rPr>
            <t>l</t>
          </r>
          <r>
            <rPr>
              <rFont val="Calibri"/>
              <i val="1"/>
              <color rgb="002B2B2B"/>
              <sz val="10"/>
              <vertAlign val="subscript"/>
            </rPr>
            <t>av</t>
          </r>
        </is>
      </c>
      <c r="E161" s="41">
        <f>IF(inputs_ok,db_a1/2+db_e-db_c-db_pv,NA())</f>
        <v/>
      </c>
      <c r="F161" s="28" t="inlineStr">
        <is>
          <t>mm</t>
        </is>
      </c>
      <c r="G161" s="23" t="n"/>
    </row>
    <row r="162" ht="17" customHeight="1">
      <c r="B162" s="26" t="inlineStr">
        <is>
          <t>9.7(3)</t>
        </is>
      </c>
      <c r="C162" s="24" t="inlineStr">
        <is>
          <t>Anchorage  lbd ≤ l_av</t>
        </is>
      </c>
      <c r="D162" s="27" t="inlineStr">
        <is>
          <r>
            <rPr>
              <rFont val="Calibri"/>
              <i val="1"/>
              <color rgb="002B2B2B"/>
              <sz val="10"/>
            </rPr>
            <t>l</t>
          </r>
          <r>
            <rPr>
              <rFont val="Calibri"/>
              <i val="1"/>
              <color rgb="002B2B2B"/>
              <sz val="10"/>
              <vertAlign val="subscript"/>
            </rPr>
            <t>bd</t>
          </r>
        </is>
      </c>
      <c r="E162" s="41">
        <f>IF(inputs_ok,lbd_db,NA())</f>
        <v/>
      </c>
      <c r="F162" s="28" t="inlineStr">
        <is>
          <t>mm</t>
        </is>
      </c>
      <c r="G162" s="31">
        <f>IF(NOT(inputs_ok),"FAIL",IF(IF(mod_db,lbd_db&lt;=lav_db,FALSE),"OK","FAIL"))</f>
        <v/>
      </c>
    </row>
    <row r="163" ht="17" customHeight="1">
      <c r="B163" s="26" t="inlineStr">
        <is>
          <t>8.3</t>
        </is>
      </c>
      <c r="C163" s="24" t="inlineStr">
        <is>
          <t>Bend: bar force  σsd π φ² / 4  (full force, conservative)</t>
        </is>
      </c>
      <c r="D163" s="27" t="inlineStr">
        <is>
          <r>
            <rPr>
              <rFont val="Calibri"/>
              <i val="1"/>
              <color rgb="002B2B2B"/>
              <sz val="10"/>
            </rPr>
            <t>F</t>
          </r>
          <r>
            <rPr>
              <rFont val="Calibri"/>
              <i val="1"/>
              <color rgb="002B2B2B"/>
              <sz val="10"/>
              <vertAlign val="subscript"/>
            </rPr>
            <t>bt</t>
          </r>
        </is>
      </c>
      <c r="E163" s="42">
        <f>IF(inputs_ok,sigsd_db*PI()*db_pt^2/4/1000,NA())</f>
        <v/>
      </c>
      <c r="F163" s="28" t="inlineStr">
        <is>
          <t>kN</t>
        </is>
      </c>
      <c r="G163" s="23" t="n"/>
    </row>
    <row r="164" ht="17" customHeight="1">
      <c r="B164" s="26" t="inlineStr">
        <is>
          <t>8.3</t>
        </is>
      </c>
      <c r="C164" s="24" t="inlineStr">
        <is>
          <t>Bend: ab = min(half the bar centres; cs + φ/2)</t>
        </is>
      </c>
      <c r="D164" s="27" t="inlineStr">
        <is>
          <r>
            <rPr>
              <rFont val="Calibri"/>
              <i val="1"/>
              <color rgb="002B2B2B"/>
              <sz val="10"/>
            </rPr>
            <t>a</t>
          </r>
          <r>
            <rPr>
              <rFont val="Calibri"/>
              <i val="1"/>
              <color rgb="002B2B2B"/>
              <sz val="10"/>
              <vertAlign val="subscript"/>
            </rPr>
            <t>b</t>
          </r>
        </is>
      </c>
      <c r="E164" s="42">
        <f>IF(inputs_ok,MIN((gapa_db+db_pt)/2,cs_db+db_pt/2),NA())</f>
        <v/>
      </c>
      <c r="F164" s="28" t="inlineStr">
        <is>
          <t>mm</t>
        </is>
      </c>
      <c r="G164" s="23" t="n"/>
    </row>
    <row r="165" ht="17" customHeight="1">
      <c r="B165" s="26" t="inlineStr">
        <is>
          <t>Table 8.1N, (8.1)</t>
        </is>
      </c>
      <c r="C165" s="24" t="inlineStr">
        <is>
          <t>Bend: mandrel  max(4φ or 7φ; Fbt (1/ab + 1/(2φ)) / fcd)</t>
        </is>
      </c>
      <c r="D165" s="27" t="inlineStr">
        <is>
          <r>
            <rPr>
              <rFont val="Calibri"/>
              <i val="1"/>
              <color rgb="002B2B2B"/>
              <sz val="10"/>
            </rPr>
            <t>φ</t>
          </r>
          <r>
            <rPr>
              <rFont val="Calibri"/>
              <i val="1"/>
              <color rgb="002B2B2B"/>
              <sz val="10"/>
              <vertAlign val="subscript"/>
            </rPr>
            <t>m</t>
          </r>
        </is>
      </c>
      <c r="E165" s="41">
        <f>IF(inputs_ok,MAX(IF(db_pt&lt;=16,4,7)*db_pt,Fbt_db*1000*(1/ab_db+1/(2*db_pt))/fcd_db),NA())</f>
        <v/>
      </c>
      <c r="F165" s="28" t="inlineStr">
        <is>
          <t>mm</t>
        </is>
      </c>
      <c r="G165" s="23" t="n"/>
    </row>
    <row r="166" ht="17" customHeight="1">
      <c r="B166" s="26" t="inlineStr">
        <is>
          <t>Figure 8.1 b</t>
        </is>
      </c>
      <c r="C166" s="24" t="inlineStr">
        <is>
          <t>Bend: top of the 5φ tail  y_top + φm/2 + φ + 5φ</t>
        </is>
      </c>
      <c r="D166" s="27" t="inlineStr">
        <is>
          <r>
            <rPr>
              <rFont val="Calibri"/>
              <i val="1"/>
              <color rgb="002B2B2B"/>
              <sz val="10"/>
            </rPr>
            <t>y</t>
          </r>
          <r>
            <rPr>
              <rFont val="Calibri"/>
              <i val="1"/>
              <color rgb="002B2B2B"/>
              <sz val="10"/>
              <vertAlign val="subscript"/>
            </rPr>
            <t>tail</t>
          </r>
        </is>
      </c>
      <c r="E166" s="41">
        <f>IF(inputs_ok,ytop_db+phim_db/2+db_pt+5*db_pt,NA())</f>
        <v/>
      </c>
      <c r="F166" s="28" t="inlineStr">
        <is>
          <t>mm</t>
        </is>
      </c>
      <c r="G166" s="23" t="n"/>
    </row>
    <row r="167" ht="17" customHeight="1">
      <c r="B167" s="26" t="inlineStr">
        <is>
          <t>8.3, 8.4.1</t>
        </is>
      </c>
      <c r="C167" s="24" t="inlineStr">
        <is>
          <t>Bend: one layer, tail top ≤ h − c − φv  (straight bars: n/a)</t>
        </is>
      </c>
      <c r="D167" s="27" t="inlineStr">
        <is>
          <r>
            <rPr>
              <rFont val="Calibri"/>
              <i val="1"/>
              <color rgb="002B2B2B"/>
              <sz val="10"/>
            </rPr>
            <t>y</t>
          </r>
          <r>
            <rPr>
              <rFont val="Calibri"/>
              <i val="1"/>
              <color rgb="002B2B2B"/>
              <sz val="10"/>
              <vertAlign val="subscript"/>
            </rPr>
            <t>tail</t>
          </r>
        </is>
      </c>
      <c r="E167" s="41">
        <f>IF(inputs_ok,ytail_db,NA())</f>
        <v/>
      </c>
      <c r="F167" s="28" t="inlineStr">
        <is>
          <t>mm</t>
        </is>
      </c>
      <c r="G167" s="31">
        <f>IF(NOT(inputs_ok),"FAIL",IF(IF(mod_db,bend_ok_db,FALSE),"OK","FAIL"))</f>
        <v/>
      </c>
    </row>
    <row r="168"/>
    <row r="169" ht="22" customHeight="1">
      <c r="B169" s="20" t="inlineStr">
        <is>
          <t>Calculation  ·  web mesh, 9.7</t>
        </is>
      </c>
      <c r="C169" s="21" t="n"/>
      <c r="D169" s="21" t="n"/>
      <c r="E169" s="21" t="n"/>
      <c r="F169" s="21" t="n"/>
      <c r="G169" s="21" t="n"/>
    </row>
    <row r="170" ht="17" customHeight="1">
      <c r="B170" s="26" t="inlineStr">
        <is>
          <t>9.7(1)</t>
        </is>
      </c>
      <c r="C170" s="24" t="inlineStr">
        <is>
          <t>As,dbmin / Ac  (each face and direction)</t>
        </is>
      </c>
      <c r="D170" s="23" t="n"/>
      <c r="E170" s="43">
        <f>IF(inputs_ok,ndp_rhodb_db,NA())</f>
        <v/>
      </c>
      <c r="F170" s="23" t="n"/>
      <c r="G170" s="26" t="inlineStr">
        <is>
          <t>NDP sheet</t>
        </is>
      </c>
    </row>
    <row r="171" ht="17" customHeight="1">
      <c r="B171" s="26" t="inlineStr">
        <is>
          <t>9.7(1)</t>
        </is>
      </c>
      <c r="C171" s="24" t="inlineStr">
        <is>
          <t>Lower bound  (0 = none)</t>
        </is>
      </c>
      <c r="D171" s="23" t="n"/>
      <c r="E171" s="41">
        <f>IF(inputs_ok,ndp_Asdb0_db,NA())</f>
        <v/>
      </c>
      <c r="F171" s="28" t="inlineStr">
        <is>
          <t>mm²/m</t>
        </is>
      </c>
      <c r="G171" s="26" t="inlineStr">
        <is>
          <t>NDP sheet</t>
        </is>
      </c>
    </row>
    <row r="172" ht="17" customHeight="1">
      <c r="B172" s="26" t="inlineStr">
        <is>
          <t>9.7(1)</t>
        </is>
      </c>
      <c r="C172" s="24" t="inlineStr">
        <is>
          <t>Minimum per face  max(ratio · b · 1000; lower bound)</t>
        </is>
      </c>
      <c r="D172" s="27" t="inlineStr">
        <is>
          <r>
            <rPr>
              <rFont val="Calibri"/>
              <i val="1"/>
              <color rgb="002B2B2B"/>
              <sz val="10"/>
            </rPr>
            <t>A</t>
          </r>
          <r>
            <rPr>
              <rFont val="Calibri"/>
              <i val="1"/>
              <color rgb="002B2B2B"/>
              <sz val="10"/>
              <vertAlign val="subscript"/>
            </rPr>
            <t>s,dbmin</t>
          </r>
        </is>
      </c>
      <c r="E172" s="41">
        <f>IF(inputs_ok,MAX(rhodb_db*db_b*1000,Asdb0_db),NA())</f>
        <v/>
      </c>
      <c r="F172" s="28" t="inlineStr">
        <is>
          <t>mm²/m</t>
        </is>
      </c>
      <c r="G172" s="23" t="n"/>
    </row>
    <row r="173" ht="17" customHeight="1">
      <c r="B173" s="23" t="n"/>
      <c r="C173" s="24" t="inlineStr">
        <is>
          <t>Horizontal bars per face  π φh² / 4 · 1000 / sh</t>
        </is>
      </c>
      <c r="D173" s="27" t="inlineStr">
        <is>
          <r>
            <rPr>
              <rFont val="Calibri"/>
              <i val="1"/>
              <color rgb="002B2B2B"/>
              <sz val="10"/>
            </rPr>
            <t>A</t>
          </r>
          <r>
            <rPr>
              <rFont val="Calibri"/>
              <i val="1"/>
              <color rgb="002B2B2B"/>
              <sz val="10"/>
              <vertAlign val="subscript"/>
            </rPr>
            <t>s,h</t>
          </r>
        </is>
      </c>
      <c r="E173" s="41">
        <f>IF(inputs_ok,PI()*db_ph^2/4*1000/db_sh,NA())</f>
        <v/>
      </c>
      <c r="F173" s="28" t="inlineStr">
        <is>
          <t>mm²/m</t>
        </is>
      </c>
      <c r="G173" s="23" t="n"/>
    </row>
    <row r="174" ht="17" customHeight="1">
      <c r="B174" s="23" t="n"/>
      <c r="C174" s="24" t="inlineStr">
        <is>
          <t>Vertical bars per face  π φv² / 4 · 1000 / sv</t>
        </is>
      </c>
      <c r="D174" s="27" t="inlineStr">
        <is>
          <r>
            <rPr>
              <rFont val="Calibri"/>
              <i val="1"/>
              <color rgb="002B2B2B"/>
              <sz val="10"/>
            </rPr>
            <t>A</t>
          </r>
          <r>
            <rPr>
              <rFont val="Calibri"/>
              <i val="1"/>
              <color rgb="002B2B2B"/>
              <sz val="10"/>
              <vertAlign val="subscript"/>
            </rPr>
            <t>s,v</t>
          </r>
        </is>
      </c>
      <c r="E174" s="41">
        <f>IF(inputs_ok,PI()*db_pv^2/4*1000/db_sv,NA())</f>
        <v/>
      </c>
      <c r="F174" s="28" t="inlineStr">
        <is>
          <t>mm²/m</t>
        </is>
      </c>
      <c r="G174" s="23" t="n"/>
    </row>
    <row r="175" ht="17" customHeight="1">
      <c r="B175" s="26" t="inlineStr">
        <is>
          <t>9.7(2)</t>
        </is>
      </c>
      <c r="C175" s="24" t="inlineStr">
        <is>
          <t>Maximum spacing  min(2b; 300)</t>
        </is>
      </c>
      <c r="D175" s="27" t="inlineStr">
        <is>
          <r>
            <rPr>
              <rFont val="Calibri"/>
              <i val="1"/>
              <color rgb="002B2B2B"/>
              <sz val="10"/>
            </rPr>
            <t>s</t>
          </r>
          <r>
            <rPr>
              <rFont val="Calibri"/>
              <i val="1"/>
              <color rgb="002B2B2B"/>
              <sz val="10"/>
              <vertAlign val="subscript"/>
            </rPr>
            <t>max</t>
          </r>
        </is>
      </c>
      <c r="E175" s="41">
        <f>IF(inputs_ok,MIN(2*db_b,300),NA())</f>
        <v/>
      </c>
      <c r="F175" s="28" t="inlineStr">
        <is>
          <t>mm</t>
        </is>
      </c>
      <c r="G175" s="23" t="n"/>
    </row>
    <row r="176" ht="17" customHeight="1">
      <c r="B176" s="26" t="inlineStr">
        <is>
          <t>8.2(2)</t>
        </is>
      </c>
      <c r="C176" s="24" t="inlineStr">
        <is>
          <t>Minimum clear gap, horizontal bars  max(φh; dg + 5; 20)</t>
        </is>
      </c>
      <c r="D176" s="27" t="inlineStr">
        <is>
          <r>
            <rPr>
              <rFont val="Calibri"/>
              <i val="1"/>
              <color rgb="002B2B2B"/>
              <sz val="10"/>
            </rPr>
            <t>a</t>
          </r>
          <r>
            <rPr>
              <rFont val="Calibri"/>
              <i val="1"/>
              <color rgb="002B2B2B"/>
              <sz val="10"/>
              <vertAlign val="subscript"/>
            </rPr>
            <t>h,min</t>
          </r>
        </is>
      </c>
      <c r="E176" s="41">
        <f>IF(inputs_ok,MAX(db_ph,db_dg+5,20),NA())</f>
        <v/>
      </c>
      <c r="F176" s="28" t="inlineStr">
        <is>
          <t>mm</t>
        </is>
      </c>
      <c r="G176" s="23" t="n"/>
    </row>
    <row r="177" ht="17" customHeight="1">
      <c r="B177" s="26" t="inlineStr">
        <is>
          <t>8.2(2)</t>
        </is>
      </c>
      <c r="C177" s="24" t="inlineStr">
        <is>
          <t>Minimum clear gap, vertical bars  max(φv; dg + 5; 20)</t>
        </is>
      </c>
      <c r="D177" s="27" t="inlineStr">
        <is>
          <r>
            <rPr>
              <rFont val="Calibri"/>
              <i val="1"/>
              <color rgb="002B2B2B"/>
              <sz val="10"/>
            </rPr>
            <t>a</t>
          </r>
          <r>
            <rPr>
              <rFont val="Calibri"/>
              <i val="1"/>
              <color rgb="002B2B2B"/>
              <sz val="10"/>
              <vertAlign val="subscript"/>
            </rPr>
            <t>v,min</t>
          </r>
        </is>
      </c>
      <c r="E177" s="41">
        <f>IF(inputs_ok,MAX(db_pv,db_dg+5,20),NA())</f>
        <v/>
      </c>
      <c r="F177" s="28" t="inlineStr">
        <is>
          <t>mm</t>
        </is>
      </c>
      <c r="G177" s="23" t="n"/>
    </row>
    <row r="178" ht="17" customHeight="1">
      <c r="B178" s="26" t="inlineStr">
        <is>
          <t>9.7(1), (2)</t>
        </is>
      </c>
      <c r="C178" s="24" t="inlineStr">
        <is>
          <t>As,h and As,v ≥ As,dbmin; sh, sv ≤ smax; clear gaps ≥ a_min</t>
        </is>
      </c>
      <c r="D178" s="27" t="inlineStr">
        <is>
          <r>
            <rPr>
              <rFont val="Calibri"/>
              <i val="1"/>
              <color rgb="002B2B2B"/>
              <sz val="10"/>
            </rPr>
            <t>A</t>
          </r>
          <r>
            <rPr>
              <rFont val="Calibri"/>
              <i val="1"/>
              <color rgb="002B2B2B"/>
              <sz val="10"/>
              <vertAlign val="subscript"/>
            </rPr>
            <t>s</t>
          </r>
        </is>
      </c>
      <c r="E178" s="41">
        <f>IF(inputs_ok,MIN(Ash_db,Asv_db),NA())</f>
        <v/>
      </c>
      <c r="F178" s="28" t="inlineStr">
        <is>
          <t>mm²/m</t>
        </is>
      </c>
      <c r="G178" s="31">
        <f>IF(NOT(inputs_ok),"FAIL",IF(web_ok_db,"OK","FAIL"))</f>
        <v/>
      </c>
    </row>
    <row r="179" ht="17" customHeight="1">
      <c r="B179" s="23" t="n"/>
      <c r="C179" s="24" t="inlineStr">
        <is>
          <t>Vertical bars per face  (drawn)</t>
        </is>
      </c>
      <c r="D179" s="27" t="inlineStr">
        <is>
          <r>
            <rPr>
              <rFont val="Calibri"/>
              <i val="1"/>
              <color rgb="002B2B2B"/>
              <sz val="10"/>
            </rPr>
            <t>n</t>
          </r>
          <r>
            <rPr>
              <rFont val="Calibri"/>
              <i val="1"/>
              <color rgb="002B2B2B"/>
              <sz val="10"/>
              <vertAlign val="subscript"/>
            </rPr>
            <t>v</t>
          </r>
        </is>
      </c>
      <c r="E179" s="41">
        <f>IF(inputs_ok,nv_db,NA())</f>
        <v/>
      </c>
      <c r="F179" s="23" t="n"/>
      <c r="G179" s="23" t="n"/>
    </row>
    <row r="180" ht="17" customHeight="1">
      <c r="B180" s="23" t="n"/>
      <c r="C180" s="24" t="inlineStr">
        <is>
          <t>Horizontal bars per face  (drawn)</t>
        </is>
      </c>
      <c r="D180" s="27" t="inlineStr">
        <is>
          <r>
            <rPr>
              <rFont val="Calibri"/>
              <i val="1"/>
              <color rgb="002B2B2B"/>
              <sz val="10"/>
            </rPr>
            <t>n</t>
          </r>
          <r>
            <rPr>
              <rFont val="Calibri"/>
              <i val="1"/>
              <color rgb="002B2B2B"/>
              <sz val="10"/>
              <vertAlign val="subscript"/>
            </rPr>
            <t>h</t>
          </r>
        </is>
      </c>
      <c r="E180" s="41">
        <f>IF(inputs_ok,nh_db,NA())</f>
        <v/>
      </c>
      <c r="F180" s="23" t="n"/>
      <c r="G180" s="23" t="n"/>
    </row>
    <row r="181" ht="66.5" customHeight="1">
      <c r="B181" s="39" t="inlineStr">
        <is>
          <t>The tie bars sit inside the vertical mesh bars, which wrap under them as U-bars (cover c to the mesh). Anchor the tie for its full force from the inner face of each bearing (6.5.4(7), 9.7(3)); the available length is the straight run to the bar end, which for a bend is the outer face of its upstand (Figure 8.1 b). Concentrated loads hung from the bottom face need their own hanger reinforcement. The mesh carries the splitting force of the bottle-shaped struts (6.5.3(3)); the two struts' bottles overlap, so the mesh is shared: the sum of their utilisations is checked. Check crack widths where the exposure needs it (7.3).</t>
        </is>
      </c>
    </row>
    <row r="182"/>
    <row r="183" ht="29" customHeight="1">
      <c r="B183"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E5:G5"/>
    <mergeCell ref="B67:G67"/>
    <mergeCell ref="B181:G181"/>
    <mergeCell ref="B183:G183"/>
    <mergeCell ref="D2:G2"/>
    <mergeCell ref="E7:G7"/>
    <mergeCell ref="E6:G6"/>
    <mergeCell ref="C3:G3"/>
  </mergeCells>
  <conditionalFormatting sqref="G9:G184">
    <cfRule type="expression" priority="1" dxfId="0">
      <formula>G9="OK"</formula>
    </cfRule>
    <cfRule type="expression" priority="2" dxfId="1">
      <formula>G9="FAIL"</formula>
    </cfRule>
    <cfRule type="expression" priority="3" dxfId="2">
      <formula>LEFT(G9,1)="!"</formula>
    </cfRule>
  </conditionalFormatting>
  <dataValidations count="20">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Pick a value from the list." type="list" errorStyle="stop">
      <formula1>"2,3,4,5,6,7,8,9,10,11,12"</formula1>
    </dataValidation>
    <dataValidation sqref="E26" showDropDown="0" showInputMessage="0" showErrorMessage="1" allowBlank="0" errorTitle="NA Engineering" error="Pick a value from the list." type="list" errorStyle="stop">
      <formula1>"1,2,3"</formula1>
    </dataValidation>
    <dataValidation sqref="E27" showDropDown="0" showInputMessage="0" showErrorMessage="1" allowBlank="0" errorTitle="NA Engineering" error="Pick a value from the list." type="list" errorStyle="stop">
      <formula1>"Straight,90° bend up  (standard bend)"</formula1>
    </dataValidation>
    <dataValidation sqref="E28 E30" showDropDown="0" showInputMessage="0" showErrorMessage="1" allowBlank="0" errorTitle="NA Engineering" error="Pick a value from the list." type="list" errorStyle="stop">
      <formula1>"8,10,12,16,20"</formula1>
    </dataValidation>
    <dataValidation sqref="E29"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Enter a number ≥ 0." type="decimal" errorStyle="stop" operator="greaterThanOrEqual">
      <formula1>0</formula1>
    </dataValidation>
    <dataValidation sqref="E35"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&amp;K8A8A8ANAE-RC-044  v1.0</oddFooter>
    <evenHeader/>
    <evenFooter/>
    <firstHeader/>
    <firstFooter/>
  </headerFooter>
  <rowBreaks count="1" manualBreakCount="1">
    <brk id="58"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A322"/>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outline</t>
        </is>
      </c>
      <c r="G2" t="inlineStr">
        <is>
          <t>bearing 0</t>
        </is>
      </c>
      <c r="J2" t="inlineStr">
        <is>
          <t>bearing 1</t>
        </is>
      </c>
      <c r="M2" t="inlineStr">
        <is>
          <t>load plate</t>
        </is>
      </c>
      <c r="P2" t="inlineStr">
        <is>
          <t>F</t>
        </is>
      </c>
      <c r="S2">
        <f>IF(inputs_ok,IF(db_F&gt;0,"FEd = "&amp;TEXT(db_F,"0")&amp;" kN",""),"")</f>
        <v/>
      </c>
      <c r="V2" t="inlineStr">
        <is>
          <t>w line</t>
        </is>
      </c>
      <c r="Y2" t="inlineStr">
        <is>
          <t>w 0</t>
        </is>
      </c>
      <c r="AB2" t="inlineStr">
        <is>
          <t>w 1</t>
        </is>
      </c>
      <c r="AE2" t="inlineStr">
        <is>
          <t>w 2</t>
        </is>
      </c>
      <c r="AH2" t="inlineStr">
        <is>
          <t>w 3</t>
        </is>
      </c>
      <c r="AK2" t="inlineStr">
        <is>
          <t>w 4</t>
        </is>
      </c>
      <c r="AN2" t="inlineStr">
        <is>
          <t>w 5</t>
        </is>
      </c>
      <c r="AQ2" t="inlineStr">
        <is>
          <t>w 6</t>
        </is>
      </c>
      <c r="AT2" t="inlineStr">
        <is>
          <t>w 7</t>
        </is>
      </c>
      <c r="AW2">
        <f>IF(inputs_ok,IF(db_w&gt;0,"wEd = "&amp;TEXT(db_w,"0")&amp;" kN/m",""),"")</f>
        <v/>
      </c>
      <c r="AZ2" t="inlineStr">
        <is>
          <t>tie layer 0</t>
        </is>
      </c>
      <c r="BC2" t="inlineStr">
        <is>
          <t>tie layer 1</t>
        </is>
      </c>
      <c r="BF2" t="inlineStr">
        <is>
          <t>tie layer 2</t>
        </is>
      </c>
      <c r="BI2" t="inlineStr">
        <is>
          <t>vertical bars</t>
        </is>
      </c>
      <c r="BL2" t="inlineStr">
        <is>
          <t>horizontal bars</t>
        </is>
      </c>
      <c r="BO2" t="inlineStr">
        <is>
          <t>tie</t>
        </is>
      </c>
      <c r="BR2" t="inlineStr">
        <is>
          <t>strut w left</t>
        </is>
      </c>
      <c r="BU2" t="inlineStr">
        <is>
          <t>strut w right</t>
        </is>
      </c>
      <c r="BX2" t="inlineStr">
        <is>
          <t>strut F left</t>
        </is>
      </c>
      <c r="CA2" t="inlineStr">
        <is>
          <t>strut F right</t>
        </is>
      </c>
      <c r="CD2" t="inlineStr">
        <is>
          <t>strut top</t>
        </is>
      </c>
      <c r="CG2" t="inlineStr">
        <is>
          <t>nodes</t>
        </is>
      </c>
      <c r="CJ2" t="inlineStr">
        <is>
          <t>nodes w</t>
        </is>
      </c>
      <c r="CM2" t="inlineStr">
        <is>
          <t>node F</t>
        </is>
      </c>
      <c r="CP2" t="inlineStr">
        <is>
          <t>dim</t>
        </is>
      </c>
      <c r="CS2">
        <f>IF(inputs_ok,IF(mod_db,"z = "&amp;TEXT(z_db,"0"),""),"")</f>
        <v/>
      </c>
      <c r="CV2">
        <f>IF(inputs_ok,IF(mod_db,"T = "&amp;TEXT(T_db,"0")&amp;" kN",""),"")</f>
        <v/>
      </c>
      <c r="CY2">
        <f>IF(inputs_ok,IF(AND(mod_db,db_w&gt;0),"Cw = "&amp;TEXT(Cw_db,"0")&amp;" kN",""),"")</f>
        <v/>
      </c>
      <c r="DB2">
        <f>IF(inputs_ok,IF(mod_db,IF(db_w&gt;0,"θw = "&amp;TEXT(thw_db,"0.0")&amp;"°  ","")&amp;IF(db_F&gt;0,"θF = "&amp;TEXT(thF_db,"0.0")&amp;"°",""),""),"")</f>
        <v/>
      </c>
      <c r="DE2">
        <f>IF(inputs_ok,"R = "&amp;TEXT(R_db,"0")&amp;" kN","")</f>
        <v/>
      </c>
      <c r="DH2" t="inlineStr">
        <is>
          <t>dim</t>
        </is>
      </c>
      <c r="DK2">
        <f>IF(inputs_ok,"l = "&amp;TEXT(db_l,"0"),"")</f>
        <v/>
      </c>
      <c r="DN2" t="inlineStr">
        <is>
          <t>dim</t>
        </is>
      </c>
      <c r="DQ2">
        <f>IF(inputs_ok,"h = "&amp;TEXT(db_h,"0"),"")</f>
        <v/>
      </c>
      <c r="DT2">
        <f>IF(inputs_ok,db_nl&amp;" × "&amp;db_nt&amp;" φ"&amp;db_pt,"")</f>
        <v/>
      </c>
      <c r="DW2">
        <f>IF(inputs_ok,"mesh φ"&amp;db_pv&amp;"@"&amp;db_sv&amp;" / φ"&amp;db_ph&amp;"@"&amp;db_sh,"")</f>
        <v/>
      </c>
      <c r="DZ2" t="inlineStr">
        <is>
          <t>frame</t>
        </is>
      </c>
    </row>
    <row r="3">
      <c r="A3">
        <f>0</f>
        <v/>
      </c>
      <c r="B3">
        <f>0</f>
        <v/>
      </c>
      <c r="D3">
        <f>IF(inputs_ok,-db_e,NA())</f>
        <v/>
      </c>
      <c r="E3">
        <f>0</f>
        <v/>
      </c>
      <c r="G3">
        <f>IF(inputs_ok,0-db_a1/2,NA())</f>
        <v/>
      </c>
      <c r="H3">
        <f>0</f>
        <v/>
      </c>
      <c r="J3">
        <f>IF(inputs_ok,db_l-db_a1/2,NA())</f>
        <v/>
      </c>
      <c r="K3">
        <f>0</f>
        <v/>
      </c>
      <c r="M3">
        <f>IF(inputs_ok,IF(db_F&gt;0,db_l/2-db_a2/2,NA()),NA())</f>
        <v/>
      </c>
      <c r="N3">
        <f>IF(db_F&gt;0,db_h,NA())</f>
        <v/>
      </c>
      <c r="P3">
        <f>IF(inputs_ok,IF(db_F&gt;0,db_l/2,NA()),NA())</f>
        <v/>
      </c>
      <c r="Q3">
        <f>IF(db_F&gt;0,db_h+MAX(20,0.02*MAX(db_h,db_l))+0.22*db_h,NA())</f>
        <v/>
      </c>
      <c r="S3">
        <f>IF(inputs_ok,IF(db_F&gt;0,db_l/2,NA()),NA())</f>
        <v/>
      </c>
      <c r="T3">
        <f>db_h+MAX(20,0.02*MAX(db_h,db_l))+0.22*db_h</f>
        <v/>
      </c>
      <c r="V3">
        <f>IF(inputs_ok,IF(db_w&gt;0,0,NA()),NA())</f>
        <v/>
      </c>
      <c r="W3">
        <f>IF(db_w&gt;0,db_h+MAX(20,0.02*MAX(db_h,db_l))+0.1*db_h,NA())</f>
        <v/>
      </c>
      <c r="Y3">
        <f>IF(inputs_ok,IF(db_w&gt;0,db_l*0.0625,NA()),NA())</f>
        <v/>
      </c>
      <c r="Z3">
        <f>IF(db_w&gt;0,db_h+MAX(20,0.02*MAX(db_h,db_l))+0.1*db_h,NA())</f>
        <v/>
      </c>
      <c r="AB3">
        <f>IF(inputs_ok,IF(db_w&gt;0,db_l*0.1875,NA()),NA())</f>
        <v/>
      </c>
      <c r="AC3">
        <f>IF(db_w&gt;0,db_h+MAX(20,0.02*MAX(db_h,db_l))+0.1*db_h,NA())</f>
        <v/>
      </c>
      <c r="AE3">
        <f>IF(inputs_ok,IF(db_w&gt;0,db_l*0.3125,NA()),NA())</f>
        <v/>
      </c>
      <c r="AF3">
        <f>IF(db_w&gt;0,db_h+MAX(20,0.02*MAX(db_h,db_l))+0.1*db_h,NA())</f>
        <v/>
      </c>
      <c r="AH3">
        <f>IF(inputs_ok,IF(db_w&gt;0,db_l*0.4375,NA()),NA())</f>
        <v/>
      </c>
      <c r="AI3">
        <f>IF(db_w&gt;0,db_h+MAX(20,0.02*MAX(db_h,db_l))+0.1*db_h,NA())</f>
        <v/>
      </c>
      <c r="AK3">
        <f>IF(inputs_ok,IF(db_w&gt;0,db_l*0.5625,NA()),NA())</f>
        <v/>
      </c>
      <c r="AL3">
        <f>IF(db_w&gt;0,db_h+MAX(20,0.02*MAX(db_h,db_l))+0.1*db_h,NA())</f>
        <v/>
      </c>
      <c r="AN3">
        <f>IF(inputs_ok,IF(db_w&gt;0,db_l*0.6875,NA()),NA())</f>
        <v/>
      </c>
      <c r="AO3">
        <f>IF(db_w&gt;0,db_h+MAX(20,0.02*MAX(db_h,db_l))+0.1*db_h,NA())</f>
        <v/>
      </c>
      <c r="AQ3">
        <f>IF(inputs_ok,IF(db_w&gt;0,db_l*0.8125,NA()),NA())</f>
        <v/>
      </c>
      <c r="AR3">
        <f>IF(db_w&gt;0,db_h+MAX(20,0.02*MAX(db_h,db_l))+0.1*db_h,NA())</f>
        <v/>
      </c>
      <c r="AT3">
        <f>IF(inputs_ok,IF(db_w&gt;0,db_l*0.9375,NA()),NA())</f>
        <v/>
      </c>
      <c r="AU3">
        <f>IF(db_w&gt;0,db_h+MAX(20,0.02*MAX(db_h,db_l))+0.1*db_h,NA())</f>
        <v/>
      </c>
      <c r="AW3">
        <f>IF(inputs_ok,IF(db_w&gt;0,db_l/8,NA()),NA())</f>
        <v/>
      </c>
      <c r="AX3">
        <f>db_h+MAX(20,0.02*MAX(db_h,db_l))+0.1*db_h</f>
        <v/>
      </c>
      <c r="AZ3">
        <f>IF(inputs_ok,IF(0&lt;db_nl,(-db_e+db_c+db_pv+IF(bend_db,db_pt/2,0)),NA()),NA())</f>
        <v/>
      </c>
      <c r="BA3">
        <f>IF(0&lt;db_nl,(db_c+db_pv+db_pt/2+0*(db_pt+gap_db))+(IF(bend_db,IF(ISNUMBER(phim_db),phim_db,IF(db_pt&lt;=16,4,7)*db_pt)/2+db_pt/2,0)+IF(bend_db,5*db_pt,0)),NA())</f>
        <v/>
      </c>
      <c r="BC3">
        <f>IF(inputs_ok,IF(1&lt;db_nl,(-db_e+db_c+db_pv+IF(bend_db,db_pt/2,0)),NA()),NA())</f>
        <v/>
      </c>
      <c r="BD3">
        <f>IF(1&lt;db_nl,(db_c+db_pv+db_pt/2+1*(db_pt+gap_db))+(IF(bend_db,IF(ISNUMBER(phim_db),phim_db,IF(db_pt&lt;=16,4,7)*db_pt)/2+db_pt/2,0)+IF(bend_db,5*db_pt,0)),NA())</f>
        <v/>
      </c>
      <c r="BF3">
        <f>IF(inputs_ok,IF(2&lt;db_nl,(-db_e+db_c+db_pv+IF(bend_db,db_pt/2,0)),NA()),NA())</f>
        <v/>
      </c>
      <c r="BG3">
        <f>IF(2&lt;db_nl,(db_c+db_pv+db_pt/2+2*(db_pt+gap_db))+(IF(bend_db,IF(ISNUMBER(phim_db),phim_db,IF(db_pt&lt;=16,4,7)*db_pt)/2+db_pt/2,0)+IF(bend_db,5*db_pt,0)),NA())</f>
        <v/>
      </c>
      <c r="BI3">
        <f>IF(inputs_ok,xv0_db+MIN(0,nv_db-1)*db_sv,NA())</f>
        <v/>
      </c>
      <c r="BJ3">
        <f>db_c+db_pv/2</f>
        <v/>
      </c>
      <c r="BL3">
        <f>IF(inputs_ok,-db_e+db_c+db_pv,NA())</f>
        <v/>
      </c>
      <c r="BM3">
        <f>yh0_db+MIN(0,nh_db-1)*db_sh</f>
        <v/>
      </c>
      <c r="BO3">
        <f>IF(inputs_ok,IF(mod_db,0,NA()),NA())</f>
        <v/>
      </c>
      <c r="BP3">
        <f>IF(mod_db,u_db,NA())</f>
        <v/>
      </c>
      <c r="BR3">
        <f>IF(inputs_ok,IF(AND(mod_db,db_w&gt;0),0,NA()),NA())</f>
        <v/>
      </c>
      <c r="BS3">
        <f>IF(AND(mod_db,db_w&gt;0),u_db,NA())</f>
        <v/>
      </c>
      <c r="BU3">
        <f>IF(inputs_ok,IF(AND(mod_db,db_w&gt;0),db_l,NA()),NA())</f>
        <v/>
      </c>
      <c r="BV3">
        <f>IF(AND(mod_db,db_w&gt;0),u_db,NA())</f>
        <v/>
      </c>
      <c r="BX3">
        <f>IF(inputs_ok,IF(AND(mod_db,db_F&gt;0),0,NA()),NA())</f>
        <v/>
      </c>
      <c r="BY3">
        <f>IF(AND(mod_db,db_F&gt;0),u_db,NA())</f>
        <v/>
      </c>
      <c r="CA3">
        <f>IF(inputs_ok,IF(AND(mod_db,db_F&gt;0),db_l,NA()),NA())</f>
        <v/>
      </c>
      <c r="CB3">
        <f>IF(AND(mod_db,db_F&gt;0),u_db,NA())</f>
        <v/>
      </c>
      <c r="CD3">
        <f>IF(inputs_ok,IF(mod_db,IF(db_w&gt;0,db_l/4,db_l/2),NA()),NA())</f>
        <v/>
      </c>
      <c r="CE3">
        <f>IF(mod_db,(u_db+z_db),NA())</f>
        <v/>
      </c>
      <c r="CG3">
        <f>IF(inputs_ok,IF(mod_db,0,NA()),NA())</f>
        <v/>
      </c>
      <c r="CH3">
        <f>IF(mod_db,u_db,NA())</f>
        <v/>
      </c>
      <c r="CJ3">
        <f>IF(inputs_ok,IF(AND(mod_db,db_w&gt;0),db_l/4,NA()),NA())</f>
        <v/>
      </c>
      <c r="CK3">
        <f>IF(AND(mod_db,db_w&gt;0),(u_db+z_db),NA())</f>
        <v/>
      </c>
      <c r="CM3">
        <f>IF(inputs_ok,IF(AND(mod_db,db_F&gt;0),db_l/2,NA()),NA())</f>
        <v/>
      </c>
      <c r="CN3">
        <f>IF(AND(mod_db,db_F&gt;0),(u_db+z_db),NA())</f>
        <v/>
      </c>
      <c r="CP3">
        <f>IF(inputs_ok,IF(mod_db,db_l*0.66,NA()),NA())</f>
        <v/>
      </c>
      <c r="CQ3">
        <f>IF(mod_db,u_db,NA())</f>
        <v/>
      </c>
      <c r="CS3">
        <f>IF(inputs_ok,IF(mod_db,((db_l*0.66)+(db_l*0.66))/2,NA()),NA())</f>
        <v/>
      </c>
      <c r="CT3">
        <f>IF(mod_db,((u_db)+((u_db+z_db)))/2,NA())</f>
        <v/>
      </c>
      <c r="CV3">
        <f>IF(inputs_ok,IF(mod_db,db_l/2,NA()),NA())</f>
        <v/>
      </c>
      <c r="CW3">
        <f>u_db</f>
        <v/>
      </c>
      <c r="CY3">
        <f>IF(inputs_ok,IF(AND(mod_db,db_w&gt;0),db_l*0.36,NA()),NA())</f>
        <v/>
      </c>
      <c r="CZ3">
        <f>(u_db+z_db)</f>
        <v/>
      </c>
      <c r="DB3">
        <f>IF(inputs_ok,IF(mod_db,db_l*0.22,NA()),NA())</f>
        <v/>
      </c>
      <c r="DC3">
        <f>u_db+z_db*0.3</f>
        <v/>
      </c>
      <c r="DE3">
        <f>IF(inputs_ok,-db_a1/2,NA())</f>
        <v/>
      </c>
      <c r="DF3">
        <f>-MAX(20,0.02*MAX(db_h,db_l))</f>
        <v/>
      </c>
      <c r="DH3">
        <f>IF(inputs_ok,IF(TRUE,0,NA()),NA())</f>
        <v/>
      </c>
      <c r="DI3">
        <f>IF(TRUE,-MAX(20,0.02*MAX(db_h,db_l))-0.06*MAX(db_h,db_l),NA())</f>
        <v/>
      </c>
      <c r="DK3">
        <f>IF(inputs_ok,IF(TRUE,((0)+(db_l))/2,NA()),NA())</f>
        <v/>
      </c>
      <c r="DL3">
        <f>IF(TRUE,((-MAX(20,0.02*MAX(db_h,db_l))-0.06*MAX(db_h,db_l))+(-MAX(20,0.02*MAX(db_h,db_l))-0.06*MAX(db_h,db_l)))/2,NA())</f>
        <v/>
      </c>
      <c r="DN3">
        <f>IF(inputs_ok,IF(TRUE,-db_e-0.06*MAX(db_h,db_l),NA()),NA())</f>
        <v/>
      </c>
      <c r="DO3">
        <f>IF(TRUE,0,NA())</f>
        <v/>
      </c>
      <c r="DQ3">
        <f>IF(inputs_ok,IF(TRUE,((-db_e-0.06*MAX(db_h,db_l))+(-db_e-0.06*MAX(db_h,db_l)))/2,NA()),NA())</f>
        <v/>
      </c>
      <c r="DR3">
        <f>IF(TRUE,((0)+(db_h))/2,NA())</f>
        <v/>
      </c>
      <c r="DT3">
        <f>IF(inputs_ok,db_l+db_e,NA())</f>
        <v/>
      </c>
      <c r="DU3">
        <f>u_db</f>
        <v/>
      </c>
      <c r="DW3">
        <f>IF(inputs_ok,db_l+db_e,NA())</f>
        <v/>
      </c>
      <c r="DX3">
        <f>db_h/2</f>
        <v/>
      </c>
      <c r="DZ3">
        <f>((-db_e-3.5*0.06*MAX(db_h,db_l))+(db_l+db_e+4.5*0.06*MAX(db_h,db_l)))/2-MAX((db_h+MAX(20,0.02*MAX(db_h,db_l))+0.3*db_h)-(-MAX(20,0.02*MAX(db_h,db_l))-2*0.06*MAX(db_h,db_l)),((db_l+db_e+4.5*0.06*MAX(db_h,db_l))-(-db_e-3.5*0.06*MAX(db_h,db_l)))/1.55)*0.58*1.55</f>
        <v/>
      </c>
      <c r="EA3">
        <f>((-MAX(20,0.02*MAX(db_h,db_l))-2*0.06*MAX(db_h,db_l))+(db_h+MAX(20,0.02*MAX(db_h,db_l))+0.3*db_h))/2-MAX((db_h+MAX(20,0.02*MAX(db_h,db_l))+0.3*db_h)-(-MAX(20,0.02*MAX(db_h,db_l))-2*0.06*MAX(db_h,db_l)),((db_l+db_e+4.5*0.06*MAX(db_h,db_l))-(-db_e-3.5*0.06*MAX(db_h,db_l)))/1.55)*0.58</f>
        <v/>
      </c>
    </row>
    <row r="4">
      <c r="D4">
        <f>IF(inputs_ok,db_l+db_e,NA())</f>
        <v/>
      </c>
      <c r="E4">
        <f>0</f>
        <v/>
      </c>
      <c r="G4">
        <f>IF(inputs_ok,0-db_a1/2,NA())</f>
        <v/>
      </c>
      <c r="H4">
        <f>-MAX(20,0.02*MAX(db_h,db_l))</f>
        <v/>
      </c>
      <c r="J4">
        <f>IF(inputs_ok,db_l-db_a1/2,NA())</f>
        <v/>
      </c>
      <c r="K4">
        <f>-MAX(20,0.02*MAX(db_h,db_l))</f>
        <v/>
      </c>
      <c r="M4">
        <f>IF(inputs_ok,IF(db_F&gt;0,db_l/2-db_a2/2,NA()),NA())</f>
        <v/>
      </c>
      <c r="N4">
        <f>IF(db_F&gt;0,db_h+MAX(20,0.02*MAX(db_h,db_l)),NA())</f>
        <v/>
      </c>
      <c r="P4">
        <f>IF(inputs_ok,IF(db_F&gt;0,db_l/2,NA()),NA())</f>
        <v/>
      </c>
      <c r="Q4">
        <f>IF(db_F&gt;0,db_h+MAX(20,0.02*MAX(db_h,db_l)),NA())</f>
        <v/>
      </c>
      <c r="V4">
        <f>IF(inputs_ok,IF(db_w&gt;0,db_l,NA()),NA())</f>
        <v/>
      </c>
      <c r="W4">
        <f>IF(db_w&gt;0,db_h+MAX(20,0.02*MAX(db_h,db_l))+0.1*db_h,NA())</f>
        <v/>
      </c>
      <c r="Y4">
        <f>IF(inputs_ok,IF(db_w&gt;0,db_l*0.0625,NA()),NA())</f>
        <v/>
      </c>
      <c r="Z4">
        <f>IF(db_w&gt;0,db_h,NA())</f>
        <v/>
      </c>
      <c r="AB4">
        <f>IF(inputs_ok,IF(db_w&gt;0,db_l*0.1875,NA()),NA())</f>
        <v/>
      </c>
      <c r="AC4">
        <f>IF(db_w&gt;0,db_h,NA())</f>
        <v/>
      </c>
      <c r="AE4">
        <f>IF(inputs_ok,IF(db_w&gt;0,db_l*0.3125,NA()),NA())</f>
        <v/>
      </c>
      <c r="AF4">
        <f>IF(db_w&gt;0,db_h,NA())</f>
        <v/>
      </c>
      <c r="AH4">
        <f>IF(inputs_ok,IF(db_w&gt;0,db_l*0.4375,NA()),NA())</f>
        <v/>
      </c>
      <c r="AI4">
        <f>IF(db_w&gt;0,db_h,NA())</f>
        <v/>
      </c>
      <c r="AK4">
        <f>IF(inputs_ok,IF(db_w&gt;0,db_l*0.5625,NA()),NA())</f>
        <v/>
      </c>
      <c r="AL4">
        <f>IF(db_w&gt;0,db_h,NA())</f>
        <v/>
      </c>
      <c r="AN4">
        <f>IF(inputs_ok,IF(db_w&gt;0,db_l*0.6875,NA()),NA())</f>
        <v/>
      </c>
      <c r="AO4">
        <f>IF(db_w&gt;0,db_h,NA())</f>
        <v/>
      </c>
      <c r="AQ4">
        <f>IF(inputs_ok,IF(db_w&gt;0,db_l*0.8125,NA()),NA())</f>
        <v/>
      </c>
      <c r="AR4">
        <f>IF(db_w&gt;0,db_h,NA())</f>
        <v/>
      </c>
      <c r="AT4">
        <f>IF(inputs_ok,IF(db_w&gt;0,db_l*0.9375,NA()),NA())</f>
        <v/>
      </c>
      <c r="AU4">
        <f>IF(db_w&gt;0,db_h,NA())</f>
        <v/>
      </c>
      <c r="AZ4">
        <f>IF(inputs_ok,IF(0&lt;db_nl,(-db_e+db_c+db_pv+IF(bend_db,db_pt/2,0)),NA()),NA())</f>
        <v/>
      </c>
      <c r="BA4">
        <f>IF(0&lt;db_nl,(db_c+db_pv+db_pt/2+0*(db_pt+gap_db))+IF(bend_db,IF(ISNUMBER(phim_db),phim_db,IF(db_pt&lt;=16,4,7)*db_pt)/2+db_pt/2,0),NA())</f>
        <v/>
      </c>
      <c r="BC4">
        <f>IF(inputs_ok,IF(1&lt;db_nl,(-db_e+db_c+db_pv+IF(bend_db,db_pt/2,0)),NA()),NA())</f>
        <v/>
      </c>
      <c r="BD4">
        <f>IF(1&lt;db_nl,(db_c+db_pv+db_pt/2+1*(db_pt+gap_db))+IF(bend_db,IF(ISNUMBER(phim_db),phim_db,IF(db_pt&lt;=16,4,7)*db_pt)/2+db_pt/2,0),NA())</f>
        <v/>
      </c>
      <c r="BF4">
        <f>IF(inputs_ok,IF(2&lt;db_nl,(-db_e+db_c+db_pv+IF(bend_db,db_pt/2,0)),NA()),NA())</f>
        <v/>
      </c>
      <c r="BG4">
        <f>IF(2&lt;db_nl,(db_c+db_pv+db_pt/2+2*(db_pt+gap_db))+IF(bend_db,IF(ISNUMBER(phim_db),phim_db,IF(db_pt&lt;=16,4,7)*db_pt)/2+db_pt/2,0),NA())</f>
        <v/>
      </c>
      <c r="BI4">
        <f>IF(inputs_ok,xv0_db+MIN(0,nv_db-1)*db_sv,NA())</f>
        <v/>
      </c>
      <c r="BJ4">
        <f>db_h-db_c-db_pv/2</f>
        <v/>
      </c>
      <c r="BL4">
        <f>IF(inputs_ok,db_l+db_e-db_c-db_pv,NA())</f>
        <v/>
      </c>
      <c r="BM4">
        <f>yh0_db+MIN(0,nh_db-1)*db_sh</f>
        <v/>
      </c>
      <c r="BO4">
        <f>IF(inputs_ok,IF(mod_db,db_l,NA()),NA())</f>
        <v/>
      </c>
      <c r="BP4">
        <f>IF(mod_db,u_db,NA())</f>
        <v/>
      </c>
      <c r="BR4">
        <f>IF(inputs_ok,IF(AND(mod_db,db_w&gt;0),db_l/4,NA()),NA())</f>
        <v/>
      </c>
      <c r="BS4">
        <f>IF(AND(mod_db,db_w&gt;0),(u_db+z_db),NA())</f>
        <v/>
      </c>
      <c r="BU4">
        <f>IF(inputs_ok,IF(AND(mod_db,db_w&gt;0),3*db_l/4,NA()),NA())</f>
        <v/>
      </c>
      <c r="BV4">
        <f>IF(AND(mod_db,db_w&gt;0),(u_db+z_db),NA())</f>
        <v/>
      </c>
      <c r="BX4">
        <f>IF(inputs_ok,IF(AND(mod_db,db_F&gt;0),db_l/2,NA()),NA())</f>
        <v/>
      </c>
      <c r="BY4">
        <f>IF(AND(mod_db,db_F&gt;0),(u_db+z_db),NA())</f>
        <v/>
      </c>
      <c r="CA4">
        <f>IF(inputs_ok,IF(AND(mod_db,db_F&gt;0),db_l/2,NA()),NA())</f>
        <v/>
      </c>
      <c r="CB4">
        <f>IF(AND(mod_db,db_F&gt;0),(u_db+z_db),NA())</f>
        <v/>
      </c>
      <c r="CD4">
        <f>IF(inputs_ok,IF(mod_db,IF(db_w&gt;0,3*db_l/4,db_l/2),NA()),NA())</f>
        <v/>
      </c>
      <c r="CE4">
        <f>IF(mod_db,(u_db+z_db),NA())</f>
        <v/>
      </c>
      <c r="CG4">
        <f>IF(inputs_ok,IF(mod_db,db_l,NA()),NA())</f>
        <v/>
      </c>
      <c r="CH4">
        <f>IF(mod_db,u_db,NA())</f>
        <v/>
      </c>
      <c r="CJ4">
        <f>IF(inputs_ok,IF(AND(mod_db,db_w&gt;0),3*db_l/4,NA()),NA())</f>
        <v/>
      </c>
      <c r="CK4">
        <f>IF(AND(mod_db,db_w&gt;0),(u_db+z_db),NA())</f>
        <v/>
      </c>
      <c r="CP4">
        <f>IF(inputs_ok,IF(mod_db,db_l*0.66,NA()),NA())</f>
        <v/>
      </c>
      <c r="CQ4">
        <f>IF(mod_db,(u_db+z_db),NA())</f>
        <v/>
      </c>
      <c r="DH4">
        <f>IF(inputs_ok,IF(TRUE,db_l,NA()),NA())</f>
        <v/>
      </c>
      <c r="DI4">
        <f>IF(TRUE,-MAX(20,0.02*MAX(db_h,db_l))-0.06*MAX(db_h,db_l),NA())</f>
        <v/>
      </c>
      <c r="DN4">
        <f>IF(inputs_ok,IF(TRUE,-db_e-0.06*MAX(db_h,db_l),NA()),NA())</f>
        <v/>
      </c>
      <c r="DO4">
        <f>IF(TRUE,db_h,NA())</f>
        <v/>
      </c>
      <c r="DZ4">
        <f>((-db_e-3.5*0.06*MAX(db_h,db_l))+(db_l+db_e+4.5*0.06*MAX(db_h,db_l)))/2+MAX((db_h+MAX(20,0.02*MAX(db_h,db_l))+0.3*db_h)-(-MAX(20,0.02*MAX(db_h,db_l))-2*0.06*MAX(db_h,db_l)),((db_l+db_e+4.5*0.06*MAX(db_h,db_l))-(-db_e-3.5*0.06*MAX(db_h,db_l)))/1.55)*0.58*1.55</f>
        <v/>
      </c>
      <c r="EA4">
        <f>((-MAX(20,0.02*MAX(db_h,db_l))-2*0.06*MAX(db_h,db_l))+(db_h+MAX(20,0.02*MAX(db_h,db_l))+0.3*db_h))/2+MAX((db_h+MAX(20,0.02*MAX(db_h,db_l))+0.3*db_h)-(-MAX(20,0.02*MAX(db_h,db_l))-2*0.06*MAX(db_h,db_l)),((db_l+db_e+4.5*0.06*MAX(db_h,db_l))-(-db_e-3.5*0.06*MAX(db_h,db_l)))/1.55)*0.58</f>
        <v/>
      </c>
    </row>
    <row r="5">
      <c r="D5">
        <f>IF(inputs_ok,db_l+db_e,NA())</f>
        <v/>
      </c>
      <c r="E5">
        <f>db_h</f>
        <v/>
      </c>
      <c r="G5">
        <f>IF(inputs_ok,0+db_a1/2,NA())</f>
        <v/>
      </c>
      <c r="H5">
        <f>-MAX(20,0.02*MAX(db_h,db_l))</f>
        <v/>
      </c>
      <c r="J5">
        <f>IF(inputs_ok,db_l+db_a1/2,NA())</f>
        <v/>
      </c>
      <c r="K5">
        <f>-MAX(20,0.02*MAX(db_h,db_l))</f>
        <v/>
      </c>
      <c r="M5">
        <f>IF(inputs_ok,IF(db_F&gt;0,db_l/2+db_a2/2,NA()),NA())</f>
        <v/>
      </c>
      <c r="N5">
        <f>IF(db_F&gt;0,db_h+MAX(20,0.02*MAX(db_h,db_l)),NA())</f>
        <v/>
      </c>
      <c r="AZ5">
        <f>IF(inputs_ok,IF(0&lt;db_nl,((-db_e+db_c+db_pv+IF(bend_db,db_pt/2,0))+IF(bend_db,IF(ISNUMBER(phim_db),phim_db,IF(db_pt&lt;=16,4,7)*db_pt)/2+db_pt/2,0))+(IF(bend_db,IF(ISNUMBER(phim_db),phim_db,IF(db_pt&lt;=16,4,7)*db_pt)/2+db_pt/2,0))*-0.965926,NA()),NA())</f>
        <v/>
      </c>
      <c r="BA5">
        <f>IF(0&lt;db_nl,((db_c+db_pv+db_pt/2+0*(db_pt+gap_db))+IF(bend_db,IF(ISNUMBER(phim_db),phim_db,IF(db_pt&lt;=16,4,7)*db_pt)/2+db_pt/2,0))+(IF(bend_db,IF(ISNUMBER(phim_db),phim_db,IF(db_pt&lt;=16,4,7)*db_pt)/2+db_pt/2,0))*-0.258819,NA())</f>
        <v/>
      </c>
      <c r="BC5">
        <f>IF(inputs_ok,IF(1&lt;db_nl,((-db_e+db_c+db_pv+IF(bend_db,db_pt/2,0))+IF(bend_db,IF(ISNUMBER(phim_db),phim_db,IF(db_pt&lt;=16,4,7)*db_pt)/2+db_pt/2,0))+(IF(bend_db,IF(ISNUMBER(phim_db),phim_db,IF(db_pt&lt;=16,4,7)*db_pt)/2+db_pt/2,0))*-0.965926,NA()),NA())</f>
        <v/>
      </c>
      <c r="BD5">
        <f>IF(1&lt;db_nl,((db_c+db_pv+db_pt/2+1*(db_pt+gap_db))+IF(bend_db,IF(ISNUMBER(phim_db),phim_db,IF(db_pt&lt;=16,4,7)*db_pt)/2+db_pt/2,0))+(IF(bend_db,IF(ISNUMBER(phim_db),phim_db,IF(db_pt&lt;=16,4,7)*db_pt)/2+db_pt/2,0))*-0.258819,NA())</f>
        <v/>
      </c>
      <c r="BF5">
        <f>IF(inputs_ok,IF(2&lt;db_nl,((-db_e+db_c+db_pv+IF(bend_db,db_pt/2,0))+IF(bend_db,IF(ISNUMBER(phim_db),phim_db,IF(db_pt&lt;=16,4,7)*db_pt)/2+db_pt/2,0))+(IF(bend_db,IF(ISNUMBER(phim_db),phim_db,IF(db_pt&lt;=16,4,7)*db_pt)/2+db_pt/2,0))*-0.965926,NA()),NA())</f>
        <v/>
      </c>
      <c r="BG5">
        <f>IF(2&lt;db_nl,((db_c+db_pv+db_pt/2+2*(db_pt+gap_db))+IF(bend_db,IF(ISNUMBER(phim_db),phim_db,IF(db_pt&lt;=16,4,7)*db_pt)/2+db_pt/2,0))+(IF(bend_db,IF(ISNUMBER(phim_db),phim_db,IF(db_pt&lt;=16,4,7)*db_pt)/2+db_pt/2,0))*-0.258819,NA())</f>
        <v/>
      </c>
      <c r="BI5">
        <f>IF(inputs_ok,xv0_db+MIN(1,nv_db-1)*db_sv,NA())</f>
        <v/>
      </c>
      <c r="BJ5">
        <f>db_h-db_c-db_pv/2</f>
        <v/>
      </c>
      <c r="BL5">
        <f>IF(inputs_ok,db_l+db_e-db_c-db_pv,NA())</f>
        <v/>
      </c>
      <c r="BM5">
        <f>yh0_db+MIN(1,nh_db-1)*db_sh</f>
        <v/>
      </c>
    </row>
    <row r="6">
      <c r="D6">
        <f>IF(inputs_ok,-db_e,NA())</f>
        <v/>
      </c>
      <c r="E6">
        <f>db_h</f>
        <v/>
      </c>
      <c r="G6">
        <f>IF(inputs_ok,0+db_a1/2,NA())</f>
        <v/>
      </c>
      <c r="H6">
        <f>0</f>
        <v/>
      </c>
      <c r="J6">
        <f>IF(inputs_ok,db_l+db_a1/2,NA())</f>
        <v/>
      </c>
      <c r="K6">
        <f>0</f>
        <v/>
      </c>
      <c r="M6">
        <f>IF(inputs_ok,IF(db_F&gt;0,db_l/2+db_a2/2,NA()),NA())</f>
        <v/>
      </c>
      <c r="N6">
        <f>IF(db_F&gt;0,db_h,NA())</f>
        <v/>
      </c>
      <c r="AZ6">
        <f>IF(inputs_ok,IF(0&lt;db_nl,((-db_e+db_c+db_pv+IF(bend_db,db_pt/2,0))+IF(bend_db,IF(ISNUMBER(phim_db),phim_db,IF(db_pt&lt;=16,4,7)*db_pt)/2+db_pt/2,0))+(IF(bend_db,IF(ISNUMBER(phim_db),phim_db,IF(db_pt&lt;=16,4,7)*db_pt)/2+db_pt/2,0))*-0.866025,NA()),NA())</f>
        <v/>
      </c>
      <c r="BA6">
        <f>IF(0&lt;db_nl,((db_c+db_pv+db_pt/2+0*(db_pt+gap_db))+IF(bend_db,IF(ISNUMBER(phim_db),phim_db,IF(db_pt&lt;=16,4,7)*db_pt)/2+db_pt/2,0))+(IF(bend_db,IF(ISNUMBER(phim_db),phim_db,IF(db_pt&lt;=16,4,7)*db_pt)/2+db_pt/2,0))*-0.500000,NA())</f>
        <v/>
      </c>
      <c r="BC6">
        <f>IF(inputs_ok,IF(1&lt;db_nl,((-db_e+db_c+db_pv+IF(bend_db,db_pt/2,0))+IF(bend_db,IF(ISNUMBER(phim_db),phim_db,IF(db_pt&lt;=16,4,7)*db_pt)/2+db_pt/2,0))+(IF(bend_db,IF(ISNUMBER(phim_db),phim_db,IF(db_pt&lt;=16,4,7)*db_pt)/2+db_pt/2,0))*-0.866025,NA()),NA())</f>
        <v/>
      </c>
      <c r="BD6">
        <f>IF(1&lt;db_nl,((db_c+db_pv+db_pt/2+1*(db_pt+gap_db))+IF(bend_db,IF(ISNUMBER(phim_db),phim_db,IF(db_pt&lt;=16,4,7)*db_pt)/2+db_pt/2,0))+(IF(bend_db,IF(ISNUMBER(phim_db),phim_db,IF(db_pt&lt;=16,4,7)*db_pt)/2+db_pt/2,0))*-0.500000,NA())</f>
        <v/>
      </c>
      <c r="BF6">
        <f>IF(inputs_ok,IF(2&lt;db_nl,((-db_e+db_c+db_pv+IF(bend_db,db_pt/2,0))+IF(bend_db,IF(ISNUMBER(phim_db),phim_db,IF(db_pt&lt;=16,4,7)*db_pt)/2+db_pt/2,0))+(IF(bend_db,IF(ISNUMBER(phim_db),phim_db,IF(db_pt&lt;=16,4,7)*db_pt)/2+db_pt/2,0))*-0.866025,NA()),NA())</f>
        <v/>
      </c>
      <c r="BG6">
        <f>IF(2&lt;db_nl,((db_c+db_pv+db_pt/2+2*(db_pt+gap_db))+IF(bend_db,IF(ISNUMBER(phim_db),phim_db,IF(db_pt&lt;=16,4,7)*db_pt)/2+db_pt/2,0))+(IF(bend_db,IF(ISNUMBER(phim_db),phim_db,IF(db_pt&lt;=16,4,7)*db_pt)/2+db_pt/2,0))*-0.500000,NA())</f>
        <v/>
      </c>
      <c r="BI6">
        <f>IF(inputs_ok,xv0_db+MIN(1,nv_db-1)*db_sv,NA())</f>
        <v/>
      </c>
      <c r="BJ6">
        <f>db_c+db_pv/2</f>
        <v/>
      </c>
      <c r="BL6">
        <f>IF(inputs_ok,-db_e+db_c+db_pv,NA())</f>
        <v/>
      </c>
      <c r="BM6">
        <f>yh0_db+MIN(1,nh_db-1)*db_sh</f>
        <v/>
      </c>
    </row>
    <row r="7">
      <c r="D7">
        <f>IF(inputs_ok,-db_e,NA())</f>
        <v/>
      </c>
      <c r="E7">
        <f>0</f>
        <v/>
      </c>
      <c r="AZ7">
        <f>IF(inputs_ok,IF(0&lt;db_nl,((-db_e+db_c+db_pv+IF(bend_db,db_pt/2,0))+IF(bend_db,IF(ISNUMBER(phim_db),phim_db,IF(db_pt&lt;=16,4,7)*db_pt)/2+db_pt/2,0))+(IF(bend_db,IF(ISNUMBER(phim_db),phim_db,IF(db_pt&lt;=16,4,7)*db_pt)/2+db_pt/2,0))*-0.707107,NA()),NA())</f>
        <v/>
      </c>
      <c r="BA7">
        <f>IF(0&lt;db_nl,((db_c+db_pv+db_pt/2+0*(db_pt+gap_db))+IF(bend_db,IF(ISNUMBER(phim_db),phim_db,IF(db_pt&lt;=16,4,7)*db_pt)/2+db_pt/2,0))+(IF(bend_db,IF(ISNUMBER(phim_db),phim_db,IF(db_pt&lt;=16,4,7)*db_pt)/2+db_pt/2,0))*-0.707107,NA())</f>
        <v/>
      </c>
      <c r="BC7">
        <f>IF(inputs_ok,IF(1&lt;db_nl,((-db_e+db_c+db_pv+IF(bend_db,db_pt/2,0))+IF(bend_db,IF(ISNUMBER(phim_db),phim_db,IF(db_pt&lt;=16,4,7)*db_pt)/2+db_pt/2,0))+(IF(bend_db,IF(ISNUMBER(phim_db),phim_db,IF(db_pt&lt;=16,4,7)*db_pt)/2+db_pt/2,0))*-0.707107,NA()),NA())</f>
        <v/>
      </c>
      <c r="BD7">
        <f>IF(1&lt;db_nl,((db_c+db_pv+db_pt/2+1*(db_pt+gap_db))+IF(bend_db,IF(ISNUMBER(phim_db),phim_db,IF(db_pt&lt;=16,4,7)*db_pt)/2+db_pt/2,0))+(IF(bend_db,IF(ISNUMBER(phim_db),phim_db,IF(db_pt&lt;=16,4,7)*db_pt)/2+db_pt/2,0))*-0.707107,NA())</f>
        <v/>
      </c>
      <c r="BF7">
        <f>IF(inputs_ok,IF(2&lt;db_nl,((-db_e+db_c+db_pv+IF(bend_db,db_pt/2,0))+IF(bend_db,IF(ISNUMBER(phim_db),phim_db,IF(db_pt&lt;=16,4,7)*db_pt)/2+db_pt/2,0))+(IF(bend_db,IF(ISNUMBER(phim_db),phim_db,IF(db_pt&lt;=16,4,7)*db_pt)/2+db_pt/2,0))*-0.707107,NA()),NA())</f>
        <v/>
      </c>
      <c r="BG7">
        <f>IF(2&lt;db_nl,((db_c+db_pv+db_pt/2+2*(db_pt+gap_db))+IF(bend_db,IF(ISNUMBER(phim_db),phim_db,IF(db_pt&lt;=16,4,7)*db_pt)/2+db_pt/2,0))+(IF(bend_db,IF(ISNUMBER(phim_db),phim_db,IF(db_pt&lt;=16,4,7)*db_pt)/2+db_pt/2,0))*-0.707107,NA())</f>
        <v/>
      </c>
      <c r="BI7">
        <f>IF(inputs_ok,xv0_db+MIN(2,nv_db-1)*db_sv,NA())</f>
        <v/>
      </c>
      <c r="BJ7">
        <f>db_c+db_pv/2</f>
        <v/>
      </c>
      <c r="BL7">
        <f>IF(inputs_ok,-db_e+db_c+db_pv,NA())</f>
        <v/>
      </c>
      <c r="BM7">
        <f>yh0_db+MIN(2,nh_db-1)*db_sh</f>
        <v/>
      </c>
    </row>
    <row r="8">
      <c r="AZ8">
        <f>IF(inputs_ok,IF(0&lt;db_nl,((-db_e+db_c+db_pv+IF(bend_db,db_pt/2,0))+IF(bend_db,IF(ISNUMBER(phim_db),phim_db,IF(db_pt&lt;=16,4,7)*db_pt)/2+db_pt/2,0))+(IF(bend_db,IF(ISNUMBER(phim_db),phim_db,IF(db_pt&lt;=16,4,7)*db_pt)/2+db_pt/2,0))*-0.500000,NA()),NA())</f>
        <v/>
      </c>
      <c r="BA8">
        <f>IF(0&lt;db_nl,((db_c+db_pv+db_pt/2+0*(db_pt+gap_db))+IF(bend_db,IF(ISNUMBER(phim_db),phim_db,IF(db_pt&lt;=16,4,7)*db_pt)/2+db_pt/2,0))+(IF(bend_db,IF(ISNUMBER(phim_db),phim_db,IF(db_pt&lt;=16,4,7)*db_pt)/2+db_pt/2,0))*-0.866025,NA())</f>
        <v/>
      </c>
      <c r="BC8">
        <f>IF(inputs_ok,IF(1&lt;db_nl,((-db_e+db_c+db_pv+IF(bend_db,db_pt/2,0))+IF(bend_db,IF(ISNUMBER(phim_db),phim_db,IF(db_pt&lt;=16,4,7)*db_pt)/2+db_pt/2,0))+(IF(bend_db,IF(ISNUMBER(phim_db),phim_db,IF(db_pt&lt;=16,4,7)*db_pt)/2+db_pt/2,0))*-0.500000,NA()),NA())</f>
        <v/>
      </c>
      <c r="BD8">
        <f>IF(1&lt;db_nl,((db_c+db_pv+db_pt/2+1*(db_pt+gap_db))+IF(bend_db,IF(ISNUMBER(phim_db),phim_db,IF(db_pt&lt;=16,4,7)*db_pt)/2+db_pt/2,0))+(IF(bend_db,IF(ISNUMBER(phim_db),phim_db,IF(db_pt&lt;=16,4,7)*db_pt)/2+db_pt/2,0))*-0.866025,NA())</f>
        <v/>
      </c>
      <c r="BF8">
        <f>IF(inputs_ok,IF(2&lt;db_nl,((-db_e+db_c+db_pv+IF(bend_db,db_pt/2,0))+IF(bend_db,IF(ISNUMBER(phim_db),phim_db,IF(db_pt&lt;=16,4,7)*db_pt)/2+db_pt/2,0))+(IF(bend_db,IF(ISNUMBER(phim_db),phim_db,IF(db_pt&lt;=16,4,7)*db_pt)/2+db_pt/2,0))*-0.500000,NA()),NA())</f>
        <v/>
      </c>
      <c r="BG8">
        <f>IF(2&lt;db_nl,((db_c+db_pv+db_pt/2+2*(db_pt+gap_db))+IF(bend_db,IF(ISNUMBER(phim_db),phim_db,IF(db_pt&lt;=16,4,7)*db_pt)/2+db_pt/2,0))+(IF(bend_db,IF(ISNUMBER(phim_db),phim_db,IF(db_pt&lt;=16,4,7)*db_pt)/2+db_pt/2,0))*-0.866025,NA())</f>
        <v/>
      </c>
      <c r="BI8">
        <f>IF(inputs_ok,xv0_db+MIN(2,nv_db-1)*db_sv,NA())</f>
        <v/>
      </c>
      <c r="BJ8">
        <f>db_h-db_c-db_pv/2</f>
        <v/>
      </c>
      <c r="BL8">
        <f>IF(inputs_ok,db_l+db_e-db_c-db_pv,NA())</f>
        <v/>
      </c>
      <c r="BM8">
        <f>yh0_db+MIN(2,nh_db-1)*db_sh</f>
        <v/>
      </c>
    </row>
    <row r="9">
      <c r="AZ9">
        <f>IF(inputs_ok,IF(0&lt;db_nl,((-db_e+db_c+db_pv+IF(bend_db,db_pt/2,0))+IF(bend_db,IF(ISNUMBER(phim_db),phim_db,IF(db_pt&lt;=16,4,7)*db_pt)/2+db_pt/2,0))+(IF(bend_db,IF(ISNUMBER(phim_db),phim_db,IF(db_pt&lt;=16,4,7)*db_pt)/2+db_pt/2,0))*-0.258819,NA()),NA())</f>
        <v/>
      </c>
      <c r="BA9">
        <f>IF(0&lt;db_nl,((db_c+db_pv+db_pt/2+0*(db_pt+gap_db))+IF(bend_db,IF(ISNUMBER(phim_db),phim_db,IF(db_pt&lt;=16,4,7)*db_pt)/2+db_pt/2,0))+(IF(bend_db,IF(ISNUMBER(phim_db),phim_db,IF(db_pt&lt;=16,4,7)*db_pt)/2+db_pt/2,0))*-0.965926,NA())</f>
        <v/>
      </c>
      <c r="BC9">
        <f>IF(inputs_ok,IF(1&lt;db_nl,((-db_e+db_c+db_pv+IF(bend_db,db_pt/2,0))+IF(bend_db,IF(ISNUMBER(phim_db),phim_db,IF(db_pt&lt;=16,4,7)*db_pt)/2+db_pt/2,0))+(IF(bend_db,IF(ISNUMBER(phim_db),phim_db,IF(db_pt&lt;=16,4,7)*db_pt)/2+db_pt/2,0))*-0.258819,NA()),NA())</f>
        <v/>
      </c>
      <c r="BD9">
        <f>IF(1&lt;db_nl,((db_c+db_pv+db_pt/2+1*(db_pt+gap_db))+IF(bend_db,IF(ISNUMBER(phim_db),phim_db,IF(db_pt&lt;=16,4,7)*db_pt)/2+db_pt/2,0))+(IF(bend_db,IF(ISNUMBER(phim_db),phim_db,IF(db_pt&lt;=16,4,7)*db_pt)/2+db_pt/2,0))*-0.965926,NA())</f>
        <v/>
      </c>
      <c r="BF9">
        <f>IF(inputs_ok,IF(2&lt;db_nl,((-db_e+db_c+db_pv+IF(bend_db,db_pt/2,0))+IF(bend_db,IF(ISNUMBER(phim_db),phim_db,IF(db_pt&lt;=16,4,7)*db_pt)/2+db_pt/2,0))+(IF(bend_db,IF(ISNUMBER(phim_db),phim_db,IF(db_pt&lt;=16,4,7)*db_pt)/2+db_pt/2,0))*-0.258819,NA()),NA())</f>
        <v/>
      </c>
      <c r="BG9">
        <f>IF(2&lt;db_nl,((db_c+db_pv+db_pt/2+2*(db_pt+gap_db))+IF(bend_db,IF(ISNUMBER(phim_db),phim_db,IF(db_pt&lt;=16,4,7)*db_pt)/2+db_pt/2,0))+(IF(bend_db,IF(ISNUMBER(phim_db),phim_db,IF(db_pt&lt;=16,4,7)*db_pt)/2+db_pt/2,0))*-0.965926,NA())</f>
        <v/>
      </c>
      <c r="BI9">
        <f>IF(inputs_ok,xv0_db+MIN(3,nv_db-1)*db_sv,NA())</f>
        <v/>
      </c>
      <c r="BJ9">
        <f>db_h-db_c-db_pv/2</f>
        <v/>
      </c>
      <c r="BL9">
        <f>IF(inputs_ok,db_l+db_e-db_c-db_pv,NA())</f>
        <v/>
      </c>
      <c r="BM9">
        <f>yh0_db+MIN(3,nh_db-1)*db_sh</f>
        <v/>
      </c>
    </row>
    <row r="10">
      <c r="AZ10">
        <f>IF(inputs_ok,IF(0&lt;db_nl,((-db_e+db_c+db_pv+IF(bend_db,db_pt/2,0))+IF(bend_db,IF(ISNUMBER(phim_db),phim_db,IF(db_pt&lt;=16,4,7)*db_pt)/2+db_pt/2,0))+(IF(bend_db,IF(ISNUMBER(phim_db),phim_db,IF(db_pt&lt;=16,4,7)*db_pt)/2+db_pt/2,0))*-0.000000,NA()),NA())</f>
        <v/>
      </c>
      <c r="BA10">
        <f>IF(0&lt;db_nl,((db_c+db_pv+db_pt/2+0*(db_pt+gap_db))+IF(bend_db,IF(ISNUMBER(phim_db),phim_db,IF(db_pt&lt;=16,4,7)*db_pt)/2+db_pt/2,0))+(IF(bend_db,IF(ISNUMBER(phim_db),phim_db,IF(db_pt&lt;=16,4,7)*db_pt)/2+db_pt/2,0))*-1.000000,NA())</f>
        <v/>
      </c>
      <c r="BC10">
        <f>IF(inputs_ok,IF(1&lt;db_nl,((-db_e+db_c+db_pv+IF(bend_db,db_pt/2,0))+IF(bend_db,IF(ISNUMBER(phim_db),phim_db,IF(db_pt&lt;=16,4,7)*db_pt)/2+db_pt/2,0))+(IF(bend_db,IF(ISNUMBER(phim_db),phim_db,IF(db_pt&lt;=16,4,7)*db_pt)/2+db_pt/2,0))*-0.000000,NA()),NA())</f>
        <v/>
      </c>
      <c r="BD10">
        <f>IF(1&lt;db_nl,((db_c+db_pv+db_pt/2+1*(db_pt+gap_db))+IF(bend_db,IF(ISNUMBER(phim_db),phim_db,IF(db_pt&lt;=16,4,7)*db_pt)/2+db_pt/2,0))+(IF(bend_db,IF(ISNUMBER(phim_db),phim_db,IF(db_pt&lt;=16,4,7)*db_pt)/2+db_pt/2,0))*-1.000000,NA())</f>
        <v/>
      </c>
      <c r="BF10">
        <f>IF(inputs_ok,IF(2&lt;db_nl,((-db_e+db_c+db_pv+IF(bend_db,db_pt/2,0))+IF(bend_db,IF(ISNUMBER(phim_db),phim_db,IF(db_pt&lt;=16,4,7)*db_pt)/2+db_pt/2,0))+(IF(bend_db,IF(ISNUMBER(phim_db),phim_db,IF(db_pt&lt;=16,4,7)*db_pt)/2+db_pt/2,0))*-0.000000,NA()),NA())</f>
        <v/>
      </c>
      <c r="BG10">
        <f>IF(2&lt;db_nl,((db_c+db_pv+db_pt/2+2*(db_pt+gap_db))+IF(bend_db,IF(ISNUMBER(phim_db),phim_db,IF(db_pt&lt;=16,4,7)*db_pt)/2+db_pt/2,0))+(IF(bend_db,IF(ISNUMBER(phim_db),phim_db,IF(db_pt&lt;=16,4,7)*db_pt)/2+db_pt/2,0))*-1.000000,NA())</f>
        <v/>
      </c>
      <c r="BI10">
        <f>IF(inputs_ok,xv0_db+MIN(3,nv_db-1)*db_sv,NA())</f>
        <v/>
      </c>
      <c r="BJ10">
        <f>db_c+db_pv/2</f>
        <v/>
      </c>
      <c r="BL10">
        <f>IF(inputs_ok,-db_e+db_c+db_pv,NA())</f>
        <v/>
      </c>
      <c r="BM10">
        <f>yh0_db+MIN(3,nh_db-1)*db_sh</f>
        <v/>
      </c>
    </row>
    <row r="11">
      <c r="AZ11">
        <f>IF(inputs_ok,IF(0&lt;db_nl,((db_l+db_e-db_c-db_pv-IF(bend_db,db_pt/2,0))-IF(bend_db,IF(ISNUMBER(phim_db),phim_db,IF(db_pt&lt;=16,4,7)*db_pt)/2+db_pt/2,0))+(IF(bend_db,IF(ISNUMBER(phim_db),phim_db,IF(db_pt&lt;=16,4,7)*db_pt)/2+db_pt/2,0))*-0.000000,NA()),NA())</f>
        <v/>
      </c>
      <c r="BA11">
        <f>IF(0&lt;db_nl,((db_c+db_pv+db_pt/2+0*(db_pt+gap_db))+IF(bend_db,IF(ISNUMBER(phim_db),phim_db,IF(db_pt&lt;=16,4,7)*db_pt)/2+db_pt/2,0))+(IF(bend_db,IF(ISNUMBER(phim_db),phim_db,IF(db_pt&lt;=16,4,7)*db_pt)/2+db_pt/2,0))*-1.000000,NA())</f>
        <v/>
      </c>
      <c r="BC11">
        <f>IF(inputs_ok,IF(1&lt;db_nl,((db_l+db_e-db_c-db_pv-IF(bend_db,db_pt/2,0))-IF(bend_db,IF(ISNUMBER(phim_db),phim_db,IF(db_pt&lt;=16,4,7)*db_pt)/2+db_pt/2,0))+(IF(bend_db,IF(ISNUMBER(phim_db),phim_db,IF(db_pt&lt;=16,4,7)*db_pt)/2+db_pt/2,0))*-0.000000,NA()),NA())</f>
        <v/>
      </c>
      <c r="BD11">
        <f>IF(1&lt;db_nl,((db_c+db_pv+db_pt/2+1*(db_pt+gap_db))+IF(bend_db,IF(ISNUMBER(phim_db),phim_db,IF(db_pt&lt;=16,4,7)*db_pt)/2+db_pt/2,0))+(IF(bend_db,IF(ISNUMBER(phim_db),phim_db,IF(db_pt&lt;=16,4,7)*db_pt)/2+db_pt/2,0))*-1.000000,NA())</f>
        <v/>
      </c>
      <c r="BF11">
        <f>IF(inputs_ok,IF(2&lt;db_nl,((db_l+db_e-db_c-db_pv-IF(bend_db,db_pt/2,0))-IF(bend_db,IF(ISNUMBER(phim_db),phim_db,IF(db_pt&lt;=16,4,7)*db_pt)/2+db_pt/2,0))+(IF(bend_db,IF(ISNUMBER(phim_db),phim_db,IF(db_pt&lt;=16,4,7)*db_pt)/2+db_pt/2,0))*-0.000000,NA()),NA())</f>
        <v/>
      </c>
      <c r="BG11">
        <f>IF(2&lt;db_nl,((db_c+db_pv+db_pt/2+2*(db_pt+gap_db))+IF(bend_db,IF(ISNUMBER(phim_db),phim_db,IF(db_pt&lt;=16,4,7)*db_pt)/2+db_pt/2,0))+(IF(bend_db,IF(ISNUMBER(phim_db),phim_db,IF(db_pt&lt;=16,4,7)*db_pt)/2+db_pt/2,0))*-1.000000,NA())</f>
        <v/>
      </c>
      <c r="BI11">
        <f>IF(inputs_ok,xv0_db+MIN(4,nv_db-1)*db_sv,NA())</f>
        <v/>
      </c>
      <c r="BJ11">
        <f>db_c+db_pv/2</f>
        <v/>
      </c>
      <c r="BL11">
        <f>IF(inputs_ok,-db_e+db_c+db_pv,NA())</f>
        <v/>
      </c>
      <c r="BM11">
        <f>yh0_db+MIN(4,nh_db-1)*db_sh</f>
        <v/>
      </c>
    </row>
    <row r="12">
      <c r="AZ12">
        <f>IF(inputs_ok,IF(0&lt;db_nl,((db_l+db_e-db_c-db_pv-IF(bend_db,db_pt/2,0))-IF(bend_db,IF(ISNUMBER(phim_db),phim_db,IF(db_pt&lt;=16,4,7)*db_pt)/2+db_pt/2,0))+(IF(bend_db,IF(ISNUMBER(phim_db),phim_db,IF(db_pt&lt;=16,4,7)*db_pt)/2+db_pt/2,0))*0.258819,NA()),NA())</f>
        <v/>
      </c>
      <c r="BA12">
        <f>IF(0&lt;db_nl,((db_c+db_pv+db_pt/2+0*(db_pt+gap_db))+IF(bend_db,IF(ISNUMBER(phim_db),phim_db,IF(db_pt&lt;=16,4,7)*db_pt)/2+db_pt/2,0))+(IF(bend_db,IF(ISNUMBER(phim_db),phim_db,IF(db_pt&lt;=16,4,7)*db_pt)/2+db_pt/2,0))*-0.965926,NA())</f>
        <v/>
      </c>
      <c r="BC12">
        <f>IF(inputs_ok,IF(1&lt;db_nl,((db_l+db_e-db_c-db_pv-IF(bend_db,db_pt/2,0))-IF(bend_db,IF(ISNUMBER(phim_db),phim_db,IF(db_pt&lt;=16,4,7)*db_pt)/2+db_pt/2,0))+(IF(bend_db,IF(ISNUMBER(phim_db),phim_db,IF(db_pt&lt;=16,4,7)*db_pt)/2+db_pt/2,0))*0.258819,NA()),NA())</f>
        <v/>
      </c>
      <c r="BD12">
        <f>IF(1&lt;db_nl,((db_c+db_pv+db_pt/2+1*(db_pt+gap_db))+IF(bend_db,IF(ISNUMBER(phim_db),phim_db,IF(db_pt&lt;=16,4,7)*db_pt)/2+db_pt/2,0))+(IF(bend_db,IF(ISNUMBER(phim_db),phim_db,IF(db_pt&lt;=16,4,7)*db_pt)/2+db_pt/2,0))*-0.965926,NA())</f>
        <v/>
      </c>
      <c r="BF12">
        <f>IF(inputs_ok,IF(2&lt;db_nl,((db_l+db_e-db_c-db_pv-IF(bend_db,db_pt/2,0))-IF(bend_db,IF(ISNUMBER(phim_db),phim_db,IF(db_pt&lt;=16,4,7)*db_pt)/2+db_pt/2,0))+(IF(bend_db,IF(ISNUMBER(phim_db),phim_db,IF(db_pt&lt;=16,4,7)*db_pt)/2+db_pt/2,0))*0.258819,NA()),NA())</f>
        <v/>
      </c>
      <c r="BG12">
        <f>IF(2&lt;db_nl,((db_c+db_pv+db_pt/2+2*(db_pt+gap_db))+IF(bend_db,IF(ISNUMBER(phim_db),phim_db,IF(db_pt&lt;=16,4,7)*db_pt)/2+db_pt/2,0))+(IF(bend_db,IF(ISNUMBER(phim_db),phim_db,IF(db_pt&lt;=16,4,7)*db_pt)/2+db_pt/2,0))*-0.965926,NA())</f>
        <v/>
      </c>
      <c r="BI12">
        <f>IF(inputs_ok,xv0_db+MIN(4,nv_db-1)*db_sv,NA())</f>
        <v/>
      </c>
      <c r="BJ12">
        <f>db_h-db_c-db_pv/2</f>
        <v/>
      </c>
      <c r="BL12">
        <f>IF(inputs_ok,db_l+db_e-db_c-db_pv,NA())</f>
        <v/>
      </c>
      <c r="BM12">
        <f>yh0_db+MIN(4,nh_db-1)*db_sh</f>
        <v/>
      </c>
    </row>
    <row r="13">
      <c r="AZ13">
        <f>IF(inputs_ok,IF(0&lt;db_nl,((db_l+db_e-db_c-db_pv-IF(bend_db,db_pt/2,0))-IF(bend_db,IF(ISNUMBER(phim_db),phim_db,IF(db_pt&lt;=16,4,7)*db_pt)/2+db_pt/2,0))+(IF(bend_db,IF(ISNUMBER(phim_db),phim_db,IF(db_pt&lt;=16,4,7)*db_pt)/2+db_pt/2,0))*0.500000,NA()),NA())</f>
        <v/>
      </c>
      <c r="BA13">
        <f>IF(0&lt;db_nl,((db_c+db_pv+db_pt/2+0*(db_pt+gap_db))+IF(bend_db,IF(ISNUMBER(phim_db),phim_db,IF(db_pt&lt;=16,4,7)*db_pt)/2+db_pt/2,0))+(IF(bend_db,IF(ISNUMBER(phim_db),phim_db,IF(db_pt&lt;=16,4,7)*db_pt)/2+db_pt/2,0))*-0.866025,NA())</f>
        <v/>
      </c>
      <c r="BC13">
        <f>IF(inputs_ok,IF(1&lt;db_nl,((db_l+db_e-db_c-db_pv-IF(bend_db,db_pt/2,0))-IF(bend_db,IF(ISNUMBER(phim_db),phim_db,IF(db_pt&lt;=16,4,7)*db_pt)/2+db_pt/2,0))+(IF(bend_db,IF(ISNUMBER(phim_db),phim_db,IF(db_pt&lt;=16,4,7)*db_pt)/2+db_pt/2,0))*0.500000,NA()),NA())</f>
        <v/>
      </c>
      <c r="BD13">
        <f>IF(1&lt;db_nl,((db_c+db_pv+db_pt/2+1*(db_pt+gap_db))+IF(bend_db,IF(ISNUMBER(phim_db),phim_db,IF(db_pt&lt;=16,4,7)*db_pt)/2+db_pt/2,0))+(IF(bend_db,IF(ISNUMBER(phim_db),phim_db,IF(db_pt&lt;=16,4,7)*db_pt)/2+db_pt/2,0))*-0.866025,NA())</f>
        <v/>
      </c>
      <c r="BF13">
        <f>IF(inputs_ok,IF(2&lt;db_nl,((db_l+db_e-db_c-db_pv-IF(bend_db,db_pt/2,0))-IF(bend_db,IF(ISNUMBER(phim_db),phim_db,IF(db_pt&lt;=16,4,7)*db_pt)/2+db_pt/2,0))+(IF(bend_db,IF(ISNUMBER(phim_db),phim_db,IF(db_pt&lt;=16,4,7)*db_pt)/2+db_pt/2,0))*0.500000,NA()),NA())</f>
        <v/>
      </c>
      <c r="BG13">
        <f>IF(2&lt;db_nl,((db_c+db_pv+db_pt/2+2*(db_pt+gap_db))+IF(bend_db,IF(ISNUMBER(phim_db),phim_db,IF(db_pt&lt;=16,4,7)*db_pt)/2+db_pt/2,0))+(IF(bend_db,IF(ISNUMBER(phim_db),phim_db,IF(db_pt&lt;=16,4,7)*db_pt)/2+db_pt/2,0))*-0.866025,NA())</f>
        <v/>
      </c>
      <c r="BI13">
        <f>IF(inputs_ok,xv0_db+MIN(5,nv_db-1)*db_sv,NA())</f>
        <v/>
      </c>
      <c r="BJ13">
        <f>db_h-db_c-db_pv/2</f>
        <v/>
      </c>
      <c r="BL13">
        <f>IF(inputs_ok,db_l+db_e-db_c-db_pv,NA())</f>
        <v/>
      </c>
      <c r="BM13">
        <f>yh0_db+MIN(5,nh_db-1)*db_sh</f>
        <v/>
      </c>
    </row>
    <row r="14">
      <c r="AZ14">
        <f>IF(inputs_ok,IF(0&lt;db_nl,((db_l+db_e-db_c-db_pv-IF(bend_db,db_pt/2,0))-IF(bend_db,IF(ISNUMBER(phim_db),phim_db,IF(db_pt&lt;=16,4,7)*db_pt)/2+db_pt/2,0))+(IF(bend_db,IF(ISNUMBER(phim_db),phim_db,IF(db_pt&lt;=16,4,7)*db_pt)/2+db_pt/2,0))*0.707107,NA()),NA())</f>
        <v/>
      </c>
      <c r="BA14">
        <f>IF(0&lt;db_nl,((db_c+db_pv+db_pt/2+0*(db_pt+gap_db))+IF(bend_db,IF(ISNUMBER(phim_db),phim_db,IF(db_pt&lt;=16,4,7)*db_pt)/2+db_pt/2,0))+(IF(bend_db,IF(ISNUMBER(phim_db),phim_db,IF(db_pt&lt;=16,4,7)*db_pt)/2+db_pt/2,0))*-0.707107,NA())</f>
        <v/>
      </c>
      <c r="BC14">
        <f>IF(inputs_ok,IF(1&lt;db_nl,((db_l+db_e-db_c-db_pv-IF(bend_db,db_pt/2,0))-IF(bend_db,IF(ISNUMBER(phim_db),phim_db,IF(db_pt&lt;=16,4,7)*db_pt)/2+db_pt/2,0))+(IF(bend_db,IF(ISNUMBER(phim_db),phim_db,IF(db_pt&lt;=16,4,7)*db_pt)/2+db_pt/2,0))*0.707107,NA()),NA())</f>
        <v/>
      </c>
      <c r="BD14">
        <f>IF(1&lt;db_nl,((db_c+db_pv+db_pt/2+1*(db_pt+gap_db))+IF(bend_db,IF(ISNUMBER(phim_db),phim_db,IF(db_pt&lt;=16,4,7)*db_pt)/2+db_pt/2,0))+(IF(bend_db,IF(ISNUMBER(phim_db),phim_db,IF(db_pt&lt;=16,4,7)*db_pt)/2+db_pt/2,0))*-0.707107,NA())</f>
        <v/>
      </c>
      <c r="BF14">
        <f>IF(inputs_ok,IF(2&lt;db_nl,((db_l+db_e-db_c-db_pv-IF(bend_db,db_pt/2,0))-IF(bend_db,IF(ISNUMBER(phim_db),phim_db,IF(db_pt&lt;=16,4,7)*db_pt)/2+db_pt/2,0))+(IF(bend_db,IF(ISNUMBER(phim_db),phim_db,IF(db_pt&lt;=16,4,7)*db_pt)/2+db_pt/2,0))*0.707107,NA()),NA())</f>
        <v/>
      </c>
      <c r="BG14">
        <f>IF(2&lt;db_nl,((db_c+db_pv+db_pt/2+2*(db_pt+gap_db))+IF(bend_db,IF(ISNUMBER(phim_db),phim_db,IF(db_pt&lt;=16,4,7)*db_pt)/2+db_pt/2,0))+(IF(bend_db,IF(ISNUMBER(phim_db),phim_db,IF(db_pt&lt;=16,4,7)*db_pt)/2+db_pt/2,0))*-0.707107,NA())</f>
        <v/>
      </c>
      <c r="BI14">
        <f>IF(inputs_ok,xv0_db+MIN(5,nv_db-1)*db_sv,NA())</f>
        <v/>
      </c>
      <c r="BJ14">
        <f>db_c+db_pv/2</f>
        <v/>
      </c>
      <c r="BL14">
        <f>IF(inputs_ok,-db_e+db_c+db_pv,NA())</f>
        <v/>
      </c>
      <c r="BM14">
        <f>yh0_db+MIN(5,nh_db-1)*db_sh</f>
        <v/>
      </c>
    </row>
    <row r="15">
      <c r="AZ15">
        <f>IF(inputs_ok,IF(0&lt;db_nl,((db_l+db_e-db_c-db_pv-IF(bend_db,db_pt/2,0))-IF(bend_db,IF(ISNUMBER(phim_db),phim_db,IF(db_pt&lt;=16,4,7)*db_pt)/2+db_pt/2,0))+(IF(bend_db,IF(ISNUMBER(phim_db),phim_db,IF(db_pt&lt;=16,4,7)*db_pt)/2+db_pt/2,0))*0.866025,NA()),NA())</f>
        <v/>
      </c>
      <c r="BA15">
        <f>IF(0&lt;db_nl,((db_c+db_pv+db_pt/2+0*(db_pt+gap_db))+IF(bend_db,IF(ISNUMBER(phim_db),phim_db,IF(db_pt&lt;=16,4,7)*db_pt)/2+db_pt/2,0))+(IF(bend_db,IF(ISNUMBER(phim_db),phim_db,IF(db_pt&lt;=16,4,7)*db_pt)/2+db_pt/2,0))*-0.500000,NA())</f>
        <v/>
      </c>
      <c r="BC15">
        <f>IF(inputs_ok,IF(1&lt;db_nl,((db_l+db_e-db_c-db_pv-IF(bend_db,db_pt/2,0))-IF(bend_db,IF(ISNUMBER(phim_db),phim_db,IF(db_pt&lt;=16,4,7)*db_pt)/2+db_pt/2,0))+(IF(bend_db,IF(ISNUMBER(phim_db),phim_db,IF(db_pt&lt;=16,4,7)*db_pt)/2+db_pt/2,0))*0.866025,NA()),NA())</f>
        <v/>
      </c>
      <c r="BD15">
        <f>IF(1&lt;db_nl,((db_c+db_pv+db_pt/2+1*(db_pt+gap_db))+IF(bend_db,IF(ISNUMBER(phim_db),phim_db,IF(db_pt&lt;=16,4,7)*db_pt)/2+db_pt/2,0))+(IF(bend_db,IF(ISNUMBER(phim_db),phim_db,IF(db_pt&lt;=16,4,7)*db_pt)/2+db_pt/2,0))*-0.500000,NA())</f>
        <v/>
      </c>
      <c r="BF15">
        <f>IF(inputs_ok,IF(2&lt;db_nl,((db_l+db_e-db_c-db_pv-IF(bend_db,db_pt/2,0))-IF(bend_db,IF(ISNUMBER(phim_db),phim_db,IF(db_pt&lt;=16,4,7)*db_pt)/2+db_pt/2,0))+(IF(bend_db,IF(ISNUMBER(phim_db),phim_db,IF(db_pt&lt;=16,4,7)*db_pt)/2+db_pt/2,0))*0.866025,NA()),NA())</f>
        <v/>
      </c>
      <c r="BG15">
        <f>IF(2&lt;db_nl,((db_c+db_pv+db_pt/2+2*(db_pt+gap_db))+IF(bend_db,IF(ISNUMBER(phim_db),phim_db,IF(db_pt&lt;=16,4,7)*db_pt)/2+db_pt/2,0))+(IF(bend_db,IF(ISNUMBER(phim_db),phim_db,IF(db_pt&lt;=16,4,7)*db_pt)/2+db_pt/2,0))*-0.500000,NA())</f>
        <v/>
      </c>
      <c r="BI15">
        <f>IF(inputs_ok,xv0_db+MIN(6,nv_db-1)*db_sv,NA())</f>
        <v/>
      </c>
      <c r="BJ15">
        <f>db_c+db_pv/2</f>
        <v/>
      </c>
      <c r="BL15">
        <f>IF(inputs_ok,-db_e+db_c+db_pv,NA())</f>
        <v/>
      </c>
      <c r="BM15">
        <f>yh0_db+MIN(6,nh_db-1)*db_sh</f>
        <v/>
      </c>
    </row>
    <row r="16">
      <c r="AZ16">
        <f>IF(inputs_ok,IF(0&lt;db_nl,((db_l+db_e-db_c-db_pv-IF(bend_db,db_pt/2,0))-IF(bend_db,IF(ISNUMBER(phim_db),phim_db,IF(db_pt&lt;=16,4,7)*db_pt)/2+db_pt/2,0))+(IF(bend_db,IF(ISNUMBER(phim_db),phim_db,IF(db_pt&lt;=16,4,7)*db_pt)/2+db_pt/2,0))*0.965926,NA()),NA())</f>
        <v/>
      </c>
      <c r="BA16">
        <f>IF(0&lt;db_nl,((db_c+db_pv+db_pt/2+0*(db_pt+gap_db))+IF(bend_db,IF(ISNUMBER(phim_db),phim_db,IF(db_pt&lt;=16,4,7)*db_pt)/2+db_pt/2,0))+(IF(bend_db,IF(ISNUMBER(phim_db),phim_db,IF(db_pt&lt;=16,4,7)*db_pt)/2+db_pt/2,0))*-0.258819,NA())</f>
        <v/>
      </c>
      <c r="BC16">
        <f>IF(inputs_ok,IF(1&lt;db_nl,((db_l+db_e-db_c-db_pv-IF(bend_db,db_pt/2,0))-IF(bend_db,IF(ISNUMBER(phim_db),phim_db,IF(db_pt&lt;=16,4,7)*db_pt)/2+db_pt/2,0))+(IF(bend_db,IF(ISNUMBER(phim_db),phim_db,IF(db_pt&lt;=16,4,7)*db_pt)/2+db_pt/2,0))*0.965926,NA()),NA())</f>
        <v/>
      </c>
      <c r="BD16">
        <f>IF(1&lt;db_nl,((db_c+db_pv+db_pt/2+1*(db_pt+gap_db))+IF(bend_db,IF(ISNUMBER(phim_db),phim_db,IF(db_pt&lt;=16,4,7)*db_pt)/2+db_pt/2,0))+(IF(bend_db,IF(ISNUMBER(phim_db),phim_db,IF(db_pt&lt;=16,4,7)*db_pt)/2+db_pt/2,0))*-0.258819,NA())</f>
        <v/>
      </c>
      <c r="BF16">
        <f>IF(inputs_ok,IF(2&lt;db_nl,((db_l+db_e-db_c-db_pv-IF(bend_db,db_pt/2,0))-IF(bend_db,IF(ISNUMBER(phim_db),phim_db,IF(db_pt&lt;=16,4,7)*db_pt)/2+db_pt/2,0))+(IF(bend_db,IF(ISNUMBER(phim_db),phim_db,IF(db_pt&lt;=16,4,7)*db_pt)/2+db_pt/2,0))*0.965926,NA()),NA())</f>
        <v/>
      </c>
      <c r="BG16">
        <f>IF(2&lt;db_nl,((db_c+db_pv+db_pt/2+2*(db_pt+gap_db))+IF(bend_db,IF(ISNUMBER(phim_db),phim_db,IF(db_pt&lt;=16,4,7)*db_pt)/2+db_pt/2,0))+(IF(bend_db,IF(ISNUMBER(phim_db),phim_db,IF(db_pt&lt;=16,4,7)*db_pt)/2+db_pt/2,0))*-0.258819,NA())</f>
        <v/>
      </c>
      <c r="BI16">
        <f>IF(inputs_ok,xv0_db+MIN(6,nv_db-1)*db_sv,NA())</f>
        <v/>
      </c>
      <c r="BJ16">
        <f>db_h-db_c-db_pv/2</f>
        <v/>
      </c>
      <c r="BL16">
        <f>IF(inputs_ok,db_l+db_e-db_c-db_pv,NA())</f>
        <v/>
      </c>
      <c r="BM16">
        <f>yh0_db+MIN(6,nh_db-1)*db_sh</f>
        <v/>
      </c>
    </row>
    <row r="17">
      <c r="AZ17">
        <f>IF(inputs_ok,IF(0&lt;db_nl,(db_l+db_e-db_c-db_pv-IF(bend_db,db_pt/2,0)),NA()),NA())</f>
        <v/>
      </c>
      <c r="BA17">
        <f>IF(0&lt;db_nl,(db_c+db_pv+db_pt/2+0*(db_pt+gap_db))+IF(bend_db,IF(ISNUMBER(phim_db),phim_db,IF(db_pt&lt;=16,4,7)*db_pt)/2+db_pt/2,0),NA())</f>
        <v/>
      </c>
      <c r="BC17">
        <f>IF(inputs_ok,IF(1&lt;db_nl,(db_l+db_e-db_c-db_pv-IF(bend_db,db_pt/2,0)),NA()),NA())</f>
        <v/>
      </c>
      <c r="BD17">
        <f>IF(1&lt;db_nl,(db_c+db_pv+db_pt/2+1*(db_pt+gap_db))+IF(bend_db,IF(ISNUMBER(phim_db),phim_db,IF(db_pt&lt;=16,4,7)*db_pt)/2+db_pt/2,0),NA())</f>
        <v/>
      </c>
      <c r="BF17">
        <f>IF(inputs_ok,IF(2&lt;db_nl,(db_l+db_e-db_c-db_pv-IF(bend_db,db_pt/2,0)),NA()),NA())</f>
        <v/>
      </c>
      <c r="BG17">
        <f>IF(2&lt;db_nl,(db_c+db_pv+db_pt/2+2*(db_pt+gap_db))+IF(bend_db,IF(ISNUMBER(phim_db),phim_db,IF(db_pt&lt;=16,4,7)*db_pt)/2+db_pt/2,0),NA())</f>
        <v/>
      </c>
      <c r="BI17">
        <f>IF(inputs_ok,xv0_db+MIN(7,nv_db-1)*db_sv,NA())</f>
        <v/>
      </c>
      <c r="BJ17">
        <f>db_h-db_c-db_pv/2</f>
        <v/>
      </c>
      <c r="BL17">
        <f>IF(inputs_ok,db_l+db_e-db_c-db_pv,NA())</f>
        <v/>
      </c>
      <c r="BM17">
        <f>yh0_db+MIN(7,nh_db-1)*db_sh</f>
        <v/>
      </c>
    </row>
    <row r="18">
      <c r="AZ18">
        <f>IF(inputs_ok,IF(0&lt;db_nl,(db_l+db_e-db_c-db_pv-IF(bend_db,db_pt/2,0)),NA()),NA())</f>
        <v/>
      </c>
      <c r="BA18">
        <f>IF(0&lt;db_nl,(db_c+db_pv+db_pt/2+0*(db_pt+gap_db))+(IF(bend_db,IF(ISNUMBER(phim_db),phim_db,IF(db_pt&lt;=16,4,7)*db_pt)/2+db_pt/2,0)+IF(bend_db,5*db_pt,0)),NA())</f>
        <v/>
      </c>
      <c r="BC18">
        <f>IF(inputs_ok,IF(1&lt;db_nl,(db_l+db_e-db_c-db_pv-IF(bend_db,db_pt/2,0)),NA()),NA())</f>
        <v/>
      </c>
      <c r="BD18">
        <f>IF(1&lt;db_nl,(db_c+db_pv+db_pt/2+1*(db_pt+gap_db))+(IF(bend_db,IF(ISNUMBER(phim_db),phim_db,IF(db_pt&lt;=16,4,7)*db_pt)/2+db_pt/2,0)+IF(bend_db,5*db_pt,0)),NA())</f>
        <v/>
      </c>
      <c r="BF18">
        <f>IF(inputs_ok,IF(2&lt;db_nl,(db_l+db_e-db_c-db_pv-IF(bend_db,db_pt/2,0)),NA()),NA())</f>
        <v/>
      </c>
      <c r="BG18">
        <f>IF(2&lt;db_nl,(db_c+db_pv+db_pt/2+2*(db_pt+gap_db))+(IF(bend_db,IF(ISNUMBER(phim_db),phim_db,IF(db_pt&lt;=16,4,7)*db_pt)/2+db_pt/2,0)+IF(bend_db,5*db_pt,0)),NA())</f>
        <v/>
      </c>
      <c r="BI18">
        <f>IF(inputs_ok,xv0_db+MIN(7,nv_db-1)*db_sv,NA())</f>
        <v/>
      </c>
      <c r="BJ18">
        <f>db_c+db_pv/2</f>
        <v/>
      </c>
      <c r="BL18">
        <f>IF(inputs_ok,-db_e+db_c+db_pv,NA())</f>
        <v/>
      </c>
      <c r="BM18">
        <f>yh0_db+MIN(7,nh_db-1)*db_sh</f>
        <v/>
      </c>
    </row>
    <row r="19">
      <c r="BI19">
        <f>IF(inputs_ok,xv0_db+MIN(8,nv_db-1)*db_sv,NA())</f>
        <v/>
      </c>
      <c r="BJ19">
        <f>db_c+db_pv/2</f>
        <v/>
      </c>
      <c r="BL19">
        <f>IF(inputs_ok,-db_e+db_c+db_pv,NA())</f>
        <v/>
      </c>
      <c r="BM19">
        <f>yh0_db+MIN(8,nh_db-1)*db_sh</f>
        <v/>
      </c>
    </row>
    <row r="20">
      <c r="BI20">
        <f>IF(inputs_ok,xv0_db+MIN(8,nv_db-1)*db_sv,NA())</f>
        <v/>
      </c>
      <c r="BJ20">
        <f>db_h-db_c-db_pv/2</f>
        <v/>
      </c>
      <c r="BL20">
        <f>IF(inputs_ok,db_l+db_e-db_c-db_pv,NA())</f>
        <v/>
      </c>
      <c r="BM20">
        <f>yh0_db+MIN(8,nh_db-1)*db_sh</f>
        <v/>
      </c>
    </row>
    <row r="21">
      <c r="BI21">
        <f>IF(inputs_ok,xv0_db+MIN(9,nv_db-1)*db_sv,NA())</f>
        <v/>
      </c>
      <c r="BJ21">
        <f>db_h-db_c-db_pv/2</f>
        <v/>
      </c>
      <c r="BL21">
        <f>IF(inputs_ok,db_l+db_e-db_c-db_pv,NA())</f>
        <v/>
      </c>
      <c r="BM21">
        <f>yh0_db+MIN(9,nh_db-1)*db_sh</f>
        <v/>
      </c>
    </row>
    <row r="22">
      <c r="BI22">
        <f>IF(inputs_ok,xv0_db+MIN(9,nv_db-1)*db_sv,NA())</f>
        <v/>
      </c>
      <c r="BJ22">
        <f>db_c+db_pv/2</f>
        <v/>
      </c>
      <c r="BL22">
        <f>IF(inputs_ok,-db_e+db_c+db_pv,NA())</f>
        <v/>
      </c>
      <c r="BM22">
        <f>yh0_db+MIN(9,nh_db-1)*db_sh</f>
        <v/>
      </c>
    </row>
    <row r="23">
      <c r="BI23">
        <f>IF(inputs_ok,xv0_db+MIN(10,nv_db-1)*db_sv,NA())</f>
        <v/>
      </c>
      <c r="BJ23">
        <f>db_c+db_pv/2</f>
        <v/>
      </c>
      <c r="BL23">
        <f>IF(inputs_ok,-db_e+db_c+db_pv,NA())</f>
        <v/>
      </c>
      <c r="BM23">
        <f>yh0_db+MIN(10,nh_db-1)*db_sh</f>
        <v/>
      </c>
    </row>
    <row r="24">
      <c r="BI24">
        <f>IF(inputs_ok,xv0_db+MIN(10,nv_db-1)*db_sv,NA())</f>
        <v/>
      </c>
      <c r="BJ24">
        <f>db_h-db_c-db_pv/2</f>
        <v/>
      </c>
      <c r="BL24">
        <f>IF(inputs_ok,db_l+db_e-db_c-db_pv,NA())</f>
        <v/>
      </c>
      <c r="BM24">
        <f>yh0_db+MIN(10,nh_db-1)*db_sh</f>
        <v/>
      </c>
    </row>
    <row r="25">
      <c r="BI25">
        <f>IF(inputs_ok,xv0_db+MIN(11,nv_db-1)*db_sv,NA())</f>
        <v/>
      </c>
      <c r="BJ25">
        <f>db_h-db_c-db_pv/2</f>
        <v/>
      </c>
      <c r="BL25">
        <f>IF(inputs_ok,db_l+db_e-db_c-db_pv,NA())</f>
        <v/>
      </c>
      <c r="BM25">
        <f>yh0_db+MIN(11,nh_db-1)*db_sh</f>
        <v/>
      </c>
    </row>
    <row r="26">
      <c r="BI26">
        <f>IF(inputs_ok,xv0_db+MIN(11,nv_db-1)*db_sv,NA())</f>
        <v/>
      </c>
      <c r="BJ26">
        <f>db_c+db_pv/2</f>
        <v/>
      </c>
      <c r="BL26">
        <f>IF(inputs_ok,-db_e+db_c+db_pv,NA())</f>
        <v/>
      </c>
      <c r="BM26">
        <f>yh0_db+MIN(11,nh_db-1)*db_sh</f>
        <v/>
      </c>
    </row>
    <row r="27">
      <c r="BI27">
        <f>IF(inputs_ok,xv0_db+MIN(12,nv_db-1)*db_sv,NA())</f>
        <v/>
      </c>
      <c r="BJ27">
        <f>db_c+db_pv/2</f>
        <v/>
      </c>
      <c r="BL27">
        <f>IF(inputs_ok,-db_e+db_c+db_pv,NA())</f>
        <v/>
      </c>
      <c r="BM27">
        <f>yh0_db+MIN(12,nh_db-1)*db_sh</f>
        <v/>
      </c>
    </row>
    <row r="28">
      <c r="BI28">
        <f>IF(inputs_ok,xv0_db+MIN(12,nv_db-1)*db_sv,NA())</f>
        <v/>
      </c>
      <c r="BJ28">
        <f>db_h-db_c-db_pv/2</f>
        <v/>
      </c>
      <c r="BL28">
        <f>IF(inputs_ok,db_l+db_e-db_c-db_pv,NA())</f>
        <v/>
      </c>
      <c r="BM28">
        <f>yh0_db+MIN(12,nh_db-1)*db_sh</f>
        <v/>
      </c>
    </row>
    <row r="29">
      <c r="BI29">
        <f>IF(inputs_ok,xv0_db+MIN(13,nv_db-1)*db_sv,NA())</f>
        <v/>
      </c>
      <c r="BJ29">
        <f>db_h-db_c-db_pv/2</f>
        <v/>
      </c>
      <c r="BL29">
        <f>IF(inputs_ok,db_l+db_e-db_c-db_pv,NA())</f>
        <v/>
      </c>
      <c r="BM29">
        <f>yh0_db+MIN(13,nh_db-1)*db_sh</f>
        <v/>
      </c>
    </row>
    <row r="30">
      <c r="BI30">
        <f>IF(inputs_ok,xv0_db+MIN(13,nv_db-1)*db_sv,NA())</f>
        <v/>
      </c>
      <c r="BJ30">
        <f>db_c+db_pv/2</f>
        <v/>
      </c>
      <c r="BL30">
        <f>IF(inputs_ok,-db_e+db_c+db_pv,NA())</f>
        <v/>
      </c>
      <c r="BM30">
        <f>yh0_db+MIN(13,nh_db-1)*db_sh</f>
        <v/>
      </c>
    </row>
    <row r="31">
      <c r="BI31">
        <f>IF(inputs_ok,xv0_db+MIN(14,nv_db-1)*db_sv,NA())</f>
        <v/>
      </c>
      <c r="BJ31">
        <f>db_c+db_pv/2</f>
        <v/>
      </c>
      <c r="BL31">
        <f>IF(inputs_ok,-db_e+db_c+db_pv,NA())</f>
        <v/>
      </c>
      <c r="BM31">
        <f>yh0_db+MIN(14,nh_db-1)*db_sh</f>
        <v/>
      </c>
    </row>
    <row r="32">
      <c r="BI32">
        <f>IF(inputs_ok,xv0_db+MIN(14,nv_db-1)*db_sv,NA())</f>
        <v/>
      </c>
      <c r="BJ32">
        <f>db_h-db_c-db_pv/2</f>
        <v/>
      </c>
      <c r="BL32">
        <f>IF(inputs_ok,db_l+db_e-db_c-db_pv,NA())</f>
        <v/>
      </c>
      <c r="BM32">
        <f>yh0_db+MIN(14,nh_db-1)*db_sh</f>
        <v/>
      </c>
    </row>
    <row r="33">
      <c r="BI33">
        <f>IF(inputs_ok,xv0_db+MIN(15,nv_db-1)*db_sv,NA())</f>
        <v/>
      </c>
      <c r="BJ33">
        <f>db_h-db_c-db_pv/2</f>
        <v/>
      </c>
      <c r="BL33">
        <f>IF(inputs_ok,db_l+db_e-db_c-db_pv,NA())</f>
        <v/>
      </c>
      <c r="BM33">
        <f>yh0_db+MIN(15,nh_db-1)*db_sh</f>
        <v/>
      </c>
    </row>
    <row r="34">
      <c r="BI34">
        <f>IF(inputs_ok,xv0_db+MIN(15,nv_db-1)*db_sv,NA())</f>
        <v/>
      </c>
      <c r="BJ34">
        <f>db_c+db_pv/2</f>
        <v/>
      </c>
      <c r="BL34">
        <f>IF(inputs_ok,-db_e+db_c+db_pv,NA())</f>
        <v/>
      </c>
      <c r="BM34">
        <f>yh0_db+MIN(15,nh_db-1)*db_sh</f>
        <v/>
      </c>
    </row>
    <row r="35">
      <c r="BI35">
        <f>IF(inputs_ok,xv0_db+MIN(16,nv_db-1)*db_sv,NA())</f>
        <v/>
      </c>
      <c r="BJ35">
        <f>db_c+db_pv/2</f>
        <v/>
      </c>
      <c r="BL35">
        <f>IF(inputs_ok,-db_e+db_c+db_pv,NA())</f>
        <v/>
      </c>
      <c r="BM35">
        <f>yh0_db+MIN(16,nh_db-1)*db_sh</f>
        <v/>
      </c>
    </row>
    <row r="36">
      <c r="BI36">
        <f>IF(inputs_ok,xv0_db+MIN(16,nv_db-1)*db_sv,NA())</f>
        <v/>
      </c>
      <c r="BJ36">
        <f>db_h-db_c-db_pv/2</f>
        <v/>
      </c>
      <c r="BL36">
        <f>IF(inputs_ok,db_l+db_e-db_c-db_pv,NA())</f>
        <v/>
      </c>
      <c r="BM36">
        <f>yh0_db+MIN(16,nh_db-1)*db_sh</f>
        <v/>
      </c>
    </row>
    <row r="37">
      <c r="BI37">
        <f>IF(inputs_ok,xv0_db+MIN(17,nv_db-1)*db_sv,NA())</f>
        <v/>
      </c>
      <c r="BJ37">
        <f>db_h-db_c-db_pv/2</f>
        <v/>
      </c>
      <c r="BL37">
        <f>IF(inputs_ok,db_l+db_e-db_c-db_pv,NA())</f>
        <v/>
      </c>
      <c r="BM37">
        <f>yh0_db+MIN(17,nh_db-1)*db_sh</f>
        <v/>
      </c>
    </row>
    <row r="38">
      <c r="BI38">
        <f>IF(inputs_ok,xv0_db+MIN(17,nv_db-1)*db_sv,NA())</f>
        <v/>
      </c>
      <c r="BJ38">
        <f>db_c+db_pv/2</f>
        <v/>
      </c>
      <c r="BL38">
        <f>IF(inputs_ok,-db_e+db_c+db_pv,NA())</f>
        <v/>
      </c>
      <c r="BM38">
        <f>yh0_db+MIN(17,nh_db-1)*db_sh</f>
        <v/>
      </c>
    </row>
    <row r="39">
      <c r="BI39">
        <f>IF(inputs_ok,xv0_db+MIN(18,nv_db-1)*db_sv,NA())</f>
        <v/>
      </c>
      <c r="BJ39">
        <f>db_c+db_pv/2</f>
        <v/>
      </c>
      <c r="BL39">
        <f>IF(inputs_ok,-db_e+db_c+db_pv,NA())</f>
        <v/>
      </c>
      <c r="BM39">
        <f>yh0_db+MIN(18,nh_db-1)*db_sh</f>
        <v/>
      </c>
    </row>
    <row r="40">
      <c r="BI40">
        <f>IF(inputs_ok,xv0_db+MIN(18,nv_db-1)*db_sv,NA())</f>
        <v/>
      </c>
      <c r="BJ40">
        <f>db_h-db_c-db_pv/2</f>
        <v/>
      </c>
      <c r="BL40">
        <f>IF(inputs_ok,db_l+db_e-db_c-db_pv,NA())</f>
        <v/>
      </c>
      <c r="BM40">
        <f>yh0_db+MIN(18,nh_db-1)*db_sh</f>
        <v/>
      </c>
    </row>
    <row r="41">
      <c r="BI41">
        <f>IF(inputs_ok,xv0_db+MIN(19,nv_db-1)*db_sv,NA())</f>
        <v/>
      </c>
      <c r="BJ41">
        <f>db_h-db_c-db_pv/2</f>
        <v/>
      </c>
      <c r="BL41">
        <f>IF(inputs_ok,db_l+db_e-db_c-db_pv,NA())</f>
        <v/>
      </c>
      <c r="BM41">
        <f>yh0_db+MIN(19,nh_db-1)*db_sh</f>
        <v/>
      </c>
    </row>
    <row r="42">
      <c r="BI42">
        <f>IF(inputs_ok,xv0_db+MIN(19,nv_db-1)*db_sv,NA())</f>
        <v/>
      </c>
      <c r="BJ42">
        <f>db_c+db_pv/2</f>
        <v/>
      </c>
      <c r="BL42">
        <f>IF(inputs_ok,-db_e+db_c+db_pv,NA())</f>
        <v/>
      </c>
      <c r="BM42">
        <f>yh0_db+MIN(19,nh_db-1)*db_sh</f>
        <v/>
      </c>
    </row>
    <row r="43">
      <c r="BI43">
        <f>IF(inputs_ok,xv0_db+MIN(20,nv_db-1)*db_sv,NA())</f>
        <v/>
      </c>
      <c r="BJ43">
        <f>db_c+db_pv/2</f>
        <v/>
      </c>
      <c r="BL43">
        <f>IF(inputs_ok,-db_e+db_c+db_pv,NA())</f>
        <v/>
      </c>
      <c r="BM43">
        <f>yh0_db+MIN(20,nh_db-1)*db_sh</f>
        <v/>
      </c>
    </row>
    <row r="44">
      <c r="BI44">
        <f>IF(inputs_ok,xv0_db+MIN(20,nv_db-1)*db_sv,NA())</f>
        <v/>
      </c>
      <c r="BJ44">
        <f>db_h-db_c-db_pv/2</f>
        <v/>
      </c>
      <c r="BL44">
        <f>IF(inputs_ok,db_l+db_e-db_c-db_pv,NA())</f>
        <v/>
      </c>
      <c r="BM44">
        <f>yh0_db+MIN(20,nh_db-1)*db_sh</f>
        <v/>
      </c>
    </row>
    <row r="45">
      <c r="BI45">
        <f>IF(inputs_ok,xv0_db+MIN(21,nv_db-1)*db_sv,NA())</f>
        <v/>
      </c>
      <c r="BJ45">
        <f>db_h-db_c-db_pv/2</f>
        <v/>
      </c>
      <c r="BL45">
        <f>IF(inputs_ok,db_l+db_e-db_c-db_pv,NA())</f>
        <v/>
      </c>
      <c r="BM45">
        <f>yh0_db+MIN(21,nh_db-1)*db_sh</f>
        <v/>
      </c>
    </row>
    <row r="46">
      <c r="BI46">
        <f>IF(inputs_ok,xv0_db+MIN(21,nv_db-1)*db_sv,NA())</f>
        <v/>
      </c>
      <c r="BJ46">
        <f>db_c+db_pv/2</f>
        <v/>
      </c>
      <c r="BL46">
        <f>IF(inputs_ok,-db_e+db_c+db_pv,NA())</f>
        <v/>
      </c>
      <c r="BM46">
        <f>yh0_db+MIN(21,nh_db-1)*db_sh</f>
        <v/>
      </c>
    </row>
    <row r="47">
      <c r="BI47">
        <f>IF(inputs_ok,xv0_db+MIN(22,nv_db-1)*db_sv,NA())</f>
        <v/>
      </c>
      <c r="BJ47">
        <f>db_c+db_pv/2</f>
        <v/>
      </c>
      <c r="BL47">
        <f>IF(inputs_ok,-db_e+db_c+db_pv,NA())</f>
        <v/>
      </c>
      <c r="BM47">
        <f>yh0_db+MIN(22,nh_db-1)*db_sh</f>
        <v/>
      </c>
    </row>
    <row r="48">
      <c r="BI48">
        <f>IF(inputs_ok,xv0_db+MIN(22,nv_db-1)*db_sv,NA())</f>
        <v/>
      </c>
      <c r="BJ48">
        <f>db_h-db_c-db_pv/2</f>
        <v/>
      </c>
      <c r="BL48">
        <f>IF(inputs_ok,db_l+db_e-db_c-db_pv,NA())</f>
        <v/>
      </c>
      <c r="BM48">
        <f>yh0_db+MIN(22,nh_db-1)*db_sh</f>
        <v/>
      </c>
    </row>
    <row r="49">
      <c r="BI49">
        <f>IF(inputs_ok,xv0_db+MIN(23,nv_db-1)*db_sv,NA())</f>
        <v/>
      </c>
      <c r="BJ49">
        <f>db_h-db_c-db_pv/2</f>
        <v/>
      </c>
      <c r="BL49">
        <f>IF(inputs_ok,db_l+db_e-db_c-db_pv,NA())</f>
        <v/>
      </c>
      <c r="BM49">
        <f>yh0_db+MIN(23,nh_db-1)*db_sh</f>
        <v/>
      </c>
    </row>
    <row r="50">
      <c r="BI50">
        <f>IF(inputs_ok,xv0_db+MIN(23,nv_db-1)*db_sv,NA())</f>
        <v/>
      </c>
      <c r="BJ50">
        <f>db_c+db_pv/2</f>
        <v/>
      </c>
      <c r="BL50">
        <f>IF(inputs_ok,-db_e+db_c+db_pv,NA())</f>
        <v/>
      </c>
      <c r="BM50">
        <f>yh0_db+MIN(23,nh_db-1)*db_sh</f>
        <v/>
      </c>
    </row>
    <row r="51">
      <c r="BI51">
        <f>IF(inputs_ok,xv0_db+MIN(24,nv_db-1)*db_sv,NA())</f>
        <v/>
      </c>
      <c r="BJ51">
        <f>db_c+db_pv/2</f>
        <v/>
      </c>
      <c r="BL51">
        <f>IF(inputs_ok,-db_e+db_c+db_pv,NA())</f>
        <v/>
      </c>
      <c r="BM51">
        <f>yh0_db+MIN(24,nh_db-1)*db_sh</f>
        <v/>
      </c>
    </row>
    <row r="52">
      <c r="BI52">
        <f>IF(inputs_ok,xv0_db+MIN(24,nv_db-1)*db_sv,NA())</f>
        <v/>
      </c>
      <c r="BJ52">
        <f>db_h-db_c-db_pv/2</f>
        <v/>
      </c>
      <c r="BL52">
        <f>IF(inputs_ok,db_l+db_e-db_c-db_pv,NA())</f>
        <v/>
      </c>
      <c r="BM52">
        <f>yh0_db+MIN(24,nh_db-1)*db_sh</f>
        <v/>
      </c>
    </row>
    <row r="53">
      <c r="BI53">
        <f>IF(inputs_ok,xv0_db+MIN(25,nv_db-1)*db_sv,NA())</f>
        <v/>
      </c>
      <c r="BJ53">
        <f>db_h-db_c-db_pv/2</f>
        <v/>
      </c>
      <c r="BL53">
        <f>IF(inputs_ok,db_l+db_e-db_c-db_pv,NA())</f>
        <v/>
      </c>
      <c r="BM53">
        <f>yh0_db+MIN(25,nh_db-1)*db_sh</f>
        <v/>
      </c>
    </row>
    <row r="54">
      <c r="BI54">
        <f>IF(inputs_ok,xv0_db+MIN(25,nv_db-1)*db_sv,NA())</f>
        <v/>
      </c>
      <c r="BJ54">
        <f>db_c+db_pv/2</f>
        <v/>
      </c>
      <c r="BL54">
        <f>IF(inputs_ok,-db_e+db_c+db_pv,NA())</f>
        <v/>
      </c>
      <c r="BM54">
        <f>yh0_db+MIN(25,nh_db-1)*db_sh</f>
        <v/>
      </c>
    </row>
    <row r="55">
      <c r="BI55">
        <f>IF(inputs_ok,xv0_db+MIN(26,nv_db-1)*db_sv,NA())</f>
        <v/>
      </c>
      <c r="BJ55">
        <f>db_c+db_pv/2</f>
        <v/>
      </c>
      <c r="BL55">
        <f>IF(inputs_ok,-db_e+db_c+db_pv,NA())</f>
        <v/>
      </c>
      <c r="BM55">
        <f>yh0_db+MIN(26,nh_db-1)*db_sh</f>
        <v/>
      </c>
    </row>
    <row r="56">
      <c r="BI56">
        <f>IF(inputs_ok,xv0_db+MIN(26,nv_db-1)*db_sv,NA())</f>
        <v/>
      </c>
      <c r="BJ56">
        <f>db_h-db_c-db_pv/2</f>
        <v/>
      </c>
      <c r="BL56">
        <f>IF(inputs_ok,db_l+db_e-db_c-db_pv,NA())</f>
        <v/>
      </c>
      <c r="BM56">
        <f>yh0_db+MIN(26,nh_db-1)*db_sh</f>
        <v/>
      </c>
    </row>
    <row r="57">
      <c r="BI57">
        <f>IF(inputs_ok,xv0_db+MIN(27,nv_db-1)*db_sv,NA())</f>
        <v/>
      </c>
      <c r="BJ57">
        <f>db_h-db_c-db_pv/2</f>
        <v/>
      </c>
      <c r="BL57">
        <f>IF(inputs_ok,db_l+db_e-db_c-db_pv,NA())</f>
        <v/>
      </c>
      <c r="BM57">
        <f>yh0_db+MIN(27,nh_db-1)*db_sh</f>
        <v/>
      </c>
    </row>
    <row r="58">
      <c r="BI58">
        <f>IF(inputs_ok,xv0_db+MIN(27,nv_db-1)*db_sv,NA())</f>
        <v/>
      </c>
      <c r="BJ58">
        <f>db_c+db_pv/2</f>
        <v/>
      </c>
      <c r="BL58">
        <f>IF(inputs_ok,-db_e+db_c+db_pv,NA())</f>
        <v/>
      </c>
      <c r="BM58">
        <f>yh0_db+MIN(27,nh_db-1)*db_sh</f>
        <v/>
      </c>
    </row>
    <row r="59">
      <c r="BI59">
        <f>IF(inputs_ok,xv0_db+MIN(28,nv_db-1)*db_sv,NA())</f>
        <v/>
      </c>
      <c r="BJ59">
        <f>db_c+db_pv/2</f>
        <v/>
      </c>
      <c r="BL59">
        <f>IF(inputs_ok,-db_e+db_c+db_pv,NA())</f>
        <v/>
      </c>
      <c r="BM59">
        <f>yh0_db+MIN(28,nh_db-1)*db_sh</f>
        <v/>
      </c>
    </row>
    <row r="60">
      <c r="BI60">
        <f>IF(inputs_ok,xv0_db+MIN(28,nv_db-1)*db_sv,NA())</f>
        <v/>
      </c>
      <c r="BJ60">
        <f>db_h-db_c-db_pv/2</f>
        <v/>
      </c>
      <c r="BL60">
        <f>IF(inputs_ok,db_l+db_e-db_c-db_pv,NA())</f>
        <v/>
      </c>
      <c r="BM60">
        <f>yh0_db+MIN(28,nh_db-1)*db_sh</f>
        <v/>
      </c>
    </row>
    <row r="61">
      <c r="BI61">
        <f>IF(inputs_ok,xv0_db+MIN(29,nv_db-1)*db_sv,NA())</f>
        <v/>
      </c>
      <c r="BJ61">
        <f>db_h-db_c-db_pv/2</f>
        <v/>
      </c>
      <c r="BL61">
        <f>IF(inputs_ok,db_l+db_e-db_c-db_pv,NA())</f>
        <v/>
      </c>
      <c r="BM61">
        <f>yh0_db+MIN(29,nh_db-1)*db_sh</f>
        <v/>
      </c>
    </row>
    <row r="62">
      <c r="BI62">
        <f>IF(inputs_ok,xv0_db+MIN(29,nv_db-1)*db_sv,NA())</f>
        <v/>
      </c>
      <c r="BJ62">
        <f>db_c+db_pv/2</f>
        <v/>
      </c>
      <c r="BL62">
        <f>IF(inputs_ok,-db_e+db_c+db_pv,NA())</f>
        <v/>
      </c>
      <c r="BM62">
        <f>yh0_db+MIN(29,nh_db-1)*db_sh</f>
        <v/>
      </c>
    </row>
    <row r="63">
      <c r="BI63">
        <f>IF(inputs_ok,xv0_db+MIN(30,nv_db-1)*db_sv,NA())</f>
        <v/>
      </c>
      <c r="BJ63">
        <f>db_c+db_pv/2</f>
        <v/>
      </c>
      <c r="BL63">
        <f>IF(inputs_ok,-db_e+db_c+db_pv,NA())</f>
        <v/>
      </c>
      <c r="BM63">
        <f>yh0_db+MIN(30,nh_db-1)*db_sh</f>
        <v/>
      </c>
    </row>
    <row r="64">
      <c r="BI64">
        <f>IF(inputs_ok,xv0_db+MIN(30,nv_db-1)*db_sv,NA())</f>
        <v/>
      </c>
      <c r="BJ64">
        <f>db_h-db_c-db_pv/2</f>
        <v/>
      </c>
      <c r="BL64">
        <f>IF(inputs_ok,db_l+db_e-db_c-db_pv,NA())</f>
        <v/>
      </c>
      <c r="BM64">
        <f>yh0_db+MIN(30,nh_db-1)*db_sh</f>
        <v/>
      </c>
    </row>
    <row r="65">
      <c r="BI65">
        <f>IF(inputs_ok,xv0_db+MIN(31,nv_db-1)*db_sv,NA())</f>
        <v/>
      </c>
      <c r="BJ65">
        <f>db_h-db_c-db_pv/2</f>
        <v/>
      </c>
      <c r="BL65">
        <f>IF(inputs_ok,db_l+db_e-db_c-db_pv,NA())</f>
        <v/>
      </c>
      <c r="BM65">
        <f>yh0_db+MIN(31,nh_db-1)*db_sh</f>
        <v/>
      </c>
    </row>
    <row r="66">
      <c r="BI66">
        <f>IF(inputs_ok,xv0_db+MIN(31,nv_db-1)*db_sv,NA())</f>
        <v/>
      </c>
      <c r="BJ66">
        <f>db_c+db_pv/2</f>
        <v/>
      </c>
      <c r="BL66">
        <f>IF(inputs_ok,-db_e+db_c+db_pv,NA())</f>
        <v/>
      </c>
      <c r="BM66">
        <f>yh0_db+MIN(31,nh_db-1)*db_sh</f>
        <v/>
      </c>
    </row>
    <row r="67">
      <c r="BI67">
        <f>IF(inputs_ok,xv0_db+MIN(32,nv_db-1)*db_sv,NA())</f>
        <v/>
      </c>
      <c r="BJ67">
        <f>db_c+db_pv/2</f>
        <v/>
      </c>
      <c r="BL67">
        <f>IF(inputs_ok,-db_e+db_c+db_pv,NA())</f>
        <v/>
      </c>
      <c r="BM67">
        <f>yh0_db+MIN(32,nh_db-1)*db_sh</f>
        <v/>
      </c>
    </row>
    <row r="68">
      <c r="BI68">
        <f>IF(inputs_ok,xv0_db+MIN(32,nv_db-1)*db_sv,NA())</f>
        <v/>
      </c>
      <c r="BJ68">
        <f>db_h-db_c-db_pv/2</f>
        <v/>
      </c>
      <c r="BL68">
        <f>IF(inputs_ok,db_l+db_e-db_c-db_pv,NA())</f>
        <v/>
      </c>
      <c r="BM68">
        <f>yh0_db+MIN(32,nh_db-1)*db_sh</f>
        <v/>
      </c>
    </row>
    <row r="69">
      <c r="BI69">
        <f>IF(inputs_ok,xv0_db+MIN(33,nv_db-1)*db_sv,NA())</f>
        <v/>
      </c>
      <c r="BJ69">
        <f>db_h-db_c-db_pv/2</f>
        <v/>
      </c>
      <c r="BL69">
        <f>IF(inputs_ok,db_l+db_e-db_c-db_pv,NA())</f>
        <v/>
      </c>
      <c r="BM69">
        <f>yh0_db+MIN(33,nh_db-1)*db_sh</f>
        <v/>
      </c>
    </row>
    <row r="70">
      <c r="BI70">
        <f>IF(inputs_ok,xv0_db+MIN(33,nv_db-1)*db_sv,NA())</f>
        <v/>
      </c>
      <c r="BJ70">
        <f>db_c+db_pv/2</f>
        <v/>
      </c>
      <c r="BL70">
        <f>IF(inputs_ok,-db_e+db_c+db_pv,NA())</f>
        <v/>
      </c>
      <c r="BM70">
        <f>yh0_db+MIN(33,nh_db-1)*db_sh</f>
        <v/>
      </c>
    </row>
    <row r="71">
      <c r="BI71">
        <f>IF(inputs_ok,xv0_db+MIN(34,nv_db-1)*db_sv,NA())</f>
        <v/>
      </c>
      <c r="BJ71">
        <f>db_c+db_pv/2</f>
        <v/>
      </c>
      <c r="BL71">
        <f>IF(inputs_ok,-db_e+db_c+db_pv,NA())</f>
        <v/>
      </c>
      <c r="BM71">
        <f>yh0_db+MIN(34,nh_db-1)*db_sh</f>
        <v/>
      </c>
    </row>
    <row r="72">
      <c r="BI72">
        <f>IF(inputs_ok,xv0_db+MIN(34,nv_db-1)*db_sv,NA())</f>
        <v/>
      </c>
      <c r="BJ72">
        <f>db_h-db_c-db_pv/2</f>
        <v/>
      </c>
      <c r="BL72">
        <f>IF(inputs_ok,db_l+db_e-db_c-db_pv,NA())</f>
        <v/>
      </c>
      <c r="BM72">
        <f>yh0_db+MIN(34,nh_db-1)*db_sh</f>
        <v/>
      </c>
    </row>
    <row r="73">
      <c r="BI73">
        <f>IF(inputs_ok,xv0_db+MIN(35,nv_db-1)*db_sv,NA())</f>
        <v/>
      </c>
      <c r="BJ73">
        <f>db_h-db_c-db_pv/2</f>
        <v/>
      </c>
      <c r="BL73">
        <f>IF(inputs_ok,db_l+db_e-db_c-db_pv,NA())</f>
        <v/>
      </c>
      <c r="BM73">
        <f>yh0_db+MIN(35,nh_db-1)*db_sh</f>
        <v/>
      </c>
    </row>
    <row r="74">
      <c r="BI74">
        <f>IF(inputs_ok,xv0_db+MIN(35,nv_db-1)*db_sv,NA())</f>
        <v/>
      </c>
      <c r="BJ74">
        <f>db_c+db_pv/2</f>
        <v/>
      </c>
      <c r="BL74">
        <f>IF(inputs_ok,-db_e+db_c+db_pv,NA())</f>
        <v/>
      </c>
      <c r="BM74">
        <f>yh0_db+MIN(35,nh_db-1)*db_sh</f>
        <v/>
      </c>
    </row>
    <row r="75">
      <c r="BI75">
        <f>IF(inputs_ok,xv0_db+MIN(36,nv_db-1)*db_sv,NA())</f>
        <v/>
      </c>
      <c r="BJ75">
        <f>db_c+db_pv/2</f>
        <v/>
      </c>
      <c r="BL75">
        <f>IF(inputs_ok,-db_e+db_c+db_pv,NA())</f>
        <v/>
      </c>
      <c r="BM75">
        <f>yh0_db+MIN(36,nh_db-1)*db_sh</f>
        <v/>
      </c>
    </row>
    <row r="76">
      <c r="BI76">
        <f>IF(inputs_ok,xv0_db+MIN(36,nv_db-1)*db_sv,NA())</f>
        <v/>
      </c>
      <c r="BJ76">
        <f>db_h-db_c-db_pv/2</f>
        <v/>
      </c>
      <c r="BL76">
        <f>IF(inputs_ok,db_l+db_e-db_c-db_pv,NA())</f>
        <v/>
      </c>
      <c r="BM76">
        <f>yh0_db+MIN(36,nh_db-1)*db_sh</f>
        <v/>
      </c>
    </row>
    <row r="77">
      <c r="BI77">
        <f>IF(inputs_ok,xv0_db+MIN(37,nv_db-1)*db_sv,NA())</f>
        <v/>
      </c>
      <c r="BJ77">
        <f>db_h-db_c-db_pv/2</f>
        <v/>
      </c>
      <c r="BL77">
        <f>IF(inputs_ok,db_l+db_e-db_c-db_pv,NA())</f>
        <v/>
      </c>
      <c r="BM77">
        <f>yh0_db+MIN(37,nh_db-1)*db_sh</f>
        <v/>
      </c>
    </row>
    <row r="78">
      <c r="BI78">
        <f>IF(inputs_ok,xv0_db+MIN(37,nv_db-1)*db_sv,NA())</f>
        <v/>
      </c>
      <c r="BJ78">
        <f>db_c+db_pv/2</f>
        <v/>
      </c>
      <c r="BL78">
        <f>IF(inputs_ok,-db_e+db_c+db_pv,NA())</f>
        <v/>
      </c>
      <c r="BM78">
        <f>yh0_db+MIN(37,nh_db-1)*db_sh</f>
        <v/>
      </c>
    </row>
    <row r="79">
      <c r="BI79">
        <f>IF(inputs_ok,xv0_db+MIN(38,nv_db-1)*db_sv,NA())</f>
        <v/>
      </c>
      <c r="BJ79">
        <f>db_c+db_pv/2</f>
        <v/>
      </c>
      <c r="BL79">
        <f>IF(inputs_ok,-db_e+db_c+db_pv,NA())</f>
        <v/>
      </c>
      <c r="BM79">
        <f>yh0_db+MIN(38,nh_db-1)*db_sh</f>
        <v/>
      </c>
    </row>
    <row r="80">
      <c r="BI80">
        <f>IF(inputs_ok,xv0_db+MIN(38,nv_db-1)*db_sv,NA())</f>
        <v/>
      </c>
      <c r="BJ80">
        <f>db_h-db_c-db_pv/2</f>
        <v/>
      </c>
      <c r="BL80">
        <f>IF(inputs_ok,db_l+db_e-db_c-db_pv,NA())</f>
        <v/>
      </c>
      <c r="BM80">
        <f>yh0_db+MIN(38,nh_db-1)*db_sh</f>
        <v/>
      </c>
    </row>
    <row r="81">
      <c r="BI81">
        <f>IF(inputs_ok,xv0_db+MIN(39,nv_db-1)*db_sv,NA())</f>
        <v/>
      </c>
      <c r="BJ81">
        <f>db_h-db_c-db_pv/2</f>
        <v/>
      </c>
      <c r="BL81">
        <f>IF(inputs_ok,db_l+db_e-db_c-db_pv,NA())</f>
        <v/>
      </c>
      <c r="BM81">
        <f>yh0_db+MIN(39,nh_db-1)*db_sh</f>
        <v/>
      </c>
    </row>
    <row r="82">
      <c r="BI82">
        <f>IF(inputs_ok,xv0_db+MIN(39,nv_db-1)*db_sv,NA())</f>
        <v/>
      </c>
      <c r="BJ82">
        <f>db_c+db_pv/2</f>
        <v/>
      </c>
      <c r="BL82">
        <f>IF(inputs_ok,-db_e+db_c+db_pv,NA())</f>
        <v/>
      </c>
      <c r="BM82">
        <f>yh0_db+MIN(39,nh_db-1)*db_sh</f>
        <v/>
      </c>
    </row>
    <row r="83">
      <c r="BI83">
        <f>IF(inputs_ok,xv0_db+MIN(40,nv_db-1)*db_sv,NA())</f>
        <v/>
      </c>
      <c r="BJ83">
        <f>db_c+db_pv/2</f>
        <v/>
      </c>
      <c r="BL83">
        <f>IF(inputs_ok,-db_e+db_c+db_pv,NA())</f>
        <v/>
      </c>
      <c r="BM83">
        <f>yh0_db+MIN(40,nh_db-1)*db_sh</f>
        <v/>
      </c>
    </row>
    <row r="84">
      <c r="BI84">
        <f>IF(inputs_ok,xv0_db+MIN(40,nv_db-1)*db_sv,NA())</f>
        <v/>
      </c>
      <c r="BJ84">
        <f>db_h-db_c-db_pv/2</f>
        <v/>
      </c>
      <c r="BL84">
        <f>IF(inputs_ok,db_l+db_e-db_c-db_pv,NA())</f>
        <v/>
      </c>
      <c r="BM84">
        <f>yh0_db+MIN(40,nh_db-1)*db_sh</f>
        <v/>
      </c>
    </row>
    <row r="85">
      <c r="BI85">
        <f>IF(inputs_ok,xv0_db+MIN(41,nv_db-1)*db_sv,NA())</f>
        <v/>
      </c>
      <c r="BJ85">
        <f>db_h-db_c-db_pv/2</f>
        <v/>
      </c>
      <c r="BL85">
        <f>IF(inputs_ok,db_l+db_e-db_c-db_pv,NA())</f>
        <v/>
      </c>
      <c r="BM85">
        <f>yh0_db+MIN(41,nh_db-1)*db_sh</f>
        <v/>
      </c>
    </row>
    <row r="86">
      <c r="BI86">
        <f>IF(inputs_ok,xv0_db+MIN(41,nv_db-1)*db_sv,NA())</f>
        <v/>
      </c>
      <c r="BJ86">
        <f>db_c+db_pv/2</f>
        <v/>
      </c>
      <c r="BL86">
        <f>IF(inputs_ok,-db_e+db_c+db_pv,NA())</f>
        <v/>
      </c>
      <c r="BM86">
        <f>yh0_db+MIN(41,nh_db-1)*db_sh</f>
        <v/>
      </c>
    </row>
    <row r="87">
      <c r="BI87">
        <f>IF(inputs_ok,xv0_db+MIN(42,nv_db-1)*db_sv,NA())</f>
        <v/>
      </c>
      <c r="BJ87">
        <f>db_c+db_pv/2</f>
        <v/>
      </c>
      <c r="BL87">
        <f>IF(inputs_ok,-db_e+db_c+db_pv,NA())</f>
        <v/>
      </c>
      <c r="BM87">
        <f>yh0_db+MIN(42,nh_db-1)*db_sh</f>
        <v/>
      </c>
    </row>
    <row r="88">
      <c r="BI88">
        <f>IF(inputs_ok,xv0_db+MIN(42,nv_db-1)*db_sv,NA())</f>
        <v/>
      </c>
      <c r="BJ88">
        <f>db_h-db_c-db_pv/2</f>
        <v/>
      </c>
      <c r="BL88">
        <f>IF(inputs_ok,db_l+db_e-db_c-db_pv,NA())</f>
        <v/>
      </c>
      <c r="BM88">
        <f>yh0_db+MIN(42,nh_db-1)*db_sh</f>
        <v/>
      </c>
    </row>
    <row r="89">
      <c r="BI89">
        <f>IF(inputs_ok,xv0_db+MIN(43,nv_db-1)*db_sv,NA())</f>
        <v/>
      </c>
      <c r="BJ89">
        <f>db_h-db_c-db_pv/2</f>
        <v/>
      </c>
      <c r="BL89">
        <f>IF(inputs_ok,db_l+db_e-db_c-db_pv,NA())</f>
        <v/>
      </c>
      <c r="BM89">
        <f>yh0_db+MIN(43,nh_db-1)*db_sh</f>
        <v/>
      </c>
    </row>
    <row r="90">
      <c r="BI90">
        <f>IF(inputs_ok,xv0_db+MIN(43,nv_db-1)*db_sv,NA())</f>
        <v/>
      </c>
      <c r="BJ90">
        <f>db_c+db_pv/2</f>
        <v/>
      </c>
      <c r="BL90">
        <f>IF(inputs_ok,-db_e+db_c+db_pv,NA())</f>
        <v/>
      </c>
      <c r="BM90">
        <f>yh0_db+MIN(43,nh_db-1)*db_sh</f>
        <v/>
      </c>
    </row>
    <row r="91">
      <c r="BI91">
        <f>IF(inputs_ok,xv0_db+MIN(44,nv_db-1)*db_sv,NA())</f>
        <v/>
      </c>
      <c r="BJ91">
        <f>db_c+db_pv/2</f>
        <v/>
      </c>
      <c r="BL91">
        <f>IF(inputs_ok,-db_e+db_c+db_pv,NA())</f>
        <v/>
      </c>
      <c r="BM91">
        <f>yh0_db+MIN(44,nh_db-1)*db_sh</f>
        <v/>
      </c>
    </row>
    <row r="92">
      <c r="BI92">
        <f>IF(inputs_ok,xv0_db+MIN(44,nv_db-1)*db_sv,NA())</f>
        <v/>
      </c>
      <c r="BJ92">
        <f>db_h-db_c-db_pv/2</f>
        <v/>
      </c>
      <c r="BL92">
        <f>IF(inputs_ok,db_l+db_e-db_c-db_pv,NA())</f>
        <v/>
      </c>
      <c r="BM92">
        <f>yh0_db+MIN(44,nh_db-1)*db_sh</f>
        <v/>
      </c>
    </row>
    <row r="93">
      <c r="BI93">
        <f>IF(inputs_ok,xv0_db+MIN(45,nv_db-1)*db_sv,NA())</f>
        <v/>
      </c>
      <c r="BJ93">
        <f>db_h-db_c-db_pv/2</f>
        <v/>
      </c>
      <c r="BL93">
        <f>IF(inputs_ok,db_l+db_e-db_c-db_pv,NA())</f>
        <v/>
      </c>
      <c r="BM93">
        <f>yh0_db+MIN(45,nh_db-1)*db_sh</f>
        <v/>
      </c>
    </row>
    <row r="94">
      <c r="BI94">
        <f>IF(inputs_ok,xv0_db+MIN(45,nv_db-1)*db_sv,NA())</f>
        <v/>
      </c>
      <c r="BJ94">
        <f>db_c+db_pv/2</f>
        <v/>
      </c>
      <c r="BL94">
        <f>IF(inputs_ok,-db_e+db_c+db_pv,NA())</f>
        <v/>
      </c>
      <c r="BM94">
        <f>yh0_db+MIN(45,nh_db-1)*db_sh</f>
        <v/>
      </c>
    </row>
    <row r="95">
      <c r="BI95">
        <f>IF(inputs_ok,xv0_db+MIN(46,nv_db-1)*db_sv,NA())</f>
        <v/>
      </c>
      <c r="BJ95">
        <f>db_c+db_pv/2</f>
        <v/>
      </c>
      <c r="BL95">
        <f>IF(inputs_ok,-db_e+db_c+db_pv,NA())</f>
        <v/>
      </c>
      <c r="BM95">
        <f>yh0_db+MIN(46,nh_db-1)*db_sh</f>
        <v/>
      </c>
    </row>
    <row r="96">
      <c r="BI96">
        <f>IF(inputs_ok,xv0_db+MIN(46,nv_db-1)*db_sv,NA())</f>
        <v/>
      </c>
      <c r="BJ96">
        <f>db_h-db_c-db_pv/2</f>
        <v/>
      </c>
      <c r="BL96">
        <f>IF(inputs_ok,db_l+db_e-db_c-db_pv,NA())</f>
        <v/>
      </c>
      <c r="BM96">
        <f>yh0_db+MIN(46,nh_db-1)*db_sh</f>
        <v/>
      </c>
    </row>
    <row r="97">
      <c r="BI97">
        <f>IF(inputs_ok,xv0_db+MIN(47,nv_db-1)*db_sv,NA())</f>
        <v/>
      </c>
      <c r="BJ97">
        <f>db_h-db_c-db_pv/2</f>
        <v/>
      </c>
      <c r="BL97">
        <f>IF(inputs_ok,db_l+db_e-db_c-db_pv,NA())</f>
        <v/>
      </c>
      <c r="BM97">
        <f>yh0_db+MIN(47,nh_db-1)*db_sh</f>
        <v/>
      </c>
    </row>
    <row r="98">
      <c r="BI98">
        <f>IF(inputs_ok,xv0_db+MIN(47,nv_db-1)*db_sv,NA())</f>
        <v/>
      </c>
      <c r="BJ98">
        <f>db_c+db_pv/2</f>
        <v/>
      </c>
      <c r="BL98">
        <f>IF(inputs_ok,-db_e+db_c+db_pv,NA())</f>
        <v/>
      </c>
      <c r="BM98">
        <f>yh0_db+MIN(47,nh_db-1)*db_sh</f>
        <v/>
      </c>
    </row>
    <row r="99">
      <c r="BI99">
        <f>IF(inputs_ok,xv0_db+MIN(48,nv_db-1)*db_sv,NA())</f>
        <v/>
      </c>
      <c r="BJ99">
        <f>db_c+db_pv/2</f>
        <v/>
      </c>
      <c r="BL99">
        <f>IF(inputs_ok,-db_e+db_c+db_pv,NA())</f>
        <v/>
      </c>
      <c r="BM99">
        <f>yh0_db+MIN(48,nh_db-1)*db_sh</f>
        <v/>
      </c>
    </row>
    <row r="100">
      <c r="BI100">
        <f>IF(inputs_ok,xv0_db+MIN(48,nv_db-1)*db_sv,NA())</f>
        <v/>
      </c>
      <c r="BJ100">
        <f>db_h-db_c-db_pv/2</f>
        <v/>
      </c>
      <c r="BL100">
        <f>IF(inputs_ok,db_l+db_e-db_c-db_pv,NA())</f>
        <v/>
      </c>
      <c r="BM100">
        <f>yh0_db+MIN(48,nh_db-1)*db_sh</f>
        <v/>
      </c>
    </row>
    <row r="101">
      <c r="BI101">
        <f>IF(inputs_ok,xv0_db+MIN(49,nv_db-1)*db_sv,NA())</f>
        <v/>
      </c>
      <c r="BJ101">
        <f>db_h-db_c-db_pv/2</f>
        <v/>
      </c>
      <c r="BL101">
        <f>IF(inputs_ok,db_l+db_e-db_c-db_pv,NA())</f>
        <v/>
      </c>
      <c r="BM101">
        <f>yh0_db+MIN(49,nh_db-1)*db_sh</f>
        <v/>
      </c>
    </row>
    <row r="102">
      <c r="BI102">
        <f>IF(inputs_ok,xv0_db+MIN(49,nv_db-1)*db_sv,NA())</f>
        <v/>
      </c>
      <c r="BJ102">
        <f>db_c+db_pv/2</f>
        <v/>
      </c>
      <c r="BL102">
        <f>IF(inputs_ok,-db_e+db_c+db_pv,NA())</f>
        <v/>
      </c>
      <c r="BM102">
        <f>yh0_db+MIN(49,nh_db-1)*db_sh</f>
        <v/>
      </c>
    </row>
    <row r="103">
      <c r="BI103">
        <f>IF(inputs_ok,xv0_db+MIN(50,nv_db-1)*db_sv,NA())</f>
        <v/>
      </c>
      <c r="BJ103">
        <f>db_c+db_pv/2</f>
        <v/>
      </c>
      <c r="BL103">
        <f>IF(inputs_ok,-db_e+db_c+db_pv,NA())</f>
        <v/>
      </c>
      <c r="BM103">
        <f>yh0_db+MIN(50,nh_db-1)*db_sh</f>
        <v/>
      </c>
    </row>
    <row r="104">
      <c r="BI104">
        <f>IF(inputs_ok,xv0_db+MIN(50,nv_db-1)*db_sv,NA())</f>
        <v/>
      </c>
      <c r="BJ104">
        <f>db_h-db_c-db_pv/2</f>
        <v/>
      </c>
      <c r="BL104">
        <f>IF(inputs_ok,db_l+db_e-db_c-db_pv,NA())</f>
        <v/>
      </c>
      <c r="BM104">
        <f>yh0_db+MIN(50,nh_db-1)*db_sh</f>
        <v/>
      </c>
    </row>
    <row r="105">
      <c r="BI105">
        <f>IF(inputs_ok,xv0_db+MIN(51,nv_db-1)*db_sv,NA())</f>
        <v/>
      </c>
      <c r="BJ105">
        <f>db_h-db_c-db_pv/2</f>
        <v/>
      </c>
      <c r="BL105">
        <f>IF(inputs_ok,db_l+db_e-db_c-db_pv,NA())</f>
        <v/>
      </c>
      <c r="BM105">
        <f>yh0_db+MIN(51,nh_db-1)*db_sh</f>
        <v/>
      </c>
    </row>
    <row r="106">
      <c r="BI106">
        <f>IF(inputs_ok,xv0_db+MIN(51,nv_db-1)*db_sv,NA())</f>
        <v/>
      </c>
      <c r="BJ106">
        <f>db_c+db_pv/2</f>
        <v/>
      </c>
      <c r="BL106">
        <f>IF(inputs_ok,-db_e+db_c+db_pv,NA())</f>
        <v/>
      </c>
      <c r="BM106">
        <f>yh0_db+MIN(51,nh_db-1)*db_sh</f>
        <v/>
      </c>
    </row>
    <row r="107">
      <c r="BI107">
        <f>IF(inputs_ok,xv0_db+MIN(52,nv_db-1)*db_sv,NA())</f>
        <v/>
      </c>
      <c r="BJ107">
        <f>db_c+db_pv/2</f>
        <v/>
      </c>
      <c r="BL107">
        <f>IF(inputs_ok,-db_e+db_c+db_pv,NA())</f>
        <v/>
      </c>
      <c r="BM107">
        <f>yh0_db+MIN(52,nh_db-1)*db_sh</f>
        <v/>
      </c>
    </row>
    <row r="108">
      <c r="BI108">
        <f>IF(inputs_ok,xv0_db+MIN(52,nv_db-1)*db_sv,NA())</f>
        <v/>
      </c>
      <c r="BJ108">
        <f>db_h-db_c-db_pv/2</f>
        <v/>
      </c>
      <c r="BL108">
        <f>IF(inputs_ok,db_l+db_e-db_c-db_pv,NA())</f>
        <v/>
      </c>
      <c r="BM108">
        <f>yh0_db+MIN(52,nh_db-1)*db_sh</f>
        <v/>
      </c>
    </row>
    <row r="109">
      <c r="BI109">
        <f>IF(inputs_ok,xv0_db+MIN(53,nv_db-1)*db_sv,NA())</f>
        <v/>
      </c>
      <c r="BJ109">
        <f>db_h-db_c-db_pv/2</f>
        <v/>
      </c>
      <c r="BL109">
        <f>IF(inputs_ok,db_l+db_e-db_c-db_pv,NA())</f>
        <v/>
      </c>
      <c r="BM109">
        <f>yh0_db+MIN(53,nh_db-1)*db_sh</f>
        <v/>
      </c>
    </row>
    <row r="110">
      <c r="BI110">
        <f>IF(inputs_ok,xv0_db+MIN(53,nv_db-1)*db_sv,NA())</f>
        <v/>
      </c>
      <c r="BJ110">
        <f>db_c+db_pv/2</f>
        <v/>
      </c>
      <c r="BL110">
        <f>IF(inputs_ok,-db_e+db_c+db_pv,NA())</f>
        <v/>
      </c>
      <c r="BM110">
        <f>yh0_db+MIN(53,nh_db-1)*db_sh</f>
        <v/>
      </c>
    </row>
    <row r="111">
      <c r="BI111">
        <f>IF(inputs_ok,xv0_db+MIN(54,nv_db-1)*db_sv,NA())</f>
        <v/>
      </c>
      <c r="BJ111">
        <f>db_c+db_pv/2</f>
        <v/>
      </c>
      <c r="BL111">
        <f>IF(inputs_ok,-db_e+db_c+db_pv,NA())</f>
        <v/>
      </c>
      <c r="BM111">
        <f>yh0_db+MIN(54,nh_db-1)*db_sh</f>
        <v/>
      </c>
    </row>
    <row r="112">
      <c r="BI112">
        <f>IF(inputs_ok,xv0_db+MIN(54,nv_db-1)*db_sv,NA())</f>
        <v/>
      </c>
      <c r="BJ112">
        <f>db_h-db_c-db_pv/2</f>
        <v/>
      </c>
      <c r="BL112">
        <f>IF(inputs_ok,db_l+db_e-db_c-db_pv,NA())</f>
        <v/>
      </c>
      <c r="BM112">
        <f>yh0_db+MIN(54,nh_db-1)*db_sh</f>
        <v/>
      </c>
    </row>
    <row r="113">
      <c r="BI113">
        <f>IF(inputs_ok,xv0_db+MIN(55,nv_db-1)*db_sv,NA())</f>
        <v/>
      </c>
      <c r="BJ113">
        <f>db_h-db_c-db_pv/2</f>
        <v/>
      </c>
      <c r="BL113">
        <f>IF(inputs_ok,db_l+db_e-db_c-db_pv,NA())</f>
        <v/>
      </c>
      <c r="BM113">
        <f>yh0_db+MIN(55,nh_db-1)*db_sh</f>
        <v/>
      </c>
    </row>
    <row r="114">
      <c r="BI114">
        <f>IF(inputs_ok,xv0_db+MIN(55,nv_db-1)*db_sv,NA())</f>
        <v/>
      </c>
      <c r="BJ114">
        <f>db_c+db_pv/2</f>
        <v/>
      </c>
      <c r="BL114">
        <f>IF(inputs_ok,-db_e+db_c+db_pv,NA())</f>
        <v/>
      </c>
      <c r="BM114">
        <f>yh0_db+MIN(55,nh_db-1)*db_sh</f>
        <v/>
      </c>
    </row>
    <row r="115">
      <c r="BI115">
        <f>IF(inputs_ok,xv0_db+MIN(56,nv_db-1)*db_sv,NA())</f>
        <v/>
      </c>
      <c r="BJ115">
        <f>db_c+db_pv/2</f>
        <v/>
      </c>
      <c r="BL115">
        <f>IF(inputs_ok,-db_e+db_c+db_pv,NA())</f>
        <v/>
      </c>
      <c r="BM115">
        <f>yh0_db+MIN(56,nh_db-1)*db_sh</f>
        <v/>
      </c>
    </row>
    <row r="116">
      <c r="BI116">
        <f>IF(inputs_ok,xv0_db+MIN(56,nv_db-1)*db_sv,NA())</f>
        <v/>
      </c>
      <c r="BJ116">
        <f>db_h-db_c-db_pv/2</f>
        <v/>
      </c>
      <c r="BL116">
        <f>IF(inputs_ok,db_l+db_e-db_c-db_pv,NA())</f>
        <v/>
      </c>
      <c r="BM116">
        <f>yh0_db+MIN(56,nh_db-1)*db_sh</f>
        <v/>
      </c>
    </row>
    <row r="117">
      <c r="BI117">
        <f>IF(inputs_ok,xv0_db+MIN(57,nv_db-1)*db_sv,NA())</f>
        <v/>
      </c>
      <c r="BJ117">
        <f>db_h-db_c-db_pv/2</f>
        <v/>
      </c>
      <c r="BL117">
        <f>IF(inputs_ok,db_l+db_e-db_c-db_pv,NA())</f>
        <v/>
      </c>
      <c r="BM117">
        <f>yh0_db+MIN(57,nh_db-1)*db_sh</f>
        <v/>
      </c>
    </row>
    <row r="118">
      <c r="BI118">
        <f>IF(inputs_ok,xv0_db+MIN(57,nv_db-1)*db_sv,NA())</f>
        <v/>
      </c>
      <c r="BJ118">
        <f>db_c+db_pv/2</f>
        <v/>
      </c>
      <c r="BL118">
        <f>IF(inputs_ok,-db_e+db_c+db_pv,NA())</f>
        <v/>
      </c>
      <c r="BM118">
        <f>yh0_db+MIN(57,nh_db-1)*db_sh</f>
        <v/>
      </c>
    </row>
    <row r="119">
      <c r="BI119">
        <f>IF(inputs_ok,xv0_db+MIN(58,nv_db-1)*db_sv,NA())</f>
        <v/>
      </c>
      <c r="BJ119">
        <f>db_c+db_pv/2</f>
        <v/>
      </c>
      <c r="BL119">
        <f>IF(inputs_ok,-db_e+db_c+db_pv,NA())</f>
        <v/>
      </c>
      <c r="BM119">
        <f>yh0_db+MIN(58,nh_db-1)*db_sh</f>
        <v/>
      </c>
    </row>
    <row r="120">
      <c r="BI120">
        <f>IF(inputs_ok,xv0_db+MIN(58,nv_db-1)*db_sv,NA())</f>
        <v/>
      </c>
      <c r="BJ120">
        <f>db_h-db_c-db_pv/2</f>
        <v/>
      </c>
      <c r="BL120">
        <f>IF(inputs_ok,db_l+db_e-db_c-db_pv,NA())</f>
        <v/>
      </c>
      <c r="BM120">
        <f>yh0_db+MIN(58,nh_db-1)*db_sh</f>
        <v/>
      </c>
    </row>
    <row r="121">
      <c r="BI121">
        <f>IF(inputs_ok,xv0_db+MIN(59,nv_db-1)*db_sv,NA())</f>
        <v/>
      </c>
      <c r="BJ121">
        <f>db_h-db_c-db_pv/2</f>
        <v/>
      </c>
      <c r="BL121">
        <f>IF(inputs_ok,db_l+db_e-db_c-db_pv,NA())</f>
        <v/>
      </c>
      <c r="BM121">
        <f>yh0_db+MIN(59,nh_db-1)*db_sh</f>
        <v/>
      </c>
    </row>
    <row r="122">
      <c r="BI122">
        <f>IF(inputs_ok,xv0_db+MIN(59,nv_db-1)*db_sv,NA())</f>
        <v/>
      </c>
      <c r="BJ122">
        <f>db_c+db_pv/2</f>
        <v/>
      </c>
      <c r="BL122">
        <f>IF(inputs_ok,-db_e+db_c+db_pv,NA())</f>
        <v/>
      </c>
      <c r="BM122">
        <f>yh0_db+MIN(59,nh_db-1)*db_sh</f>
        <v/>
      </c>
    </row>
    <row r="123">
      <c r="BI123">
        <f>IF(inputs_ok,xv0_db+MIN(60,nv_db-1)*db_sv,NA())</f>
        <v/>
      </c>
      <c r="BJ123">
        <f>db_c+db_pv/2</f>
        <v/>
      </c>
      <c r="BL123">
        <f>IF(inputs_ok,-db_e+db_c+db_pv,NA())</f>
        <v/>
      </c>
      <c r="BM123">
        <f>yh0_db+MIN(60,nh_db-1)*db_sh</f>
        <v/>
      </c>
    </row>
    <row r="124">
      <c r="BI124">
        <f>IF(inputs_ok,xv0_db+MIN(60,nv_db-1)*db_sv,NA())</f>
        <v/>
      </c>
      <c r="BJ124">
        <f>db_h-db_c-db_pv/2</f>
        <v/>
      </c>
      <c r="BL124">
        <f>IF(inputs_ok,db_l+db_e-db_c-db_pv,NA())</f>
        <v/>
      </c>
      <c r="BM124">
        <f>yh0_db+MIN(60,nh_db-1)*db_sh</f>
        <v/>
      </c>
    </row>
    <row r="125">
      <c r="BI125">
        <f>IF(inputs_ok,xv0_db+MIN(61,nv_db-1)*db_sv,NA())</f>
        <v/>
      </c>
      <c r="BJ125">
        <f>db_h-db_c-db_pv/2</f>
        <v/>
      </c>
      <c r="BL125">
        <f>IF(inputs_ok,db_l+db_e-db_c-db_pv,NA())</f>
        <v/>
      </c>
      <c r="BM125">
        <f>yh0_db+MIN(61,nh_db-1)*db_sh</f>
        <v/>
      </c>
    </row>
    <row r="126">
      <c r="BI126">
        <f>IF(inputs_ok,xv0_db+MIN(61,nv_db-1)*db_sv,NA())</f>
        <v/>
      </c>
      <c r="BJ126">
        <f>db_c+db_pv/2</f>
        <v/>
      </c>
      <c r="BL126">
        <f>IF(inputs_ok,-db_e+db_c+db_pv,NA())</f>
        <v/>
      </c>
      <c r="BM126">
        <f>yh0_db+MIN(61,nh_db-1)*db_sh</f>
        <v/>
      </c>
    </row>
    <row r="127">
      <c r="BI127">
        <f>IF(inputs_ok,xv0_db+MIN(62,nv_db-1)*db_sv,NA())</f>
        <v/>
      </c>
      <c r="BJ127">
        <f>db_c+db_pv/2</f>
        <v/>
      </c>
      <c r="BL127">
        <f>IF(inputs_ok,-db_e+db_c+db_pv,NA())</f>
        <v/>
      </c>
      <c r="BM127">
        <f>yh0_db+MIN(62,nh_db-1)*db_sh</f>
        <v/>
      </c>
    </row>
    <row r="128">
      <c r="BI128">
        <f>IF(inputs_ok,xv0_db+MIN(62,nv_db-1)*db_sv,NA())</f>
        <v/>
      </c>
      <c r="BJ128">
        <f>db_h-db_c-db_pv/2</f>
        <v/>
      </c>
      <c r="BL128">
        <f>IF(inputs_ok,db_l+db_e-db_c-db_pv,NA())</f>
        <v/>
      </c>
      <c r="BM128">
        <f>yh0_db+MIN(62,nh_db-1)*db_sh</f>
        <v/>
      </c>
    </row>
    <row r="129">
      <c r="BI129">
        <f>IF(inputs_ok,xv0_db+MIN(63,nv_db-1)*db_sv,NA())</f>
        <v/>
      </c>
      <c r="BJ129">
        <f>db_h-db_c-db_pv/2</f>
        <v/>
      </c>
      <c r="BL129">
        <f>IF(inputs_ok,db_l+db_e-db_c-db_pv,NA())</f>
        <v/>
      </c>
      <c r="BM129">
        <f>yh0_db+MIN(63,nh_db-1)*db_sh</f>
        <v/>
      </c>
    </row>
    <row r="130">
      <c r="BI130">
        <f>IF(inputs_ok,xv0_db+MIN(63,nv_db-1)*db_sv,NA())</f>
        <v/>
      </c>
      <c r="BJ130">
        <f>db_c+db_pv/2</f>
        <v/>
      </c>
      <c r="BL130">
        <f>IF(inputs_ok,-db_e+db_c+db_pv,NA())</f>
        <v/>
      </c>
      <c r="BM130">
        <f>yh0_db+MIN(63,nh_db-1)*db_sh</f>
        <v/>
      </c>
    </row>
    <row r="131">
      <c r="BI131">
        <f>IF(inputs_ok,xv0_db+MIN(64,nv_db-1)*db_sv,NA())</f>
        <v/>
      </c>
      <c r="BJ131">
        <f>db_c+db_pv/2</f>
        <v/>
      </c>
      <c r="BL131">
        <f>IF(inputs_ok,-db_e+db_c+db_pv,NA())</f>
        <v/>
      </c>
      <c r="BM131">
        <f>yh0_db+MIN(64,nh_db-1)*db_sh</f>
        <v/>
      </c>
    </row>
    <row r="132">
      <c r="BI132">
        <f>IF(inputs_ok,xv0_db+MIN(64,nv_db-1)*db_sv,NA())</f>
        <v/>
      </c>
      <c r="BJ132">
        <f>db_h-db_c-db_pv/2</f>
        <v/>
      </c>
      <c r="BL132">
        <f>IF(inputs_ok,db_l+db_e-db_c-db_pv,NA())</f>
        <v/>
      </c>
      <c r="BM132">
        <f>yh0_db+MIN(64,nh_db-1)*db_sh</f>
        <v/>
      </c>
    </row>
    <row r="133">
      <c r="BI133">
        <f>IF(inputs_ok,xv0_db+MIN(65,nv_db-1)*db_sv,NA())</f>
        <v/>
      </c>
      <c r="BJ133">
        <f>db_h-db_c-db_pv/2</f>
        <v/>
      </c>
      <c r="BL133">
        <f>IF(inputs_ok,db_l+db_e-db_c-db_pv,NA())</f>
        <v/>
      </c>
      <c r="BM133">
        <f>yh0_db+MIN(65,nh_db-1)*db_sh</f>
        <v/>
      </c>
    </row>
    <row r="134">
      <c r="BI134">
        <f>IF(inputs_ok,xv0_db+MIN(65,nv_db-1)*db_sv,NA())</f>
        <v/>
      </c>
      <c r="BJ134">
        <f>db_c+db_pv/2</f>
        <v/>
      </c>
      <c r="BL134">
        <f>IF(inputs_ok,-db_e+db_c+db_pv,NA())</f>
        <v/>
      </c>
      <c r="BM134">
        <f>yh0_db+MIN(65,nh_db-1)*db_sh</f>
        <v/>
      </c>
    </row>
    <row r="135">
      <c r="BI135">
        <f>IF(inputs_ok,xv0_db+MIN(66,nv_db-1)*db_sv,NA())</f>
        <v/>
      </c>
      <c r="BJ135">
        <f>db_c+db_pv/2</f>
        <v/>
      </c>
      <c r="BL135">
        <f>IF(inputs_ok,-db_e+db_c+db_pv,NA())</f>
        <v/>
      </c>
      <c r="BM135">
        <f>yh0_db+MIN(66,nh_db-1)*db_sh</f>
        <v/>
      </c>
    </row>
    <row r="136">
      <c r="BI136">
        <f>IF(inputs_ok,xv0_db+MIN(66,nv_db-1)*db_sv,NA())</f>
        <v/>
      </c>
      <c r="BJ136">
        <f>db_h-db_c-db_pv/2</f>
        <v/>
      </c>
      <c r="BL136">
        <f>IF(inputs_ok,db_l+db_e-db_c-db_pv,NA())</f>
        <v/>
      </c>
      <c r="BM136">
        <f>yh0_db+MIN(66,nh_db-1)*db_sh</f>
        <v/>
      </c>
    </row>
    <row r="137">
      <c r="BI137">
        <f>IF(inputs_ok,xv0_db+MIN(67,nv_db-1)*db_sv,NA())</f>
        <v/>
      </c>
      <c r="BJ137">
        <f>db_h-db_c-db_pv/2</f>
        <v/>
      </c>
      <c r="BL137">
        <f>IF(inputs_ok,db_l+db_e-db_c-db_pv,NA())</f>
        <v/>
      </c>
      <c r="BM137">
        <f>yh0_db+MIN(67,nh_db-1)*db_sh</f>
        <v/>
      </c>
    </row>
    <row r="138">
      <c r="BI138">
        <f>IF(inputs_ok,xv0_db+MIN(67,nv_db-1)*db_sv,NA())</f>
        <v/>
      </c>
      <c r="BJ138">
        <f>db_c+db_pv/2</f>
        <v/>
      </c>
      <c r="BL138">
        <f>IF(inputs_ok,-db_e+db_c+db_pv,NA())</f>
        <v/>
      </c>
      <c r="BM138">
        <f>yh0_db+MIN(67,nh_db-1)*db_sh</f>
        <v/>
      </c>
    </row>
    <row r="139">
      <c r="BI139">
        <f>IF(inputs_ok,xv0_db+MIN(68,nv_db-1)*db_sv,NA())</f>
        <v/>
      </c>
      <c r="BJ139">
        <f>db_c+db_pv/2</f>
        <v/>
      </c>
      <c r="BL139">
        <f>IF(inputs_ok,-db_e+db_c+db_pv,NA())</f>
        <v/>
      </c>
      <c r="BM139">
        <f>yh0_db+MIN(68,nh_db-1)*db_sh</f>
        <v/>
      </c>
    </row>
    <row r="140">
      <c r="BI140">
        <f>IF(inputs_ok,xv0_db+MIN(68,nv_db-1)*db_sv,NA())</f>
        <v/>
      </c>
      <c r="BJ140">
        <f>db_h-db_c-db_pv/2</f>
        <v/>
      </c>
      <c r="BL140">
        <f>IF(inputs_ok,db_l+db_e-db_c-db_pv,NA())</f>
        <v/>
      </c>
      <c r="BM140">
        <f>yh0_db+MIN(68,nh_db-1)*db_sh</f>
        <v/>
      </c>
    </row>
    <row r="141">
      <c r="BI141">
        <f>IF(inputs_ok,xv0_db+MIN(69,nv_db-1)*db_sv,NA())</f>
        <v/>
      </c>
      <c r="BJ141">
        <f>db_h-db_c-db_pv/2</f>
        <v/>
      </c>
      <c r="BL141">
        <f>IF(inputs_ok,db_l+db_e-db_c-db_pv,NA())</f>
        <v/>
      </c>
      <c r="BM141">
        <f>yh0_db+MIN(69,nh_db-1)*db_sh</f>
        <v/>
      </c>
    </row>
    <row r="142">
      <c r="BI142">
        <f>IF(inputs_ok,xv0_db+MIN(69,nv_db-1)*db_sv,NA())</f>
        <v/>
      </c>
      <c r="BJ142">
        <f>db_c+db_pv/2</f>
        <v/>
      </c>
      <c r="BL142">
        <f>IF(inputs_ok,-db_e+db_c+db_pv,NA())</f>
        <v/>
      </c>
      <c r="BM142">
        <f>yh0_db+MIN(69,nh_db-1)*db_sh</f>
        <v/>
      </c>
    </row>
    <row r="143">
      <c r="BI143">
        <f>IF(inputs_ok,xv0_db+MIN(70,nv_db-1)*db_sv,NA())</f>
        <v/>
      </c>
      <c r="BJ143">
        <f>db_c+db_pv/2</f>
        <v/>
      </c>
      <c r="BL143">
        <f>IF(inputs_ok,-db_e+db_c+db_pv,NA())</f>
        <v/>
      </c>
      <c r="BM143">
        <f>yh0_db+MIN(70,nh_db-1)*db_sh</f>
        <v/>
      </c>
    </row>
    <row r="144">
      <c r="BI144">
        <f>IF(inputs_ok,xv0_db+MIN(70,nv_db-1)*db_sv,NA())</f>
        <v/>
      </c>
      <c r="BJ144">
        <f>db_h-db_c-db_pv/2</f>
        <v/>
      </c>
      <c r="BL144">
        <f>IF(inputs_ok,db_l+db_e-db_c-db_pv,NA())</f>
        <v/>
      </c>
      <c r="BM144">
        <f>yh0_db+MIN(70,nh_db-1)*db_sh</f>
        <v/>
      </c>
    </row>
    <row r="145">
      <c r="BI145">
        <f>IF(inputs_ok,xv0_db+MIN(71,nv_db-1)*db_sv,NA())</f>
        <v/>
      </c>
      <c r="BJ145">
        <f>db_h-db_c-db_pv/2</f>
        <v/>
      </c>
      <c r="BL145">
        <f>IF(inputs_ok,db_l+db_e-db_c-db_pv,NA())</f>
        <v/>
      </c>
      <c r="BM145">
        <f>yh0_db+MIN(71,nh_db-1)*db_sh</f>
        <v/>
      </c>
    </row>
    <row r="146">
      <c r="BI146">
        <f>IF(inputs_ok,xv0_db+MIN(71,nv_db-1)*db_sv,NA())</f>
        <v/>
      </c>
      <c r="BJ146">
        <f>db_c+db_pv/2</f>
        <v/>
      </c>
      <c r="BL146">
        <f>IF(inputs_ok,-db_e+db_c+db_pv,NA())</f>
        <v/>
      </c>
      <c r="BM146">
        <f>yh0_db+MIN(71,nh_db-1)*db_sh</f>
        <v/>
      </c>
    </row>
    <row r="147">
      <c r="BI147">
        <f>IF(inputs_ok,xv0_db+MIN(72,nv_db-1)*db_sv,NA())</f>
        <v/>
      </c>
      <c r="BJ147">
        <f>db_c+db_pv/2</f>
        <v/>
      </c>
      <c r="BL147">
        <f>IF(inputs_ok,-db_e+db_c+db_pv,NA())</f>
        <v/>
      </c>
      <c r="BM147">
        <f>yh0_db+MIN(72,nh_db-1)*db_sh</f>
        <v/>
      </c>
    </row>
    <row r="148">
      <c r="BI148">
        <f>IF(inputs_ok,xv0_db+MIN(72,nv_db-1)*db_sv,NA())</f>
        <v/>
      </c>
      <c r="BJ148">
        <f>db_h-db_c-db_pv/2</f>
        <v/>
      </c>
      <c r="BL148">
        <f>IF(inputs_ok,db_l+db_e-db_c-db_pv,NA())</f>
        <v/>
      </c>
      <c r="BM148">
        <f>yh0_db+MIN(72,nh_db-1)*db_sh</f>
        <v/>
      </c>
    </row>
    <row r="149">
      <c r="BI149">
        <f>IF(inputs_ok,xv0_db+MIN(73,nv_db-1)*db_sv,NA())</f>
        <v/>
      </c>
      <c r="BJ149">
        <f>db_h-db_c-db_pv/2</f>
        <v/>
      </c>
      <c r="BL149">
        <f>IF(inputs_ok,db_l+db_e-db_c-db_pv,NA())</f>
        <v/>
      </c>
      <c r="BM149">
        <f>yh0_db+MIN(73,nh_db-1)*db_sh</f>
        <v/>
      </c>
    </row>
    <row r="150">
      <c r="BI150">
        <f>IF(inputs_ok,xv0_db+MIN(73,nv_db-1)*db_sv,NA())</f>
        <v/>
      </c>
      <c r="BJ150">
        <f>db_c+db_pv/2</f>
        <v/>
      </c>
      <c r="BL150">
        <f>IF(inputs_ok,-db_e+db_c+db_pv,NA())</f>
        <v/>
      </c>
      <c r="BM150">
        <f>yh0_db+MIN(73,nh_db-1)*db_sh</f>
        <v/>
      </c>
    </row>
    <row r="151">
      <c r="BI151">
        <f>IF(inputs_ok,xv0_db+MIN(74,nv_db-1)*db_sv,NA())</f>
        <v/>
      </c>
      <c r="BJ151">
        <f>db_c+db_pv/2</f>
        <v/>
      </c>
      <c r="BL151">
        <f>IF(inputs_ok,-db_e+db_c+db_pv,NA())</f>
        <v/>
      </c>
      <c r="BM151">
        <f>yh0_db+MIN(74,nh_db-1)*db_sh</f>
        <v/>
      </c>
    </row>
    <row r="152">
      <c r="BI152">
        <f>IF(inputs_ok,xv0_db+MIN(74,nv_db-1)*db_sv,NA())</f>
        <v/>
      </c>
      <c r="BJ152">
        <f>db_h-db_c-db_pv/2</f>
        <v/>
      </c>
      <c r="BL152">
        <f>IF(inputs_ok,db_l+db_e-db_c-db_pv,NA())</f>
        <v/>
      </c>
      <c r="BM152">
        <f>yh0_db+MIN(74,nh_db-1)*db_sh</f>
        <v/>
      </c>
    </row>
    <row r="153">
      <c r="BI153">
        <f>IF(inputs_ok,xv0_db+MIN(75,nv_db-1)*db_sv,NA())</f>
        <v/>
      </c>
      <c r="BJ153">
        <f>db_h-db_c-db_pv/2</f>
        <v/>
      </c>
      <c r="BL153">
        <f>IF(inputs_ok,db_l+db_e-db_c-db_pv,NA())</f>
        <v/>
      </c>
      <c r="BM153">
        <f>yh0_db+MIN(75,nh_db-1)*db_sh</f>
        <v/>
      </c>
    </row>
    <row r="154">
      <c r="BI154">
        <f>IF(inputs_ok,xv0_db+MIN(75,nv_db-1)*db_sv,NA())</f>
        <v/>
      </c>
      <c r="BJ154">
        <f>db_c+db_pv/2</f>
        <v/>
      </c>
      <c r="BL154">
        <f>IF(inputs_ok,-db_e+db_c+db_pv,NA())</f>
        <v/>
      </c>
      <c r="BM154">
        <f>yh0_db+MIN(75,nh_db-1)*db_sh</f>
        <v/>
      </c>
    </row>
    <row r="155">
      <c r="BI155">
        <f>IF(inputs_ok,xv0_db+MIN(76,nv_db-1)*db_sv,NA())</f>
        <v/>
      </c>
      <c r="BJ155">
        <f>db_c+db_pv/2</f>
        <v/>
      </c>
      <c r="BL155">
        <f>IF(inputs_ok,-db_e+db_c+db_pv,NA())</f>
        <v/>
      </c>
      <c r="BM155">
        <f>yh0_db+MIN(76,nh_db-1)*db_sh</f>
        <v/>
      </c>
    </row>
    <row r="156">
      <c r="BI156">
        <f>IF(inputs_ok,xv0_db+MIN(76,nv_db-1)*db_sv,NA())</f>
        <v/>
      </c>
      <c r="BJ156">
        <f>db_h-db_c-db_pv/2</f>
        <v/>
      </c>
      <c r="BL156">
        <f>IF(inputs_ok,db_l+db_e-db_c-db_pv,NA())</f>
        <v/>
      </c>
      <c r="BM156">
        <f>yh0_db+MIN(76,nh_db-1)*db_sh</f>
        <v/>
      </c>
    </row>
    <row r="157">
      <c r="BI157">
        <f>IF(inputs_ok,xv0_db+MIN(77,nv_db-1)*db_sv,NA())</f>
        <v/>
      </c>
      <c r="BJ157">
        <f>db_h-db_c-db_pv/2</f>
        <v/>
      </c>
      <c r="BL157">
        <f>IF(inputs_ok,db_l+db_e-db_c-db_pv,NA())</f>
        <v/>
      </c>
      <c r="BM157">
        <f>yh0_db+MIN(77,nh_db-1)*db_sh</f>
        <v/>
      </c>
    </row>
    <row r="158">
      <c r="BI158">
        <f>IF(inputs_ok,xv0_db+MIN(77,nv_db-1)*db_sv,NA())</f>
        <v/>
      </c>
      <c r="BJ158">
        <f>db_c+db_pv/2</f>
        <v/>
      </c>
      <c r="BL158">
        <f>IF(inputs_ok,-db_e+db_c+db_pv,NA())</f>
        <v/>
      </c>
      <c r="BM158">
        <f>yh0_db+MIN(77,nh_db-1)*db_sh</f>
        <v/>
      </c>
    </row>
    <row r="159">
      <c r="BI159">
        <f>IF(inputs_ok,xv0_db+MIN(78,nv_db-1)*db_sv,NA())</f>
        <v/>
      </c>
      <c r="BJ159">
        <f>db_c+db_pv/2</f>
        <v/>
      </c>
      <c r="BL159">
        <f>IF(inputs_ok,-db_e+db_c+db_pv,NA())</f>
        <v/>
      </c>
      <c r="BM159">
        <f>yh0_db+MIN(78,nh_db-1)*db_sh</f>
        <v/>
      </c>
    </row>
    <row r="160">
      <c r="BI160">
        <f>IF(inputs_ok,xv0_db+MIN(78,nv_db-1)*db_sv,NA())</f>
        <v/>
      </c>
      <c r="BJ160">
        <f>db_h-db_c-db_pv/2</f>
        <v/>
      </c>
      <c r="BL160">
        <f>IF(inputs_ok,db_l+db_e-db_c-db_pv,NA())</f>
        <v/>
      </c>
      <c r="BM160">
        <f>yh0_db+MIN(78,nh_db-1)*db_sh</f>
        <v/>
      </c>
    </row>
    <row r="161">
      <c r="BI161">
        <f>IF(inputs_ok,xv0_db+MIN(79,nv_db-1)*db_sv,NA())</f>
        <v/>
      </c>
      <c r="BJ161">
        <f>db_h-db_c-db_pv/2</f>
        <v/>
      </c>
      <c r="BL161">
        <f>IF(inputs_ok,db_l+db_e-db_c-db_pv,NA())</f>
        <v/>
      </c>
      <c r="BM161">
        <f>yh0_db+MIN(79,nh_db-1)*db_sh</f>
        <v/>
      </c>
    </row>
    <row r="162">
      <c r="BI162">
        <f>IF(inputs_ok,xv0_db+MIN(79,nv_db-1)*db_sv,NA())</f>
        <v/>
      </c>
      <c r="BJ162">
        <f>db_c+db_pv/2</f>
        <v/>
      </c>
      <c r="BL162">
        <f>IF(inputs_ok,-db_e+db_c+db_pv,NA())</f>
        <v/>
      </c>
      <c r="BM162">
        <f>yh0_db+MIN(79,nh_db-1)*db_sh</f>
        <v/>
      </c>
    </row>
    <row r="163">
      <c r="BI163">
        <f>IF(inputs_ok,xv0_db+MIN(80,nv_db-1)*db_sv,NA())</f>
        <v/>
      </c>
      <c r="BJ163">
        <f>db_c+db_pv/2</f>
        <v/>
      </c>
    </row>
    <row r="164">
      <c r="BI164">
        <f>IF(inputs_ok,xv0_db+MIN(80,nv_db-1)*db_sv,NA())</f>
        <v/>
      </c>
      <c r="BJ164">
        <f>db_h-db_c-db_pv/2</f>
        <v/>
      </c>
    </row>
    <row r="165">
      <c r="BI165">
        <f>IF(inputs_ok,xv0_db+MIN(81,nv_db-1)*db_sv,NA())</f>
        <v/>
      </c>
      <c r="BJ165">
        <f>db_h-db_c-db_pv/2</f>
        <v/>
      </c>
    </row>
    <row r="166">
      <c r="BI166">
        <f>IF(inputs_ok,xv0_db+MIN(81,nv_db-1)*db_sv,NA())</f>
        <v/>
      </c>
      <c r="BJ166">
        <f>db_c+db_pv/2</f>
        <v/>
      </c>
    </row>
    <row r="167">
      <c r="BI167">
        <f>IF(inputs_ok,xv0_db+MIN(82,nv_db-1)*db_sv,NA())</f>
        <v/>
      </c>
      <c r="BJ167">
        <f>db_c+db_pv/2</f>
        <v/>
      </c>
    </row>
    <row r="168">
      <c r="BI168">
        <f>IF(inputs_ok,xv0_db+MIN(82,nv_db-1)*db_sv,NA())</f>
        <v/>
      </c>
      <c r="BJ168">
        <f>db_h-db_c-db_pv/2</f>
        <v/>
      </c>
    </row>
    <row r="169">
      <c r="BI169">
        <f>IF(inputs_ok,xv0_db+MIN(83,nv_db-1)*db_sv,NA())</f>
        <v/>
      </c>
      <c r="BJ169">
        <f>db_h-db_c-db_pv/2</f>
        <v/>
      </c>
    </row>
    <row r="170">
      <c r="BI170">
        <f>IF(inputs_ok,xv0_db+MIN(83,nv_db-1)*db_sv,NA())</f>
        <v/>
      </c>
      <c r="BJ170">
        <f>db_c+db_pv/2</f>
        <v/>
      </c>
    </row>
    <row r="171">
      <c r="BI171">
        <f>IF(inputs_ok,xv0_db+MIN(84,nv_db-1)*db_sv,NA())</f>
        <v/>
      </c>
      <c r="BJ171">
        <f>db_c+db_pv/2</f>
        <v/>
      </c>
    </row>
    <row r="172">
      <c r="BI172">
        <f>IF(inputs_ok,xv0_db+MIN(84,nv_db-1)*db_sv,NA())</f>
        <v/>
      </c>
      <c r="BJ172">
        <f>db_h-db_c-db_pv/2</f>
        <v/>
      </c>
    </row>
    <row r="173">
      <c r="BI173">
        <f>IF(inputs_ok,xv0_db+MIN(85,nv_db-1)*db_sv,NA())</f>
        <v/>
      </c>
      <c r="BJ173">
        <f>db_h-db_c-db_pv/2</f>
        <v/>
      </c>
    </row>
    <row r="174">
      <c r="BI174">
        <f>IF(inputs_ok,xv0_db+MIN(85,nv_db-1)*db_sv,NA())</f>
        <v/>
      </c>
      <c r="BJ174">
        <f>db_c+db_pv/2</f>
        <v/>
      </c>
    </row>
    <row r="175">
      <c r="BI175">
        <f>IF(inputs_ok,xv0_db+MIN(86,nv_db-1)*db_sv,NA())</f>
        <v/>
      </c>
      <c r="BJ175">
        <f>db_c+db_pv/2</f>
        <v/>
      </c>
    </row>
    <row r="176">
      <c r="BI176">
        <f>IF(inputs_ok,xv0_db+MIN(86,nv_db-1)*db_sv,NA())</f>
        <v/>
      </c>
      <c r="BJ176">
        <f>db_h-db_c-db_pv/2</f>
        <v/>
      </c>
    </row>
    <row r="177">
      <c r="BI177">
        <f>IF(inputs_ok,xv0_db+MIN(87,nv_db-1)*db_sv,NA())</f>
        <v/>
      </c>
      <c r="BJ177">
        <f>db_h-db_c-db_pv/2</f>
        <v/>
      </c>
    </row>
    <row r="178">
      <c r="BI178">
        <f>IF(inputs_ok,xv0_db+MIN(87,nv_db-1)*db_sv,NA())</f>
        <v/>
      </c>
      <c r="BJ178">
        <f>db_c+db_pv/2</f>
        <v/>
      </c>
    </row>
    <row r="179">
      <c r="BI179">
        <f>IF(inputs_ok,xv0_db+MIN(88,nv_db-1)*db_sv,NA())</f>
        <v/>
      </c>
      <c r="BJ179">
        <f>db_c+db_pv/2</f>
        <v/>
      </c>
    </row>
    <row r="180">
      <c r="BI180">
        <f>IF(inputs_ok,xv0_db+MIN(88,nv_db-1)*db_sv,NA())</f>
        <v/>
      </c>
      <c r="BJ180">
        <f>db_h-db_c-db_pv/2</f>
        <v/>
      </c>
    </row>
    <row r="181">
      <c r="BI181">
        <f>IF(inputs_ok,xv0_db+MIN(89,nv_db-1)*db_sv,NA())</f>
        <v/>
      </c>
      <c r="BJ181">
        <f>db_h-db_c-db_pv/2</f>
        <v/>
      </c>
    </row>
    <row r="182">
      <c r="BI182">
        <f>IF(inputs_ok,xv0_db+MIN(89,nv_db-1)*db_sv,NA())</f>
        <v/>
      </c>
      <c r="BJ182">
        <f>db_c+db_pv/2</f>
        <v/>
      </c>
    </row>
    <row r="183">
      <c r="BI183">
        <f>IF(inputs_ok,xv0_db+MIN(90,nv_db-1)*db_sv,NA())</f>
        <v/>
      </c>
      <c r="BJ183">
        <f>db_c+db_pv/2</f>
        <v/>
      </c>
    </row>
    <row r="184">
      <c r="BI184">
        <f>IF(inputs_ok,xv0_db+MIN(90,nv_db-1)*db_sv,NA())</f>
        <v/>
      </c>
      <c r="BJ184">
        <f>db_h-db_c-db_pv/2</f>
        <v/>
      </c>
    </row>
    <row r="185">
      <c r="BI185">
        <f>IF(inputs_ok,xv0_db+MIN(91,nv_db-1)*db_sv,NA())</f>
        <v/>
      </c>
      <c r="BJ185">
        <f>db_h-db_c-db_pv/2</f>
        <v/>
      </c>
    </row>
    <row r="186">
      <c r="BI186">
        <f>IF(inputs_ok,xv0_db+MIN(91,nv_db-1)*db_sv,NA())</f>
        <v/>
      </c>
      <c r="BJ186">
        <f>db_c+db_pv/2</f>
        <v/>
      </c>
    </row>
    <row r="187">
      <c r="BI187">
        <f>IF(inputs_ok,xv0_db+MIN(92,nv_db-1)*db_sv,NA())</f>
        <v/>
      </c>
      <c r="BJ187">
        <f>db_c+db_pv/2</f>
        <v/>
      </c>
    </row>
    <row r="188">
      <c r="BI188">
        <f>IF(inputs_ok,xv0_db+MIN(92,nv_db-1)*db_sv,NA())</f>
        <v/>
      </c>
      <c r="BJ188">
        <f>db_h-db_c-db_pv/2</f>
        <v/>
      </c>
    </row>
    <row r="189">
      <c r="BI189">
        <f>IF(inputs_ok,xv0_db+MIN(93,nv_db-1)*db_sv,NA())</f>
        <v/>
      </c>
      <c r="BJ189">
        <f>db_h-db_c-db_pv/2</f>
        <v/>
      </c>
    </row>
    <row r="190">
      <c r="BI190">
        <f>IF(inputs_ok,xv0_db+MIN(93,nv_db-1)*db_sv,NA())</f>
        <v/>
      </c>
      <c r="BJ190">
        <f>db_c+db_pv/2</f>
        <v/>
      </c>
    </row>
    <row r="191">
      <c r="BI191">
        <f>IF(inputs_ok,xv0_db+MIN(94,nv_db-1)*db_sv,NA())</f>
        <v/>
      </c>
      <c r="BJ191">
        <f>db_c+db_pv/2</f>
        <v/>
      </c>
    </row>
    <row r="192">
      <c r="BI192">
        <f>IF(inputs_ok,xv0_db+MIN(94,nv_db-1)*db_sv,NA())</f>
        <v/>
      </c>
      <c r="BJ192">
        <f>db_h-db_c-db_pv/2</f>
        <v/>
      </c>
    </row>
    <row r="193">
      <c r="BI193">
        <f>IF(inputs_ok,xv0_db+MIN(95,nv_db-1)*db_sv,NA())</f>
        <v/>
      </c>
      <c r="BJ193">
        <f>db_h-db_c-db_pv/2</f>
        <v/>
      </c>
    </row>
    <row r="194">
      <c r="BI194">
        <f>IF(inputs_ok,xv0_db+MIN(95,nv_db-1)*db_sv,NA())</f>
        <v/>
      </c>
      <c r="BJ194">
        <f>db_c+db_pv/2</f>
        <v/>
      </c>
    </row>
    <row r="195">
      <c r="BI195">
        <f>IF(inputs_ok,xv0_db+MIN(96,nv_db-1)*db_sv,NA())</f>
        <v/>
      </c>
      <c r="BJ195">
        <f>db_c+db_pv/2</f>
        <v/>
      </c>
    </row>
    <row r="196">
      <c r="BI196">
        <f>IF(inputs_ok,xv0_db+MIN(96,nv_db-1)*db_sv,NA())</f>
        <v/>
      </c>
      <c r="BJ196">
        <f>db_h-db_c-db_pv/2</f>
        <v/>
      </c>
    </row>
    <row r="197">
      <c r="BI197">
        <f>IF(inputs_ok,xv0_db+MIN(97,nv_db-1)*db_sv,NA())</f>
        <v/>
      </c>
      <c r="BJ197">
        <f>db_h-db_c-db_pv/2</f>
        <v/>
      </c>
    </row>
    <row r="198">
      <c r="BI198">
        <f>IF(inputs_ok,xv0_db+MIN(97,nv_db-1)*db_sv,NA())</f>
        <v/>
      </c>
      <c r="BJ198">
        <f>db_c+db_pv/2</f>
        <v/>
      </c>
    </row>
    <row r="199">
      <c r="BI199">
        <f>IF(inputs_ok,xv0_db+MIN(98,nv_db-1)*db_sv,NA())</f>
        <v/>
      </c>
      <c r="BJ199">
        <f>db_c+db_pv/2</f>
        <v/>
      </c>
    </row>
    <row r="200">
      <c r="BI200">
        <f>IF(inputs_ok,xv0_db+MIN(98,nv_db-1)*db_sv,NA())</f>
        <v/>
      </c>
      <c r="BJ200">
        <f>db_h-db_c-db_pv/2</f>
        <v/>
      </c>
    </row>
    <row r="201">
      <c r="BI201">
        <f>IF(inputs_ok,xv0_db+MIN(99,nv_db-1)*db_sv,NA())</f>
        <v/>
      </c>
      <c r="BJ201">
        <f>db_h-db_c-db_pv/2</f>
        <v/>
      </c>
    </row>
    <row r="202">
      <c r="BI202">
        <f>IF(inputs_ok,xv0_db+MIN(99,nv_db-1)*db_sv,NA())</f>
        <v/>
      </c>
      <c r="BJ202">
        <f>db_c+db_pv/2</f>
        <v/>
      </c>
    </row>
    <row r="203">
      <c r="BI203">
        <f>IF(inputs_ok,xv0_db+MIN(100,nv_db-1)*db_sv,NA())</f>
        <v/>
      </c>
      <c r="BJ203">
        <f>db_c+db_pv/2</f>
        <v/>
      </c>
    </row>
    <row r="204">
      <c r="BI204">
        <f>IF(inputs_ok,xv0_db+MIN(100,nv_db-1)*db_sv,NA())</f>
        <v/>
      </c>
      <c r="BJ204">
        <f>db_h-db_c-db_pv/2</f>
        <v/>
      </c>
    </row>
    <row r="205">
      <c r="BI205">
        <f>IF(inputs_ok,xv0_db+MIN(101,nv_db-1)*db_sv,NA())</f>
        <v/>
      </c>
      <c r="BJ205">
        <f>db_h-db_c-db_pv/2</f>
        <v/>
      </c>
    </row>
    <row r="206">
      <c r="BI206">
        <f>IF(inputs_ok,xv0_db+MIN(101,nv_db-1)*db_sv,NA())</f>
        <v/>
      </c>
      <c r="BJ206">
        <f>db_c+db_pv/2</f>
        <v/>
      </c>
    </row>
    <row r="207">
      <c r="BI207">
        <f>IF(inputs_ok,xv0_db+MIN(102,nv_db-1)*db_sv,NA())</f>
        <v/>
      </c>
      <c r="BJ207">
        <f>db_c+db_pv/2</f>
        <v/>
      </c>
    </row>
    <row r="208">
      <c r="BI208">
        <f>IF(inputs_ok,xv0_db+MIN(102,nv_db-1)*db_sv,NA())</f>
        <v/>
      </c>
      <c r="BJ208">
        <f>db_h-db_c-db_pv/2</f>
        <v/>
      </c>
    </row>
    <row r="209">
      <c r="BI209">
        <f>IF(inputs_ok,xv0_db+MIN(103,nv_db-1)*db_sv,NA())</f>
        <v/>
      </c>
      <c r="BJ209">
        <f>db_h-db_c-db_pv/2</f>
        <v/>
      </c>
    </row>
    <row r="210">
      <c r="BI210">
        <f>IF(inputs_ok,xv0_db+MIN(103,nv_db-1)*db_sv,NA())</f>
        <v/>
      </c>
      <c r="BJ210">
        <f>db_c+db_pv/2</f>
        <v/>
      </c>
    </row>
    <row r="211">
      <c r="BI211">
        <f>IF(inputs_ok,xv0_db+MIN(104,nv_db-1)*db_sv,NA())</f>
        <v/>
      </c>
      <c r="BJ211">
        <f>db_c+db_pv/2</f>
        <v/>
      </c>
    </row>
    <row r="212">
      <c r="BI212">
        <f>IF(inputs_ok,xv0_db+MIN(104,nv_db-1)*db_sv,NA())</f>
        <v/>
      </c>
      <c r="BJ212">
        <f>db_h-db_c-db_pv/2</f>
        <v/>
      </c>
    </row>
    <row r="213">
      <c r="BI213">
        <f>IF(inputs_ok,xv0_db+MIN(105,nv_db-1)*db_sv,NA())</f>
        <v/>
      </c>
      <c r="BJ213">
        <f>db_h-db_c-db_pv/2</f>
        <v/>
      </c>
    </row>
    <row r="214">
      <c r="BI214">
        <f>IF(inputs_ok,xv0_db+MIN(105,nv_db-1)*db_sv,NA())</f>
        <v/>
      </c>
      <c r="BJ214">
        <f>db_c+db_pv/2</f>
        <v/>
      </c>
    </row>
    <row r="215">
      <c r="BI215">
        <f>IF(inputs_ok,xv0_db+MIN(106,nv_db-1)*db_sv,NA())</f>
        <v/>
      </c>
      <c r="BJ215">
        <f>db_c+db_pv/2</f>
        <v/>
      </c>
    </row>
    <row r="216">
      <c r="BI216">
        <f>IF(inputs_ok,xv0_db+MIN(106,nv_db-1)*db_sv,NA())</f>
        <v/>
      </c>
      <c r="BJ216">
        <f>db_h-db_c-db_pv/2</f>
        <v/>
      </c>
    </row>
    <row r="217">
      <c r="BI217">
        <f>IF(inputs_ok,xv0_db+MIN(107,nv_db-1)*db_sv,NA())</f>
        <v/>
      </c>
      <c r="BJ217">
        <f>db_h-db_c-db_pv/2</f>
        <v/>
      </c>
    </row>
    <row r="218">
      <c r="BI218">
        <f>IF(inputs_ok,xv0_db+MIN(107,nv_db-1)*db_sv,NA())</f>
        <v/>
      </c>
      <c r="BJ218">
        <f>db_c+db_pv/2</f>
        <v/>
      </c>
    </row>
    <row r="219">
      <c r="BI219">
        <f>IF(inputs_ok,xv0_db+MIN(108,nv_db-1)*db_sv,NA())</f>
        <v/>
      </c>
      <c r="BJ219">
        <f>db_c+db_pv/2</f>
        <v/>
      </c>
    </row>
    <row r="220">
      <c r="BI220">
        <f>IF(inputs_ok,xv0_db+MIN(108,nv_db-1)*db_sv,NA())</f>
        <v/>
      </c>
      <c r="BJ220">
        <f>db_h-db_c-db_pv/2</f>
        <v/>
      </c>
    </row>
    <row r="221">
      <c r="BI221">
        <f>IF(inputs_ok,xv0_db+MIN(109,nv_db-1)*db_sv,NA())</f>
        <v/>
      </c>
      <c r="BJ221">
        <f>db_h-db_c-db_pv/2</f>
        <v/>
      </c>
    </row>
    <row r="222">
      <c r="BI222">
        <f>IF(inputs_ok,xv0_db+MIN(109,nv_db-1)*db_sv,NA())</f>
        <v/>
      </c>
      <c r="BJ222">
        <f>db_c+db_pv/2</f>
        <v/>
      </c>
    </row>
    <row r="223">
      <c r="BI223">
        <f>IF(inputs_ok,xv0_db+MIN(110,nv_db-1)*db_sv,NA())</f>
        <v/>
      </c>
      <c r="BJ223">
        <f>db_c+db_pv/2</f>
        <v/>
      </c>
    </row>
    <row r="224">
      <c r="BI224">
        <f>IF(inputs_ok,xv0_db+MIN(110,nv_db-1)*db_sv,NA())</f>
        <v/>
      </c>
      <c r="BJ224">
        <f>db_h-db_c-db_pv/2</f>
        <v/>
      </c>
    </row>
    <row r="225">
      <c r="BI225">
        <f>IF(inputs_ok,xv0_db+MIN(111,nv_db-1)*db_sv,NA())</f>
        <v/>
      </c>
      <c r="BJ225">
        <f>db_h-db_c-db_pv/2</f>
        <v/>
      </c>
    </row>
    <row r="226">
      <c r="BI226">
        <f>IF(inputs_ok,xv0_db+MIN(111,nv_db-1)*db_sv,NA())</f>
        <v/>
      </c>
      <c r="BJ226">
        <f>db_c+db_pv/2</f>
        <v/>
      </c>
    </row>
    <row r="227">
      <c r="BI227">
        <f>IF(inputs_ok,xv0_db+MIN(112,nv_db-1)*db_sv,NA())</f>
        <v/>
      </c>
      <c r="BJ227">
        <f>db_c+db_pv/2</f>
        <v/>
      </c>
    </row>
    <row r="228">
      <c r="BI228">
        <f>IF(inputs_ok,xv0_db+MIN(112,nv_db-1)*db_sv,NA())</f>
        <v/>
      </c>
      <c r="BJ228">
        <f>db_h-db_c-db_pv/2</f>
        <v/>
      </c>
    </row>
    <row r="229">
      <c r="BI229">
        <f>IF(inputs_ok,xv0_db+MIN(113,nv_db-1)*db_sv,NA())</f>
        <v/>
      </c>
      <c r="BJ229">
        <f>db_h-db_c-db_pv/2</f>
        <v/>
      </c>
    </row>
    <row r="230">
      <c r="BI230">
        <f>IF(inputs_ok,xv0_db+MIN(113,nv_db-1)*db_sv,NA())</f>
        <v/>
      </c>
      <c r="BJ230">
        <f>db_c+db_pv/2</f>
        <v/>
      </c>
    </row>
    <row r="231">
      <c r="BI231">
        <f>IF(inputs_ok,xv0_db+MIN(114,nv_db-1)*db_sv,NA())</f>
        <v/>
      </c>
      <c r="BJ231">
        <f>db_c+db_pv/2</f>
        <v/>
      </c>
    </row>
    <row r="232">
      <c r="BI232">
        <f>IF(inputs_ok,xv0_db+MIN(114,nv_db-1)*db_sv,NA())</f>
        <v/>
      </c>
      <c r="BJ232">
        <f>db_h-db_c-db_pv/2</f>
        <v/>
      </c>
    </row>
    <row r="233">
      <c r="BI233">
        <f>IF(inputs_ok,xv0_db+MIN(115,nv_db-1)*db_sv,NA())</f>
        <v/>
      </c>
      <c r="BJ233">
        <f>db_h-db_c-db_pv/2</f>
        <v/>
      </c>
    </row>
    <row r="234">
      <c r="BI234">
        <f>IF(inputs_ok,xv0_db+MIN(115,nv_db-1)*db_sv,NA())</f>
        <v/>
      </c>
      <c r="BJ234">
        <f>db_c+db_pv/2</f>
        <v/>
      </c>
    </row>
    <row r="235">
      <c r="BI235">
        <f>IF(inputs_ok,xv0_db+MIN(116,nv_db-1)*db_sv,NA())</f>
        <v/>
      </c>
      <c r="BJ235">
        <f>db_c+db_pv/2</f>
        <v/>
      </c>
    </row>
    <row r="236">
      <c r="BI236">
        <f>IF(inputs_ok,xv0_db+MIN(116,nv_db-1)*db_sv,NA())</f>
        <v/>
      </c>
      <c r="BJ236">
        <f>db_h-db_c-db_pv/2</f>
        <v/>
      </c>
    </row>
    <row r="237">
      <c r="BI237">
        <f>IF(inputs_ok,xv0_db+MIN(117,nv_db-1)*db_sv,NA())</f>
        <v/>
      </c>
      <c r="BJ237">
        <f>db_h-db_c-db_pv/2</f>
        <v/>
      </c>
    </row>
    <row r="238">
      <c r="BI238">
        <f>IF(inputs_ok,xv0_db+MIN(117,nv_db-1)*db_sv,NA())</f>
        <v/>
      </c>
      <c r="BJ238">
        <f>db_c+db_pv/2</f>
        <v/>
      </c>
    </row>
    <row r="239">
      <c r="BI239">
        <f>IF(inputs_ok,xv0_db+MIN(118,nv_db-1)*db_sv,NA())</f>
        <v/>
      </c>
      <c r="BJ239">
        <f>db_c+db_pv/2</f>
        <v/>
      </c>
    </row>
    <row r="240">
      <c r="BI240">
        <f>IF(inputs_ok,xv0_db+MIN(118,nv_db-1)*db_sv,NA())</f>
        <v/>
      </c>
      <c r="BJ240">
        <f>db_h-db_c-db_pv/2</f>
        <v/>
      </c>
    </row>
    <row r="241">
      <c r="BI241">
        <f>IF(inputs_ok,xv0_db+MIN(119,nv_db-1)*db_sv,NA())</f>
        <v/>
      </c>
      <c r="BJ241">
        <f>db_h-db_c-db_pv/2</f>
        <v/>
      </c>
    </row>
    <row r="242">
      <c r="BI242">
        <f>IF(inputs_ok,xv0_db+MIN(119,nv_db-1)*db_sv,NA())</f>
        <v/>
      </c>
      <c r="BJ242">
        <f>db_c+db_pv/2</f>
        <v/>
      </c>
    </row>
    <row r="243">
      <c r="BI243">
        <f>IF(inputs_ok,xv0_db+MIN(120,nv_db-1)*db_sv,NA())</f>
        <v/>
      </c>
      <c r="BJ243">
        <f>db_c+db_pv/2</f>
        <v/>
      </c>
    </row>
    <row r="244">
      <c r="BI244">
        <f>IF(inputs_ok,xv0_db+MIN(120,nv_db-1)*db_sv,NA())</f>
        <v/>
      </c>
      <c r="BJ244">
        <f>db_h-db_c-db_pv/2</f>
        <v/>
      </c>
    </row>
    <row r="245">
      <c r="BI245">
        <f>IF(inputs_ok,xv0_db+MIN(121,nv_db-1)*db_sv,NA())</f>
        <v/>
      </c>
      <c r="BJ245">
        <f>db_h-db_c-db_pv/2</f>
        <v/>
      </c>
    </row>
    <row r="246">
      <c r="BI246">
        <f>IF(inputs_ok,xv0_db+MIN(121,nv_db-1)*db_sv,NA())</f>
        <v/>
      </c>
      <c r="BJ246">
        <f>db_c+db_pv/2</f>
        <v/>
      </c>
    </row>
    <row r="247">
      <c r="BI247">
        <f>IF(inputs_ok,xv0_db+MIN(122,nv_db-1)*db_sv,NA())</f>
        <v/>
      </c>
      <c r="BJ247">
        <f>db_c+db_pv/2</f>
        <v/>
      </c>
    </row>
    <row r="248">
      <c r="BI248">
        <f>IF(inputs_ok,xv0_db+MIN(122,nv_db-1)*db_sv,NA())</f>
        <v/>
      </c>
      <c r="BJ248">
        <f>db_h-db_c-db_pv/2</f>
        <v/>
      </c>
    </row>
    <row r="249">
      <c r="BI249">
        <f>IF(inputs_ok,xv0_db+MIN(123,nv_db-1)*db_sv,NA())</f>
        <v/>
      </c>
      <c r="BJ249">
        <f>db_h-db_c-db_pv/2</f>
        <v/>
      </c>
    </row>
    <row r="250">
      <c r="BI250">
        <f>IF(inputs_ok,xv0_db+MIN(123,nv_db-1)*db_sv,NA())</f>
        <v/>
      </c>
      <c r="BJ250">
        <f>db_c+db_pv/2</f>
        <v/>
      </c>
    </row>
    <row r="251">
      <c r="BI251">
        <f>IF(inputs_ok,xv0_db+MIN(124,nv_db-1)*db_sv,NA())</f>
        <v/>
      </c>
      <c r="BJ251">
        <f>db_c+db_pv/2</f>
        <v/>
      </c>
    </row>
    <row r="252">
      <c r="BI252">
        <f>IF(inputs_ok,xv0_db+MIN(124,nv_db-1)*db_sv,NA())</f>
        <v/>
      </c>
      <c r="BJ252">
        <f>db_h-db_c-db_pv/2</f>
        <v/>
      </c>
    </row>
    <row r="253">
      <c r="BI253">
        <f>IF(inputs_ok,xv0_db+MIN(125,nv_db-1)*db_sv,NA())</f>
        <v/>
      </c>
      <c r="BJ253">
        <f>db_h-db_c-db_pv/2</f>
        <v/>
      </c>
    </row>
    <row r="254">
      <c r="BI254">
        <f>IF(inputs_ok,xv0_db+MIN(125,nv_db-1)*db_sv,NA())</f>
        <v/>
      </c>
      <c r="BJ254">
        <f>db_c+db_pv/2</f>
        <v/>
      </c>
    </row>
    <row r="255">
      <c r="BI255">
        <f>IF(inputs_ok,xv0_db+MIN(126,nv_db-1)*db_sv,NA())</f>
        <v/>
      </c>
      <c r="BJ255">
        <f>db_c+db_pv/2</f>
        <v/>
      </c>
    </row>
    <row r="256">
      <c r="BI256">
        <f>IF(inputs_ok,xv0_db+MIN(126,nv_db-1)*db_sv,NA())</f>
        <v/>
      </c>
      <c r="BJ256">
        <f>db_h-db_c-db_pv/2</f>
        <v/>
      </c>
    </row>
    <row r="257">
      <c r="BI257">
        <f>IF(inputs_ok,xv0_db+MIN(127,nv_db-1)*db_sv,NA())</f>
        <v/>
      </c>
      <c r="BJ257">
        <f>db_h-db_c-db_pv/2</f>
        <v/>
      </c>
    </row>
    <row r="258">
      <c r="BI258">
        <f>IF(inputs_ok,xv0_db+MIN(127,nv_db-1)*db_sv,NA())</f>
        <v/>
      </c>
      <c r="BJ258">
        <f>db_c+db_pv/2</f>
        <v/>
      </c>
    </row>
    <row r="259">
      <c r="BI259">
        <f>IF(inputs_ok,xv0_db+MIN(128,nv_db-1)*db_sv,NA())</f>
        <v/>
      </c>
      <c r="BJ259">
        <f>db_c+db_pv/2</f>
        <v/>
      </c>
    </row>
    <row r="260">
      <c r="BI260">
        <f>IF(inputs_ok,xv0_db+MIN(128,nv_db-1)*db_sv,NA())</f>
        <v/>
      </c>
      <c r="BJ260">
        <f>db_h-db_c-db_pv/2</f>
        <v/>
      </c>
    </row>
    <row r="261">
      <c r="BI261">
        <f>IF(inputs_ok,xv0_db+MIN(129,nv_db-1)*db_sv,NA())</f>
        <v/>
      </c>
      <c r="BJ261">
        <f>db_h-db_c-db_pv/2</f>
        <v/>
      </c>
    </row>
    <row r="262">
      <c r="BI262">
        <f>IF(inputs_ok,xv0_db+MIN(129,nv_db-1)*db_sv,NA())</f>
        <v/>
      </c>
      <c r="BJ262">
        <f>db_c+db_pv/2</f>
        <v/>
      </c>
    </row>
    <row r="263">
      <c r="BI263">
        <f>IF(inputs_ok,xv0_db+MIN(130,nv_db-1)*db_sv,NA())</f>
        <v/>
      </c>
      <c r="BJ263">
        <f>db_c+db_pv/2</f>
        <v/>
      </c>
    </row>
    <row r="264">
      <c r="BI264">
        <f>IF(inputs_ok,xv0_db+MIN(130,nv_db-1)*db_sv,NA())</f>
        <v/>
      </c>
      <c r="BJ264">
        <f>db_h-db_c-db_pv/2</f>
        <v/>
      </c>
    </row>
    <row r="265">
      <c r="BI265">
        <f>IF(inputs_ok,xv0_db+MIN(131,nv_db-1)*db_sv,NA())</f>
        <v/>
      </c>
      <c r="BJ265">
        <f>db_h-db_c-db_pv/2</f>
        <v/>
      </c>
    </row>
    <row r="266">
      <c r="BI266">
        <f>IF(inputs_ok,xv0_db+MIN(131,nv_db-1)*db_sv,NA())</f>
        <v/>
      </c>
      <c r="BJ266">
        <f>db_c+db_pv/2</f>
        <v/>
      </c>
    </row>
    <row r="267">
      <c r="BI267">
        <f>IF(inputs_ok,xv0_db+MIN(132,nv_db-1)*db_sv,NA())</f>
        <v/>
      </c>
      <c r="BJ267">
        <f>db_c+db_pv/2</f>
        <v/>
      </c>
    </row>
    <row r="268">
      <c r="BI268">
        <f>IF(inputs_ok,xv0_db+MIN(132,nv_db-1)*db_sv,NA())</f>
        <v/>
      </c>
      <c r="BJ268">
        <f>db_h-db_c-db_pv/2</f>
        <v/>
      </c>
    </row>
    <row r="269">
      <c r="BI269">
        <f>IF(inputs_ok,xv0_db+MIN(133,nv_db-1)*db_sv,NA())</f>
        <v/>
      </c>
      <c r="BJ269">
        <f>db_h-db_c-db_pv/2</f>
        <v/>
      </c>
    </row>
    <row r="270">
      <c r="BI270">
        <f>IF(inputs_ok,xv0_db+MIN(133,nv_db-1)*db_sv,NA())</f>
        <v/>
      </c>
      <c r="BJ270">
        <f>db_c+db_pv/2</f>
        <v/>
      </c>
    </row>
    <row r="271">
      <c r="BI271">
        <f>IF(inputs_ok,xv0_db+MIN(134,nv_db-1)*db_sv,NA())</f>
        <v/>
      </c>
      <c r="BJ271">
        <f>db_c+db_pv/2</f>
        <v/>
      </c>
    </row>
    <row r="272">
      <c r="BI272">
        <f>IF(inputs_ok,xv0_db+MIN(134,nv_db-1)*db_sv,NA())</f>
        <v/>
      </c>
      <c r="BJ272">
        <f>db_h-db_c-db_pv/2</f>
        <v/>
      </c>
    </row>
    <row r="273">
      <c r="BI273">
        <f>IF(inputs_ok,xv0_db+MIN(135,nv_db-1)*db_sv,NA())</f>
        <v/>
      </c>
      <c r="BJ273">
        <f>db_h-db_c-db_pv/2</f>
        <v/>
      </c>
    </row>
    <row r="274">
      <c r="BI274">
        <f>IF(inputs_ok,xv0_db+MIN(135,nv_db-1)*db_sv,NA())</f>
        <v/>
      </c>
      <c r="BJ274">
        <f>db_c+db_pv/2</f>
        <v/>
      </c>
    </row>
    <row r="275">
      <c r="BI275">
        <f>IF(inputs_ok,xv0_db+MIN(136,nv_db-1)*db_sv,NA())</f>
        <v/>
      </c>
      <c r="BJ275">
        <f>db_c+db_pv/2</f>
        <v/>
      </c>
    </row>
    <row r="276">
      <c r="BI276">
        <f>IF(inputs_ok,xv0_db+MIN(136,nv_db-1)*db_sv,NA())</f>
        <v/>
      </c>
      <c r="BJ276">
        <f>db_h-db_c-db_pv/2</f>
        <v/>
      </c>
    </row>
    <row r="277">
      <c r="BI277">
        <f>IF(inputs_ok,xv0_db+MIN(137,nv_db-1)*db_sv,NA())</f>
        <v/>
      </c>
      <c r="BJ277">
        <f>db_h-db_c-db_pv/2</f>
        <v/>
      </c>
    </row>
    <row r="278">
      <c r="BI278">
        <f>IF(inputs_ok,xv0_db+MIN(137,nv_db-1)*db_sv,NA())</f>
        <v/>
      </c>
      <c r="BJ278">
        <f>db_c+db_pv/2</f>
        <v/>
      </c>
    </row>
    <row r="279">
      <c r="BI279">
        <f>IF(inputs_ok,xv0_db+MIN(138,nv_db-1)*db_sv,NA())</f>
        <v/>
      </c>
      <c r="BJ279">
        <f>db_c+db_pv/2</f>
        <v/>
      </c>
    </row>
    <row r="280">
      <c r="BI280">
        <f>IF(inputs_ok,xv0_db+MIN(138,nv_db-1)*db_sv,NA())</f>
        <v/>
      </c>
      <c r="BJ280">
        <f>db_h-db_c-db_pv/2</f>
        <v/>
      </c>
    </row>
    <row r="281">
      <c r="BI281">
        <f>IF(inputs_ok,xv0_db+MIN(139,nv_db-1)*db_sv,NA())</f>
        <v/>
      </c>
      <c r="BJ281">
        <f>db_h-db_c-db_pv/2</f>
        <v/>
      </c>
    </row>
    <row r="282">
      <c r="BI282">
        <f>IF(inputs_ok,xv0_db+MIN(139,nv_db-1)*db_sv,NA())</f>
        <v/>
      </c>
      <c r="BJ282">
        <f>db_c+db_pv/2</f>
        <v/>
      </c>
    </row>
    <row r="283">
      <c r="BI283">
        <f>IF(inputs_ok,xv0_db+MIN(140,nv_db-1)*db_sv,NA())</f>
        <v/>
      </c>
      <c r="BJ283">
        <f>db_c+db_pv/2</f>
        <v/>
      </c>
    </row>
    <row r="284">
      <c r="BI284">
        <f>IF(inputs_ok,xv0_db+MIN(140,nv_db-1)*db_sv,NA())</f>
        <v/>
      </c>
      <c r="BJ284">
        <f>db_h-db_c-db_pv/2</f>
        <v/>
      </c>
    </row>
    <row r="285">
      <c r="BI285">
        <f>IF(inputs_ok,xv0_db+MIN(141,nv_db-1)*db_sv,NA())</f>
        <v/>
      </c>
      <c r="BJ285">
        <f>db_h-db_c-db_pv/2</f>
        <v/>
      </c>
    </row>
    <row r="286">
      <c r="BI286">
        <f>IF(inputs_ok,xv0_db+MIN(141,nv_db-1)*db_sv,NA())</f>
        <v/>
      </c>
      <c r="BJ286">
        <f>db_c+db_pv/2</f>
        <v/>
      </c>
    </row>
    <row r="287">
      <c r="BI287">
        <f>IF(inputs_ok,xv0_db+MIN(142,nv_db-1)*db_sv,NA())</f>
        <v/>
      </c>
      <c r="BJ287">
        <f>db_c+db_pv/2</f>
        <v/>
      </c>
    </row>
    <row r="288">
      <c r="BI288">
        <f>IF(inputs_ok,xv0_db+MIN(142,nv_db-1)*db_sv,NA())</f>
        <v/>
      </c>
      <c r="BJ288">
        <f>db_h-db_c-db_pv/2</f>
        <v/>
      </c>
    </row>
    <row r="289">
      <c r="BI289">
        <f>IF(inputs_ok,xv0_db+MIN(143,nv_db-1)*db_sv,NA())</f>
        <v/>
      </c>
      <c r="BJ289">
        <f>db_h-db_c-db_pv/2</f>
        <v/>
      </c>
    </row>
    <row r="290">
      <c r="BI290">
        <f>IF(inputs_ok,xv0_db+MIN(143,nv_db-1)*db_sv,NA())</f>
        <v/>
      </c>
      <c r="BJ290">
        <f>db_c+db_pv/2</f>
        <v/>
      </c>
    </row>
    <row r="291">
      <c r="BI291">
        <f>IF(inputs_ok,xv0_db+MIN(144,nv_db-1)*db_sv,NA())</f>
        <v/>
      </c>
      <c r="BJ291">
        <f>db_c+db_pv/2</f>
        <v/>
      </c>
    </row>
    <row r="292">
      <c r="BI292">
        <f>IF(inputs_ok,xv0_db+MIN(144,nv_db-1)*db_sv,NA())</f>
        <v/>
      </c>
      <c r="BJ292">
        <f>db_h-db_c-db_pv/2</f>
        <v/>
      </c>
    </row>
    <row r="293">
      <c r="BI293">
        <f>IF(inputs_ok,xv0_db+MIN(145,nv_db-1)*db_sv,NA())</f>
        <v/>
      </c>
      <c r="BJ293">
        <f>db_h-db_c-db_pv/2</f>
        <v/>
      </c>
    </row>
    <row r="294">
      <c r="BI294">
        <f>IF(inputs_ok,xv0_db+MIN(145,nv_db-1)*db_sv,NA())</f>
        <v/>
      </c>
      <c r="BJ294">
        <f>db_c+db_pv/2</f>
        <v/>
      </c>
    </row>
    <row r="295">
      <c r="BI295">
        <f>IF(inputs_ok,xv0_db+MIN(146,nv_db-1)*db_sv,NA())</f>
        <v/>
      </c>
      <c r="BJ295">
        <f>db_c+db_pv/2</f>
        <v/>
      </c>
    </row>
    <row r="296">
      <c r="BI296">
        <f>IF(inputs_ok,xv0_db+MIN(146,nv_db-1)*db_sv,NA())</f>
        <v/>
      </c>
      <c r="BJ296">
        <f>db_h-db_c-db_pv/2</f>
        <v/>
      </c>
    </row>
    <row r="297">
      <c r="BI297">
        <f>IF(inputs_ok,xv0_db+MIN(147,nv_db-1)*db_sv,NA())</f>
        <v/>
      </c>
      <c r="BJ297">
        <f>db_h-db_c-db_pv/2</f>
        <v/>
      </c>
    </row>
    <row r="298">
      <c r="BI298">
        <f>IF(inputs_ok,xv0_db+MIN(147,nv_db-1)*db_sv,NA())</f>
        <v/>
      </c>
      <c r="BJ298">
        <f>db_c+db_pv/2</f>
        <v/>
      </c>
    </row>
    <row r="299">
      <c r="BI299">
        <f>IF(inputs_ok,xv0_db+MIN(148,nv_db-1)*db_sv,NA())</f>
        <v/>
      </c>
      <c r="BJ299">
        <f>db_c+db_pv/2</f>
        <v/>
      </c>
    </row>
    <row r="300">
      <c r="BI300">
        <f>IF(inputs_ok,xv0_db+MIN(148,nv_db-1)*db_sv,NA())</f>
        <v/>
      </c>
      <c r="BJ300">
        <f>db_h-db_c-db_pv/2</f>
        <v/>
      </c>
    </row>
    <row r="301">
      <c r="BI301">
        <f>IF(inputs_ok,xv0_db+MIN(149,nv_db-1)*db_sv,NA())</f>
        <v/>
      </c>
      <c r="BJ301">
        <f>db_h-db_c-db_pv/2</f>
        <v/>
      </c>
    </row>
    <row r="302">
      <c r="BI302">
        <f>IF(inputs_ok,xv0_db+MIN(149,nv_db-1)*db_sv,NA())</f>
        <v/>
      </c>
      <c r="BJ302">
        <f>db_c+db_pv/2</f>
        <v/>
      </c>
    </row>
    <row r="303">
      <c r="BI303">
        <f>IF(inputs_ok,xv0_db+MIN(150,nv_db-1)*db_sv,NA())</f>
        <v/>
      </c>
      <c r="BJ303">
        <f>db_c+db_pv/2</f>
        <v/>
      </c>
    </row>
    <row r="304">
      <c r="BI304">
        <f>IF(inputs_ok,xv0_db+MIN(150,nv_db-1)*db_sv,NA())</f>
        <v/>
      </c>
      <c r="BJ304">
        <f>db_h-db_c-db_pv/2</f>
        <v/>
      </c>
    </row>
    <row r="305">
      <c r="BI305">
        <f>IF(inputs_ok,xv0_db+MIN(151,nv_db-1)*db_sv,NA())</f>
        <v/>
      </c>
      <c r="BJ305">
        <f>db_h-db_c-db_pv/2</f>
        <v/>
      </c>
    </row>
    <row r="306">
      <c r="BI306">
        <f>IF(inputs_ok,xv0_db+MIN(151,nv_db-1)*db_sv,NA())</f>
        <v/>
      </c>
      <c r="BJ306">
        <f>db_c+db_pv/2</f>
        <v/>
      </c>
    </row>
    <row r="307">
      <c r="BI307">
        <f>IF(inputs_ok,xv0_db+MIN(152,nv_db-1)*db_sv,NA())</f>
        <v/>
      </c>
      <c r="BJ307">
        <f>db_c+db_pv/2</f>
        <v/>
      </c>
    </row>
    <row r="308">
      <c r="BI308">
        <f>IF(inputs_ok,xv0_db+MIN(152,nv_db-1)*db_sv,NA())</f>
        <v/>
      </c>
      <c r="BJ308">
        <f>db_h-db_c-db_pv/2</f>
        <v/>
      </c>
    </row>
    <row r="309">
      <c r="BI309">
        <f>IF(inputs_ok,xv0_db+MIN(153,nv_db-1)*db_sv,NA())</f>
        <v/>
      </c>
      <c r="BJ309">
        <f>db_h-db_c-db_pv/2</f>
        <v/>
      </c>
    </row>
    <row r="310">
      <c r="BI310">
        <f>IF(inputs_ok,xv0_db+MIN(153,nv_db-1)*db_sv,NA())</f>
        <v/>
      </c>
      <c r="BJ310">
        <f>db_c+db_pv/2</f>
        <v/>
      </c>
    </row>
    <row r="311">
      <c r="BI311">
        <f>IF(inputs_ok,xv0_db+MIN(154,nv_db-1)*db_sv,NA())</f>
        <v/>
      </c>
      <c r="BJ311">
        <f>db_c+db_pv/2</f>
        <v/>
      </c>
    </row>
    <row r="312">
      <c r="BI312">
        <f>IF(inputs_ok,xv0_db+MIN(154,nv_db-1)*db_sv,NA())</f>
        <v/>
      </c>
      <c r="BJ312">
        <f>db_h-db_c-db_pv/2</f>
        <v/>
      </c>
    </row>
    <row r="313">
      <c r="BI313">
        <f>IF(inputs_ok,xv0_db+MIN(155,nv_db-1)*db_sv,NA())</f>
        <v/>
      </c>
      <c r="BJ313">
        <f>db_h-db_c-db_pv/2</f>
        <v/>
      </c>
    </row>
    <row r="314">
      <c r="BI314">
        <f>IF(inputs_ok,xv0_db+MIN(155,nv_db-1)*db_sv,NA())</f>
        <v/>
      </c>
      <c r="BJ314">
        <f>db_c+db_pv/2</f>
        <v/>
      </c>
    </row>
    <row r="315">
      <c r="BI315">
        <f>IF(inputs_ok,xv0_db+MIN(156,nv_db-1)*db_sv,NA())</f>
        <v/>
      </c>
      <c r="BJ315">
        <f>db_c+db_pv/2</f>
        <v/>
      </c>
    </row>
    <row r="316">
      <c r="BI316">
        <f>IF(inputs_ok,xv0_db+MIN(156,nv_db-1)*db_sv,NA())</f>
        <v/>
      </c>
      <c r="BJ316">
        <f>db_h-db_c-db_pv/2</f>
        <v/>
      </c>
    </row>
    <row r="317">
      <c r="BI317">
        <f>IF(inputs_ok,xv0_db+MIN(157,nv_db-1)*db_sv,NA())</f>
        <v/>
      </c>
      <c r="BJ317">
        <f>db_h-db_c-db_pv/2</f>
        <v/>
      </c>
    </row>
    <row r="318">
      <c r="BI318">
        <f>IF(inputs_ok,xv0_db+MIN(157,nv_db-1)*db_sv,NA())</f>
        <v/>
      </c>
      <c r="BJ318">
        <f>db_c+db_pv/2</f>
        <v/>
      </c>
    </row>
    <row r="319">
      <c r="BI319">
        <f>IF(inputs_ok,xv0_db+MIN(158,nv_db-1)*db_sv,NA())</f>
        <v/>
      </c>
      <c r="BJ319">
        <f>db_c+db_pv/2</f>
        <v/>
      </c>
    </row>
    <row r="320">
      <c r="BI320">
        <f>IF(inputs_ok,xv0_db+MIN(158,nv_db-1)*db_sv,NA())</f>
        <v/>
      </c>
      <c r="BJ320">
        <f>db_h-db_c-db_pv/2</f>
        <v/>
      </c>
    </row>
    <row r="321">
      <c r="BI321">
        <f>IF(inputs_ok,xv0_db+MIN(159,nv_db-1)*db_sv,NA())</f>
        <v/>
      </c>
      <c r="BJ321">
        <f>db_h-db_c-db_pv/2</f>
        <v/>
      </c>
    </row>
    <row r="322">
      <c r="BI322">
        <f>IF(inputs_ok,xv0_db+MIN(159,nv_db-1)*db_sv,NA())</f>
        <v/>
      </c>
      <c r="BJ322">
        <f>db_c+db_pv/2</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32"/>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row r="29">
      <c r="B29" s="48" t="inlineStr">
        <is>
          <t>k1  (CCC node, σRd,max = k1 ν' fcd)</t>
        </is>
      </c>
      <c r="C29" s="49" t="inlineStr">
        <is>
          <t>6.5.4(4)a</t>
        </is>
      </c>
      <c r="D29" s="50" t="n">
        <v>1</v>
      </c>
      <c r="E29" s="50" t="n">
        <v>1</v>
      </c>
      <c r="F29" s="49" t="inlineStr">
        <is>
          <t>Recommended value in both annexes (UK NA Table NA.1; PL NA.9)</t>
        </is>
      </c>
    </row>
    <row r="30">
      <c r="B30" s="48" t="inlineStr">
        <is>
          <t>k2  (CCT node, σRd,max = k2 ν' fcd)</t>
        </is>
      </c>
      <c r="C30" s="49" t="inlineStr">
        <is>
          <t>6.5.4(4)b</t>
        </is>
      </c>
      <c r="D30" s="50" t="n">
        <v>0.85</v>
      </c>
      <c r="E30" s="50" t="n">
        <v>0.85</v>
      </c>
      <c r="F30" s="49" t="inlineStr">
        <is>
          <t>Recommended value in both annexes (UK NA Table NA.1; PL NA.9)</t>
        </is>
      </c>
    </row>
    <row r="31">
      <c r="B31" s="48" t="inlineStr">
        <is>
          <t>As,dbmin / Ac  (deep beam mesh, each face and direction)</t>
        </is>
      </c>
      <c r="C31" s="49" t="inlineStr">
        <is>
          <t>9.7(1)</t>
        </is>
      </c>
      <c r="D31" s="50" t="n">
        <v>0.002</v>
      </c>
      <c r="E31" s="50" t="n">
        <v>0.001</v>
      </c>
      <c r="F31" s="49" t="inlineStr">
        <is>
          <t>UK NA: 0.2 % in each face; PL: recommended 0.001 Ac (NA.9)</t>
        </is>
      </c>
    </row>
    <row r="32">
      <c r="B32" s="48" t="inlineStr">
        <is>
          <t>As,dbmin lower bound  (mm²/m, each face and direction; 0 = none)</t>
        </is>
      </c>
      <c r="C32" s="49" t="inlineStr">
        <is>
          <t>9.7(1)</t>
        </is>
      </c>
      <c r="D32" s="50" t="n">
        <v>0</v>
      </c>
      <c r="E32" s="50" t="n">
        <v>150</v>
      </c>
      <c r="F32" s="49" t="inlineStr">
        <is>
          <t>UK NA: 0.2 % only, no lower bound stated; PL: recommended 150 mm²/m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&amp;K8A8A8ANAE-RC-044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NAE-RC-044 Deep beam</dc:title>
  <dc:subject xmlns:dc="http://purl.org/dc/elements/1.1/">Simply supported deep beams  ·  strut-and-tie, EN 1992-1-1 §6.5, §9.7  ·  UK NA / PN-EN</dc:subject>
  <dcterms:created xmlns:dcterms="http://purl.org/dc/terms/" xmlns:xsi="http://www.w3.org/2001/XMLSchema-instance" xsi:type="dcterms:W3CDTF">2026-10-30T10:58:42Z</dcterms:created>
  <dcterms:modified xmlns:dcterms="http://purl.org/dc/terms/" xmlns:xsi="http://www.w3.org/2001/XMLSchema-instance" xsi:type="dcterms:W3CDTF">2026-10-30T10:58:43Z</dcterms:modified>
  <cp:lastModifiedBy>NA Engineering sp. z o.o.</cp:lastModifiedBy>
  <cp:keywords>NA Engineering; Eurocode 2; EN 1992-1-1</cp:keywords>
</cp:coreProperties>
</file>