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 xmlns:r="http://schemas.openxmlformats.org/officeDocument/2006/relationships" name="Interaction" sheetId="4" state="visible" r:id="rId4"/>
    <sheet xmlns:r="http://schemas.openxmlformats.org/officeDocument/2006/relationships" name="NDP" sheetId="5" state="visible" r:id="rId5"/>
  </sheets>
  <definedNames>
    <definedName name="NA_sel">'Calculation'!$E$11</definedName>
    <definedName name="conc_class">'Calculation'!$E$12</definedName>
    <definedName name="sn_fyk">'Calculation'!$E$13</definedName>
    <definedName name="sn_dg">'Calculation'!$E$14</definedName>
    <definedName name="sn_b">'Calculation'!$E$15</definedName>
    <definedName name="sn_h">'Calculation'!$E$16</definedName>
    <definedName name="sn_c">'Calculation'!$E$17</definedName>
    <definedName name="sn_phiw">'Calculation'!$E$18</definedName>
    <definedName name="sn_nt">'Calculation'!$E$19</definedName>
    <definedName name="sn_pt">'Calculation'!$E$20</definedName>
    <definedName name="sn_nb">'Calculation'!$E$21</definedName>
    <definedName name="sn_pb">'Calculation'!$E$22</definedName>
    <definedName name="sn_N">'Calculation'!$E$25</definedName>
    <definedName name="sn_M">'Calculation'!$E$26</definedName>
    <definedName name="sn_e0">'Calculation'!$E$27</definedName>
    <definedName name="dt_sn">sn_c+sn_phiw+sn_pt/2</definedName>
    <definedName name="db_sn">sn_c+sn_phiw+sn_pb/2</definedName>
    <definedName name="inputs_ok">IFERROR(AND(OR(NA_sel="UK NA (BS EN)",NA_sel="PL NA (PN-EN)"),OR(conc_class="C20/25",conc_class="C25/30",conc_class="C28/35",conc_class="C30/37",conc_class="C32/40",conc_class="C35/45",conc_class="C40/50",conc_class="C45/55",conc_class="C50/60"),ISNUMBER(sn_fyk),sn_fyk&gt;0,ISNUMBER(sn_dg),sn_dg&gt;0,ISNUMBER(sn_b),sn_b&gt;0,ISNUMBER(sn_h),sn_h&gt;0,ISNUMBER(sn_c),sn_c&gt;0,OR(AND(ISNUMBER(sn_phiw),sn_phiw=0),AND(ISNUMBER(sn_phiw),sn_phiw=6),AND(ISNUMBER(sn_phiw),sn_phiw=8),AND(ISNUMBER(sn_phiw),sn_phiw=10),AND(ISNUMBER(sn_phiw),sn_phiw=12)),OR(AND(ISNUMBER(sn_nt),sn_nt=0),AND(ISNUMBER(sn_nt),sn_nt=1),AND(ISNUMBER(sn_nt),sn_nt=2),AND(ISNUMBER(sn_nt),sn_nt=3),AND(ISNUMBER(sn_nt),sn_nt=4),AND(ISNUMBER(sn_nt),sn_nt=5),AND(ISNUMBER(sn_nt),sn_nt=6),AND(ISNUMBER(sn_nt),sn_nt=7),AND(ISNUMBER(sn_nt),sn_nt=8),AND(ISNUMBER(sn_nt),sn_nt=9),AND(ISNUMBER(sn_nt),sn_nt=10),AND(ISNUMBER(sn_nt),sn_nt=11),AND(ISNUMBER(sn_nt),sn_nt=12)),OR(AND(ISNUMBER(sn_pt),sn_pt=8),AND(ISNUMBER(sn_pt),sn_pt=10),AND(ISNUMBER(sn_pt),sn_pt=12),AND(ISNUMBER(sn_pt),sn_pt=16),AND(ISNUMBER(sn_pt),sn_pt=20),AND(ISNUMBER(sn_pt),sn_pt=25),AND(ISNUMBER(sn_pt),sn_pt=32),AND(ISNUMBER(sn_pt),sn_pt=40)),OR(AND(ISNUMBER(sn_nb),sn_nb=0),AND(ISNUMBER(sn_nb),sn_nb=1),AND(ISNUMBER(sn_nb),sn_nb=2),AND(ISNUMBER(sn_nb),sn_nb=3),AND(ISNUMBER(sn_nb),sn_nb=4),AND(ISNUMBER(sn_nb),sn_nb=5),AND(ISNUMBER(sn_nb),sn_nb=6),AND(ISNUMBER(sn_nb),sn_nb=7),AND(ISNUMBER(sn_nb),sn_nb=8),AND(ISNUMBER(sn_nb),sn_nb=9),AND(ISNUMBER(sn_nb),sn_nb=10),AND(ISNUMBER(sn_nb),sn_nb=11),AND(ISNUMBER(sn_nb),sn_nb=12)),OR(AND(ISNUMBER(sn_pb),sn_pb=8),AND(ISNUMBER(sn_pb),sn_pb=10),AND(ISNUMBER(sn_pb),sn_pb=12),AND(ISNUMBER(sn_pb),sn_pb=16),AND(ISNUMBER(sn_pb),sn_pb=20),AND(ISNUMBER(sn_pb),sn_pb=25),AND(ISNUMBER(sn_pb),sn_pb=32),AND(ISNUMBER(sn_pb),sn_pb=40)),ISNUMBER(sn_N),sn_N&gt;=-1000000.0,ISNUMBER(sn_M),sn_M&gt;=-1000000.0,OR(sn_e0="Yes",sn_e0="No"),AND(sn_fyk&gt;=400,sn_fyk&lt;=500,sn_nt+sn_nb&gt;=1,sn_b&gt;=2*(sn_c+sn_phiw)+sn_nt*sn_pt,sn_b&gt;=2*(sn_c+sn_phiw)+sn_nb*sn_pb,sn_h&gt;2*(sn_c+sn_phiw)+IF(sn_nt&gt;0,sn_pt,0)+IF(sn_nb&gt;0,sn_pb,0))),FALSE)</definedName>
    <definedName name="input_status">'Calculation'!$G$28</definedName>
    <definedName name="Nok_sn">AND(sn_N&gt;=NRdmin_sn,sn_N&lt;=NRdmax_sn)</definedName>
    <definedName name="ncand_sn">(rootS_sn+rootH_sn+(cntS_sn&gt;0)+(cntH_sn&gt;0))</definedName>
    <definedName name="res_sn">IFERROR(AND(inputs_ok,Nok_sn,ncand_sn&gt;0),FALSE)</definedName>
    <definedName name="sec_status">'Calculation'!$G$52</definedName>
    <definedName name="axial_status">'Calculation'!$G$55</definedName>
    <definedName name="e0_status">'Calculation'!$G$56</definedName>
    <definedName name="gap_status">'Calculation'!$G$57</definedName>
    <definedName name="gamma_c">'Calculation'!$E$81</definedName>
    <definedName name="gamma_s">'Calculation'!$E$82</definedName>
    <definedName name="alpha_cc">'Calculation'!$E$83</definedName>
    <definedName name="f_ck">'Calculation'!$E$84</definedName>
    <definedName name="f_ctm">'Calculation'!$E$85</definedName>
    <definedName name="fcd_sn">'Calculation'!$E$86</definedName>
    <definedName name="fyd_sn">'Calculation'!$E$87</definedName>
    <definedName name="Ac_sn">'Calculation'!$E$88</definedName>
    <definedName name="At_sn">'Calculation'!$E$89</definedName>
    <definedName name="Ab_sn">'Calculation'!$E$90</definedName>
    <definedName name="As_sn">'Calculation'!$E$91</definedName>
    <definedName name="NRdmax_sn">'Calculation'!$E$98</definedName>
    <definedName name="NRdmin_sn">'Calculation'!$E$99</definedName>
    <definedName name="Mpk_sn">'Calculation'!$E$100</definedName>
    <definedName name="rootS_sn">sn_N&lt;=INDEX(rawS_N,1)</definedName>
    <definedName name="rootH_sn">sn_N&lt;=INDEX(rawH_N,1)</definedName>
    <definedName name="xS_sn">'Calculation'!$E$103</definedName>
    <definedName name="xH_sn">'Calculation'!$E$105</definedName>
    <definedName name="MRdS_sn">'Calculation'!$E$110</definedName>
    <definedName name="MRdH_sn">'Calculation'!$E$111</definedName>
    <definedName name="e0_sn">'Calculation'!$E$114</definedName>
    <definedName name="Mmin_sn">'Calculation'!$E$115</definedName>
    <definedName name="both_sn">ABS(sn_M)&lt;Mmin_sn</definedName>
    <definedName name="reqS_sn">'Calculation'!$E$116</definedName>
    <definedName name="reqH_sn">'Calculation'!$E$117</definedName>
    <definedName name="gmint_sn">'Calculation'!$E$122</definedName>
    <definedName name="gapt_sn">'Calculation'!$E$123</definedName>
    <definedName name="gminb_sn">'Calculation'!$E$124</definedName>
    <definedName name="gapb_sn">'Calculation'!$E$125</definedName>
    <definedName name="gminv_sn">'Calculation'!$E$126</definedName>
    <definedName name="gapv_sn">'Calculation'!$E$127</definedName>
    <definedName name="nmS_N">'Interaction'!$E$13:$E$51</definedName>
    <definedName name="nmS_M">'Interaction'!$F$13:$F$51</definedName>
    <definedName name="nmH_N">'Interaction'!$G$13:$G$51</definedName>
    <definedName name="nmH_M">'Interaction'!$H$13:$H$51</definedName>
    <definedName name="nm_rows">39</definedName>
    <definedName name="bisS_N">'Interaction'!$G$115</definedName>
    <definedName name="bisS_M">'Interaction'!$H$115</definedName>
    <definedName name="bisS_x">'Interaction'!$E$115</definedName>
    <definedName name="bisH_N">'Interaction'!$G$178</definedName>
    <definedName name="bisH_M">'Interaction'!$H$178</definedName>
    <definedName name="bisH_x">'Interaction'!$E$178</definedName>
    <definedName name="rawS_N">'Interaction'!$E$183:$E$383</definedName>
    <definedName name="rawS_t">'Interaction'!$C$183:$C$383</definedName>
    <definedName name="kbS_sn">'Interaction'!$I$427</definedName>
    <definedName name="tstS_sn">'Interaction'!$F$427</definedName>
    <definedName name="NmxS_sn">'Interaction'!$H$427</definedName>
    <definedName name="NgsS_sn">'Interaction'!$G$427</definedName>
    <definedName name="posS_sn">kbS_sn+IF(tstS_sn&lt;INDEX(rawS_t,kbS_sn+1),1,0)</definedName>
    <definedName name="finS_t">'Interaction'!$C$431:$C$632</definedName>
    <definedName name="finS_N">'Interaction'!$E$431:$E$632</definedName>
    <definedName name="finS_hi">'Interaction'!$G$431:$G$631</definedName>
    <definedName name="finS_lo">'Interaction'!$H$431:$H$631</definedName>
    <definedName name="cntS_sn">COUNT(finS_hi)</definedName>
    <definedName name="refShi_N">'Interaction'!$F$685</definedName>
    <definedName name="refShi_M">'Interaction'!$G$685</definedName>
    <definedName name="refShi_t">'Interaction'!$E$685</definedName>
    <definedName name="refSlo_N">'Interaction'!$F$738</definedName>
    <definedName name="refSlo_M">'Interaction'!$G$738</definedName>
    <definedName name="refSlo_t">'Interaction'!$E$738</definedName>
    <definedName name="rawH_N">'Interaction'!$E$743:$E$943</definedName>
    <definedName name="rawH_t">'Interaction'!$C$743:$C$943</definedName>
    <definedName name="kbH_sn">'Interaction'!$I$987</definedName>
    <definedName name="tstH_sn">'Interaction'!$F$987</definedName>
    <definedName name="NmxH_sn">'Interaction'!$H$987</definedName>
    <definedName name="NgsH_sn">'Interaction'!$G$987</definedName>
    <definedName name="posH_sn">kbH_sn+IF(tstH_sn&lt;INDEX(rawH_t,kbH_sn+1),1,0)</definedName>
    <definedName name="finH_t">'Interaction'!$C$991:$C$1192</definedName>
    <definedName name="finH_N">'Interaction'!$E$991:$E$1192</definedName>
    <definedName name="finH_hi">'Interaction'!$G$991:$G$1191</definedName>
    <definedName name="finH_lo">'Interaction'!$H$991:$H$1191</definedName>
    <definedName name="cntH_sn">COUNT(finH_hi)</definedName>
    <definedName name="refHhi_N">'Interaction'!$F$1245</definedName>
    <definedName name="refHhi_M">'Interaction'!$G$1245</definedName>
    <definedName name="refHhi_t">'Interaction'!$E$1245</definedName>
    <definedName name="refHlo_N">'Interaction'!$F$1298</definedName>
    <definedName name="refHlo_M">'Interaction'!$G$1298</definedName>
    <definedName name="refHlo_t">'Interaction'!$E$1298</definedName>
    <definedName name="ndp_gamma_c">INDEX('NDP'!$D$6:$E$6,na_idx)</definedName>
    <definedName name="ndp_gamma_s">INDEX('NDP'!$D$7:$E$7,na_idx)</definedName>
    <definedName name="ndp_alpha_cc">INDEX('NDP'!$D$8:$E$8,na_idx)</definedName>
    <definedName name="ndp_alpha_cc_pl">INDEX('NDP'!$D$9:$E$9,na_idx)</definedName>
    <definedName name="ndp_alpha_cc_shear">INDEX('NDP'!$D$10:$E$10,na_idx)</definedName>
    <definedName name="ndp_alpha_ct">INDEX('NDP'!$D$11:$E$11,na_idx)</definedName>
    <definedName name="ndp_C_Rdc">INDEX('NDP'!$D$12:$E$12,na_idx)</definedName>
    <definedName name="ndp_k1_p">INDEX('NDP'!$D$13:$E$13,na_idx)</definedName>
    <definedName name="ndp_vmax">INDEX('NDP'!$D$14:$E$14,na_idx)</definedName>
    <definedName name="ndp_kmax">INDEX('NDP'!$D$15:$E$15,na_idx)</definedName>
    <definedName name="ndp_phi_large">INDEX('NDP'!$D$16:$E$16,na_idx)</definedName>
    <definedName name="ndp_cot_max">INDEX('NDP'!$D$17:$E$17,na_idx)</definedName>
    <definedName name="ndp_k1_red">INDEX('NDP'!$D$18:$E$18,na_idx)</definedName>
    <definedName name="ndp_k2_red">INDEX('NDP'!$D$19:$E$19,na_idx)</definedName>
    <definedName name="ndp_ld_mod_max">INDEX('NDP'!$D$20:$E$20,na_idx)</definedName>
    <definedName name="ndp_ld_cap_40K">INDEX('NDP'!$D$21:$E$21,na_idx)</definedName>
    <definedName name="ndp_phi_min_col">INDEX('NDP'!$D$22:$E$22,na_idx)</definedName>
    <definedName name="ndp_k3">INDEX('NDP'!$D$23:$E$23,na_idx)</definedName>
    <definedName name="ndp_k4">INDEX('NDP'!$D$24:$E$24,na_idx)</definedName>
    <definedName name="ndp_k1_sl">INDEX('NDP'!$D$25:$E$25,na_idx)</definedName>
    <definedName name="ndp_k2_sl">INDEX('NDP'!$D$26:$E$26,na_idx)</definedName>
    <definedName name="ndp_k3_sl">INDEX('NDP'!$D$27:$E$27,na_idx)</definedName>
    <definedName name="ndp_k4_sl">INDEX('NDP'!$D$28:$E$28,na_idx)</definedName>
    <definedName name="na_idx">IF(NA_sel="PL NA (PN-EN)",2,IF(NA_sel="UK NA (BS EN)",1,NA()))</definedName>
    <definedName name="_xlnm.Print_Area" localSheetId="0">'About'!$A$1:$D$39</definedName>
    <definedName name="_xlnm.Print_Area" localSheetId="1">'Calculation'!$A$1:$H$131</definedName>
    <definedName name="_xlnm.Print_Area" localSheetId="3">'Interaction'!$A$1:$H$1298</definedName>
    <definedName name="_xlnm.Print_Area" localSheetId="4">'NDP'!$A$1:$G$29</definedName>
  </definedNames>
  <calcPr calcId="124519" fullCalcOnLoad="1"/>
</workbook>
</file>

<file path=xl/styles.xml><?xml version="1.0" encoding="utf-8"?>
<styleSheet xmlns="http://schemas.openxmlformats.org/spreadsheetml/2006/main">
  <numFmts count="6">
    <numFmt numFmtId="164" formatCode="dd mmm yyyy"/>
    <numFmt numFmtId="165" formatCode="0.0"/>
    <numFmt numFmtId="166" formatCode="[&gt;=1E9]&quot;uniform&quot;;0"/>
    <numFmt numFmtId="167" formatCode="0.000000"/>
    <numFmt numFmtId="168" formatCode="0.0000"/>
    <numFmt numFmtId="169" formatCode="0.000"/>
  </numFmts>
  <fonts count="25">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b val="1"/>
      <color rgb="002B2B2B"/>
      <sz val="9"/>
    </font>
    <font>
      <name val="Calibri"/>
      <family val="2"/>
      <i val="1"/>
      <color rgb="008A8A8A"/>
      <sz val="9"/>
      <scheme val="minor"/>
    </font>
    <font>
      <name val="Calibri"/>
      <color rgb="002B2B2B"/>
      <sz val="11"/>
    </font>
    <font>
      <name val="Calibri"/>
      <b val="1"/>
      <color rgb="002B2B2B"/>
      <sz val="15"/>
    </font>
    <font>
      <name val="Calibri"/>
      <i val="1"/>
      <color rgb="008A8A8A"/>
      <sz val="8.5"/>
    </font>
    <font>
      <name val="Calibri"/>
      <i val="1"/>
      <color rgb="009A9A9A"/>
      <sz val="8.5"/>
    </font>
    <font>
      <name val="Calibri"/>
      <b val="1"/>
      <color rgb="008A8A8A"/>
      <sz val="9"/>
    </font>
    <font>
      <name val="Calibri"/>
      <color rgb="002B2B2B"/>
      <sz val="9.5"/>
    </font>
    <font>
      <name val="Calibri"/>
      <b val="1"/>
      <color rgb="005B7F8A"/>
      <sz val="9.5"/>
    </font>
    <font>
      <name val="Calibri"/>
      <color rgb="002B2B2B"/>
      <sz val="9"/>
    </font>
    <font>
      <name val="Calibri"/>
      <b val="1"/>
      <color rgb="002B2B2B"/>
      <sz val="16"/>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68">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0" fillId="0" borderId="1" applyAlignment="1" pivotButton="0" quotePrefix="0" xfId="0">
      <alignment horizontal="center" vertical="center"/>
    </xf>
    <xf numFmtId="0" fontId="8" fillId="0" borderId="1" applyAlignment="1" pivotButton="0" quotePrefix="0" xfId="0">
      <alignment vertical="center"/>
    </xf>
    <xf numFmtId="1" fontId="12" fillId="3" borderId="1" applyAlignment="1" applyProtection="1" pivotButton="0" quotePrefix="0" xfId="0">
      <alignment horizontal="center" vertical="center"/>
      <protection locked="0" hidden="0"/>
    </xf>
    <xf numFmtId="165" fontId="12" fillId="3" borderId="1" applyAlignment="1" applyProtection="1" pivotButton="0" quotePrefix="0" xfId="0">
      <alignment horizontal="center" vertical="center"/>
      <protection locked="0" hidden="0"/>
    </xf>
    <xf numFmtId="0" fontId="14" fillId="0" borderId="1" applyAlignment="1" pivotButton="0" quotePrefix="0" xfId="0">
      <alignment horizontal="center" vertical="center"/>
    </xf>
    <xf numFmtId="0" fontId="15" fillId="0" borderId="0" pivotButton="0" quotePrefix="0" xfId="0"/>
    <xf numFmtId="0" fontId="0" fillId="4" borderId="0" pivotButton="0" quotePrefix="0" xfId="0"/>
    <xf numFmtId="0" fontId="16" fillId="4" borderId="0" applyAlignment="1" pivotButton="0" quotePrefix="0" xfId="0">
      <alignment vertical="center"/>
    </xf>
    <xf numFmtId="0" fontId="0" fillId="4" borderId="0" applyAlignment="1" pivotButton="0" quotePrefix="0" xfId="0">
      <alignment horizontal="center" vertical="center"/>
    </xf>
    <xf numFmtId="165" fontId="17" fillId="4" borderId="0" applyAlignment="1" pivotButton="0" quotePrefix="0" xfId="0">
      <alignment horizontal="center" vertical="center"/>
    </xf>
    <xf numFmtId="0" fontId="4" fillId="4" borderId="0" applyAlignment="1" pivotButton="0" quotePrefix="0" xfId="0">
      <alignment vertical="center"/>
    </xf>
    <xf numFmtId="0" fontId="12" fillId="4" borderId="0" applyAlignment="1" pivotButton="0" quotePrefix="0" xfId="0">
      <alignment horizontal="center" vertical="center"/>
    </xf>
    <xf numFmtId="1" fontId="17" fillId="4" borderId="0" applyAlignment="1" pivotButton="0" quotePrefix="0" xfId="0">
      <alignment horizontal="center" vertical="center"/>
    </xf>
    <xf numFmtId="2" fontId="5" fillId="0" borderId="1" applyAlignment="1" pivotButton="0" quotePrefix="0" xfId="0">
      <alignment horizontal="center" vertical="center"/>
    </xf>
    <xf numFmtId="1" fontId="5" fillId="0" borderId="1" applyAlignment="1" pivotButton="0" quotePrefix="0" xfId="0">
      <alignment horizontal="center" vertical="center"/>
    </xf>
    <xf numFmtId="165" fontId="5" fillId="0" borderId="1" applyAlignment="1" pivotButton="0" quotePrefix="0" xfId="0">
      <alignment horizontal="center" vertical="center"/>
    </xf>
    <xf numFmtId="0" fontId="5" fillId="0" borderId="1" applyAlignment="1" pivotButton="0" quotePrefix="0" xfId="0">
      <alignment horizontal="center" vertical="center"/>
    </xf>
    <xf numFmtId="165" fontId="12" fillId="0" borderId="1" applyAlignment="1" pivotButton="0" quotePrefix="0" xfId="0">
      <alignment horizontal="center" vertical="center"/>
    </xf>
    <xf numFmtId="0" fontId="18" fillId="0" borderId="0" applyAlignment="1" pivotButton="0" quotePrefix="0" xfId="0">
      <alignment vertical="top" wrapText="1"/>
    </xf>
    <xf numFmtId="0" fontId="10" fillId="0" borderId="0" pivotButton="0" quotePrefix="0" xfId="0"/>
    <xf numFmtId="0" fontId="19" fillId="0" borderId="0" applyAlignment="1" pivotButton="0" quotePrefix="0" xfId="0">
      <alignment vertical="top" wrapText="1"/>
    </xf>
    <xf numFmtId="0" fontId="20" fillId="0" borderId="2" applyAlignment="1" pivotButton="0" quotePrefix="0" xfId="0">
      <alignment horizontal="center"/>
    </xf>
    <xf numFmtId="1" fontId="21" fillId="0" borderId="1" applyAlignment="1" pivotButton="0" quotePrefix="0" xfId="0">
      <alignment horizontal="center"/>
    </xf>
    <xf numFmtId="49" fontId="21" fillId="0" borderId="1" applyAlignment="1" pivotButton="0" quotePrefix="0" xfId="0">
      <alignment horizontal="center"/>
    </xf>
    <xf numFmtId="165" fontId="21" fillId="0" borderId="1" applyAlignment="1" pivotButton="0" quotePrefix="0" xfId="0">
      <alignment horizontal="center"/>
    </xf>
    <xf numFmtId="166" fontId="21" fillId="0" borderId="1" applyAlignment="1" pivotButton="0" quotePrefix="0" xfId="0">
      <alignment horizontal="center"/>
    </xf>
    <xf numFmtId="0" fontId="19" fillId="0" borderId="0" pivotButton="0" quotePrefix="0" xfId="0"/>
    <xf numFmtId="0" fontId="22" fillId="0" borderId="0" pivotButton="0" quotePrefix="0" xfId="0"/>
    <xf numFmtId="1" fontId="23" fillId="0" borderId="0" applyAlignment="1" pivotButton="0" quotePrefix="0" xfId="0">
      <alignment horizontal="center"/>
    </xf>
    <xf numFmtId="167" fontId="23" fillId="0" borderId="0" applyAlignment="1" pivotButton="0" quotePrefix="0" xfId="0">
      <alignment horizontal="center"/>
    </xf>
    <xf numFmtId="165" fontId="23" fillId="0" borderId="0" applyAlignment="1" pivotButton="0" quotePrefix="0" xfId="0">
      <alignment horizontal="center"/>
    </xf>
    <xf numFmtId="168" fontId="23" fillId="0" borderId="0" applyAlignment="1" pivotButton="0" quotePrefix="0" xfId="0">
      <alignment horizontal="center"/>
    </xf>
    <xf numFmtId="166" fontId="23" fillId="0" borderId="0" applyAlignment="1" pivotButton="0" quotePrefix="0" xfId="0">
      <alignment horizontal="center"/>
    </xf>
    <xf numFmtId="169" fontId="23" fillId="0" borderId="0" applyAlignment="1" pivotButton="0" quotePrefix="0" xfId="0">
      <alignment horizontal="center"/>
    </xf>
    <xf numFmtId="1" fontId="14" fillId="0" borderId="0" applyAlignment="1" pivotButton="0" quotePrefix="0" xfId="0">
      <alignment horizontal="center"/>
    </xf>
    <xf numFmtId="169" fontId="14" fillId="0" borderId="0" applyAlignment="1" pivotButton="0" quotePrefix="0" xfId="0">
      <alignment horizontal="center"/>
    </xf>
    <xf numFmtId="0" fontId="24" fillId="0" borderId="0" pivotButton="0" quotePrefix="0" xfId="0"/>
    <xf numFmtId="0" fontId="20" fillId="0" borderId="2" pivotButton="0" quotePrefix="0" xfId="0"/>
    <xf numFmtId="0" fontId="5" fillId="0" borderId="1" pivotButton="0" quotePrefix="0" xfId="0"/>
    <xf numFmtId="0" fontId="8" fillId="0" borderId="1" pivotButton="0" quotePrefix="0" xfId="0"/>
    <xf numFmtId="0" fontId="12" fillId="0" borderId="1" applyAlignment="1" pivotButton="0" quotePrefix="0" xfId="0">
      <alignment horizontal="center"/>
    </xf>
  </cellXfs>
  <cellStyles count="1">
    <cellStyle name="Normal" xfId="0" builtinId="0" hidden="0"/>
  </cellStyles>
  <dxfs count="3">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harts/chart1.xml><?xml version="1.0" encoding="utf-8"?>
<chartSpace xmlns="http://schemas.openxmlformats.org/drawingml/2006/chart">
  <style val="1"/>
  <chart>
    <plotArea>
      <scatterChart>
        <scatterStyle val="lineMarker"/>
        <ser>
          <idx val="0"/>
          <order val="0"/>
          <tx>
            <strRef>
              <f>'Geometry'!$A$2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r"/>
            <showLegendKey val="0"/>
            <showVal val="0"/>
            <showCatName val="0"/>
            <showSerName val="1"/>
            <showPercent val="0"/>
          </dLbls>
          <xVal>
            <numRef>
              <f>'Geometry'!$A$3</f>
            </numRef>
          </xVal>
          <yVal>
            <numRef>
              <f>'Geometry'!$B$3</f>
            </numRef>
          </yVal>
          <smooth val="0"/>
        </ser>
        <ser>
          <idx val="1"/>
          <order val="1"/>
          <tx>
            <v>section</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'Geometry'!$D$3:$D$7</f>
            </numRef>
          </xVal>
          <yVal>
            <numRef>
              <f>'Geometry'!$E$3:$E$7</f>
            </numRef>
          </yVal>
          <smooth val="0"/>
        </ser>
        <ser>
          <idx val="2"/>
          <order val="2"/>
          <tx>
            <v>link</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'Geometry'!$G$3:$G$7</f>
            </numRef>
          </xVal>
          <yVal>
            <numRef>
              <f>'Geometry'!$H$3:$H$7</f>
            </numRef>
          </yVal>
          <smooth val="0"/>
        </ser>
        <ser>
          <idx val="3"/>
          <order val="3"/>
          <tx>
            <v>bar top 0</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'Geometry'!$J$3:$J$15</f>
            </numRef>
          </xVal>
          <yVal>
            <numRef>
              <f>'Geometry'!$K$3:$K$15</f>
            </numRef>
          </yVal>
          <smooth val="0"/>
        </ser>
        <ser>
          <idx val="4"/>
          <order val="4"/>
          <tx>
            <v>bar top 1</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'Geometry'!$M$3:$M$15</f>
            </numRef>
          </xVal>
          <yVal>
            <numRef>
              <f>'Geometry'!$N$3:$N$15</f>
            </numRef>
          </yVal>
          <smooth val="0"/>
        </ser>
        <ser>
          <idx val="5"/>
          <order val="5"/>
          <tx>
            <v>bar top 2</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'Geometry'!$P$3:$P$15</f>
            </numRef>
          </xVal>
          <yVal>
            <numRef>
              <f>'Geometry'!$Q$3:$Q$15</f>
            </numRef>
          </yVal>
          <smooth val="0"/>
        </ser>
        <ser>
          <idx val="6"/>
          <order val="6"/>
          <tx>
            <v>bar top 3</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'Geometry'!$S$3:$S$15</f>
            </numRef>
          </xVal>
          <yVal>
            <numRef>
              <f>'Geometry'!$T$3:$T$15</f>
            </numRef>
          </yVal>
          <smooth val="0"/>
        </ser>
        <ser>
          <idx val="7"/>
          <order val="7"/>
          <tx>
            <v>bar top 4</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'Geometry'!$V$3:$V$15</f>
            </numRef>
          </xVal>
          <yVal>
            <numRef>
              <f>'Geometry'!$W$3:$W$15</f>
            </numRef>
          </yVal>
          <smooth val="0"/>
        </ser>
        <ser>
          <idx val="8"/>
          <order val="8"/>
          <tx>
            <v>bar top 5</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'Geometry'!$Y$3:$Y$15</f>
            </numRef>
          </xVal>
          <yVal>
            <numRef>
              <f>'Geometry'!$Z$3:$Z$15</f>
            </numRef>
          </yVal>
          <smooth val="0"/>
        </ser>
        <ser>
          <idx val="9"/>
          <order val="9"/>
          <tx>
            <v>bar top 6</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'Geometry'!$AB$3:$AB$15</f>
            </numRef>
          </xVal>
          <yVal>
            <numRef>
              <f>'Geometry'!$AC$3:$AC$15</f>
            </numRef>
          </yVal>
          <smooth val="0"/>
        </ser>
        <ser>
          <idx val="10"/>
          <order val="10"/>
          <tx>
            <v>bar top 7</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'Geometry'!$AE$3:$AE$15</f>
            </numRef>
          </xVal>
          <yVal>
            <numRef>
              <f>'Geometry'!$AF$3:$AF$15</f>
            </numRef>
          </yVal>
          <smooth val="0"/>
        </ser>
        <ser>
          <idx val="11"/>
          <order val="11"/>
          <tx>
            <v>bar top 8</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'Geometry'!$AH$3:$AH$15</f>
            </numRef>
          </xVal>
          <yVal>
            <numRef>
              <f>'Geometry'!$AI$3:$AI$15</f>
            </numRef>
          </yVal>
          <smooth val="0"/>
        </ser>
        <ser>
          <idx val="12"/>
          <order val="12"/>
          <tx>
            <v>bar top 9</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'Geometry'!$AK$3:$AK$15</f>
            </numRef>
          </xVal>
          <yVal>
            <numRef>
              <f>'Geometry'!$AL$3:$AL$15</f>
            </numRef>
          </yVal>
          <smooth val="0"/>
        </ser>
        <ser>
          <idx val="13"/>
          <order val="13"/>
          <tx>
            <v>bar top 10</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'Geometry'!$AN$3:$AN$15</f>
            </numRef>
          </xVal>
          <yVal>
            <numRef>
              <f>'Geometry'!$AO$3:$AO$15</f>
            </numRef>
          </yVal>
          <smooth val="0"/>
        </ser>
        <ser>
          <idx val="14"/>
          <order val="14"/>
          <tx>
            <v>bar top 11</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'Geometry'!$AQ$3:$AQ$15</f>
            </numRef>
          </xVal>
          <yVal>
            <numRef>
              <f>'Geometry'!$AR$3:$AR$15</f>
            </numRef>
          </yVal>
          <smooth val="0"/>
        </ser>
        <ser>
          <idx val="15"/>
          <order val="15"/>
          <tx>
            <v>bar bottom 0</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'Geometry'!$AT$3:$AT$15</f>
            </numRef>
          </xVal>
          <yVal>
            <numRef>
              <f>'Geometry'!$AU$3:$AU$15</f>
            </numRef>
          </yVal>
          <smooth val="0"/>
        </ser>
        <ser>
          <idx val="16"/>
          <order val="16"/>
          <tx>
            <v>bar bottom 1</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'Geometry'!$AW$3:$AW$15</f>
            </numRef>
          </xVal>
          <yVal>
            <numRef>
              <f>'Geometry'!$AX$3:$AX$15</f>
            </numRef>
          </yVal>
          <smooth val="0"/>
        </ser>
        <ser>
          <idx val="17"/>
          <order val="17"/>
          <tx>
            <v>bar bottom 2</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'Geometry'!$AZ$3:$AZ$15</f>
            </numRef>
          </xVal>
          <yVal>
            <numRef>
              <f>'Geometry'!$BA$3:$BA$15</f>
            </numRef>
          </yVal>
          <smooth val="0"/>
        </ser>
        <ser>
          <idx val="18"/>
          <order val="18"/>
          <tx>
            <v>bar bottom 3</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'Geometry'!$BC$3:$BC$15</f>
            </numRef>
          </xVal>
          <yVal>
            <numRef>
              <f>'Geometry'!$BD$3:$BD$15</f>
            </numRef>
          </yVal>
          <smooth val="0"/>
        </ser>
        <ser>
          <idx val="19"/>
          <order val="19"/>
          <tx>
            <v>bar bottom 4</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'Geometry'!$BF$3:$BF$15</f>
            </numRef>
          </xVal>
          <yVal>
            <numRef>
              <f>'Geometry'!$BG$3:$BG$15</f>
            </numRef>
          </yVal>
          <smooth val="0"/>
        </ser>
        <ser>
          <idx val="20"/>
          <order val="20"/>
          <tx>
            <v>bar bottom 5</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'Geometry'!$BI$3:$BI$15</f>
            </numRef>
          </xVal>
          <yVal>
            <numRef>
              <f>'Geometry'!$BJ$3:$BJ$15</f>
            </numRef>
          </yVal>
          <smooth val="0"/>
        </ser>
        <ser>
          <idx val="21"/>
          <order val="21"/>
          <tx>
            <v>bar bottom 6</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'Geometry'!$BL$3:$BL$15</f>
            </numRef>
          </xVal>
          <yVal>
            <numRef>
              <f>'Geometry'!$BM$3:$BM$15</f>
            </numRef>
          </yVal>
          <smooth val="0"/>
        </ser>
        <ser>
          <idx val="22"/>
          <order val="22"/>
          <tx>
            <v>bar bottom 7</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'Geometry'!$BO$3:$BO$15</f>
            </numRef>
          </xVal>
          <yVal>
            <numRef>
              <f>'Geometry'!$BP$3:$BP$15</f>
            </numRef>
          </yVal>
          <smooth val="0"/>
        </ser>
        <ser>
          <idx val="23"/>
          <order val="23"/>
          <tx>
            <v>bar bottom 8</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'Geometry'!$BR$3:$BR$15</f>
            </numRef>
          </xVal>
          <yVal>
            <numRef>
              <f>'Geometry'!$BS$3:$BS$15</f>
            </numRef>
          </yVal>
          <smooth val="0"/>
        </ser>
        <ser>
          <idx val="24"/>
          <order val="24"/>
          <tx>
            <v>bar bottom 9</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'Geometry'!$BU$3:$BU$15</f>
            </numRef>
          </xVal>
          <yVal>
            <numRef>
              <f>'Geometry'!$BV$3:$BV$15</f>
            </numRef>
          </yVal>
          <smooth val="0"/>
        </ser>
        <ser>
          <idx val="25"/>
          <order val="25"/>
          <tx>
            <v>bar bottom 10</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'Geometry'!$BX$3:$BX$15</f>
            </numRef>
          </xVal>
          <yVal>
            <numRef>
              <f>'Geometry'!$BY$3:$BY$15</f>
            </numRef>
          </yVal>
          <smooth val="0"/>
        </ser>
        <ser>
          <idx val="26"/>
          <order val="26"/>
          <tx>
            <v>bar bottom 11</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'Geometry'!$CA$3:$CA$15</f>
            </numRef>
          </xVal>
          <yVal>
            <numRef>
              <f>'Geometry'!$CB$3:$CB$15</f>
            </numRef>
          </yVal>
          <smooth val="0"/>
        </ser>
        <ser>
          <idx val="27"/>
          <order val="27"/>
          <tx>
            <v>neutral axis</v>
          </tx>
          <spPr>
            <a:ln xmlns:a="http://schemas.openxmlformats.org/drawingml/2006/main" w="12700">
              <a:solidFill>
                <a:srgbClr val="5B7F8A"/>
              </a:solidFill>
              <a:prstDash val="dash"/>
            </a:ln>
          </spPr>
          <marker>
            <symbol val="none"/>
            <spPr>
              <a:ln xmlns:a="http://schemas.openxmlformats.org/drawingml/2006/main">
                <a:prstDash val="solid"/>
              </a:ln>
            </spPr>
          </marker>
          <xVal>
            <numRef>
              <f>'Geometry'!$CD$3:$CD$4</f>
            </numRef>
          </xVal>
          <yVal>
            <numRef>
              <f>'Geometry'!$CE$3:$CE$4</f>
            </numRef>
          </yVal>
          <smooth val="0"/>
        </ser>
        <ser>
          <idx val="28"/>
          <order val="28"/>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'Geometry'!$CG$3:$CG$4</f>
            </numRef>
          </xVal>
          <yVal>
            <numRef>
              <f>'Geometry'!$CH$3:$CH$4</f>
            </numRef>
          </yVal>
          <smooth val="0"/>
        </ser>
        <ser>
          <idx val="29"/>
          <order val="29"/>
          <tx>
            <strRef>
              <f>'Geometry'!$CJ$2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'Geometry'!$CJ$3</f>
            </numRef>
          </xVal>
          <yVal>
            <numRef>
              <f>'Geometry'!$CK$3</f>
            </numRef>
          </yVal>
          <smooth val="0"/>
        </ser>
        <ser>
          <idx val="30"/>
          <order val="30"/>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'Geometry'!$CM$3:$CM$4</f>
            </numRef>
          </xVal>
          <yVal>
            <numRef>
              <f>'Geometry'!$CN$3:$CN$4</f>
            </numRef>
          </yVal>
          <smooth val="0"/>
        </ser>
        <ser>
          <idx val="31"/>
          <order val="31"/>
          <tx>
            <strRef>
              <f>'Geometry'!$CP$2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l"/>
            <showLegendKey val="0"/>
            <showVal val="0"/>
            <showCatName val="0"/>
            <showSerName val="1"/>
            <showPercent val="0"/>
          </dLbls>
          <xVal>
            <numRef>
              <f>'Geometry'!$CP$3</f>
            </numRef>
          </xVal>
          <yVal>
            <numRef>
              <f>'Geometry'!$CQ$3</f>
            </numRef>
          </yVal>
          <smooth val="0"/>
        </ser>
        <ser>
          <idx val="32"/>
          <order val="32"/>
          <tx>
            <strRef>
              <f>'Geometry'!$CS$2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r"/>
            <showLegendKey val="0"/>
            <showVal val="0"/>
            <showCatName val="0"/>
            <showSerName val="1"/>
            <showPercent val="0"/>
          </dLbls>
          <xVal>
            <numRef>
              <f>'Geometry'!$CS$3</f>
            </numRef>
          </xVal>
          <yVal>
            <numRef>
              <f>'Geometry'!$CT$3</f>
            </numRef>
          </yVal>
          <smooth val="0"/>
        </ser>
        <ser>
          <idx val="33"/>
          <order val="33"/>
          <tx>
            <strRef>
              <f>'Geometry'!$CV$2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r"/>
            <showLegendKey val="0"/>
            <showVal val="0"/>
            <showCatName val="0"/>
            <showSerName val="1"/>
            <showPercent val="0"/>
          </dLbls>
          <xVal>
            <numRef>
              <f>'Geometry'!$CV$3</f>
            </numRef>
          </xVal>
          <yVal>
            <numRef>
              <f>'Geometry'!$CW$3</f>
            </numRef>
          </yVal>
          <smooth val="0"/>
        </ser>
        <ser>
          <idx val="34"/>
          <order val="34"/>
          <tx>
            <strRef>
              <f>'Geometry'!$CY$2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5B7F8A"/>
                    </a:solidFill>
                  </a:defRPr>
                </a:pPr>
                <a:r>
                  <a:t/>
                </a:r>
                <a:endParaRPr sz="800">
                  <a:solidFill>
                    <a:srgbClr val="5B7F8A"/>
                  </a:solidFill>
                </a:endParaRPr>
              </a:p>
            </txPr>
            <dLblPos val="r"/>
            <showLegendKey val="0"/>
            <showVal val="0"/>
            <showCatName val="0"/>
            <showSerName val="1"/>
            <showPercent val="0"/>
          </dLbls>
          <xVal>
            <numRef>
              <f>'Geometry'!$CY$3</f>
            </numRef>
          </xVal>
          <yVal>
            <numRef>
              <f>'Geometry'!$CZ$3</f>
            </numRef>
          </yVal>
          <smooth val="0"/>
        </ser>
        <ser>
          <idx val="35"/>
          <order val="35"/>
          <tx>
            <strRef>
              <f>'Geometry'!$DB$2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t"/>
            <showLegendKey val="0"/>
            <showVal val="0"/>
            <showCatName val="0"/>
            <showSerName val="1"/>
            <showPercent val="0"/>
          </dLbls>
          <xVal>
            <numRef>
              <f>'Geometry'!$DB$3</f>
            </numRef>
          </xVal>
          <yVal>
            <numRef>
              <f>'Geometry'!$DC$3</f>
            </numRef>
          </yVal>
          <smooth val="0"/>
        </ser>
        <ser>
          <idx val="36"/>
          <order val="36"/>
          <tx>
            <v>frame</v>
          </tx>
          <spPr>
            <a:ln xmlns:a="http://schemas.openxmlformats.org/drawingml/2006/main">
              <a:noFill/>
              <a:prstDash val="solid"/>
            </a:ln>
          </spPr>
          <marker>
            <symbol val="none"/>
            <spPr>
              <a:ln xmlns:a="http://schemas.openxmlformats.org/drawingml/2006/main">
                <a:prstDash val="solid"/>
              </a:ln>
            </spPr>
          </marker>
          <xVal>
            <numRef>
              <f>'Geometry'!$DE$3:$DE$4</f>
            </numRef>
          </xVal>
          <yVal>
            <numRef>
              <f>'Geometry'!$DF$3:$DF$4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charts/chart2.xml><?xml version="1.0" encoding="utf-8"?>
<chartSpace xmlns="http://schemas.openxmlformats.org/drawingml/2006/chart">
  <style val="1"/>
  <chart>
    <plotArea>
      <scatterChart>
        <scatterStyle val="lineMarker"/>
        <ser>
          <idx val="0"/>
          <order val="0"/>
          <tx>
            <strRef>
              <f>'Geometry'!$DH$2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r"/>
            <showLegendKey val="0"/>
            <showVal val="0"/>
            <showCatName val="0"/>
            <showSerName val="1"/>
            <showPercent val="0"/>
          </dLbls>
          <xVal>
            <numRef>
              <f>'Geometry'!$DH$3</f>
            </numRef>
          </xVal>
          <yVal>
            <numRef>
              <f>'Geometry'!$DI$3</f>
            </numRef>
          </yVal>
          <smooth val="0"/>
        </ser>
        <ser>
          <idx val="1"/>
          <order val="1"/>
          <tx>
            <v>M axis</v>
          </tx>
          <spPr>
            <a:ln xmlns:a="http://schemas.openxmlformats.org/drawingml/2006/main" w="9525">
              <a:solidFill>
                <a:srgbClr val="9A9A9A"/>
              </a:solidFill>
              <a:prstDash val="solid"/>
            </a:ln>
          </spPr>
          <marker>
            <symbol val="none"/>
            <spPr>
              <a:ln xmlns:a="http://schemas.openxmlformats.org/drawingml/2006/main">
                <a:prstDash val="solid"/>
              </a:ln>
            </spPr>
          </marker>
          <xVal>
            <numRef>
              <f>'Geometry'!$DK$3:$DK$4</f>
            </numRef>
          </xVal>
          <yVal>
            <numRef>
              <f>'Geometry'!$DL$3:$DL$4</f>
            </numRef>
          </yVal>
          <smooth val="0"/>
        </ser>
        <ser>
          <idx val="2"/>
          <order val="2"/>
          <tx>
            <v>N axis</v>
          </tx>
          <spPr>
            <a:ln xmlns:a="http://schemas.openxmlformats.org/drawingml/2006/main" w="9525">
              <a:solidFill>
                <a:srgbClr val="9A9A9A"/>
              </a:solidFill>
              <a:prstDash val="solid"/>
            </a:ln>
          </spPr>
          <marker>
            <symbol val="none"/>
            <spPr>
              <a:ln xmlns:a="http://schemas.openxmlformats.org/drawingml/2006/main">
                <a:prstDash val="solid"/>
              </a:ln>
            </spPr>
          </marker>
          <xVal>
            <numRef>
              <f>'Geometry'!$DN$3:$DN$4</f>
            </numRef>
          </xVal>
          <yVal>
            <numRef>
              <f>'Geometry'!$DO$3:$DO$4</f>
            </numRef>
          </yVal>
          <smooth val="0"/>
        </ser>
        <ser>
          <idx val="3"/>
          <order val="3"/>
          <tx>
            <v>sagging</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'Geometry'!$DQ$3:$DQ$41</f>
            </numRef>
          </xVal>
          <yVal>
            <numRef>
              <f>'Geometry'!$DR$3:$DR$41</f>
            </numRef>
          </yVal>
          <smooth val="0"/>
        </ser>
        <ser>
          <idx val="4"/>
          <order val="4"/>
          <tx>
            <v>hogging</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'Geometry'!$DT$3:$DT$41</f>
            </numRef>
          </xVal>
          <yVal>
            <numRef>
              <f>'Geometry'!$DU$3:$DU$41</f>
            </numRef>
          </yVal>
          <smooth val="0"/>
        </ser>
        <ser>
          <idx val="5"/>
          <order val="5"/>
          <tx>
            <v>NEd line</v>
          </tx>
          <spPr>
            <a:ln xmlns:a="http://schemas.openxmlformats.org/drawingml/2006/main" w="9525">
              <a:solidFill>
                <a:srgbClr val="9A9A9A"/>
              </a:solidFill>
              <a:prstDash val="dash"/>
            </a:ln>
          </spPr>
          <marker>
            <symbol val="none"/>
            <spPr>
              <a:ln xmlns:a="http://schemas.openxmlformats.org/drawingml/2006/main">
                <a:prstDash val="solid"/>
              </a:ln>
            </spPr>
          </marker>
          <xVal>
            <numRef>
              <f>'Geometry'!$DW$3:$DW$4</f>
            </numRef>
          </xVal>
          <yVal>
            <numRef>
              <f>'Geometry'!$DX$3:$DX$4</f>
            </numRef>
          </yVal>
          <smooth val="0"/>
        </ser>
        <ser>
          <idx val="6"/>
          <order val="6"/>
          <tx>
            <v>resistance</v>
          </tx>
          <spPr>
            <a:ln xmlns:a="http://schemas.openxmlformats.org/drawingml/2006/main">
              <a:noFill/>
              <a:prstDash val="solid"/>
            </a:ln>
          </spPr>
          <marker>
            <symbol val="circle"/>
            <size val="6"/>
            <spPr>
              <a:solidFill xmlns:a="http://schemas.openxmlformats.org/drawingml/2006/main">
                <a:srgbClr val="2B2B2B"/>
              </a:solidFill>
              <a:ln xmlns:a="http://schemas.openxmlformats.org/drawingml/2006/main">
                <a:solidFill>
                  <a:srgbClr val="2B2B2B"/>
                </a:solidFill>
                <a:prstDash val="solid"/>
              </a:ln>
            </spPr>
          </marker>
          <xVal>
            <numRef>
              <f>'Geometry'!$DZ$3:$DZ$4</f>
            </numRef>
          </xVal>
          <yVal>
            <numRef>
              <f>'Geometry'!$EA$3:$EA$4</f>
            </numRef>
          </yVal>
          <smooth val="0"/>
        </ser>
        <ser>
          <idx val="7"/>
          <order val="7"/>
          <tx>
            <v>minimum</v>
          </tx>
          <spPr>
            <a:ln xmlns:a="http://schemas.openxmlformats.org/drawingml/2006/main">
              <a:noFill/>
              <a:prstDash val="solid"/>
            </a:ln>
          </spPr>
          <marker>
            <symbol val="circle"/>
            <size val="5"/>
            <spPr>
              <a:solidFill xmlns:a="http://schemas.openxmlformats.org/drawingml/2006/main">
                <a:srgbClr val="B3261E"/>
              </a:solidFill>
              <a:ln xmlns:a="http://schemas.openxmlformats.org/drawingml/2006/main">
                <a:solidFill>
                  <a:srgbClr val="B3261E"/>
                </a:solidFill>
                <a:prstDash val="solid"/>
              </a:ln>
            </spPr>
          </marker>
          <xVal>
            <numRef>
              <f>'Geometry'!$EC$3:$EC$4</f>
            </numRef>
          </xVal>
          <yVal>
            <numRef>
              <f>'Geometry'!$ED$3:$ED$4</f>
            </numRef>
          </yVal>
          <smooth val="0"/>
        </ser>
        <ser>
          <idx val="8"/>
          <order val="8"/>
          <tx>
            <v>design</v>
          </tx>
          <spPr>
            <a:ln xmlns:a="http://schemas.openxmlformats.org/drawingml/2006/main">
              <a:noFill/>
              <a:prstDash val="solid"/>
            </a:ln>
          </spPr>
          <marker>
            <symbol val="circle"/>
            <size val="8"/>
            <spPr>
              <a:solidFill xmlns:a="http://schemas.openxmlformats.org/drawingml/2006/main">
                <a:srgbClr val="B3261E"/>
              </a:solidFill>
              <a:ln xmlns:a="http://schemas.openxmlformats.org/drawingml/2006/main">
                <a:solidFill>
                  <a:srgbClr val="B3261E"/>
                </a:solidFill>
                <a:prstDash val="solid"/>
              </a:ln>
            </spPr>
          </marker>
          <xVal>
            <numRef>
              <f>'Geometry'!$EF$3</f>
            </numRef>
          </xVal>
          <yVal>
            <numRef>
              <f>'Geometry'!$EG$3</f>
            </numRef>
          </yVal>
          <smooth val="0"/>
        </ser>
        <ser>
          <idx val="9"/>
          <order val="9"/>
          <tx>
            <v>N (kN)</v>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t"/>
            <showLegendKey val="0"/>
            <showVal val="0"/>
            <showCatName val="0"/>
            <showSerName val="1"/>
            <showPercent val="0"/>
          </dLbls>
          <xVal>
            <numRef>
              <f>'Geometry'!$EI$3</f>
            </numRef>
          </xVal>
          <yVal>
            <numRef>
              <f>'Geometry'!$EJ$3</f>
            </numRef>
          </yVal>
          <smooth val="0"/>
        </ser>
        <ser>
          <idx val="10"/>
          <order val="10"/>
          <tx>
            <v>M (kNm)</v>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r"/>
            <showLegendKey val="0"/>
            <showVal val="0"/>
            <showCatName val="0"/>
            <showSerName val="1"/>
            <showPercent val="0"/>
          </dLbls>
          <xVal>
            <numRef>
              <f>'Geometry'!$EL$3</f>
            </numRef>
          </xVal>
          <yVal>
            <numRef>
              <f>'Geometry'!$EM$3</f>
            </numRef>
          </yVal>
          <smooth val="0"/>
        </ser>
        <ser>
          <idx val="11"/>
          <order val="11"/>
          <tx>
            <strRef>
              <f>'Geometry'!$EO$2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l"/>
            <showLegendKey val="0"/>
            <showVal val="0"/>
            <showCatName val="0"/>
            <showSerName val="1"/>
            <showPercent val="0"/>
          </dLbls>
          <xVal>
            <numRef>
              <f>'Geometry'!$EO$3</f>
            </numRef>
          </xVal>
          <yVal>
            <numRef>
              <f>'Geometry'!$EP$3</f>
            </numRef>
          </yVal>
          <smooth val="0"/>
        </ser>
        <ser>
          <idx val="12"/>
          <order val="12"/>
          <tx>
            <strRef>
              <f>'Geometry'!$ER$2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l"/>
            <showLegendKey val="0"/>
            <showVal val="0"/>
            <showCatName val="0"/>
            <showSerName val="1"/>
            <showPercent val="0"/>
          </dLbls>
          <xVal>
            <numRef>
              <f>'Geometry'!$ER$3</f>
            </numRef>
          </xVal>
          <yVal>
            <numRef>
              <f>'Geometry'!$ES$3</f>
            </numRef>
          </yVal>
          <smooth val="0"/>
        </ser>
        <ser>
          <idx val="13"/>
          <order val="13"/>
          <tx>
            <strRef>
              <f>'Geometry'!$EU$2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b"/>
            <showLegendKey val="0"/>
            <showVal val="0"/>
            <showCatName val="0"/>
            <showSerName val="1"/>
            <showPercent val="0"/>
          </dLbls>
          <xVal>
            <numRef>
              <f>'Geometry'!$EU$3</f>
            </numRef>
          </xVal>
          <yVal>
            <numRef>
              <f>'Geometry'!$EV$3</f>
            </numRef>
          </yVal>
          <smooth val="0"/>
        </ser>
        <ser>
          <idx val="14"/>
          <order val="14"/>
          <tx>
            <strRef>
              <f>'Geometry'!$EX$2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r"/>
            <showLegendKey val="0"/>
            <showVal val="0"/>
            <showCatName val="0"/>
            <showSerName val="1"/>
            <showPercent val="0"/>
          </dLbls>
          <xVal>
            <numRef>
              <f>'Geometry'!$EX$3</f>
            </numRef>
          </xVal>
          <yVal>
            <numRef>
              <f>'Geometry'!$EY$3</f>
            </numRef>
          </yVal>
          <smooth val="0"/>
        </ser>
        <ser>
          <idx val="15"/>
          <order val="15"/>
          <tx>
            <strRef>
              <f>'Geometry'!$FA$2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l"/>
            <showLegendKey val="0"/>
            <showVal val="0"/>
            <showCatName val="0"/>
            <showSerName val="1"/>
            <showPercent val="0"/>
          </dLbls>
          <xVal>
            <numRef>
              <f>'Geometry'!$FA$3</f>
            </numRef>
          </xVal>
          <yVal>
            <numRef>
              <f>'Geometry'!$FB$3</f>
            </numRef>
          </yVal>
          <smooth val="0"/>
        </ser>
        <ser>
          <idx val="16"/>
          <order val="16"/>
          <tx>
            <v>frame</v>
          </tx>
          <spPr>
            <a:ln xmlns:a="http://schemas.openxmlformats.org/drawingml/2006/main">
              <a:noFill/>
              <a:prstDash val="solid"/>
            </a:ln>
          </spPr>
          <marker>
            <symbol val="none"/>
            <spPr>
              <a:ln xmlns:a="http://schemas.openxmlformats.org/drawingml/2006/main">
                <a:prstDash val="solid"/>
              </a:ln>
            </spPr>
          </marker>
          <xVal>
            <numRef>
              <f>'Geometry'!$FD$3:$FD$4</f>
            </numRef>
          </xVal>
          <yVal>
            <numRef>
              <f>'Geometry'!$FE$3:$FE$4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image" Target="/xl/media/image2.png" Id="rId3"/></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30</row>
      <rowOff>0</rowOff>
    </from>
    <ext cx="5301000" cy="34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2</col>
      <colOff>0</colOff>
      <row>59</row>
      <rowOff>0</rowOff>
    </from>
    <ext cx="5301000" cy="342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1</col>
      <colOff>0</colOff>
      <row>1</row>
      <rowOff>0</rowOff>
    </from>
    <ext cx="1514475" cy="32385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Section N-M interaction</t>
        </is>
      </c>
    </row>
    <row r="8" ht="20" customHeight="1">
      <c r="B8" s="4" t="inlineStr">
        <is>
          <t>Rectangular sections under axial force and bending  ·  EN 1992-1-1 §6.1  ·  UK NA / PN-EN</t>
        </is>
      </c>
    </row>
    <row r="10">
      <c r="B10" s="5" t="inlineStr">
        <is>
          <t>Reference</t>
        </is>
      </c>
      <c r="C10" s="6" t="inlineStr">
        <is>
          <t>NAE-RC-043  ·  version 1.0</t>
        </is>
      </c>
    </row>
    <row r="11" ht="31" customHeight="1">
      <c r="B11" s="5" t="inlineStr">
        <is>
          <t>Standards</t>
        </is>
      </c>
      <c r="C11" s="7" t="inlineStr">
        <is>
          <t>BS EN 1992-1-1:2004 with UK NA  ·  PN-EN 1992-1-1:2008 with Polish NA (NDP sources listed on the NDP sheet)</t>
        </is>
      </c>
    </row>
    <row r="12">
      <c r="B12" s="5" t="inlineStr">
        <is>
          <t>National Annex</t>
        </is>
      </c>
      <c r="C12" s="6" t="inlineStr">
        <is>
          <t>Selectable: UK NA to BS EN 1992-1-1 or Polish NA to PN-EN 1992-1-1</t>
        </is>
      </c>
    </row>
    <row r="13">
      <c r="B13" s="5" t="inlineStr">
        <is>
          <t>Issued</t>
        </is>
      </c>
      <c r="C13" s="6" t="inlineStr">
        <is>
          <t>30 October 2026</t>
        </is>
      </c>
    </row>
    <row r="15" ht="20" customHeight="1">
      <c r="B15" s="8" t="inlineStr">
        <is>
          <t>What it does</t>
        </is>
      </c>
      <c r="C15" s="9" t="n"/>
    </row>
    <row r="16" ht="47.5" customHeight="1">
      <c r="B16" s="7" t="inlineStr">
        <is>
          <t>Resistance of a rectangular reinforced concrete section to an axial force, in compression or tension, together with a bending moment of either sign: the full N-M interaction diagram by strain compatibility for the top and the bottom face in compression, and the moment resistances at the design axial force.</t>
        </is>
      </c>
    </row>
    <row r="18" ht="20" customHeight="1">
      <c r="B18" s="8" t="inlineStr">
        <is>
          <t>How to use</t>
        </is>
      </c>
      <c r="C18" s="9" t="n"/>
    </row>
    <row r="19" ht="47.5" customHeight="1">
      <c r="B19" s="7" t="inlineStr">
        <is>
          <t>1.  Open the Calculation sheet and select the National Annex.
2.  Fill in the shaded input cells. Everything else is calculated.
3.  Read the Results block; every step below it quotes its clause. Print or save as PDF for your calculation package.</t>
        </is>
      </c>
    </row>
    <row r="21" ht="20" customHeight="1">
      <c r="B21" s="8" t="inlineStr">
        <is>
          <t>Scope and limitations</t>
        </is>
      </c>
      <c r="C21" s="9" t="n"/>
    </row>
    <row r="22" ht="192.5" customHeight="1">
      <c r="B22" s="7" t="inlineStr">
        <is>
          <t>Rectangular section with one layer of bars at the top and one at the bottom, each with its own number and size (either may be empty). The section is checked as entered: design actions with any second order effects already included (use RC-008 or RC-041 for slender columns). Compression is positive, tension negative; a sagging moment compresses the top face. Minimum eccentricity e0 = max(h/30; 20 mm) of 6.1(4), compression only: calculated here (input Yes) or already included in MEd (No). Where |MEd| &lt; NEd e0 the section must resist NEd e0 in both senses: 6.1(4) is written for symmetrical reinforcement, and applying it in both senses to unequal layers is a conservative extension. Concrete: parabola-rectangle of 3.1.7(1) (εc2 = 0.002, εcu2 = 0.0035, n = 2) with the strain limits of 6.1(5): 0.0035 at the compressed face, or 0.002 at 3h/7 from it once the whole section is compressed. Bars elastic-plastic (horizontal branch, no strain limit), the concrete displaced by the bars deducted. Resistances from a finite scan of the strain states refined by golden section (largest N) and bisection (roots of N = NEd): every resistance shown is an equilibrium state; a root missed between scan steps can only make it smaller. Concrete classes up to C50/60, fyk ≤ 500 MPa. Detailing, crack widths, shear and side bars are not checked.
The second-generation EN 1992-1-1:2023 is not yet implemented.</t>
        </is>
      </c>
    </row>
    <row r="24" ht="20" customHeight="1">
      <c r="B24" s="8" t="inlineStr">
        <is>
          <t>Further reading and independent cross-check</t>
        </is>
      </c>
      <c r="C24" s="9" t="n"/>
    </row>
    <row r="25" ht="76.5" customHeight="1">
      <c r="B25" s="10" t="inlineStr">
        <is>
          <t>•  The Concrete Centre, How to design concrete structures using Eurocode 2: Columns.
•  The Concrete Centre, Concise Eurocode 2, design charts for columns.
•  The Concrete Centre, RC Spreadsheets v4 (licensed product) can be used as an independent cross-check.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&amp;K8A8A8ANAE-RC-043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H130"/>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Section N-M interaction</t>
        </is>
      </c>
      <c r="H2" s="1" t="n"/>
    </row>
    <row r="3" ht="16" customHeight="1">
      <c r="A3" s="1" t="n"/>
      <c r="B3" s="1" t="n"/>
      <c r="C3" s="15" t="inlineStr">
        <is>
          <t>NAE-RC-043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section</t>
        </is>
      </c>
      <c r="C10" s="21" t="n"/>
      <c r="D10" s="21" t="n"/>
      <c r="E10" s="21" t="n"/>
      <c r="F10" s="21" t="n"/>
      <c r="G10" s="22" t="inlineStr">
        <is>
          <t>Shaded cells only</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C32/40</t>
        </is>
      </c>
      <c r="F12" s="23" t="n"/>
      <c r="G12" s="23" t="n"/>
    </row>
    <row r="13" ht="17" customHeight="1">
      <c r="B13" s="26" t="inlineStr">
        <is>
          <t>3.2.2</t>
        </is>
      </c>
      <c r="C13" s="24" t="inlineStr">
        <is>
          <t>Reinforcement characteristic yield strength  (≤ 500 MPa)</t>
        </is>
      </c>
      <c r="D13" s="27" t="inlineStr">
        <is>
          <r>
            <rPr>
              <rFont val="Calibri"/>
              <i val="1"/>
              <color rgb="002B2B2B"/>
              <sz val="10"/>
            </rPr>
            <t>f</t>
          </r>
          <r>
            <rPr>
              <rFont val="Calibri"/>
              <i val="1"/>
              <color rgb="002B2B2B"/>
              <sz val="10"/>
              <vertAlign val="subscript"/>
            </rPr>
            <t>yk</t>
          </r>
        </is>
      </c>
      <c r="E13" s="25" t="n">
        <v>500</v>
      </c>
      <c r="F13" s="28" t="inlineStr">
        <is>
          <t>MPa</t>
        </is>
      </c>
      <c r="G13" s="23" t="n"/>
    </row>
    <row r="14" ht="17" customHeight="1">
      <c r="B14" s="26" t="inlineStr">
        <is>
          <t>8.2(2)</t>
        </is>
      </c>
      <c r="C14" s="24" t="inlineStr">
        <is>
          <t>Maximum aggregate size</t>
        </is>
      </c>
      <c r="D14" s="27" t="inlineStr">
        <is>
          <r>
            <rPr>
              <rFont val="Calibri"/>
              <i val="1"/>
              <color rgb="002B2B2B"/>
              <sz val="10"/>
            </rPr>
            <t>d</t>
          </r>
          <r>
            <rPr>
              <rFont val="Calibri"/>
              <i val="1"/>
              <color rgb="002B2B2B"/>
              <sz val="10"/>
              <vertAlign val="subscript"/>
            </rPr>
            <t>g</t>
          </r>
        </is>
      </c>
      <c r="E14" s="25" t="n">
        <v>20</v>
      </c>
      <c r="F14" s="28" t="inlineStr">
        <is>
          <t>mm</t>
        </is>
      </c>
      <c r="G14" s="23" t="n"/>
    </row>
    <row r="15" ht="17" customHeight="1">
      <c r="B15" s="23" t="n"/>
      <c r="C15" s="24" t="inlineStr">
        <is>
          <t>Section width  b</t>
        </is>
      </c>
      <c r="D15" s="27" t="inlineStr">
        <is>
          <r>
            <rPr>
              <rFont val="Calibri"/>
              <i val="1"/>
              <color rgb="002B2B2B"/>
              <sz val="10"/>
            </rPr>
            <t>b</t>
          </r>
        </is>
      </c>
      <c r="E15" s="25" t="n">
        <v>300</v>
      </c>
      <c r="F15" s="28" t="inlineStr">
        <is>
          <t>mm</t>
        </is>
      </c>
      <c r="G15" s="23" t="n"/>
    </row>
    <row r="16" ht="17" customHeight="1">
      <c r="B16" s="23" t="n"/>
      <c r="C16" s="24" t="inlineStr">
        <is>
          <t>Section depth  h</t>
        </is>
      </c>
      <c r="D16" s="27" t="inlineStr">
        <is>
          <r>
            <rPr>
              <rFont val="Calibri"/>
              <i val="1"/>
              <color rgb="002B2B2B"/>
              <sz val="10"/>
            </rPr>
            <t>h</t>
          </r>
        </is>
      </c>
      <c r="E16" s="25" t="n">
        <v>500</v>
      </c>
      <c r="F16" s="28" t="inlineStr">
        <is>
          <t>mm</t>
        </is>
      </c>
      <c r="G16" s="23" t="n"/>
    </row>
    <row r="17" ht="17" customHeight="1">
      <c r="B17" s="26" t="inlineStr">
        <is>
          <t>4.4.1</t>
        </is>
      </c>
      <c r="C17" s="24" t="inlineStr">
        <is>
          <t>Nominal cover to links</t>
        </is>
      </c>
      <c r="D17" s="27" t="inlineStr">
        <is>
          <r>
            <rPr>
              <rFont val="Calibri"/>
              <i val="1"/>
              <color rgb="002B2B2B"/>
              <sz val="10"/>
            </rPr>
            <t>c</t>
          </r>
          <r>
            <rPr>
              <rFont val="Calibri"/>
              <i val="1"/>
              <color rgb="002B2B2B"/>
              <sz val="10"/>
              <vertAlign val="subscript"/>
            </rPr>
            <t>nom</t>
          </r>
        </is>
      </c>
      <c r="E17" s="25" t="n">
        <v>35</v>
      </c>
      <c r="F17" s="28" t="inlineStr">
        <is>
          <t>mm</t>
        </is>
      </c>
      <c r="G17" s="23" t="n"/>
    </row>
    <row r="18" ht="17" customHeight="1">
      <c r="B18" s="23" t="n"/>
      <c r="C18" s="24" t="inlineStr">
        <is>
          <t>Link diameter  (0: no links, cover to the bars)</t>
        </is>
      </c>
      <c r="D18" s="27" t="inlineStr">
        <is>
          <r>
            <rPr>
              <rFont val="Calibri"/>
              <i val="1"/>
              <color rgb="002B2B2B"/>
              <sz val="10"/>
            </rPr>
            <t>φ</t>
          </r>
          <r>
            <rPr>
              <rFont val="Calibri"/>
              <i val="1"/>
              <color rgb="002B2B2B"/>
              <sz val="10"/>
              <vertAlign val="subscript"/>
            </rPr>
            <t>w</t>
          </r>
        </is>
      </c>
      <c r="E18" s="25" t="n">
        <v>8</v>
      </c>
      <c r="F18" s="28" t="inlineStr">
        <is>
          <t>mm</t>
        </is>
      </c>
      <c r="G18" s="23" t="n"/>
    </row>
    <row r="19" ht="17" customHeight="1">
      <c r="B19" s="23" t="n"/>
      <c r="C19" s="24" t="inlineStr">
        <is>
          <t>Top bars  (number)</t>
        </is>
      </c>
      <c r="D19" s="27" t="inlineStr">
        <is>
          <r>
            <rPr>
              <rFont val="Calibri"/>
              <i val="1"/>
              <color rgb="002B2B2B"/>
              <sz val="10"/>
            </rPr>
            <t>n</t>
          </r>
          <r>
            <rPr>
              <rFont val="Calibri"/>
              <i val="1"/>
              <color rgb="002B2B2B"/>
              <sz val="10"/>
              <vertAlign val="subscript"/>
            </rPr>
            <t>t</t>
          </r>
        </is>
      </c>
      <c r="E19" s="25" t="n">
        <v>2</v>
      </c>
      <c r="F19" s="23" t="n"/>
      <c r="G19" s="23" t="n"/>
    </row>
    <row r="20" ht="17" customHeight="1">
      <c r="B20" s="23" t="n"/>
      <c r="C20" s="24" t="inlineStr">
        <is>
          <t>Top bar diameter</t>
        </is>
      </c>
      <c r="D20" s="27" t="inlineStr">
        <is>
          <r>
            <rPr>
              <rFont val="Calibri"/>
              <i val="1"/>
              <color rgb="002B2B2B"/>
              <sz val="10"/>
            </rPr>
            <t>φ</t>
          </r>
          <r>
            <rPr>
              <rFont val="Calibri"/>
              <i val="1"/>
              <color rgb="002B2B2B"/>
              <sz val="10"/>
              <vertAlign val="subscript"/>
            </rPr>
            <t>t</t>
          </r>
        </is>
      </c>
      <c r="E20" s="25" t="n">
        <v>16</v>
      </c>
      <c r="F20" s="28" t="inlineStr">
        <is>
          <t>mm</t>
        </is>
      </c>
      <c r="G20" s="23" t="n"/>
    </row>
    <row r="21" ht="17" customHeight="1">
      <c r="B21" s="23" t="n"/>
      <c r="C21" s="24" t="inlineStr">
        <is>
          <t>Bottom bars  (number)</t>
        </is>
      </c>
      <c r="D21" s="27" t="inlineStr">
        <is>
          <r>
            <rPr>
              <rFont val="Calibri"/>
              <i val="1"/>
              <color rgb="002B2B2B"/>
              <sz val="10"/>
            </rPr>
            <t>n</t>
          </r>
          <r>
            <rPr>
              <rFont val="Calibri"/>
              <i val="1"/>
              <color rgb="002B2B2B"/>
              <sz val="10"/>
              <vertAlign val="subscript"/>
            </rPr>
            <t>b</t>
          </r>
        </is>
      </c>
      <c r="E21" s="25" t="n">
        <v>4</v>
      </c>
      <c r="F21" s="23" t="n"/>
      <c r="G21" s="23" t="n"/>
    </row>
    <row r="22" ht="17" customHeight="1">
      <c r="B22" s="23" t="n"/>
      <c r="C22" s="24" t="inlineStr">
        <is>
          <t>Bottom bar diameter</t>
        </is>
      </c>
      <c r="D22" s="27" t="inlineStr">
        <is>
          <r>
            <rPr>
              <rFont val="Calibri"/>
              <i val="1"/>
              <color rgb="002B2B2B"/>
              <sz val="10"/>
            </rPr>
            <t>φ</t>
          </r>
          <r>
            <rPr>
              <rFont val="Calibri"/>
              <i val="1"/>
              <color rgb="002B2B2B"/>
              <sz val="10"/>
              <vertAlign val="subscript"/>
            </rPr>
            <t>b</t>
          </r>
        </is>
      </c>
      <c r="E22" s="25" t="n">
        <v>25</v>
      </c>
      <c r="F22" s="28" t="inlineStr">
        <is>
          <t>mm</t>
        </is>
      </c>
      <c r="G22" s="23" t="n"/>
    </row>
    <row r="24" ht="22" customHeight="1">
      <c r="B24" s="20" t="inlineStr">
        <is>
          <t>Inputs  ·  design actions</t>
        </is>
      </c>
      <c r="C24" s="21" t="n"/>
      <c r="D24" s="21" t="n"/>
      <c r="E24" s="21" t="n"/>
      <c r="F24" s="21" t="n"/>
      <c r="G24" s="22" t="inlineStr">
        <is>
          <t>ULS, second order effects included</t>
        </is>
      </c>
    </row>
    <row r="25" ht="17" customHeight="1">
      <c r="B25" s="23" t="n"/>
      <c r="C25" s="24" t="inlineStr">
        <is>
          <t>Design axial force  (compression +, tension −)</t>
        </is>
      </c>
      <c r="D25" s="27" t="inlineStr">
        <is>
          <r>
            <rPr>
              <rFont val="Calibri"/>
              <i val="1"/>
              <color rgb="002B2B2B"/>
              <sz val="10"/>
            </rPr>
            <t>N</t>
          </r>
          <r>
            <rPr>
              <rFont val="Calibri"/>
              <i val="1"/>
              <color rgb="002B2B2B"/>
              <sz val="10"/>
              <vertAlign val="subscript"/>
            </rPr>
            <t>Ed</t>
          </r>
        </is>
      </c>
      <c r="E25" s="29" t="n">
        <v>800</v>
      </c>
      <c r="F25" s="28" t="inlineStr">
        <is>
          <t>kN</t>
        </is>
      </c>
      <c r="G25" s="23" t="n"/>
    </row>
    <row r="26" ht="17" customHeight="1">
      <c r="B26" s="23" t="n"/>
      <c r="C26" s="24" t="inlineStr">
        <is>
          <t>Design moment  (sagging +, hogging −)</t>
        </is>
      </c>
      <c r="D26" s="27" t="inlineStr">
        <is>
          <r>
            <rPr>
              <rFont val="Calibri"/>
              <i val="1"/>
              <color rgb="002B2B2B"/>
              <sz val="10"/>
            </rPr>
            <t>M</t>
          </r>
          <r>
            <rPr>
              <rFont val="Calibri"/>
              <i val="1"/>
              <color rgb="002B2B2B"/>
              <sz val="10"/>
              <vertAlign val="subscript"/>
            </rPr>
            <t>Ed</t>
          </r>
        </is>
      </c>
      <c r="E26" s="30" t="n">
        <v>250</v>
      </c>
      <c r="F26" s="28" t="inlineStr">
        <is>
          <t>kNm</t>
        </is>
      </c>
      <c r="G26" s="23" t="n"/>
    </row>
    <row r="27" ht="17" customHeight="1">
      <c r="B27" s="26" t="inlineStr">
        <is>
          <t>6.1(4)</t>
        </is>
      </c>
      <c r="C27" s="24" t="inlineStr">
        <is>
          <t>Minimum eccentricity e0 of 6.1(4)  (No: already in MEd)</t>
        </is>
      </c>
      <c r="D27" s="23" t="n"/>
      <c r="E27" s="25" t="inlineStr">
        <is>
          <t>Yes</t>
        </is>
      </c>
      <c r="F27" s="23" t="n"/>
      <c r="G27" s="23" t="n"/>
    </row>
    <row r="28" ht="17" customHeight="1">
      <c r="B28" s="23" t="n"/>
      <c r="C28" s="24" t="inlineStr">
        <is>
          <t>Inputs valid and consistent</t>
        </is>
      </c>
      <c r="D28" s="23" t="n"/>
      <c r="E28" s="9" t="n"/>
      <c r="F28" s="23" t="n"/>
      <c r="G28" s="31">
        <f>IF(inputs_ok,"OK","FAIL")</f>
        <v/>
      </c>
    </row>
    <row r="30">
      <c r="B30" s="32" t="inlineStr">
        <is>
          <t>Your section, to scale  ·  neutral axis at the resistance for NEd in the sense of MEd (dashed)</t>
        </is>
      </c>
    </row>
    <row r="51" ht="22" customHeight="1">
      <c r="B51" s="20" t="inlineStr">
        <is>
          <t>Results</t>
        </is>
      </c>
      <c r="C51" s="21" t="n"/>
      <c r="D51" s="21" t="n"/>
      <c r="E51" s="21" t="n"/>
      <c r="F51" s="21" t="n"/>
      <c r="G51" s="21" t="n"/>
    </row>
    <row r="52" ht="26" customHeight="1">
      <c r="B52" s="33" t="n"/>
      <c r="C52" s="34" t="inlineStr">
        <is>
          <t>Section  (NEd, MEd) inside the N-M curve</t>
        </is>
      </c>
      <c r="D52" s="35" t="inlineStr">
        <is>
          <r>
            <rPr>
              <rFont val="Calibri"/>
              <i val="1"/>
              <color rgb="002B2B2B"/>
              <sz val="11"/>
            </rPr>
            <t>M</t>
          </r>
          <r>
            <rPr>
              <rFont val="Calibri"/>
              <i val="1"/>
              <color rgb="002B2B2B"/>
              <sz val="11"/>
              <vertAlign val="subscript"/>
            </rPr>
            <t>Ed</t>
          </r>
        </is>
      </c>
      <c r="E52" s="36">
        <f>IF(inputs_ok,sn_M,"–")</f>
        <v/>
      </c>
      <c r="F52" s="37" t="inlineStr">
        <is>
          <t>kNm</t>
        </is>
      </c>
      <c r="G52" s="38">
        <f>IF(NOT(inputs_ok),"FAIL",IF(res_sn,IF(AND(reqS_sn&lt;=MRdS_sn,reqH_sn&lt;=MRdH_sn),"OK","FAIL"),"FAIL"))</f>
        <v/>
      </c>
    </row>
    <row r="53" ht="26" customHeight="1">
      <c r="B53" s="33" t="n"/>
      <c r="C53" s="34" t="inlineStr">
        <is>
          <t>Sagging moment resistance at NEd</t>
        </is>
      </c>
      <c r="D53" s="35" t="inlineStr">
        <is>
          <r>
            <rPr>
              <rFont val="Calibri"/>
              <i val="1"/>
              <color rgb="002B2B2B"/>
              <sz val="11"/>
            </rPr>
            <t>M</t>
          </r>
          <r>
            <rPr>
              <rFont val="Calibri"/>
              <i val="1"/>
              <color rgb="002B2B2B"/>
              <sz val="11"/>
              <vertAlign val="subscript"/>
            </rPr>
            <t>Rd+</t>
          </r>
        </is>
      </c>
      <c r="E53" s="36">
        <f>IF(inputs_ok,IF(res_sn,MRdS_sn,"–"),"–")</f>
        <v/>
      </c>
      <c r="F53" s="37" t="inlineStr">
        <is>
          <t>kNm</t>
        </is>
      </c>
      <c r="G53" s="33" t="n"/>
    </row>
    <row r="54" ht="26" customHeight="1">
      <c r="B54" s="33" t="n"/>
      <c r="C54" s="34" t="inlineStr">
        <is>
          <t>Hogging moment resistance at NEd</t>
        </is>
      </c>
      <c r="D54" s="35" t="inlineStr">
        <is>
          <r>
            <rPr>
              <rFont val="Calibri"/>
              <i val="1"/>
              <color rgb="002B2B2B"/>
              <sz val="11"/>
            </rPr>
            <t>M</t>
          </r>
          <r>
            <rPr>
              <rFont val="Calibri"/>
              <i val="1"/>
              <color rgb="002B2B2B"/>
              <sz val="11"/>
              <vertAlign val="subscript"/>
            </rPr>
            <t>Rd−</t>
          </r>
        </is>
      </c>
      <c r="E54" s="36">
        <f>IF(inputs_ok,IF(res_sn,MRdH_sn,"–"),"–")</f>
        <v/>
      </c>
      <c r="F54" s="37" t="inlineStr">
        <is>
          <t>kNm</t>
        </is>
      </c>
      <c r="G54" s="33" t="n"/>
    </row>
    <row r="55" ht="26" customHeight="1">
      <c r="B55" s="33" t="n"/>
      <c r="C55" s="34" t="inlineStr">
        <is>
          <t>Axial force  NRd,min ≤ NEd ≤ NRd,max</t>
        </is>
      </c>
      <c r="D55" s="35" t="inlineStr">
        <is>
          <r>
            <rPr>
              <rFont val="Calibri"/>
              <i val="1"/>
              <color rgb="002B2B2B"/>
              <sz val="11"/>
            </rPr>
            <t>N</t>
          </r>
          <r>
            <rPr>
              <rFont val="Calibri"/>
              <i val="1"/>
              <color rgb="002B2B2B"/>
              <sz val="11"/>
              <vertAlign val="subscript"/>
            </rPr>
            <t>Ed</t>
          </r>
        </is>
      </c>
      <c r="E55" s="39">
        <f>IF(inputs_ok,sn_N,"–")</f>
        <v/>
      </c>
      <c r="F55" s="37" t="inlineStr">
        <is>
          <t>kN</t>
        </is>
      </c>
      <c r="G55" s="38">
        <f>IF(NOT(inputs_ok),"FAIL",IF(Nok_sn,"OK","FAIL"))</f>
        <v/>
      </c>
    </row>
    <row r="56" ht="26" customHeight="1">
      <c r="B56" s="33" t="n"/>
      <c r="C56" s="34" t="inlineStr">
        <is>
          <t>Minimum eccentricity moment  NEd e0</t>
        </is>
      </c>
      <c r="D56" s="35" t="inlineStr">
        <is>
          <r>
            <rPr>
              <rFont val="Calibri"/>
              <i val="1"/>
              <color rgb="002B2B2B"/>
              <sz val="11"/>
            </rPr>
            <t>M</t>
          </r>
          <r>
            <rPr>
              <rFont val="Calibri"/>
              <i val="1"/>
              <color rgb="002B2B2B"/>
              <sz val="11"/>
              <vertAlign val="subscript"/>
            </rPr>
            <t>min</t>
          </r>
        </is>
      </c>
      <c r="E56" s="36">
        <f>IF(inputs_ok,Mmin_sn,"–")</f>
        <v/>
      </c>
      <c r="F56" s="37" t="inlineStr">
        <is>
          <t>kNm</t>
        </is>
      </c>
      <c r="G56" s="38">
        <f>IF(NOT(inputs_ok),"FAIL",IF(both_sn,"! ± NEd e0","As entered"))</f>
        <v/>
      </c>
    </row>
    <row r="57" ht="26" customHeight="1">
      <c r="B57" s="33" t="n"/>
      <c r="C57" s="34" t="inlineStr">
        <is>
          <t>Clear gap between bars  (least: in each layer and between the layers)</t>
        </is>
      </c>
      <c r="D57" s="35" t="inlineStr">
        <is>
          <r>
            <rPr>
              <rFont val="Calibri"/>
              <i val="1"/>
              <color rgb="002B2B2B"/>
              <sz val="11"/>
            </rPr>
            <t>a</t>
          </r>
        </is>
      </c>
      <c r="E57" s="39">
        <f>IF(inputs_ok,MIN(gapt_sn,gapb_sn,gapv_sn),"–")</f>
        <v/>
      </c>
      <c r="F57" s="37" t="inlineStr">
        <is>
          <t>mm</t>
        </is>
      </c>
      <c r="G57" s="38">
        <f>IF(NOT(inputs_ok),"FAIL",IF(AND(gapt_sn&gt;=gmint_sn,gapb_sn&gt;=gminb_sn,gapv_sn&gt;=gminv_sn),"OK","! Bars too close"))</f>
        <v/>
      </c>
    </row>
    <row r="58"/>
    <row r="59">
      <c r="B59" s="32" t="inlineStr">
        <is>
          <t>N-M interaction  ·  sagging M positive, hogging negative  ·  design point (red)  ·  resistances at NEd</t>
        </is>
      </c>
    </row>
    <row r="60"/>
    <row r="61"/>
    <row r="62"/>
    <row r="63"/>
    <row r="64"/>
    <row r="65"/>
    <row r="66"/>
    <row r="67"/>
    <row r="68"/>
    <row r="69"/>
    <row r="70"/>
    <row r="71"/>
    <row r="72"/>
    <row r="73"/>
    <row r="74"/>
    <row r="75"/>
    <row r="76"/>
    <row r="77"/>
    <row r="78"/>
    <row r="79"/>
    <row r="80" ht="22" customHeight="1">
      <c r="B80" s="20" t="inlineStr">
        <is>
          <t>Calculation  ·  materials and section</t>
        </is>
      </c>
      <c r="C80" s="21" t="n"/>
      <c r="D80" s="21" t="n"/>
      <c r="E80" s="21" t="n"/>
      <c r="F80" s="21" t="n"/>
      <c r="G80" s="21" t="n"/>
    </row>
    <row r="81" ht="17" customHeight="1">
      <c r="B81" s="26" t="inlineStr">
        <is>
          <t>2.4.2.4(1)</t>
        </is>
      </c>
      <c r="C81" s="24" t="inlineStr">
        <is>
          <t>Partial factor, concrete</t>
        </is>
      </c>
      <c r="D81" s="27" t="inlineStr">
        <is>
          <r>
            <rPr>
              <rFont val="Calibri"/>
              <i val="1"/>
              <color rgb="002B2B2B"/>
              <sz val="10"/>
            </rPr>
            <t>γ</t>
          </r>
          <r>
            <rPr>
              <rFont val="Calibri"/>
              <i val="1"/>
              <color rgb="002B2B2B"/>
              <sz val="10"/>
              <vertAlign val="subscript"/>
            </rPr>
            <t>c</t>
          </r>
        </is>
      </c>
      <c r="E81" s="40">
        <f>IF(inputs_ok,ndp_gamma_c,NA())</f>
        <v/>
      </c>
      <c r="F81" s="23" t="n"/>
      <c r="G81" s="26" t="inlineStr">
        <is>
          <t>NDP sheet</t>
        </is>
      </c>
    </row>
    <row r="82" ht="17" customHeight="1">
      <c r="B82" s="26" t="inlineStr">
        <is>
          <t>2.4.2.4(1)</t>
        </is>
      </c>
      <c r="C82" s="24" t="inlineStr">
        <is>
          <t>Partial factor, reinforcement</t>
        </is>
      </c>
      <c r="D82" s="27" t="inlineStr">
        <is>
          <r>
            <rPr>
              <rFont val="Calibri"/>
              <i val="1"/>
              <color rgb="002B2B2B"/>
              <sz val="10"/>
            </rPr>
            <t>γ</t>
          </r>
          <r>
            <rPr>
              <rFont val="Calibri"/>
              <i val="1"/>
              <color rgb="002B2B2B"/>
              <sz val="10"/>
              <vertAlign val="subscript"/>
            </rPr>
            <t>s</t>
          </r>
        </is>
      </c>
      <c r="E82" s="40">
        <f>IF(inputs_ok,ndp_gamma_s,NA())</f>
        <v/>
      </c>
      <c r="F82" s="23" t="n"/>
      <c r="G82" s="26" t="inlineStr">
        <is>
          <t>NDP sheet</t>
        </is>
      </c>
    </row>
    <row r="83" ht="17" customHeight="1">
      <c r="B83" s="26" t="inlineStr">
        <is>
          <t>3.1.6(1)</t>
        </is>
      </c>
      <c r="C83" s="24" t="inlineStr">
        <is>
          <t>Coefficient on compressive strength (flexure)</t>
        </is>
      </c>
      <c r="D83" s="27" t="inlineStr">
        <is>
          <r>
            <rPr>
              <rFont val="Calibri"/>
              <i val="1"/>
              <color rgb="002B2B2B"/>
              <sz val="10"/>
            </rPr>
            <t>α</t>
          </r>
          <r>
            <rPr>
              <rFont val="Calibri"/>
              <i val="1"/>
              <color rgb="002B2B2B"/>
              <sz val="10"/>
              <vertAlign val="subscript"/>
            </rPr>
            <t>cc</t>
          </r>
        </is>
      </c>
      <c r="E83" s="40">
        <f>IF(inputs_ok,ndp_alpha_cc,NA())</f>
        <v/>
      </c>
      <c r="F83" s="23" t="n"/>
      <c r="G83" s="26" t="inlineStr">
        <is>
          <t>NDP sheet</t>
        </is>
      </c>
    </row>
    <row r="84" ht="17" customHeight="1">
      <c r="B84" s="26" t="inlineStr">
        <is>
          <t>Table 3.1</t>
        </is>
      </c>
      <c r="C84" s="24" t="inlineStr">
        <is>
          <t>Characteristic cylinder strength</t>
        </is>
      </c>
      <c r="D84" s="27" t="inlineStr">
        <is>
          <r>
            <rPr>
              <rFont val="Calibri"/>
              <i val="1"/>
              <color rgb="002B2B2B"/>
              <sz val="10"/>
            </rPr>
            <t>f</t>
          </r>
          <r>
            <rPr>
              <rFont val="Calibri"/>
              <i val="1"/>
              <color rgb="002B2B2B"/>
              <sz val="10"/>
              <vertAlign val="subscript"/>
            </rPr>
            <t>ck</t>
          </r>
        </is>
      </c>
      <c r="E84" s="41">
        <f>IF(inputs_ok,VALUE(MID(conc_class,2,FIND("/",conc_class)-2)),NA())</f>
        <v/>
      </c>
      <c r="F84" s="28" t="inlineStr">
        <is>
          <t>MPa</t>
        </is>
      </c>
      <c r="G84" s="23" t="n"/>
    </row>
    <row r="85" ht="17" customHeight="1">
      <c r="B85" s="26" t="inlineStr">
        <is>
          <t>Table 3.1</t>
        </is>
      </c>
      <c r="C85" s="24" t="inlineStr">
        <is>
          <t>Mean tensile strength</t>
        </is>
      </c>
      <c r="D85" s="27" t="inlineStr">
        <is>
          <r>
            <rPr>
              <rFont val="Calibri"/>
              <i val="1"/>
              <color rgb="002B2B2B"/>
              <sz val="10"/>
            </rPr>
            <t>f</t>
          </r>
          <r>
            <rPr>
              <rFont val="Calibri"/>
              <i val="1"/>
              <color rgb="002B2B2B"/>
              <sz val="10"/>
              <vertAlign val="subscript"/>
            </rPr>
            <t>ctm</t>
          </r>
        </is>
      </c>
      <c r="E85" s="40">
        <f>IF(inputs_ok,IF(f_ck&lt;=50,0.3*f_ck^(2/3),2.12*LN(1+(f_ck+8)/10)),NA())</f>
        <v/>
      </c>
      <c r="F85" s="28" t="inlineStr">
        <is>
          <t>MPa</t>
        </is>
      </c>
      <c r="G85" s="23" t="n"/>
    </row>
    <row r="86" ht="17" customHeight="1">
      <c r="B86" s="26" t="inlineStr">
        <is>
          <t>3.1.6(1)</t>
        </is>
      </c>
      <c r="C86" s="24" t="inlineStr">
        <is>
          <t>Design compressive strength  αcc fck / γc</t>
        </is>
      </c>
      <c r="D86" s="27" t="inlineStr">
        <is>
          <r>
            <rPr>
              <rFont val="Calibri"/>
              <i val="1"/>
              <color rgb="002B2B2B"/>
              <sz val="10"/>
            </rPr>
            <t>f</t>
          </r>
          <r>
            <rPr>
              <rFont val="Calibri"/>
              <i val="1"/>
              <color rgb="002B2B2B"/>
              <sz val="10"/>
              <vertAlign val="subscript"/>
            </rPr>
            <t>cd</t>
          </r>
        </is>
      </c>
      <c r="E86" s="40">
        <f>IF(inputs_ok,alpha_cc*f_ck/gamma_c,NA())</f>
        <v/>
      </c>
      <c r="F86" s="28" t="inlineStr">
        <is>
          <t>MPa</t>
        </is>
      </c>
      <c r="G86" s="23" t="n"/>
    </row>
    <row r="87" ht="17" customHeight="1">
      <c r="B87" s="26" t="inlineStr">
        <is>
          <t>3.2.7</t>
        </is>
      </c>
      <c r="C87" s="24" t="inlineStr">
        <is>
          <t>Design yield strength</t>
        </is>
      </c>
      <c r="D87" s="27" t="inlineStr">
        <is>
          <r>
            <rPr>
              <rFont val="Calibri"/>
              <i val="1"/>
              <color rgb="002B2B2B"/>
              <sz val="10"/>
            </rPr>
            <t>f</t>
          </r>
          <r>
            <rPr>
              <rFont val="Calibri"/>
              <i val="1"/>
              <color rgb="002B2B2B"/>
              <sz val="10"/>
              <vertAlign val="subscript"/>
            </rPr>
            <t>yd</t>
          </r>
        </is>
      </c>
      <c r="E87" s="42">
        <f>IF(inputs_ok,sn_fyk/gamma_s,NA())</f>
        <v/>
      </c>
      <c r="F87" s="28" t="inlineStr">
        <is>
          <t>MPa</t>
        </is>
      </c>
      <c r="G87" s="23" t="n"/>
    </row>
    <row r="88" ht="17" customHeight="1">
      <c r="B88" s="23" t="n"/>
      <c r="C88" s="24" t="inlineStr">
        <is>
          <t>Gross area  b h</t>
        </is>
      </c>
      <c r="D88" s="27" t="inlineStr">
        <is>
          <r>
            <rPr>
              <rFont val="Calibri"/>
              <i val="1"/>
              <color rgb="002B2B2B"/>
              <sz val="10"/>
            </rPr>
            <t>A</t>
          </r>
          <r>
            <rPr>
              <rFont val="Calibri"/>
              <i val="1"/>
              <color rgb="002B2B2B"/>
              <sz val="10"/>
              <vertAlign val="subscript"/>
            </rPr>
            <t>c</t>
          </r>
        </is>
      </c>
      <c r="E88" s="41">
        <f>IF(inputs_ok,sn_b*sn_h,NA())</f>
        <v/>
      </c>
      <c r="F88" s="28" t="inlineStr">
        <is>
          <t>mm²</t>
        </is>
      </c>
      <c r="G88" s="23" t="n"/>
    </row>
    <row r="89" ht="17" customHeight="1">
      <c r="B89" s="23" t="n"/>
      <c r="C89" s="24" t="inlineStr">
        <is>
          <t>Top bars  nt π φt² / 4</t>
        </is>
      </c>
      <c r="D89" s="27" t="inlineStr">
        <is>
          <r>
            <rPr>
              <rFont val="Calibri"/>
              <i val="1"/>
              <color rgb="002B2B2B"/>
              <sz val="10"/>
            </rPr>
            <t>A</t>
          </r>
          <r>
            <rPr>
              <rFont val="Calibri"/>
              <i val="1"/>
              <color rgb="002B2B2B"/>
              <sz val="10"/>
              <vertAlign val="subscript"/>
            </rPr>
            <t>s,t</t>
          </r>
        </is>
      </c>
      <c r="E89" s="41">
        <f>IF(inputs_ok,sn_nt*PI()*sn_pt^2/4,NA())</f>
        <v/>
      </c>
      <c r="F89" s="28" t="inlineStr">
        <is>
          <t>mm²</t>
        </is>
      </c>
      <c r="G89" s="23" t="n"/>
    </row>
    <row r="90" ht="17" customHeight="1">
      <c r="B90" s="23" t="n"/>
      <c r="C90" s="24" t="inlineStr">
        <is>
          <t>Bottom bars  nb π φb² / 4</t>
        </is>
      </c>
      <c r="D90" s="27" t="inlineStr">
        <is>
          <r>
            <rPr>
              <rFont val="Calibri"/>
              <i val="1"/>
              <color rgb="002B2B2B"/>
              <sz val="10"/>
            </rPr>
            <t>A</t>
          </r>
          <r>
            <rPr>
              <rFont val="Calibri"/>
              <i val="1"/>
              <color rgb="002B2B2B"/>
              <sz val="10"/>
              <vertAlign val="subscript"/>
            </rPr>
            <t>s,b</t>
          </r>
        </is>
      </c>
      <c r="E90" s="41">
        <f>IF(inputs_ok,sn_nb*PI()*sn_pb^2/4,NA())</f>
        <v/>
      </c>
      <c r="F90" s="28" t="inlineStr">
        <is>
          <t>mm²</t>
        </is>
      </c>
      <c r="G90" s="23" t="n"/>
    </row>
    <row r="91" ht="17" customHeight="1">
      <c r="B91" s="23" t="n"/>
      <c r="C91" s="24" t="inlineStr">
        <is>
          <t>Total reinforcement</t>
        </is>
      </c>
      <c r="D91" s="27" t="inlineStr">
        <is>
          <r>
            <rPr>
              <rFont val="Calibri"/>
              <i val="1"/>
              <color rgb="002B2B2B"/>
              <sz val="10"/>
            </rPr>
            <t>A</t>
          </r>
          <r>
            <rPr>
              <rFont val="Calibri"/>
              <i val="1"/>
              <color rgb="002B2B2B"/>
              <sz val="10"/>
              <vertAlign val="subscript"/>
            </rPr>
            <t>s</t>
          </r>
        </is>
      </c>
      <c r="E91" s="41">
        <f>IF(inputs_ok,At_sn+Ab_sn,NA())</f>
        <v/>
      </c>
      <c r="F91" s="28" t="inlineStr">
        <is>
          <t>mm²</t>
        </is>
      </c>
      <c r="G91" s="23" t="n"/>
    </row>
    <row r="92" ht="17" customHeight="1">
      <c r="B92" s="23" t="n"/>
      <c r="C92" s="24" t="inlineStr">
        <is>
          <t>Depth of the top bars from the top face  c + φw + φt / 2</t>
        </is>
      </c>
      <c r="D92" s="27" t="inlineStr">
        <is>
          <r>
            <rPr>
              <rFont val="Calibri"/>
              <i val="1"/>
              <color rgb="002B2B2B"/>
              <sz val="10"/>
            </rPr>
            <t>d</t>
          </r>
          <r>
            <rPr>
              <rFont val="Calibri"/>
              <i val="1"/>
              <color rgb="002B2B2B"/>
              <sz val="10"/>
              <vertAlign val="subscript"/>
            </rPr>
            <t>t</t>
          </r>
        </is>
      </c>
      <c r="E92" s="42">
        <f>IF(inputs_ok,dt_sn,NA())</f>
        <v/>
      </c>
      <c r="F92" s="28" t="inlineStr">
        <is>
          <t>mm</t>
        </is>
      </c>
      <c r="G92" s="23" t="n"/>
    </row>
    <row r="93" ht="17" customHeight="1">
      <c r="B93" s="23" t="n"/>
      <c r="C93" s="24" t="inlineStr">
        <is>
          <t>Effective depth to the bottom bars  h − c − φw − φb / 2</t>
        </is>
      </c>
      <c r="D93" s="27" t="inlineStr">
        <is>
          <r>
            <rPr>
              <rFont val="Calibri"/>
              <i val="1"/>
              <color rgb="002B2B2B"/>
              <sz val="10"/>
            </rPr>
            <t>d</t>
          </r>
        </is>
      </c>
      <c r="E93" s="42">
        <f>IF(inputs_ok,sn_h-db_sn,NA())</f>
        <v/>
      </c>
      <c r="F93" s="28" t="inlineStr">
        <is>
          <t>mm</t>
        </is>
      </c>
      <c r="G93" s="23" t="n"/>
    </row>
    <row r="94"/>
    <row r="95" ht="22" customHeight="1">
      <c r="B95" s="20" t="inlineStr">
        <is>
          <t>Calculation  ·  resistances  (see the Interaction sheet)</t>
        </is>
      </c>
      <c r="C95" s="21" t="n"/>
      <c r="D95" s="21" t="n"/>
      <c r="E95" s="21" t="n"/>
      <c r="F95" s="21" t="n"/>
      <c r="G95" s="21" t="n"/>
    </row>
    <row r="96" ht="17" customHeight="1">
      <c r="B96" s="26" t="inlineStr">
        <is>
          <t>6.1(5)</t>
        </is>
      </c>
      <c r="C96" s="24" t="inlineStr">
        <is>
          <t>Largest N, top face compressed  (scan, golden section)</t>
        </is>
      </c>
      <c r="D96" s="27" t="inlineStr">
        <is>
          <r>
            <rPr>
              <rFont val="Calibri"/>
              <i val="1"/>
              <color rgb="002B2B2B"/>
              <sz val="10"/>
            </rPr>
            <t>N</t>
          </r>
          <r>
            <rPr>
              <rFont val="Calibri"/>
              <i val="1"/>
              <color rgb="002B2B2B"/>
              <sz val="10"/>
              <vertAlign val="subscript"/>
            </rPr>
            <t>max,S</t>
          </r>
        </is>
      </c>
      <c r="E96" s="42">
        <f>IF(inputs_ok,NmxS_sn,NA())</f>
        <v/>
      </c>
      <c r="F96" s="28" t="inlineStr">
        <is>
          <t>kN</t>
        </is>
      </c>
      <c r="G96" s="23" t="n"/>
    </row>
    <row r="97" ht="17" customHeight="1">
      <c r="B97" s="26" t="inlineStr">
        <is>
          <t>6.1(5)</t>
        </is>
      </c>
      <c r="C97" s="24" t="inlineStr">
        <is>
          <t>Largest N, bottom face compressed  (scan, golden section)</t>
        </is>
      </c>
      <c r="D97" s="27" t="inlineStr">
        <is>
          <r>
            <rPr>
              <rFont val="Calibri"/>
              <i val="1"/>
              <color rgb="002B2B2B"/>
              <sz val="10"/>
            </rPr>
            <t>N</t>
          </r>
          <r>
            <rPr>
              <rFont val="Calibri"/>
              <i val="1"/>
              <color rgb="002B2B2B"/>
              <sz val="10"/>
              <vertAlign val="subscript"/>
            </rPr>
            <t>max,H</t>
          </r>
        </is>
      </c>
      <c r="E97" s="42">
        <f>IF(inputs_ok,NmxH_sn,NA())</f>
        <v/>
      </c>
      <c r="F97" s="28" t="inlineStr">
        <is>
          <t>kN</t>
        </is>
      </c>
      <c r="G97" s="23" t="n"/>
    </row>
    <row r="98" ht="17" customHeight="1">
      <c r="B98" s="26" t="inlineStr">
        <is>
          <t>6.1</t>
        </is>
      </c>
      <c r="C98" s="24" t="inlineStr">
        <is>
          <t>Axial resistance in compression  (the larger)</t>
        </is>
      </c>
      <c r="D98" s="27" t="inlineStr">
        <is>
          <r>
            <rPr>
              <rFont val="Calibri"/>
              <i val="1"/>
              <color rgb="002B2B2B"/>
              <sz val="10"/>
            </rPr>
            <t>N</t>
          </r>
          <r>
            <rPr>
              <rFont val="Calibri"/>
              <i val="1"/>
              <color rgb="002B2B2B"/>
              <sz val="10"/>
              <vertAlign val="subscript"/>
            </rPr>
            <t>Rd,max</t>
          </r>
        </is>
      </c>
      <c r="E98" s="41">
        <f>IF(inputs_ok,MAX(NmxS_sn,NmxH_sn),NA())</f>
        <v/>
      </c>
      <c r="F98" s="28" t="inlineStr">
        <is>
          <t>kN</t>
        </is>
      </c>
      <c r="G98" s="23" t="n"/>
    </row>
    <row r="99" ht="17" customHeight="1">
      <c r="B99" s="26" t="inlineStr">
        <is>
          <t>6.1</t>
        </is>
      </c>
      <c r="C99" s="24" t="inlineStr">
        <is>
          <t>Axial resistance in tension  −As fyd</t>
        </is>
      </c>
      <c r="D99" s="27" t="inlineStr">
        <is>
          <r>
            <rPr>
              <rFont val="Calibri"/>
              <i val="1"/>
              <color rgb="002B2B2B"/>
              <sz val="10"/>
            </rPr>
            <t>N</t>
          </r>
          <r>
            <rPr>
              <rFont val="Calibri"/>
              <i val="1"/>
              <color rgb="002B2B2B"/>
              <sz val="10"/>
              <vertAlign val="subscript"/>
            </rPr>
            <t>Rd,min</t>
          </r>
        </is>
      </c>
      <c r="E99" s="41">
        <f>IF(inputs_ok,INDEX(nmS_N,1),NA())</f>
        <v/>
      </c>
      <c r="F99" s="28" t="inlineStr">
        <is>
          <t>kN</t>
        </is>
      </c>
      <c r="G99" s="23" t="n"/>
    </row>
    <row r="100" ht="17" customHeight="1">
      <c r="B100" s="23" t="n"/>
      <c r="C100" s="24" t="inlineStr">
        <is>
          <t>Largest sampled moment on the curves  (scale of the chart)</t>
        </is>
      </c>
      <c r="D100" s="27" t="inlineStr">
        <is>
          <r>
            <rPr>
              <rFont val="Calibri"/>
              <i val="1"/>
              <color rgb="002B2B2B"/>
              <sz val="10"/>
            </rPr>
            <t>M</t>
          </r>
          <r>
            <rPr>
              <rFont val="Calibri"/>
              <i val="1"/>
              <color rgb="002B2B2B"/>
              <sz val="10"/>
              <vertAlign val="subscript"/>
            </rPr>
            <t>max</t>
          </r>
        </is>
      </c>
      <c r="E100" s="42">
        <f>IF(inputs_ok,MAX(nmS_M,nmH_M),NA())</f>
        <v/>
      </c>
      <c r="F100" s="28" t="inlineStr">
        <is>
          <t>kNm</t>
        </is>
      </c>
      <c r="G100" s="23" t="n"/>
    </row>
    <row r="101" ht="17" customHeight="1">
      <c r="B101" s="26" t="inlineStr">
        <is>
          <t>6.1</t>
        </is>
      </c>
      <c r="C101" s="24" t="inlineStr">
        <is>
          <t>Axial force  NRd,min ≤ NEd ≤ NRd,max</t>
        </is>
      </c>
      <c r="D101" s="27" t="inlineStr">
        <is>
          <r>
            <rPr>
              <rFont val="Calibri"/>
              <i val="1"/>
              <color rgb="002B2B2B"/>
              <sz val="10"/>
            </rPr>
            <t>N</t>
          </r>
          <r>
            <rPr>
              <rFont val="Calibri"/>
              <i val="1"/>
              <color rgb="002B2B2B"/>
              <sz val="10"/>
              <vertAlign val="subscript"/>
            </rPr>
            <t>Ed</t>
          </r>
        </is>
      </c>
      <c r="E101" s="41">
        <f>IF(inputs_ok,sn_N,NA())</f>
        <v/>
      </c>
      <c r="F101" s="28" t="inlineStr">
        <is>
          <t>kN</t>
        </is>
      </c>
      <c r="G101" s="31">
        <f>IF(NOT(inputs_ok),"FAIL",IF(Nok_sn,"OK","FAIL"))</f>
        <v/>
      </c>
    </row>
    <row r="102" ht="17" customHeight="1">
      <c r="B102" s="26" t="inlineStr">
        <is>
          <t>6.1</t>
        </is>
      </c>
      <c r="C102" s="24" t="inlineStr">
        <is>
          <t>Top face compressed, x ≤ h: moment at N = NEd  (when N(h) ≥ NEd)</t>
        </is>
      </c>
      <c r="D102" s="27" t="inlineStr">
        <is>
          <r>
            <rPr>
              <rFont val="Calibri"/>
              <i val="1"/>
              <color rgb="002B2B2B"/>
              <sz val="10"/>
            </rPr>
            <t>M</t>
          </r>
          <r>
            <rPr>
              <rFont val="Calibri"/>
              <i val="1"/>
              <color rgb="002B2B2B"/>
              <sz val="10"/>
              <vertAlign val="subscript"/>
            </rPr>
            <t>S</t>
          </r>
        </is>
      </c>
      <c r="E102" s="42">
        <f>IF(inputs_ok,IF(rootS_sn,bisS_M,"– (x &gt; h)"),NA())</f>
        <v/>
      </c>
      <c r="F102" s="28" t="inlineStr">
        <is>
          <t>kNm</t>
        </is>
      </c>
      <c r="G102" s="23" t="n"/>
    </row>
    <row r="103" ht="17" customHeight="1">
      <c r="B103" s="26" t="inlineStr">
        <is>
          <t>6.1</t>
        </is>
      </c>
      <c r="C103" s="24" t="inlineStr">
        <is>
          <t>Neutral axis depth from the top face</t>
        </is>
      </c>
      <c r="D103" s="27" t="inlineStr">
        <is>
          <r>
            <rPr>
              <rFont val="Calibri"/>
              <i val="1"/>
              <color rgb="002B2B2B"/>
              <sz val="10"/>
            </rPr>
            <t>x</t>
          </r>
          <r>
            <rPr>
              <rFont val="Calibri"/>
              <i val="1"/>
              <color rgb="002B2B2B"/>
              <sz val="10"/>
              <vertAlign val="subscript"/>
            </rPr>
            <t>+</t>
          </r>
        </is>
      </c>
      <c r="E103" s="41">
        <f>IF(inputs_ok,IF(rootS_sn,bisS_x,"– (x &gt; h)"),NA())</f>
        <v/>
      </c>
      <c r="F103" s="28" t="inlineStr">
        <is>
          <t>mm</t>
        </is>
      </c>
      <c r="G103" s="23" t="n"/>
    </row>
    <row r="104" ht="17" customHeight="1">
      <c r="B104" s="26" t="inlineStr">
        <is>
          <t>6.1</t>
        </is>
      </c>
      <c r="C104" s="24" t="inlineStr">
        <is>
          <t>Bottom face compressed, x ≤ h: moment at N = NEd  (when N(h) ≥ NEd)</t>
        </is>
      </c>
      <c r="D104" s="27" t="inlineStr">
        <is>
          <r>
            <rPr>
              <rFont val="Calibri"/>
              <i val="1"/>
              <color rgb="002B2B2B"/>
              <sz val="10"/>
            </rPr>
            <t>M</t>
          </r>
          <r>
            <rPr>
              <rFont val="Calibri"/>
              <i val="1"/>
              <color rgb="002B2B2B"/>
              <sz val="10"/>
              <vertAlign val="subscript"/>
            </rPr>
            <t>H</t>
          </r>
        </is>
      </c>
      <c r="E104" s="42">
        <f>IF(inputs_ok,IF(rootH_sn,bisH_M,"– (x &gt; h)"),NA())</f>
        <v/>
      </c>
      <c r="F104" s="28" t="inlineStr">
        <is>
          <t>kNm</t>
        </is>
      </c>
      <c r="G104" s="23" t="n"/>
    </row>
    <row r="105" ht="17" customHeight="1">
      <c r="B105" s="26" t="inlineStr">
        <is>
          <t>6.1</t>
        </is>
      </c>
      <c r="C105" s="24" t="inlineStr">
        <is>
          <t>Neutral axis depth from the bottom face</t>
        </is>
      </c>
      <c r="D105" s="27" t="inlineStr">
        <is>
          <r>
            <rPr>
              <rFont val="Calibri"/>
              <i val="1"/>
              <color rgb="002B2B2B"/>
              <sz val="10"/>
            </rPr>
            <t>x</t>
          </r>
          <r>
            <rPr>
              <rFont val="Calibri"/>
              <i val="1"/>
              <color rgb="002B2B2B"/>
              <sz val="10"/>
              <vertAlign val="subscript"/>
            </rPr>
            <t>−</t>
          </r>
        </is>
      </c>
      <c r="E105" s="41">
        <f>IF(inputs_ok,IF(rootH_sn,bisH_x,"– (x &gt; h)"),NA())</f>
        <v/>
      </c>
      <c r="F105" s="28" t="inlineStr">
        <is>
          <t>mm</t>
        </is>
      </c>
      <c r="G105" s="23" t="n"/>
    </row>
    <row r="106" ht="17" customHeight="1">
      <c r="B106" s="26" t="inlineStr">
        <is>
          <t>6.1</t>
        </is>
      </c>
      <c r="C106" s="24" t="inlineStr">
        <is>
          <t>Top face compressed, x ≥ h: scan steps where N passes NEd</t>
        </is>
      </c>
      <c r="D106" s="23" t="n"/>
      <c r="E106" s="41">
        <f>IF(inputs_ok,cntS_sn,NA())</f>
        <v/>
      </c>
      <c r="F106" s="23" t="n"/>
      <c r="G106" s="23" t="n"/>
    </row>
    <row r="107" ht="17" customHeight="1">
      <c r="B107" s="26" t="inlineStr">
        <is>
          <t>6.1</t>
        </is>
      </c>
      <c r="C107" s="24" t="inlineStr">
        <is>
          <t xml:space="preserve">   moments solved in the brackets of the largest and the smallest interpolated moment  (signed)</t>
        </is>
      </c>
      <c r="D107" s="23" t="n"/>
      <c r="E107" s="43">
        <f>IF(inputs_ok,IF(cntS_sn&gt;0,TEXT(refShi_M,"0.0")&amp;"  /  "&amp;TEXT(refSlo_M,"0.0"),"–"),NA())</f>
        <v/>
      </c>
      <c r="F107" s="28" t="inlineStr">
        <is>
          <t>kNm</t>
        </is>
      </c>
      <c r="G107" s="23" t="n"/>
    </row>
    <row r="108" ht="17" customHeight="1">
      <c r="B108" s="26" t="inlineStr">
        <is>
          <t>6.1</t>
        </is>
      </c>
      <c r="C108" s="24" t="inlineStr">
        <is>
          <t>Bottom face compressed, x ≥ h: scan steps where N passes NEd</t>
        </is>
      </c>
      <c r="D108" s="23" t="n"/>
      <c r="E108" s="41">
        <f>IF(inputs_ok,cntH_sn,NA())</f>
        <v/>
      </c>
      <c r="F108" s="23" t="n"/>
      <c r="G108" s="23" t="n"/>
    </row>
    <row r="109" ht="17" customHeight="1">
      <c r="B109" s="26" t="inlineStr">
        <is>
          <t>6.1</t>
        </is>
      </c>
      <c r="C109" s="24" t="inlineStr">
        <is>
          <t xml:space="preserve">   moments solved in the brackets of the largest and the smallest interpolated moment  (signed)</t>
        </is>
      </c>
      <c r="D109" s="23" t="n"/>
      <c r="E109" s="43">
        <f>IF(inputs_ok,IF(cntH_sn&gt;0,TEXT(refHhi_M,"0.0")&amp;"  /  "&amp;TEXT(refHlo_M,"0.0"),"–"),NA())</f>
        <v/>
      </c>
      <c r="F109" s="28" t="inlineStr">
        <is>
          <t>kNm</t>
        </is>
      </c>
      <c r="G109" s="23" t="n"/>
    </row>
    <row r="110" ht="17" customHeight="1">
      <c r="B110" s="26" t="inlineStr">
        <is>
          <t>6.1</t>
        </is>
      </c>
      <c r="C110" s="24" t="inlineStr">
        <is>
          <t>Sagging resistance at NEd  (largest signed moment of the equilibrium states)</t>
        </is>
      </c>
      <c r="D110" s="27" t="inlineStr">
        <is>
          <r>
            <rPr>
              <rFont val="Calibri"/>
              <i val="1"/>
              <color rgb="002B2B2B"/>
              <sz val="10"/>
            </rPr>
            <t>M</t>
          </r>
          <r>
            <rPr>
              <rFont val="Calibri"/>
              <i val="1"/>
              <color rgb="002B2B2B"/>
              <sz val="10"/>
              <vertAlign val="subscript"/>
            </rPr>
            <t>Rd+</t>
          </r>
        </is>
      </c>
      <c r="E110" s="44">
        <f>IF(inputs_ok,IF(AND(Nok_sn,ncand_sn&gt;0),MAX(IF(rootS_sn,bisS_M,-1E99),IF(rootH_sn,-bisH_M,-1E99),IF(cntS_sn&gt;0,MAX(refShi_M,refSlo_M),-1E99),IF(cntH_sn&gt;0,MAX(refHhi_M,refHlo_M),-1E99)),NA()),NA())</f>
        <v/>
      </c>
      <c r="F110" s="28" t="inlineStr">
        <is>
          <t>kNm</t>
        </is>
      </c>
      <c r="G110" s="23" t="n"/>
    </row>
    <row r="111" ht="17" customHeight="1">
      <c r="B111" s="26" t="inlineStr">
        <is>
          <t>6.1</t>
        </is>
      </c>
      <c r="C111" s="24" t="inlineStr">
        <is>
          <t>Hogging resistance at NEd  (minus the smallest signed moment)</t>
        </is>
      </c>
      <c r="D111" s="27" t="inlineStr">
        <is>
          <r>
            <rPr>
              <rFont val="Calibri"/>
              <i val="1"/>
              <color rgb="002B2B2B"/>
              <sz val="10"/>
            </rPr>
            <t>M</t>
          </r>
          <r>
            <rPr>
              <rFont val="Calibri"/>
              <i val="1"/>
              <color rgb="002B2B2B"/>
              <sz val="10"/>
              <vertAlign val="subscript"/>
            </rPr>
            <t>Rd−</t>
          </r>
        </is>
      </c>
      <c r="E111" s="44">
        <f>IF(inputs_ok,IF(AND(Nok_sn,ncand_sn&gt;0),-MIN(IF(rootS_sn,bisS_M,1E99),IF(rootH_sn,-bisH_M,1E99),IF(cntS_sn&gt;0,MIN(refShi_M,refSlo_M),1E99),IF(cntH_sn&gt;0,MIN(refHhi_M,refHlo_M),1E99)),NA()),NA())</f>
        <v/>
      </c>
      <c r="F111" s="28" t="inlineStr">
        <is>
          <t>kNm</t>
        </is>
      </c>
      <c r="G111" s="23" t="n"/>
    </row>
    <row r="112"/>
    <row r="113" ht="22" customHeight="1">
      <c r="B113" s="20" t="inlineStr">
        <is>
          <t>Calculation  ·  design moments and checks</t>
        </is>
      </c>
      <c r="C113" s="21" t="n"/>
      <c r="D113" s="21" t="n"/>
      <c r="E113" s="21" t="n"/>
      <c r="F113" s="21" t="n"/>
      <c r="G113" s="21" t="n"/>
    </row>
    <row r="114" ht="17" customHeight="1">
      <c r="B114" s="26" t="inlineStr">
        <is>
          <t>6.1(4)</t>
        </is>
      </c>
      <c r="C114" s="24" t="inlineStr">
        <is>
          <t>Minimum eccentricity  max(h / 30; 20 mm)</t>
        </is>
      </c>
      <c r="D114" s="27" t="inlineStr">
        <is>
          <r>
            <rPr>
              <rFont val="Calibri"/>
              <i val="1"/>
              <color rgb="002B2B2B"/>
              <sz val="10"/>
            </rPr>
            <t>e</t>
          </r>
          <r>
            <rPr>
              <rFont val="Calibri"/>
              <i val="1"/>
              <color rgb="002B2B2B"/>
              <sz val="10"/>
              <vertAlign val="subscript"/>
            </rPr>
            <t>0</t>
          </r>
        </is>
      </c>
      <c r="E114" s="42">
        <f>IF(inputs_ok,MAX(sn_h/30,20),NA())</f>
        <v/>
      </c>
      <c r="F114" s="28" t="inlineStr">
        <is>
          <t>mm</t>
        </is>
      </c>
      <c r="G114" s="23" t="n"/>
    </row>
    <row r="115" ht="17" customHeight="1">
      <c r="B115" s="26" t="inlineStr">
        <is>
          <t>6.1(4)</t>
        </is>
      </c>
      <c r="C115" s="24" t="inlineStr">
        <is>
          <t>Minimum moment  NEd e0  (compression, when applied)</t>
        </is>
      </c>
      <c r="D115" s="27" t="inlineStr">
        <is>
          <r>
            <rPr>
              <rFont val="Calibri"/>
              <i val="1"/>
              <color rgb="002B2B2B"/>
              <sz val="10"/>
            </rPr>
            <t>M</t>
          </r>
          <r>
            <rPr>
              <rFont val="Calibri"/>
              <i val="1"/>
              <color rgb="002B2B2B"/>
              <sz val="10"/>
              <vertAlign val="subscript"/>
            </rPr>
            <t>min</t>
          </r>
        </is>
      </c>
      <c r="E115" s="42">
        <f>IF(inputs_ok,IF(AND(sn_e0="Yes",sn_N&gt;0),sn_N*e0_sn/1000,0),NA())</f>
        <v/>
      </c>
      <c r="F115" s="28" t="inlineStr">
        <is>
          <t>kNm</t>
        </is>
      </c>
      <c r="G115" s="23" t="n"/>
    </row>
    <row r="116" ht="17" customHeight="1">
      <c r="B116" s="26" t="inlineStr">
        <is>
          <t>6.1(4)</t>
        </is>
      </c>
      <c r="C116" s="24" t="inlineStr">
        <is>
          <t>Sagging moment to resist  (NEd e0 when |MEd| &lt; NEd e0)</t>
        </is>
      </c>
      <c r="D116" s="27" t="inlineStr">
        <is>
          <r>
            <rPr>
              <rFont val="Calibri"/>
              <i val="1"/>
              <color rgb="002B2B2B"/>
              <sz val="10"/>
            </rPr>
            <t>M</t>
          </r>
          <r>
            <rPr>
              <rFont val="Calibri"/>
              <i val="1"/>
              <color rgb="002B2B2B"/>
              <sz val="10"/>
              <vertAlign val="subscript"/>
            </rPr>
            <t>Ed+</t>
          </r>
        </is>
      </c>
      <c r="E116" s="42">
        <f>IF(inputs_ok,IF(both_sn,Mmin_sn,sn_M),NA())</f>
        <v/>
      </c>
      <c r="F116" s="28" t="inlineStr">
        <is>
          <t>kNm</t>
        </is>
      </c>
      <c r="G116" s="23" t="n"/>
    </row>
    <row r="117" ht="17" customHeight="1">
      <c r="B117" s="26" t="inlineStr">
        <is>
          <t>6.1(4)</t>
        </is>
      </c>
      <c r="C117" s="24" t="inlineStr">
        <is>
          <t>Hogging moment to resist  (− MEd, or NEd e0)</t>
        </is>
      </c>
      <c r="D117" s="27" t="inlineStr">
        <is>
          <r>
            <rPr>
              <rFont val="Calibri"/>
              <i val="1"/>
              <color rgb="002B2B2B"/>
              <sz val="10"/>
            </rPr>
            <t>M</t>
          </r>
          <r>
            <rPr>
              <rFont val="Calibri"/>
              <i val="1"/>
              <color rgb="002B2B2B"/>
              <sz val="10"/>
              <vertAlign val="subscript"/>
            </rPr>
            <t>Ed−</t>
          </r>
        </is>
      </c>
      <c r="E117" s="42">
        <f>IF(inputs_ok,IF(both_sn,Mmin_sn,-sn_M),NA())</f>
        <v/>
      </c>
      <c r="F117" s="28" t="inlineStr">
        <is>
          <t>kNm</t>
        </is>
      </c>
      <c r="G117" s="23" t="n"/>
    </row>
    <row r="118" ht="17" customHeight="1">
      <c r="B118" s="26" t="inlineStr">
        <is>
          <t>6.1</t>
        </is>
      </c>
      <c r="C118" s="24" t="inlineStr">
        <is>
          <t>Sagging  MEd+ ≤ MRd+</t>
        </is>
      </c>
      <c r="D118" s="27" t="inlineStr">
        <is>
          <r>
            <rPr>
              <rFont val="Calibri"/>
              <i val="1"/>
              <color rgb="002B2B2B"/>
              <sz val="10"/>
            </rPr>
            <t>M</t>
          </r>
          <r>
            <rPr>
              <rFont val="Calibri"/>
              <i val="1"/>
              <color rgb="002B2B2B"/>
              <sz val="10"/>
              <vertAlign val="subscript"/>
            </rPr>
            <t>Ed+</t>
          </r>
        </is>
      </c>
      <c r="E118" s="42">
        <f>IF(inputs_ok,reqS_sn,NA())</f>
        <v/>
      </c>
      <c r="F118" s="28" t="inlineStr">
        <is>
          <t>kNm</t>
        </is>
      </c>
      <c r="G118" s="31">
        <f>IF(NOT(inputs_ok),"FAIL",IF(IF(res_sn,reqS_sn&lt;=MRdS_sn,FALSE),"OK","FAIL"))</f>
        <v/>
      </c>
    </row>
    <row r="119" ht="17" customHeight="1">
      <c r="B119" s="26" t="inlineStr">
        <is>
          <t>6.1</t>
        </is>
      </c>
      <c r="C119" s="24" t="inlineStr">
        <is>
          <t>Hogging  MEd− ≤ MRd−</t>
        </is>
      </c>
      <c r="D119" s="27" t="inlineStr">
        <is>
          <r>
            <rPr>
              <rFont val="Calibri"/>
              <i val="1"/>
              <color rgb="002B2B2B"/>
              <sz val="10"/>
            </rPr>
            <t>M</t>
          </r>
          <r>
            <rPr>
              <rFont val="Calibri"/>
              <i val="1"/>
              <color rgb="002B2B2B"/>
              <sz val="10"/>
              <vertAlign val="subscript"/>
            </rPr>
            <t>Ed−</t>
          </r>
        </is>
      </c>
      <c r="E119" s="42">
        <f>IF(inputs_ok,reqH_sn,NA())</f>
        <v/>
      </c>
      <c r="F119" s="28" t="inlineStr">
        <is>
          <t>kNm</t>
        </is>
      </c>
      <c r="G119" s="31">
        <f>IF(NOT(inputs_ok),"FAIL",IF(IF(res_sn,reqH_sn&lt;=MRdH_sn,FALSE),"OK","FAIL"))</f>
        <v/>
      </c>
    </row>
    <row r="120"/>
    <row r="121" ht="22" customHeight="1">
      <c r="B121" s="20" t="inlineStr">
        <is>
          <t>Calculation  ·  bar spacing  (8.2, a warning only)</t>
        </is>
      </c>
      <c r="C121" s="21" t="n"/>
      <c r="D121" s="21" t="n"/>
      <c r="E121" s="21" t="n"/>
      <c r="F121" s="21" t="n"/>
      <c r="G121" s="21" t="n"/>
    </row>
    <row r="122" ht="17" customHeight="1">
      <c r="B122" s="26" t="inlineStr">
        <is>
          <t>8.2(2)</t>
        </is>
      </c>
      <c r="C122" s="24" t="inlineStr">
        <is>
          <t>Least clear gap, top bars  max(φt; dg + 5; 20)</t>
        </is>
      </c>
      <c r="D122" s="27" t="inlineStr">
        <is>
          <r>
            <rPr>
              <rFont val="Calibri"/>
              <i val="1"/>
              <color rgb="002B2B2B"/>
              <sz val="10"/>
            </rPr>
            <t>a</t>
          </r>
          <r>
            <rPr>
              <rFont val="Calibri"/>
              <i val="1"/>
              <color rgb="002B2B2B"/>
              <sz val="10"/>
              <vertAlign val="subscript"/>
            </rPr>
            <t>min,t</t>
          </r>
        </is>
      </c>
      <c r="E122" s="41">
        <f>IF(inputs_ok,MAX(sn_pt,sn_dg+5,20),NA())</f>
        <v/>
      </c>
      <c r="F122" s="28" t="inlineStr">
        <is>
          <t>mm</t>
        </is>
      </c>
      <c r="G122" s="23" t="n"/>
    </row>
    <row r="123" ht="17" customHeight="1">
      <c r="B123" s="23" t="n"/>
      <c r="C123" s="24" t="inlineStr">
        <is>
          <t>Clear gap between top bars  (9999: one bar or none)</t>
        </is>
      </c>
      <c r="D123" s="27" t="inlineStr">
        <is>
          <r>
            <rPr>
              <rFont val="Calibri"/>
              <i val="1"/>
              <color rgb="002B2B2B"/>
              <sz val="10"/>
            </rPr>
            <t>a</t>
          </r>
          <r>
            <rPr>
              <rFont val="Calibri"/>
              <i val="1"/>
              <color rgb="002B2B2B"/>
              <sz val="10"/>
              <vertAlign val="subscript"/>
            </rPr>
            <t>t</t>
          </r>
        </is>
      </c>
      <c r="E123" s="42">
        <f>IF(inputs_ok,IF(sn_nt&gt;1,(sn_b-2*(sn_c+sn_phiw)-sn_nt*sn_pt)/(sn_nt-1),9999),NA())</f>
        <v/>
      </c>
      <c r="F123" s="28" t="inlineStr">
        <is>
          <t>mm</t>
        </is>
      </c>
      <c r="G123" s="23" t="n"/>
    </row>
    <row r="124" ht="17" customHeight="1">
      <c r="B124" s="26" t="inlineStr">
        <is>
          <t>8.2(2)</t>
        </is>
      </c>
      <c r="C124" s="24" t="inlineStr">
        <is>
          <t>Least clear gap, bottom bars  max(φb; dg + 5; 20)</t>
        </is>
      </c>
      <c r="D124" s="27" t="inlineStr">
        <is>
          <r>
            <rPr>
              <rFont val="Calibri"/>
              <i val="1"/>
              <color rgb="002B2B2B"/>
              <sz val="10"/>
            </rPr>
            <t>a</t>
          </r>
          <r>
            <rPr>
              <rFont val="Calibri"/>
              <i val="1"/>
              <color rgb="002B2B2B"/>
              <sz val="10"/>
              <vertAlign val="subscript"/>
            </rPr>
            <t>min,b</t>
          </r>
        </is>
      </c>
      <c r="E124" s="41">
        <f>IF(inputs_ok,MAX(sn_pb,sn_dg+5,20),NA())</f>
        <v/>
      </c>
      <c r="F124" s="28" t="inlineStr">
        <is>
          <t>mm</t>
        </is>
      </c>
      <c r="G124" s="23" t="n"/>
    </row>
    <row r="125" ht="17" customHeight="1">
      <c r="B125" s="23" t="n"/>
      <c r="C125" s="24" t="inlineStr">
        <is>
          <t>Clear gap between bottom bars  (9999: one bar or none)</t>
        </is>
      </c>
      <c r="D125" s="27" t="inlineStr">
        <is>
          <r>
            <rPr>
              <rFont val="Calibri"/>
              <i val="1"/>
              <color rgb="002B2B2B"/>
              <sz val="10"/>
            </rPr>
            <t>a</t>
          </r>
          <r>
            <rPr>
              <rFont val="Calibri"/>
              <i val="1"/>
              <color rgb="002B2B2B"/>
              <sz val="10"/>
              <vertAlign val="subscript"/>
            </rPr>
            <t>b</t>
          </r>
        </is>
      </c>
      <c r="E125" s="42">
        <f>IF(inputs_ok,IF(sn_nb&gt;1,(sn_b-2*(sn_c+sn_phiw)-sn_nb*sn_pb)/(sn_nb-1),9999),NA())</f>
        <v/>
      </c>
      <c r="F125" s="28" t="inlineStr">
        <is>
          <t>mm</t>
        </is>
      </c>
      <c r="G125" s="23" t="n"/>
    </row>
    <row r="126" ht="17" customHeight="1">
      <c r="B126" s="26" t="inlineStr">
        <is>
          <t>8.2(2)</t>
        </is>
      </c>
      <c r="C126" s="24" t="inlineStr">
        <is>
          <t>Least clear gap between the layers  max(φt; φb; dg + 5; 20)</t>
        </is>
      </c>
      <c r="D126" s="27" t="inlineStr">
        <is>
          <r>
            <rPr>
              <rFont val="Calibri"/>
              <i val="1"/>
              <color rgb="002B2B2B"/>
              <sz val="10"/>
            </rPr>
            <t>a</t>
          </r>
          <r>
            <rPr>
              <rFont val="Calibri"/>
              <i val="1"/>
              <color rgb="002B2B2B"/>
              <sz val="10"/>
              <vertAlign val="subscript"/>
            </rPr>
            <t>min,v</t>
          </r>
        </is>
      </c>
      <c r="E126" s="41">
        <f>IF(inputs_ok,MAX(sn_pt,sn_pb,sn_dg+5,20),NA())</f>
        <v/>
      </c>
      <c r="F126" s="28" t="inlineStr">
        <is>
          <t>mm</t>
        </is>
      </c>
      <c r="G126" s="23" t="n"/>
    </row>
    <row r="127" ht="17" customHeight="1">
      <c r="B127" s="23" t="n"/>
      <c r="C127" s="24" t="inlineStr">
        <is>
          <t>Clear vertical gap between the layers  h − 2(c + φw) − φt − φb  (9999: a layer empty)</t>
        </is>
      </c>
      <c r="D127" s="27" t="inlineStr">
        <is>
          <r>
            <rPr>
              <rFont val="Calibri"/>
              <i val="1"/>
              <color rgb="002B2B2B"/>
              <sz val="10"/>
            </rPr>
            <t>a</t>
          </r>
          <r>
            <rPr>
              <rFont val="Calibri"/>
              <i val="1"/>
              <color rgb="002B2B2B"/>
              <sz val="10"/>
              <vertAlign val="subscript"/>
            </rPr>
            <t>v</t>
          </r>
        </is>
      </c>
      <c r="E127" s="42">
        <f>IF(inputs_ok,IF(AND(sn_nt&gt;0,sn_nb&gt;0),sn_h-2*(sn_c+sn_phiw)-sn_pt-sn_pb,9999),NA())</f>
        <v/>
      </c>
      <c r="F127" s="28" t="inlineStr">
        <is>
          <t>mm</t>
        </is>
      </c>
      <c r="G127" s="23" t="n"/>
    </row>
    <row r="128" ht="79" customHeight="1">
      <c r="B128" s="45" t="inlineStr">
        <is>
          <t>At NEd the section resists every moment from −MRd− to MRd+. A negative MRd+ or MRd− only means that the interval lies on one side of zero: with unequal top and bottom bars the plastic centre is not at mid-depth and moments are taken about the centre of the gross section. Once the whole section is in compression (x &gt; h) the pivot of 6.1(5) lowers the strain of a layer above 3h/7, so N need not rise with x: those states are sampled in 200 steps, the largest N refined by golden section and the roots of N = NEd in the brackets of the extreme interpolated moments solved by bisection. Detailing (9.2, 9.5), shear and crack widths are not checked here; the bar gaps are a warning only.</t>
        </is>
      </c>
    </row>
    <row r="129"/>
    <row r="130" ht="29" customHeight="1">
      <c r="B130" s="45"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7">
    <mergeCell ref="E5:G5"/>
    <mergeCell ref="B128:G128"/>
    <mergeCell ref="D2:G2"/>
    <mergeCell ref="E7:G7"/>
    <mergeCell ref="E6:G6"/>
    <mergeCell ref="C3:G3"/>
    <mergeCell ref="B130:G130"/>
  </mergeCells>
  <conditionalFormatting sqref="G9:G131">
    <cfRule type="expression" priority="1" dxfId="0">
      <formula>G9="OK"</formula>
    </cfRule>
    <cfRule type="expression" priority="2" dxfId="1">
      <formula>G9="FAIL"</formula>
    </cfRule>
    <cfRule type="expression" priority="3" dxfId="2">
      <formula>LEFT(G9,1)="!"</formula>
    </cfRule>
  </conditionalFormatting>
  <dataValidations count="13">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Enter a number greater than 0." type="decimal" errorStyle="stop" operator="greaterThan">
      <formula1>0</formula1>
    </dataValidation>
    <dataValidation sqref="E14" showDropDown="0" showInputMessage="0" showErrorMessage="1" allowBlank="0" errorTitle="NA Engineering" error="Enter a number greater than 0." type="decimal" errorStyle="stop" operator="greaterThan">
      <formula1>0</formula1>
    </dataValidation>
    <dataValidation sqref="E15" showDropDown="0" showInputMessage="0" showErrorMessage="1" allowBlank="0" errorTitle="NA Engineering" error="Enter a number greater than 0." type="decimal" errorStyle="stop" operator="greaterThan">
      <formula1>0</formula1>
    </dataValidation>
    <dataValidation sqref="E16" showDropDown="0" showInputMessage="0" showErrorMessage="1" allowBlank="0" errorTitle="NA Engineering" error="Enter a number greater than 0." type="decimal" errorStyle="stop" operator="greaterThan">
      <formula1>0</formula1>
    </dataValidation>
    <dataValidation sqref="E17" showDropDown="0" showInputMessage="0" showErrorMessage="1" allowBlank="0" errorTitle="NA Engineering" error="Enter a number greater than 0." type="decimal" errorStyle="stop" operator="greaterThan">
      <formula1>0</formula1>
    </dataValidation>
    <dataValidation sqref="E18" showDropDown="0" showInputMessage="0" showErrorMessage="1" allowBlank="0" errorTitle="NA Engineering" error="Pick a value from the list." type="list" errorStyle="stop">
      <formula1>"0,6,8,10,12"</formula1>
    </dataValidation>
    <dataValidation sqref="E19 E21" showDropDown="0" showInputMessage="0" showErrorMessage="1" allowBlank="0" errorTitle="NA Engineering" error="Pick a value from the list." type="list" errorStyle="stop">
      <formula1>"0,1,2,3,4,5,6,7,8,9,10,11,12"</formula1>
    </dataValidation>
    <dataValidation sqref="E20 E22" showDropDown="0" showInputMessage="0" showErrorMessage="1" allowBlank="0" errorTitle="NA Engineering" error="Pick a value from the list." type="list" errorStyle="stop">
      <formula1>"8,10,12,16,20,25,32,40"</formula1>
    </dataValidation>
    <dataValidation sqref="E25" showDropDown="0" showInputMessage="0" showErrorMessage="1" allowBlank="0" errorTitle="NA Engineering" error="Enter a number ≥ -1000000.0." type="decimal" errorStyle="stop" operator="greaterThanOrEqual">
      <formula1>-1000000.0</formula1>
    </dataValidation>
    <dataValidation sqref="E26" showDropDown="0" showInputMessage="0" showErrorMessage="1" allowBlank="0" errorTitle="NA Engineering" error="Enter a number ≥ -1000000.0." type="decimal" errorStyle="stop" operator="greaterThanOrEqual">
      <formula1>-1000000.0</formula1>
    </dataValidation>
    <dataValidation sqref="E27" showDropDown="0" showInputMessage="0" showErrorMessage="1" allowBlank="0" errorTitle="NA Engineering" error="Pick a value from the list." type="list" errorStyle="stop">
      <formula1>"Yes,No"</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&amp;K8A8A8ANAE-RC-043  v1.0</oddFooter>
    <evenHeader/>
    <evenFooter/>
    <firstHeader/>
    <firstFooter/>
  </headerFooter>
  <rowBreaks count="1" manualBreakCount="1">
    <brk id="50" min="0" max="16383" man="1"/>
  </rowBreaks>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FE41"/>
  <sheetViews>
    <sheetView tabSelected="0" workbookViewId="0">
      <selection activeCell="A1" sqref="A1"/>
    </sheetView>
  </sheetViews>
  <sheetFormatPr baseColWidth="8" defaultRowHeight="15"/>
  <sheetData>
    <row r="1">
      <c r="A1" t="inlineStr">
        <is>
          <t>Coordinates for the live drawings (mm). Generated - do not edit.</t>
        </is>
      </c>
    </row>
    <row r="2">
      <c r="A2">
        <f>IF(inputs_ok,"","check the inputs")</f>
        <v/>
      </c>
      <c r="D2" t="inlineStr">
        <is>
          <t>section</t>
        </is>
      </c>
      <c r="G2" t="inlineStr">
        <is>
          <t>link</t>
        </is>
      </c>
      <c r="J2" t="inlineStr">
        <is>
          <t>bar top 0</t>
        </is>
      </c>
      <c r="M2" t="inlineStr">
        <is>
          <t>bar top 1</t>
        </is>
      </c>
      <c r="P2" t="inlineStr">
        <is>
          <t>bar top 2</t>
        </is>
      </c>
      <c r="S2" t="inlineStr">
        <is>
          <t>bar top 3</t>
        </is>
      </c>
      <c r="V2" t="inlineStr">
        <is>
          <t>bar top 4</t>
        </is>
      </c>
      <c r="Y2" t="inlineStr">
        <is>
          <t>bar top 5</t>
        </is>
      </c>
      <c r="AB2" t="inlineStr">
        <is>
          <t>bar top 6</t>
        </is>
      </c>
      <c r="AE2" t="inlineStr">
        <is>
          <t>bar top 7</t>
        </is>
      </c>
      <c r="AH2" t="inlineStr">
        <is>
          <t>bar top 8</t>
        </is>
      </c>
      <c r="AK2" t="inlineStr">
        <is>
          <t>bar top 9</t>
        </is>
      </c>
      <c r="AN2" t="inlineStr">
        <is>
          <t>bar top 10</t>
        </is>
      </c>
      <c r="AQ2" t="inlineStr">
        <is>
          <t>bar top 11</t>
        </is>
      </c>
      <c r="AT2" t="inlineStr">
        <is>
          <t>bar bottom 0</t>
        </is>
      </c>
      <c r="AW2" t="inlineStr">
        <is>
          <t>bar bottom 1</t>
        </is>
      </c>
      <c r="AZ2" t="inlineStr">
        <is>
          <t>bar bottom 2</t>
        </is>
      </c>
      <c r="BC2" t="inlineStr">
        <is>
          <t>bar bottom 3</t>
        </is>
      </c>
      <c r="BF2" t="inlineStr">
        <is>
          <t>bar bottom 4</t>
        </is>
      </c>
      <c r="BI2" t="inlineStr">
        <is>
          <t>bar bottom 5</t>
        </is>
      </c>
      <c r="BL2" t="inlineStr">
        <is>
          <t>bar bottom 6</t>
        </is>
      </c>
      <c r="BO2" t="inlineStr">
        <is>
          <t>bar bottom 7</t>
        </is>
      </c>
      <c r="BR2" t="inlineStr">
        <is>
          <t>bar bottom 8</t>
        </is>
      </c>
      <c r="BU2" t="inlineStr">
        <is>
          <t>bar bottom 9</t>
        </is>
      </c>
      <c r="BX2" t="inlineStr">
        <is>
          <t>bar bottom 10</t>
        </is>
      </c>
      <c r="CA2" t="inlineStr">
        <is>
          <t>bar bottom 11</t>
        </is>
      </c>
      <c r="CD2" t="inlineStr">
        <is>
          <t>neutral axis</t>
        </is>
      </c>
      <c r="CG2" t="inlineStr">
        <is>
          <t>dim</t>
        </is>
      </c>
      <c r="CJ2">
        <f>IF(inputs_ok,"b = "&amp;TEXT(sn_b,"0"),"")</f>
        <v/>
      </c>
      <c r="CM2" t="inlineStr">
        <is>
          <t>dim</t>
        </is>
      </c>
      <c r="CP2">
        <f>IF(inputs_ok,"h = "&amp;TEXT(sn_h,"0"),"")</f>
        <v/>
      </c>
      <c r="CS2">
        <f>IF(inputs_ok,sn_nt&amp;" × φ"&amp;sn_pt&amp;" top","")</f>
        <v/>
      </c>
      <c r="CV2">
        <f>IF(inputs_ok,sn_nb&amp;" × φ"&amp;sn_pb&amp;" bottom","")</f>
        <v/>
      </c>
      <c r="CY2">
        <f>IF(inputs_ok,IF(sn_phiw&gt;0,"links φ"&amp;sn_phiw,"no links"),"")</f>
        <v/>
      </c>
      <c r="DB2">
        <f>IF(inputs_ok,IF(sn_M&gt;=0,"sagging: top face compressed","hogging: bottom face compressed"),"")</f>
        <v/>
      </c>
      <c r="DE2" t="inlineStr">
        <is>
          <t>frame</t>
        </is>
      </c>
      <c r="DH2">
        <f>IF(inputs_ok,"","check the inputs")</f>
        <v/>
      </c>
      <c r="DK2" t="inlineStr">
        <is>
          <t>M axis</t>
        </is>
      </c>
      <c r="DN2" t="inlineStr">
        <is>
          <t>N axis</t>
        </is>
      </c>
      <c r="DQ2" t="inlineStr">
        <is>
          <t>sagging</t>
        </is>
      </c>
      <c r="DT2" t="inlineStr">
        <is>
          <t>hogging</t>
        </is>
      </c>
      <c r="DW2" t="inlineStr">
        <is>
          <t>NEd line</t>
        </is>
      </c>
      <c r="DZ2" t="inlineStr">
        <is>
          <t>resistance</t>
        </is>
      </c>
      <c r="EC2" t="inlineStr">
        <is>
          <t>minimum</t>
        </is>
      </c>
      <c r="EF2" t="inlineStr">
        <is>
          <t>design</t>
        </is>
      </c>
      <c r="EI2" t="inlineStr">
        <is>
          <t>N (kN)</t>
        </is>
      </c>
      <c r="EL2" t="inlineStr">
        <is>
          <t>M (kNm)</t>
        </is>
      </c>
      <c r="EO2">
        <f>IF(inputs_ok,"NRd,max "&amp;TEXT(NRdmax_sn,"0"),"")</f>
        <v/>
      </c>
      <c r="ER2">
        <f>IF(inputs_ok,"NRd,min "&amp;TEXT(NRdmin_sn,"0"),"")</f>
        <v/>
      </c>
      <c r="EU2">
        <f>IF(inputs_ok,"NEd "&amp;TEXT(sn_N,"0")&amp;"  MEd "&amp;TEXT(sn_M,"0"),"")</f>
        <v/>
      </c>
      <c r="EX2">
        <f>IF(inputs_ok,IF(res_sn,"MRd+ "&amp;TEXT(MRdS_sn,"0"),""),"")</f>
        <v/>
      </c>
      <c r="FA2">
        <f>IF(inputs_ok,IF(res_sn,"MRd− "&amp;TEXT(MRdH_sn,"0"),""),"")</f>
        <v/>
      </c>
      <c r="FD2" t="inlineStr">
        <is>
          <t>frame</t>
        </is>
      </c>
    </row>
    <row r="3">
      <c r="A3">
        <f>0</f>
        <v/>
      </c>
      <c r="B3">
        <f>0</f>
        <v/>
      </c>
      <c r="D3">
        <f>IF(inputs_ok,0,NA())</f>
        <v/>
      </c>
      <c r="E3">
        <f>0</f>
        <v/>
      </c>
      <c r="G3">
        <f>IF(inputs_ok,IF(sn_phiw&gt;0,(sn_c+sn_phiw/2),NA()),NA())</f>
        <v/>
      </c>
      <c r="H3">
        <f>IF(sn_phiw&gt;0,(sn_c+sn_phiw/2),NA())</f>
        <v/>
      </c>
      <c r="J3">
        <f>IF(inputs_ok,IF(0&lt;sn_nt,(IF(sn_nt=1,sn_b/2,(sn_c+sn_phiw+sn_pt/2)+0*(sn_b-2*(sn_c+sn_phiw+sn_pt/2))/(sn_nt-1)))+(sn_pt/2)*1.000000,NA()),NA())</f>
        <v/>
      </c>
      <c r="K3">
        <f>IF(0&lt;sn_nt,(sn_h-dt_sn)+(sn_pt/2)*0.000000,NA())</f>
        <v/>
      </c>
      <c r="M3">
        <f>IF(inputs_ok,IF(1&lt;sn_nt,(IF(sn_nt=1,sn_b/2,(sn_c+sn_phiw+sn_pt/2)+1*(sn_b-2*(sn_c+sn_phiw+sn_pt/2))/(sn_nt-1)))+(sn_pt/2)*1.000000,NA()),NA())</f>
        <v/>
      </c>
      <c r="N3">
        <f>IF(1&lt;sn_nt,(sn_h-dt_sn)+(sn_pt/2)*0.000000,NA())</f>
        <v/>
      </c>
      <c r="P3">
        <f>IF(inputs_ok,IF(2&lt;sn_nt,(IF(sn_nt=1,sn_b/2,(sn_c+sn_phiw+sn_pt/2)+2*(sn_b-2*(sn_c+sn_phiw+sn_pt/2))/(sn_nt-1)))+(sn_pt/2)*1.000000,NA()),NA())</f>
        <v/>
      </c>
      <c r="Q3">
        <f>IF(2&lt;sn_nt,(sn_h-dt_sn)+(sn_pt/2)*0.000000,NA())</f>
        <v/>
      </c>
      <c r="S3">
        <f>IF(inputs_ok,IF(3&lt;sn_nt,(IF(sn_nt=1,sn_b/2,(sn_c+sn_phiw+sn_pt/2)+3*(sn_b-2*(sn_c+sn_phiw+sn_pt/2))/(sn_nt-1)))+(sn_pt/2)*1.000000,NA()),NA())</f>
        <v/>
      </c>
      <c r="T3">
        <f>IF(3&lt;sn_nt,(sn_h-dt_sn)+(sn_pt/2)*0.000000,NA())</f>
        <v/>
      </c>
      <c r="V3">
        <f>IF(inputs_ok,IF(4&lt;sn_nt,(IF(sn_nt=1,sn_b/2,(sn_c+sn_phiw+sn_pt/2)+4*(sn_b-2*(sn_c+sn_phiw+sn_pt/2))/(sn_nt-1)))+(sn_pt/2)*1.000000,NA()),NA())</f>
        <v/>
      </c>
      <c r="W3">
        <f>IF(4&lt;sn_nt,(sn_h-dt_sn)+(sn_pt/2)*0.000000,NA())</f>
        <v/>
      </c>
      <c r="Y3">
        <f>IF(inputs_ok,IF(5&lt;sn_nt,(IF(sn_nt=1,sn_b/2,(sn_c+sn_phiw+sn_pt/2)+5*(sn_b-2*(sn_c+sn_phiw+sn_pt/2))/(sn_nt-1)))+(sn_pt/2)*1.000000,NA()),NA())</f>
        <v/>
      </c>
      <c r="Z3">
        <f>IF(5&lt;sn_nt,(sn_h-dt_sn)+(sn_pt/2)*0.000000,NA())</f>
        <v/>
      </c>
      <c r="AB3">
        <f>IF(inputs_ok,IF(6&lt;sn_nt,(IF(sn_nt=1,sn_b/2,(sn_c+sn_phiw+sn_pt/2)+6*(sn_b-2*(sn_c+sn_phiw+sn_pt/2))/(sn_nt-1)))+(sn_pt/2)*1.000000,NA()),NA())</f>
        <v/>
      </c>
      <c r="AC3">
        <f>IF(6&lt;sn_nt,(sn_h-dt_sn)+(sn_pt/2)*0.000000,NA())</f>
        <v/>
      </c>
      <c r="AE3">
        <f>IF(inputs_ok,IF(7&lt;sn_nt,(IF(sn_nt=1,sn_b/2,(sn_c+sn_phiw+sn_pt/2)+7*(sn_b-2*(sn_c+sn_phiw+sn_pt/2))/(sn_nt-1)))+(sn_pt/2)*1.000000,NA()),NA())</f>
        <v/>
      </c>
      <c r="AF3">
        <f>IF(7&lt;sn_nt,(sn_h-dt_sn)+(sn_pt/2)*0.000000,NA())</f>
        <v/>
      </c>
      <c r="AH3">
        <f>IF(inputs_ok,IF(8&lt;sn_nt,(IF(sn_nt=1,sn_b/2,(sn_c+sn_phiw+sn_pt/2)+8*(sn_b-2*(sn_c+sn_phiw+sn_pt/2))/(sn_nt-1)))+(sn_pt/2)*1.000000,NA()),NA())</f>
        <v/>
      </c>
      <c r="AI3">
        <f>IF(8&lt;sn_nt,(sn_h-dt_sn)+(sn_pt/2)*0.000000,NA())</f>
        <v/>
      </c>
      <c r="AK3">
        <f>IF(inputs_ok,IF(9&lt;sn_nt,(IF(sn_nt=1,sn_b/2,(sn_c+sn_phiw+sn_pt/2)+9*(sn_b-2*(sn_c+sn_phiw+sn_pt/2))/(sn_nt-1)))+(sn_pt/2)*1.000000,NA()),NA())</f>
        <v/>
      </c>
      <c r="AL3">
        <f>IF(9&lt;sn_nt,(sn_h-dt_sn)+(sn_pt/2)*0.000000,NA())</f>
        <v/>
      </c>
      <c r="AN3">
        <f>IF(inputs_ok,IF(10&lt;sn_nt,(IF(sn_nt=1,sn_b/2,(sn_c+sn_phiw+sn_pt/2)+10*(sn_b-2*(sn_c+sn_phiw+sn_pt/2))/(sn_nt-1)))+(sn_pt/2)*1.000000,NA()),NA())</f>
        <v/>
      </c>
      <c r="AO3">
        <f>IF(10&lt;sn_nt,(sn_h-dt_sn)+(sn_pt/2)*0.000000,NA())</f>
        <v/>
      </c>
      <c r="AQ3">
        <f>IF(inputs_ok,IF(11&lt;sn_nt,(IF(sn_nt=1,sn_b/2,(sn_c+sn_phiw+sn_pt/2)+11*(sn_b-2*(sn_c+sn_phiw+sn_pt/2))/(sn_nt-1)))+(sn_pt/2)*1.000000,NA()),NA())</f>
        <v/>
      </c>
      <c r="AR3">
        <f>IF(11&lt;sn_nt,(sn_h-dt_sn)+(sn_pt/2)*0.000000,NA())</f>
        <v/>
      </c>
      <c r="AT3">
        <f>IF(inputs_ok,IF(0&lt;sn_nb,(IF(sn_nb=1,sn_b/2,(sn_c+sn_phiw+sn_pb/2)+0*(sn_b-2*(sn_c+sn_phiw+sn_pb/2))/(sn_nb-1)))+(sn_pb/2)*1.000000,NA()),NA())</f>
        <v/>
      </c>
      <c r="AU3">
        <f>IF(0&lt;sn_nb,(db_sn)+(sn_pb/2)*0.000000,NA())</f>
        <v/>
      </c>
      <c r="AW3">
        <f>IF(inputs_ok,IF(1&lt;sn_nb,(IF(sn_nb=1,sn_b/2,(sn_c+sn_phiw+sn_pb/2)+1*(sn_b-2*(sn_c+sn_phiw+sn_pb/2))/(sn_nb-1)))+(sn_pb/2)*1.000000,NA()),NA())</f>
        <v/>
      </c>
      <c r="AX3">
        <f>IF(1&lt;sn_nb,(db_sn)+(sn_pb/2)*0.000000,NA())</f>
        <v/>
      </c>
      <c r="AZ3">
        <f>IF(inputs_ok,IF(2&lt;sn_nb,(IF(sn_nb=1,sn_b/2,(sn_c+sn_phiw+sn_pb/2)+2*(sn_b-2*(sn_c+sn_phiw+sn_pb/2))/(sn_nb-1)))+(sn_pb/2)*1.000000,NA()),NA())</f>
        <v/>
      </c>
      <c r="BA3">
        <f>IF(2&lt;sn_nb,(db_sn)+(sn_pb/2)*0.000000,NA())</f>
        <v/>
      </c>
      <c r="BC3">
        <f>IF(inputs_ok,IF(3&lt;sn_nb,(IF(sn_nb=1,sn_b/2,(sn_c+sn_phiw+sn_pb/2)+3*(sn_b-2*(sn_c+sn_phiw+sn_pb/2))/(sn_nb-1)))+(sn_pb/2)*1.000000,NA()),NA())</f>
        <v/>
      </c>
      <c r="BD3">
        <f>IF(3&lt;sn_nb,(db_sn)+(sn_pb/2)*0.000000,NA())</f>
        <v/>
      </c>
      <c r="BF3">
        <f>IF(inputs_ok,IF(4&lt;sn_nb,(IF(sn_nb=1,sn_b/2,(sn_c+sn_phiw+sn_pb/2)+4*(sn_b-2*(sn_c+sn_phiw+sn_pb/2))/(sn_nb-1)))+(sn_pb/2)*1.000000,NA()),NA())</f>
        <v/>
      </c>
      <c r="BG3">
        <f>IF(4&lt;sn_nb,(db_sn)+(sn_pb/2)*0.000000,NA())</f>
        <v/>
      </c>
      <c r="BI3">
        <f>IF(inputs_ok,IF(5&lt;sn_nb,(IF(sn_nb=1,sn_b/2,(sn_c+sn_phiw+sn_pb/2)+5*(sn_b-2*(sn_c+sn_phiw+sn_pb/2))/(sn_nb-1)))+(sn_pb/2)*1.000000,NA()),NA())</f>
        <v/>
      </c>
      <c r="BJ3">
        <f>IF(5&lt;sn_nb,(db_sn)+(sn_pb/2)*0.000000,NA())</f>
        <v/>
      </c>
      <c r="BL3">
        <f>IF(inputs_ok,IF(6&lt;sn_nb,(IF(sn_nb=1,sn_b/2,(sn_c+sn_phiw+sn_pb/2)+6*(sn_b-2*(sn_c+sn_phiw+sn_pb/2))/(sn_nb-1)))+(sn_pb/2)*1.000000,NA()),NA())</f>
        <v/>
      </c>
      <c r="BM3">
        <f>IF(6&lt;sn_nb,(db_sn)+(sn_pb/2)*0.000000,NA())</f>
        <v/>
      </c>
      <c r="BO3">
        <f>IF(inputs_ok,IF(7&lt;sn_nb,(IF(sn_nb=1,sn_b/2,(sn_c+sn_phiw+sn_pb/2)+7*(sn_b-2*(sn_c+sn_phiw+sn_pb/2))/(sn_nb-1)))+(sn_pb/2)*1.000000,NA()),NA())</f>
        <v/>
      </c>
      <c r="BP3">
        <f>IF(7&lt;sn_nb,(db_sn)+(sn_pb/2)*0.000000,NA())</f>
        <v/>
      </c>
      <c r="BR3">
        <f>IF(inputs_ok,IF(8&lt;sn_nb,(IF(sn_nb=1,sn_b/2,(sn_c+sn_phiw+sn_pb/2)+8*(sn_b-2*(sn_c+sn_phiw+sn_pb/2))/(sn_nb-1)))+(sn_pb/2)*1.000000,NA()),NA())</f>
        <v/>
      </c>
      <c r="BS3">
        <f>IF(8&lt;sn_nb,(db_sn)+(sn_pb/2)*0.000000,NA())</f>
        <v/>
      </c>
      <c r="BU3">
        <f>IF(inputs_ok,IF(9&lt;sn_nb,(IF(sn_nb=1,sn_b/2,(sn_c+sn_phiw+sn_pb/2)+9*(sn_b-2*(sn_c+sn_phiw+sn_pb/2))/(sn_nb-1)))+(sn_pb/2)*1.000000,NA()),NA())</f>
        <v/>
      </c>
      <c r="BV3">
        <f>IF(9&lt;sn_nb,(db_sn)+(sn_pb/2)*0.000000,NA())</f>
        <v/>
      </c>
      <c r="BX3">
        <f>IF(inputs_ok,IF(10&lt;sn_nb,(IF(sn_nb=1,sn_b/2,(sn_c+sn_phiw+sn_pb/2)+10*(sn_b-2*(sn_c+sn_phiw+sn_pb/2))/(sn_nb-1)))+(sn_pb/2)*1.000000,NA()),NA())</f>
        <v/>
      </c>
      <c r="BY3">
        <f>IF(10&lt;sn_nb,(db_sn)+(sn_pb/2)*0.000000,NA())</f>
        <v/>
      </c>
      <c r="CA3">
        <f>IF(inputs_ok,IF(11&lt;sn_nb,(IF(sn_nb=1,sn_b/2,(sn_c+sn_phiw+sn_pb/2)+11*(sn_b-2*(sn_c+sn_phiw+sn_pb/2))/(sn_nb-1)))+(sn_pb/2)*1.000000,NA()),NA())</f>
        <v/>
      </c>
      <c r="CB3">
        <f>IF(11&lt;sn_nb,(db_sn)+(sn_pb/2)*0.000000,NA())</f>
        <v/>
      </c>
      <c r="CD3">
        <f>IF(inputs_ok,IF(AND(res_sn,IFERROR(IF(sn_M&gt;=0,xS_sn,xH_sn)&lt;sn_h,FALSE)),-0.08*sn_b,NA()),NA())</f>
        <v/>
      </c>
      <c r="CE3">
        <f>IF(AND(res_sn,IFERROR(IF(sn_M&gt;=0,xS_sn,xH_sn)&lt;sn_h,FALSE)),IF(sn_M&gt;=0,sn_h-xS_sn,xH_sn),NA())</f>
        <v/>
      </c>
      <c r="CG3">
        <f>IF(inputs_ok,IF(TRUE,0,NA()),NA())</f>
        <v/>
      </c>
      <c r="CH3">
        <f>IF(TRUE,-0.08*MAX(sn_b,sn_h),NA())</f>
        <v/>
      </c>
      <c r="CJ3">
        <f>IF(inputs_ok,IF(TRUE,((0)+(sn_b))/2,NA()),NA())</f>
        <v/>
      </c>
      <c r="CK3">
        <f>IF(TRUE,((-0.08*MAX(sn_b,sn_h))+(-0.08*MAX(sn_b,sn_h)))/2,NA())</f>
        <v/>
      </c>
      <c r="CM3">
        <f>IF(inputs_ok,IF(TRUE,-0.08*MAX(sn_b,sn_h),NA()),NA())</f>
        <v/>
      </c>
      <c r="CN3">
        <f>IF(TRUE,0,NA())</f>
        <v/>
      </c>
      <c r="CP3">
        <f>IF(inputs_ok,IF(TRUE,((-0.08*MAX(sn_b,sn_h))+(-0.08*MAX(sn_b,sn_h)))/2,NA()),NA())</f>
        <v/>
      </c>
      <c r="CQ3">
        <f>IF(TRUE,((0)+(sn_h))/2,NA())</f>
        <v/>
      </c>
      <c r="CS3">
        <f>IF(inputs_ok,sn_b+2*0.08*MAX(sn_b,sn_h),NA())</f>
        <v/>
      </c>
      <c r="CT3">
        <f>0.8*sn_h</f>
        <v/>
      </c>
      <c r="CV3">
        <f>IF(inputs_ok,sn_b+2*0.08*MAX(sn_b,sn_h),NA())</f>
        <v/>
      </c>
      <c r="CW3">
        <f>0.2*sn_h</f>
        <v/>
      </c>
      <c r="CY3">
        <f>IF(inputs_ok,sn_b+2*0.08*MAX(sn_b,sn_h),NA())</f>
        <v/>
      </c>
      <c r="CZ3">
        <f>0.5*sn_h</f>
        <v/>
      </c>
      <c r="DB3">
        <f>IF(inputs_ok,sn_b/2,NA())</f>
        <v/>
      </c>
      <c r="DC3">
        <f>sn_h+0.5*0.08*MAX(sn_b,sn_h)</f>
        <v/>
      </c>
      <c r="DE3">
        <f>((-2*0.08*MAX(sn_b,sn_h))+(sn_b+8*0.08*MAX(sn_b,sn_h)))/2-MAX((sn_h+1.4*0.08*MAX(sn_b,sn_h))-(-2*0.08*MAX(sn_b,sn_h)),((sn_b+8*0.08*MAX(sn_b,sn_h))-(-2*0.08*MAX(sn_b,sn_h)))/1.55)*0.58*1.55</f>
        <v/>
      </c>
      <c r="DF3">
        <f>((-2*0.08*MAX(sn_b,sn_h))+(sn_h+1.4*0.08*MAX(sn_b,sn_h)))/2-MAX((sn_h+1.4*0.08*MAX(sn_b,sn_h))-(-2*0.08*MAX(sn_b,sn_h)),((sn_b+8*0.08*MAX(sn_b,sn_h))-(-2*0.08*MAX(sn_b,sn_h)))/1.55)*0.58</f>
        <v/>
      </c>
      <c r="DH3">
        <f>0</f>
        <v/>
      </c>
      <c r="DI3">
        <f>0</f>
        <v/>
      </c>
      <c r="DK3">
        <f>IF(inputs_ok,-1.75,NA())</f>
        <v/>
      </c>
      <c r="DL3">
        <f>0</f>
        <v/>
      </c>
      <c r="DN3">
        <f>IF(inputs_ok,0,NA())</f>
        <v/>
      </c>
      <c r="DO3">
        <f>NRdmin_sn/NRdmax_sn-0.06</f>
        <v/>
      </c>
      <c r="DQ3">
        <f>IF(inputs_ok,INDEX(nmS_M,1)*1.5/Mpk_sn,NA())</f>
        <v/>
      </c>
      <c r="DR3">
        <f>INDEX(nmS_N,1)/NRdmax_sn</f>
        <v/>
      </c>
      <c r="DT3">
        <f>IF(inputs_ok,-INDEX(nmH_M,1)*1.5/Mpk_sn,NA())</f>
        <v/>
      </c>
      <c r="DU3">
        <f>INDEX(nmH_N,1)/NRdmax_sn</f>
        <v/>
      </c>
      <c r="DW3">
        <f>IF(inputs_ok,IF(res_sn,-MRdH_sn*1.5/Mpk_sn,NA()),NA())</f>
        <v/>
      </c>
      <c r="DX3">
        <f>IF(res_sn,MAX(NRdmin_sn/NRdmax_sn-0.08,MIN(1.12,sn_N/NRdmax_sn)),NA())</f>
        <v/>
      </c>
      <c r="DZ3">
        <f>IF(inputs_ok,IF(res_sn,MRdS_sn*1.5/Mpk_sn,NA()),NA())</f>
        <v/>
      </c>
      <c r="EA3">
        <f>IF(res_sn,MAX(NRdmin_sn/NRdmax_sn-0.08,MIN(1.12,sn_N/NRdmax_sn)),NA())</f>
        <v/>
      </c>
      <c r="EC3">
        <f>IF(inputs_ok,IF(both_sn,Mmin_sn*1.5/Mpk_sn,NA()),NA())</f>
        <v/>
      </c>
      <c r="ED3">
        <f>IF(both_sn,MAX(NRdmin_sn/NRdmax_sn-0.08,MIN(1.12,sn_N/NRdmax_sn)),NA())</f>
        <v/>
      </c>
      <c r="EF3">
        <f>IF(inputs_ok,MAX(-2.1,MIN(2.1,sn_M*1.5/Mpk_sn)),NA())</f>
        <v/>
      </c>
      <c r="EG3">
        <f>MAX(NRdmin_sn/NRdmax_sn-0.08,MIN(1.12,sn_N/NRdmax_sn))</f>
        <v/>
      </c>
      <c r="EI3">
        <f>IF(inputs_ok,0,NA())</f>
        <v/>
      </c>
      <c r="EJ3">
        <f>1.1</f>
        <v/>
      </c>
      <c r="EL3">
        <f>IF(inputs_ok,1.75,NA())</f>
        <v/>
      </c>
      <c r="EM3">
        <f>0</f>
        <v/>
      </c>
      <c r="EO3">
        <f>IF(inputs_ok,0,NA())</f>
        <v/>
      </c>
      <c r="EP3">
        <f>1</f>
        <v/>
      </c>
      <c r="ER3">
        <f>IF(inputs_ok,0,NA())</f>
        <v/>
      </c>
      <c r="ES3">
        <f>NRdmin_sn/NRdmax_sn</f>
        <v/>
      </c>
      <c r="EU3">
        <f>IF(inputs_ok,MAX(-2.1,MIN(2.1,sn_M*1.5/Mpk_sn)),NA())</f>
        <v/>
      </c>
      <c r="EV3">
        <f>MAX(NRdmin_sn/NRdmax_sn-0.08,MIN(1.12,sn_N/NRdmax_sn))</f>
        <v/>
      </c>
      <c r="EX3">
        <f>IF(inputs_ok,IF(res_sn,MRdS_sn*1.5/Mpk_sn,NA()),NA())</f>
        <v/>
      </c>
      <c r="EY3">
        <f>MAX(NRdmin_sn/NRdmax_sn-0.08,MIN(1.12,sn_N/NRdmax_sn))</f>
        <v/>
      </c>
      <c r="FA3">
        <f>IF(inputs_ok,IF(res_sn,-MRdH_sn*1.5/Mpk_sn,NA()),NA())</f>
        <v/>
      </c>
      <c r="FB3">
        <f>MAX(NRdmin_sn/NRdmax_sn-0.08,MIN(1.12,sn_N/NRdmax_sn))</f>
        <v/>
      </c>
      <c r="FD3">
        <f>((-2.4)+(2.4))/2-MAX((1.18)-(NRdmin_sn/NRdmax_sn-0.12),((2.4)-(-2.4))/1.55)*0.52*1.55</f>
        <v/>
      </c>
      <c r="FE3">
        <f>((NRdmin_sn/NRdmax_sn-0.12)+(1.18))/2-MAX((1.18)-(NRdmin_sn/NRdmax_sn-0.12),((2.4)-(-2.4))/1.55)*0.52</f>
        <v/>
      </c>
    </row>
    <row r="4">
      <c r="D4">
        <f>IF(inputs_ok,sn_b,NA())</f>
        <v/>
      </c>
      <c r="E4">
        <f>0</f>
        <v/>
      </c>
      <c r="G4">
        <f>IF(inputs_ok,IF(sn_phiw&gt;0,sn_b-(sn_c+sn_phiw/2),NA()),NA())</f>
        <v/>
      </c>
      <c r="H4">
        <f>IF(sn_phiw&gt;0,(sn_c+sn_phiw/2),NA())</f>
        <v/>
      </c>
      <c r="J4">
        <f>IF(inputs_ok,IF(0&lt;sn_nt,(IF(sn_nt=1,sn_b/2,(sn_c+sn_phiw+sn_pt/2)+0*(sn_b-2*(sn_c+sn_phiw+sn_pt/2))/(sn_nt-1)))+(sn_pt/2)*0.866025,NA()),NA())</f>
        <v/>
      </c>
      <c r="K4">
        <f>IF(0&lt;sn_nt,(sn_h-dt_sn)+(sn_pt/2)*0.500000,NA())</f>
        <v/>
      </c>
      <c r="M4">
        <f>IF(inputs_ok,IF(1&lt;sn_nt,(IF(sn_nt=1,sn_b/2,(sn_c+sn_phiw+sn_pt/2)+1*(sn_b-2*(sn_c+sn_phiw+sn_pt/2))/(sn_nt-1)))+(sn_pt/2)*0.866025,NA()),NA())</f>
        <v/>
      </c>
      <c r="N4">
        <f>IF(1&lt;sn_nt,(sn_h-dt_sn)+(sn_pt/2)*0.500000,NA())</f>
        <v/>
      </c>
      <c r="P4">
        <f>IF(inputs_ok,IF(2&lt;sn_nt,(IF(sn_nt=1,sn_b/2,(sn_c+sn_phiw+sn_pt/2)+2*(sn_b-2*(sn_c+sn_phiw+sn_pt/2))/(sn_nt-1)))+(sn_pt/2)*0.866025,NA()),NA())</f>
        <v/>
      </c>
      <c r="Q4">
        <f>IF(2&lt;sn_nt,(sn_h-dt_sn)+(sn_pt/2)*0.500000,NA())</f>
        <v/>
      </c>
      <c r="S4">
        <f>IF(inputs_ok,IF(3&lt;sn_nt,(IF(sn_nt=1,sn_b/2,(sn_c+sn_phiw+sn_pt/2)+3*(sn_b-2*(sn_c+sn_phiw+sn_pt/2))/(sn_nt-1)))+(sn_pt/2)*0.866025,NA()),NA())</f>
        <v/>
      </c>
      <c r="T4">
        <f>IF(3&lt;sn_nt,(sn_h-dt_sn)+(sn_pt/2)*0.500000,NA())</f>
        <v/>
      </c>
      <c r="V4">
        <f>IF(inputs_ok,IF(4&lt;sn_nt,(IF(sn_nt=1,sn_b/2,(sn_c+sn_phiw+sn_pt/2)+4*(sn_b-2*(sn_c+sn_phiw+sn_pt/2))/(sn_nt-1)))+(sn_pt/2)*0.866025,NA()),NA())</f>
        <v/>
      </c>
      <c r="W4">
        <f>IF(4&lt;sn_nt,(sn_h-dt_sn)+(sn_pt/2)*0.500000,NA())</f>
        <v/>
      </c>
      <c r="Y4">
        <f>IF(inputs_ok,IF(5&lt;sn_nt,(IF(sn_nt=1,sn_b/2,(sn_c+sn_phiw+sn_pt/2)+5*(sn_b-2*(sn_c+sn_phiw+sn_pt/2))/(sn_nt-1)))+(sn_pt/2)*0.866025,NA()),NA())</f>
        <v/>
      </c>
      <c r="Z4">
        <f>IF(5&lt;sn_nt,(sn_h-dt_sn)+(sn_pt/2)*0.500000,NA())</f>
        <v/>
      </c>
      <c r="AB4">
        <f>IF(inputs_ok,IF(6&lt;sn_nt,(IF(sn_nt=1,sn_b/2,(sn_c+sn_phiw+sn_pt/2)+6*(sn_b-2*(sn_c+sn_phiw+sn_pt/2))/(sn_nt-1)))+(sn_pt/2)*0.866025,NA()),NA())</f>
        <v/>
      </c>
      <c r="AC4">
        <f>IF(6&lt;sn_nt,(sn_h-dt_sn)+(sn_pt/2)*0.500000,NA())</f>
        <v/>
      </c>
      <c r="AE4">
        <f>IF(inputs_ok,IF(7&lt;sn_nt,(IF(sn_nt=1,sn_b/2,(sn_c+sn_phiw+sn_pt/2)+7*(sn_b-2*(sn_c+sn_phiw+sn_pt/2))/(sn_nt-1)))+(sn_pt/2)*0.866025,NA()),NA())</f>
        <v/>
      </c>
      <c r="AF4">
        <f>IF(7&lt;sn_nt,(sn_h-dt_sn)+(sn_pt/2)*0.500000,NA())</f>
        <v/>
      </c>
      <c r="AH4">
        <f>IF(inputs_ok,IF(8&lt;sn_nt,(IF(sn_nt=1,sn_b/2,(sn_c+sn_phiw+sn_pt/2)+8*(sn_b-2*(sn_c+sn_phiw+sn_pt/2))/(sn_nt-1)))+(sn_pt/2)*0.866025,NA()),NA())</f>
        <v/>
      </c>
      <c r="AI4">
        <f>IF(8&lt;sn_nt,(sn_h-dt_sn)+(sn_pt/2)*0.500000,NA())</f>
        <v/>
      </c>
      <c r="AK4">
        <f>IF(inputs_ok,IF(9&lt;sn_nt,(IF(sn_nt=1,sn_b/2,(sn_c+sn_phiw+sn_pt/2)+9*(sn_b-2*(sn_c+sn_phiw+sn_pt/2))/(sn_nt-1)))+(sn_pt/2)*0.866025,NA()),NA())</f>
        <v/>
      </c>
      <c r="AL4">
        <f>IF(9&lt;sn_nt,(sn_h-dt_sn)+(sn_pt/2)*0.500000,NA())</f>
        <v/>
      </c>
      <c r="AN4">
        <f>IF(inputs_ok,IF(10&lt;sn_nt,(IF(sn_nt=1,sn_b/2,(sn_c+sn_phiw+sn_pt/2)+10*(sn_b-2*(sn_c+sn_phiw+sn_pt/2))/(sn_nt-1)))+(sn_pt/2)*0.866025,NA()),NA())</f>
        <v/>
      </c>
      <c r="AO4">
        <f>IF(10&lt;sn_nt,(sn_h-dt_sn)+(sn_pt/2)*0.500000,NA())</f>
        <v/>
      </c>
      <c r="AQ4">
        <f>IF(inputs_ok,IF(11&lt;sn_nt,(IF(sn_nt=1,sn_b/2,(sn_c+sn_phiw+sn_pt/2)+11*(sn_b-2*(sn_c+sn_phiw+sn_pt/2))/(sn_nt-1)))+(sn_pt/2)*0.866025,NA()),NA())</f>
        <v/>
      </c>
      <c r="AR4">
        <f>IF(11&lt;sn_nt,(sn_h-dt_sn)+(sn_pt/2)*0.500000,NA())</f>
        <v/>
      </c>
      <c r="AT4">
        <f>IF(inputs_ok,IF(0&lt;sn_nb,(IF(sn_nb=1,sn_b/2,(sn_c+sn_phiw+sn_pb/2)+0*(sn_b-2*(sn_c+sn_phiw+sn_pb/2))/(sn_nb-1)))+(sn_pb/2)*0.866025,NA()),NA())</f>
        <v/>
      </c>
      <c r="AU4">
        <f>IF(0&lt;sn_nb,(db_sn)+(sn_pb/2)*0.500000,NA())</f>
        <v/>
      </c>
      <c r="AW4">
        <f>IF(inputs_ok,IF(1&lt;sn_nb,(IF(sn_nb=1,sn_b/2,(sn_c+sn_phiw+sn_pb/2)+1*(sn_b-2*(sn_c+sn_phiw+sn_pb/2))/(sn_nb-1)))+(sn_pb/2)*0.866025,NA()),NA())</f>
        <v/>
      </c>
      <c r="AX4">
        <f>IF(1&lt;sn_nb,(db_sn)+(sn_pb/2)*0.500000,NA())</f>
        <v/>
      </c>
      <c r="AZ4">
        <f>IF(inputs_ok,IF(2&lt;sn_nb,(IF(sn_nb=1,sn_b/2,(sn_c+sn_phiw+sn_pb/2)+2*(sn_b-2*(sn_c+sn_phiw+sn_pb/2))/(sn_nb-1)))+(sn_pb/2)*0.866025,NA()),NA())</f>
        <v/>
      </c>
      <c r="BA4">
        <f>IF(2&lt;sn_nb,(db_sn)+(sn_pb/2)*0.500000,NA())</f>
        <v/>
      </c>
      <c r="BC4">
        <f>IF(inputs_ok,IF(3&lt;sn_nb,(IF(sn_nb=1,sn_b/2,(sn_c+sn_phiw+sn_pb/2)+3*(sn_b-2*(sn_c+sn_phiw+sn_pb/2))/(sn_nb-1)))+(sn_pb/2)*0.866025,NA()),NA())</f>
        <v/>
      </c>
      <c r="BD4">
        <f>IF(3&lt;sn_nb,(db_sn)+(sn_pb/2)*0.500000,NA())</f>
        <v/>
      </c>
      <c r="BF4">
        <f>IF(inputs_ok,IF(4&lt;sn_nb,(IF(sn_nb=1,sn_b/2,(sn_c+sn_phiw+sn_pb/2)+4*(sn_b-2*(sn_c+sn_phiw+sn_pb/2))/(sn_nb-1)))+(sn_pb/2)*0.866025,NA()),NA())</f>
        <v/>
      </c>
      <c r="BG4">
        <f>IF(4&lt;sn_nb,(db_sn)+(sn_pb/2)*0.500000,NA())</f>
        <v/>
      </c>
      <c r="BI4">
        <f>IF(inputs_ok,IF(5&lt;sn_nb,(IF(sn_nb=1,sn_b/2,(sn_c+sn_phiw+sn_pb/2)+5*(sn_b-2*(sn_c+sn_phiw+sn_pb/2))/(sn_nb-1)))+(sn_pb/2)*0.866025,NA()),NA())</f>
        <v/>
      </c>
      <c r="BJ4">
        <f>IF(5&lt;sn_nb,(db_sn)+(sn_pb/2)*0.500000,NA())</f>
        <v/>
      </c>
      <c r="BL4">
        <f>IF(inputs_ok,IF(6&lt;sn_nb,(IF(sn_nb=1,sn_b/2,(sn_c+sn_phiw+sn_pb/2)+6*(sn_b-2*(sn_c+sn_phiw+sn_pb/2))/(sn_nb-1)))+(sn_pb/2)*0.866025,NA()),NA())</f>
        <v/>
      </c>
      <c r="BM4">
        <f>IF(6&lt;sn_nb,(db_sn)+(sn_pb/2)*0.500000,NA())</f>
        <v/>
      </c>
      <c r="BO4">
        <f>IF(inputs_ok,IF(7&lt;sn_nb,(IF(sn_nb=1,sn_b/2,(sn_c+sn_phiw+sn_pb/2)+7*(sn_b-2*(sn_c+sn_phiw+sn_pb/2))/(sn_nb-1)))+(sn_pb/2)*0.866025,NA()),NA())</f>
        <v/>
      </c>
      <c r="BP4">
        <f>IF(7&lt;sn_nb,(db_sn)+(sn_pb/2)*0.500000,NA())</f>
        <v/>
      </c>
      <c r="BR4">
        <f>IF(inputs_ok,IF(8&lt;sn_nb,(IF(sn_nb=1,sn_b/2,(sn_c+sn_phiw+sn_pb/2)+8*(sn_b-2*(sn_c+sn_phiw+sn_pb/2))/(sn_nb-1)))+(sn_pb/2)*0.866025,NA()),NA())</f>
        <v/>
      </c>
      <c r="BS4">
        <f>IF(8&lt;sn_nb,(db_sn)+(sn_pb/2)*0.500000,NA())</f>
        <v/>
      </c>
      <c r="BU4">
        <f>IF(inputs_ok,IF(9&lt;sn_nb,(IF(sn_nb=1,sn_b/2,(sn_c+sn_phiw+sn_pb/2)+9*(sn_b-2*(sn_c+sn_phiw+sn_pb/2))/(sn_nb-1)))+(sn_pb/2)*0.866025,NA()),NA())</f>
        <v/>
      </c>
      <c r="BV4">
        <f>IF(9&lt;sn_nb,(db_sn)+(sn_pb/2)*0.500000,NA())</f>
        <v/>
      </c>
      <c r="BX4">
        <f>IF(inputs_ok,IF(10&lt;sn_nb,(IF(sn_nb=1,sn_b/2,(sn_c+sn_phiw+sn_pb/2)+10*(sn_b-2*(sn_c+sn_phiw+sn_pb/2))/(sn_nb-1)))+(sn_pb/2)*0.866025,NA()),NA())</f>
        <v/>
      </c>
      <c r="BY4">
        <f>IF(10&lt;sn_nb,(db_sn)+(sn_pb/2)*0.500000,NA())</f>
        <v/>
      </c>
      <c r="CA4">
        <f>IF(inputs_ok,IF(11&lt;sn_nb,(IF(sn_nb=1,sn_b/2,(sn_c+sn_phiw+sn_pb/2)+11*(sn_b-2*(sn_c+sn_phiw+sn_pb/2))/(sn_nb-1)))+(sn_pb/2)*0.866025,NA()),NA())</f>
        <v/>
      </c>
      <c r="CB4">
        <f>IF(11&lt;sn_nb,(db_sn)+(sn_pb/2)*0.500000,NA())</f>
        <v/>
      </c>
      <c r="CD4">
        <f>IF(inputs_ok,IF(AND(res_sn,IFERROR(IF(sn_M&gt;=0,xS_sn,xH_sn)&lt;sn_h,FALSE)),1.08*sn_b,NA()),NA())</f>
        <v/>
      </c>
      <c r="CE4">
        <f>IF(AND(res_sn,IFERROR(IF(sn_M&gt;=0,xS_sn,xH_sn)&lt;sn_h,FALSE)),IF(sn_M&gt;=0,sn_h-xS_sn,xH_sn),NA())</f>
        <v/>
      </c>
      <c r="CG4">
        <f>IF(inputs_ok,IF(TRUE,sn_b,NA()),NA())</f>
        <v/>
      </c>
      <c r="CH4">
        <f>IF(TRUE,-0.08*MAX(sn_b,sn_h),NA())</f>
        <v/>
      </c>
      <c r="CM4">
        <f>IF(inputs_ok,IF(TRUE,-0.08*MAX(sn_b,sn_h),NA()),NA())</f>
        <v/>
      </c>
      <c r="CN4">
        <f>IF(TRUE,sn_h,NA())</f>
        <v/>
      </c>
      <c r="DE4">
        <f>((-2*0.08*MAX(sn_b,sn_h))+(sn_b+8*0.08*MAX(sn_b,sn_h)))/2+MAX((sn_h+1.4*0.08*MAX(sn_b,sn_h))-(-2*0.08*MAX(sn_b,sn_h)),((sn_b+8*0.08*MAX(sn_b,sn_h))-(-2*0.08*MAX(sn_b,sn_h)))/1.55)*0.58*1.55</f>
        <v/>
      </c>
      <c r="DF4">
        <f>((-2*0.08*MAX(sn_b,sn_h))+(sn_h+1.4*0.08*MAX(sn_b,sn_h)))/2+MAX((sn_h+1.4*0.08*MAX(sn_b,sn_h))-(-2*0.08*MAX(sn_b,sn_h)),((sn_b+8*0.08*MAX(sn_b,sn_h))-(-2*0.08*MAX(sn_b,sn_h)))/1.55)*0.58</f>
        <v/>
      </c>
      <c r="DK4">
        <f>IF(inputs_ok,1.75,NA())</f>
        <v/>
      </c>
      <c r="DL4">
        <f>0</f>
        <v/>
      </c>
      <c r="DN4">
        <f>IF(inputs_ok,0,NA())</f>
        <v/>
      </c>
      <c r="DO4">
        <f>1.1</f>
        <v/>
      </c>
      <c r="DQ4">
        <f>IF(inputs_ok,INDEX(nmS_M,2)*1.5/Mpk_sn,NA())</f>
        <v/>
      </c>
      <c r="DR4">
        <f>INDEX(nmS_N,2)/NRdmax_sn</f>
        <v/>
      </c>
      <c r="DT4">
        <f>IF(inputs_ok,-INDEX(nmH_M,2)*1.5/Mpk_sn,NA())</f>
        <v/>
      </c>
      <c r="DU4">
        <f>INDEX(nmH_N,2)/NRdmax_sn</f>
        <v/>
      </c>
      <c r="DW4">
        <f>IF(inputs_ok,IF(res_sn,MRdS_sn*1.5/Mpk_sn,NA()),NA())</f>
        <v/>
      </c>
      <c r="DX4">
        <f>IF(res_sn,MAX(NRdmin_sn/NRdmax_sn-0.08,MIN(1.12,sn_N/NRdmax_sn)),NA())</f>
        <v/>
      </c>
      <c r="DZ4">
        <f>IF(inputs_ok,IF(res_sn,-MRdH_sn*1.5/Mpk_sn,NA()),NA())</f>
        <v/>
      </c>
      <c r="EA4">
        <f>IF(res_sn,MAX(NRdmin_sn/NRdmax_sn-0.08,MIN(1.12,sn_N/NRdmax_sn)),NA())</f>
        <v/>
      </c>
      <c r="EC4">
        <f>IF(inputs_ok,IF(both_sn,-Mmin_sn*1.5/Mpk_sn,NA()),NA())</f>
        <v/>
      </c>
      <c r="ED4">
        <f>IF(both_sn,MAX(NRdmin_sn/NRdmax_sn-0.08,MIN(1.12,sn_N/NRdmax_sn)),NA())</f>
        <v/>
      </c>
      <c r="FD4">
        <f>((-2.4)+(2.4))/2+MAX((1.18)-(NRdmin_sn/NRdmax_sn-0.12),((2.4)-(-2.4))/1.55)*0.52*1.55</f>
        <v/>
      </c>
      <c r="FE4">
        <f>((NRdmin_sn/NRdmax_sn-0.12)+(1.18))/2+MAX((1.18)-(NRdmin_sn/NRdmax_sn-0.12),((2.4)-(-2.4))/1.55)*0.52</f>
        <v/>
      </c>
    </row>
    <row r="5">
      <c r="D5">
        <f>IF(inputs_ok,sn_b,NA())</f>
        <v/>
      </c>
      <c r="E5">
        <f>sn_h</f>
        <v/>
      </c>
      <c r="G5">
        <f>IF(inputs_ok,IF(sn_phiw&gt;0,sn_b-(sn_c+sn_phiw/2),NA()),NA())</f>
        <v/>
      </c>
      <c r="H5">
        <f>IF(sn_phiw&gt;0,sn_h-(sn_c+sn_phiw/2),NA())</f>
        <v/>
      </c>
      <c r="J5">
        <f>IF(inputs_ok,IF(0&lt;sn_nt,(IF(sn_nt=1,sn_b/2,(sn_c+sn_phiw+sn_pt/2)+0*(sn_b-2*(sn_c+sn_phiw+sn_pt/2))/(sn_nt-1)))+(sn_pt/2)*0.500000,NA()),NA())</f>
        <v/>
      </c>
      <c r="K5">
        <f>IF(0&lt;sn_nt,(sn_h-dt_sn)+(sn_pt/2)*0.866025,NA())</f>
        <v/>
      </c>
      <c r="M5">
        <f>IF(inputs_ok,IF(1&lt;sn_nt,(IF(sn_nt=1,sn_b/2,(sn_c+sn_phiw+sn_pt/2)+1*(sn_b-2*(sn_c+sn_phiw+sn_pt/2))/(sn_nt-1)))+(sn_pt/2)*0.500000,NA()),NA())</f>
        <v/>
      </c>
      <c r="N5">
        <f>IF(1&lt;sn_nt,(sn_h-dt_sn)+(sn_pt/2)*0.866025,NA())</f>
        <v/>
      </c>
      <c r="P5">
        <f>IF(inputs_ok,IF(2&lt;sn_nt,(IF(sn_nt=1,sn_b/2,(sn_c+sn_phiw+sn_pt/2)+2*(sn_b-2*(sn_c+sn_phiw+sn_pt/2))/(sn_nt-1)))+(sn_pt/2)*0.500000,NA()),NA())</f>
        <v/>
      </c>
      <c r="Q5">
        <f>IF(2&lt;sn_nt,(sn_h-dt_sn)+(sn_pt/2)*0.866025,NA())</f>
        <v/>
      </c>
      <c r="S5">
        <f>IF(inputs_ok,IF(3&lt;sn_nt,(IF(sn_nt=1,sn_b/2,(sn_c+sn_phiw+sn_pt/2)+3*(sn_b-2*(sn_c+sn_phiw+sn_pt/2))/(sn_nt-1)))+(sn_pt/2)*0.500000,NA()),NA())</f>
        <v/>
      </c>
      <c r="T5">
        <f>IF(3&lt;sn_nt,(sn_h-dt_sn)+(sn_pt/2)*0.866025,NA())</f>
        <v/>
      </c>
      <c r="V5">
        <f>IF(inputs_ok,IF(4&lt;sn_nt,(IF(sn_nt=1,sn_b/2,(sn_c+sn_phiw+sn_pt/2)+4*(sn_b-2*(sn_c+sn_phiw+sn_pt/2))/(sn_nt-1)))+(sn_pt/2)*0.500000,NA()),NA())</f>
        <v/>
      </c>
      <c r="W5">
        <f>IF(4&lt;sn_nt,(sn_h-dt_sn)+(sn_pt/2)*0.866025,NA())</f>
        <v/>
      </c>
      <c r="Y5">
        <f>IF(inputs_ok,IF(5&lt;sn_nt,(IF(sn_nt=1,sn_b/2,(sn_c+sn_phiw+sn_pt/2)+5*(sn_b-2*(sn_c+sn_phiw+sn_pt/2))/(sn_nt-1)))+(sn_pt/2)*0.500000,NA()),NA())</f>
        <v/>
      </c>
      <c r="Z5">
        <f>IF(5&lt;sn_nt,(sn_h-dt_sn)+(sn_pt/2)*0.866025,NA())</f>
        <v/>
      </c>
      <c r="AB5">
        <f>IF(inputs_ok,IF(6&lt;sn_nt,(IF(sn_nt=1,sn_b/2,(sn_c+sn_phiw+sn_pt/2)+6*(sn_b-2*(sn_c+sn_phiw+sn_pt/2))/(sn_nt-1)))+(sn_pt/2)*0.500000,NA()),NA())</f>
        <v/>
      </c>
      <c r="AC5">
        <f>IF(6&lt;sn_nt,(sn_h-dt_sn)+(sn_pt/2)*0.866025,NA())</f>
        <v/>
      </c>
      <c r="AE5">
        <f>IF(inputs_ok,IF(7&lt;sn_nt,(IF(sn_nt=1,sn_b/2,(sn_c+sn_phiw+sn_pt/2)+7*(sn_b-2*(sn_c+sn_phiw+sn_pt/2))/(sn_nt-1)))+(sn_pt/2)*0.500000,NA()),NA())</f>
        <v/>
      </c>
      <c r="AF5">
        <f>IF(7&lt;sn_nt,(sn_h-dt_sn)+(sn_pt/2)*0.866025,NA())</f>
        <v/>
      </c>
      <c r="AH5">
        <f>IF(inputs_ok,IF(8&lt;sn_nt,(IF(sn_nt=1,sn_b/2,(sn_c+sn_phiw+sn_pt/2)+8*(sn_b-2*(sn_c+sn_phiw+sn_pt/2))/(sn_nt-1)))+(sn_pt/2)*0.500000,NA()),NA())</f>
        <v/>
      </c>
      <c r="AI5">
        <f>IF(8&lt;sn_nt,(sn_h-dt_sn)+(sn_pt/2)*0.866025,NA())</f>
        <v/>
      </c>
      <c r="AK5">
        <f>IF(inputs_ok,IF(9&lt;sn_nt,(IF(sn_nt=1,sn_b/2,(sn_c+sn_phiw+sn_pt/2)+9*(sn_b-2*(sn_c+sn_phiw+sn_pt/2))/(sn_nt-1)))+(sn_pt/2)*0.500000,NA()),NA())</f>
        <v/>
      </c>
      <c r="AL5">
        <f>IF(9&lt;sn_nt,(sn_h-dt_sn)+(sn_pt/2)*0.866025,NA())</f>
        <v/>
      </c>
      <c r="AN5">
        <f>IF(inputs_ok,IF(10&lt;sn_nt,(IF(sn_nt=1,sn_b/2,(sn_c+sn_phiw+sn_pt/2)+10*(sn_b-2*(sn_c+sn_phiw+sn_pt/2))/(sn_nt-1)))+(sn_pt/2)*0.500000,NA()),NA())</f>
        <v/>
      </c>
      <c r="AO5">
        <f>IF(10&lt;sn_nt,(sn_h-dt_sn)+(sn_pt/2)*0.866025,NA())</f>
        <v/>
      </c>
      <c r="AQ5">
        <f>IF(inputs_ok,IF(11&lt;sn_nt,(IF(sn_nt=1,sn_b/2,(sn_c+sn_phiw+sn_pt/2)+11*(sn_b-2*(sn_c+sn_phiw+sn_pt/2))/(sn_nt-1)))+(sn_pt/2)*0.500000,NA()),NA())</f>
        <v/>
      </c>
      <c r="AR5">
        <f>IF(11&lt;sn_nt,(sn_h-dt_sn)+(sn_pt/2)*0.866025,NA())</f>
        <v/>
      </c>
      <c r="AT5">
        <f>IF(inputs_ok,IF(0&lt;sn_nb,(IF(sn_nb=1,sn_b/2,(sn_c+sn_phiw+sn_pb/2)+0*(sn_b-2*(sn_c+sn_phiw+sn_pb/2))/(sn_nb-1)))+(sn_pb/2)*0.500000,NA()),NA())</f>
        <v/>
      </c>
      <c r="AU5">
        <f>IF(0&lt;sn_nb,(db_sn)+(sn_pb/2)*0.866025,NA())</f>
        <v/>
      </c>
      <c r="AW5">
        <f>IF(inputs_ok,IF(1&lt;sn_nb,(IF(sn_nb=1,sn_b/2,(sn_c+sn_phiw+sn_pb/2)+1*(sn_b-2*(sn_c+sn_phiw+sn_pb/2))/(sn_nb-1)))+(sn_pb/2)*0.500000,NA()),NA())</f>
        <v/>
      </c>
      <c r="AX5">
        <f>IF(1&lt;sn_nb,(db_sn)+(sn_pb/2)*0.866025,NA())</f>
        <v/>
      </c>
      <c r="AZ5">
        <f>IF(inputs_ok,IF(2&lt;sn_nb,(IF(sn_nb=1,sn_b/2,(sn_c+sn_phiw+sn_pb/2)+2*(sn_b-2*(sn_c+sn_phiw+sn_pb/2))/(sn_nb-1)))+(sn_pb/2)*0.500000,NA()),NA())</f>
        <v/>
      </c>
      <c r="BA5">
        <f>IF(2&lt;sn_nb,(db_sn)+(sn_pb/2)*0.866025,NA())</f>
        <v/>
      </c>
      <c r="BC5">
        <f>IF(inputs_ok,IF(3&lt;sn_nb,(IF(sn_nb=1,sn_b/2,(sn_c+sn_phiw+sn_pb/2)+3*(sn_b-2*(sn_c+sn_phiw+sn_pb/2))/(sn_nb-1)))+(sn_pb/2)*0.500000,NA()),NA())</f>
        <v/>
      </c>
      <c r="BD5">
        <f>IF(3&lt;sn_nb,(db_sn)+(sn_pb/2)*0.866025,NA())</f>
        <v/>
      </c>
      <c r="BF5">
        <f>IF(inputs_ok,IF(4&lt;sn_nb,(IF(sn_nb=1,sn_b/2,(sn_c+sn_phiw+sn_pb/2)+4*(sn_b-2*(sn_c+sn_phiw+sn_pb/2))/(sn_nb-1)))+(sn_pb/2)*0.500000,NA()),NA())</f>
        <v/>
      </c>
      <c r="BG5">
        <f>IF(4&lt;sn_nb,(db_sn)+(sn_pb/2)*0.866025,NA())</f>
        <v/>
      </c>
      <c r="BI5">
        <f>IF(inputs_ok,IF(5&lt;sn_nb,(IF(sn_nb=1,sn_b/2,(sn_c+sn_phiw+sn_pb/2)+5*(sn_b-2*(sn_c+sn_phiw+sn_pb/2))/(sn_nb-1)))+(sn_pb/2)*0.500000,NA()),NA())</f>
        <v/>
      </c>
      <c r="BJ5">
        <f>IF(5&lt;sn_nb,(db_sn)+(sn_pb/2)*0.866025,NA())</f>
        <v/>
      </c>
      <c r="BL5">
        <f>IF(inputs_ok,IF(6&lt;sn_nb,(IF(sn_nb=1,sn_b/2,(sn_c+sn_phiw+sn_pb/2)+6*(sn_b-2*(sn_c+sn_phiw+sn_pb/2))/(sn_nb-1)))+(sn_pb/2)*0.500000,NA()),NA())</f>
        <v/>
      </c>
      <c r="BM5">
        <f>IF(6&lt;sn_nb,(db_sn)+(sn_pb/2)*0.866025,NA())</f>
        <v/>
      </c>
      <c r="BO5">
        <f>IF(inputs_ok,IF(7&lt;sn_nb,(IF(sn_nb=1,sn_b/2,(sn_c+sn_phiw+sn_pb/2)+7*(sn_b-2*(sn_c+sn_phiw+sn_pb/2))/(sn_nb-1)))+(sn_pb/2)*0.500000,NA()),NA())</f>
        <v/>
      </c>
      <c r="BP5">
        <f>IF(7&lt;sn_nb,(db_sn)+(sn_pb/2)*0.866025,NA())</f>
        <v/>
      </c>
      <c r="BR5">
        <f>IF(inputs_ok,IF(8&lt;sn_nb,(IF(sn_nb=1,sn_b/2,(sn_c+sn_phiw+sn_pb/2)+8*(sn_b-2*(sn_c+sn_phiw+sn_pb/2))/(sn_nb-1)))+(sn_pb/2)*0.500000,NA()),NA())</f>
        <v/>
      </c>
      <c r="BS5">
        <f>IF(8&lt;sn_nb,(db_sn)+(sn_pb/2)*0.866025,NA())</f>
        <v/>
      </c>
      <c r="BU5">
        <f>IF(inputs_ok,IF(9&lt;sn_nb,(IF(sn_nb=1,sn_b/2,(sn_c+sn_phiw+sn_pb/2)+9*(sn_b-2*(sn_c+sn_phiw+sn_pb/2))/(sn_nb-1)))+(sn_pb/2)*0.500000,NA()),NA())</f>
        <v/>
      </c>
      <c r="BV5">
        <f>IF(9&lt;sn_nb,(db_sn)+(sn_pb/2)*0.866025,NA())</f>
        <v/>
      </c>
      <c r="BX5">
        <f>IF(inputs_ok,IF(10&lt;sn_nb,(IF(sn_nb=1,sn_b/2,(sn_c+sn_phiw+sn_pb/2)+10*(sn_b-2*(sn_c+sn_phiw+sn_pb/2))/(sn_nb-1)))+(sn_pb/2)*0.500000,NA()),NA())</f>
        <v/>
      </c>
      <c r="BY5">
        <f>IF(10&lt;sn_nb,(db_sn)+(sn_pb/2)*0.866025,NA())</f>
        <v/>
      </c>
      <c r="CA5">
        <f>IF(inputs_ok,IF(11&lt;sn_nb,(IF(sn_nb=1,sn_b/2,(sn_c+sn_phiw+sn_pb/2)+11*(sn_b-2*(sn_c+sn_phiw+sn_pb/2))/(sn_nb-1)))+(sn_pb/2)*0.500000,NA()),NA())</f>
        <v/>
      </c>
      <c r="CB5">
        <f>IF(11&lt;sn_nb,(db_sn)+(sn_pb/2)*0.866025,NA())</f>
        <v/>
      </c>
      <c r="DQ5">
        <f>IF(inputs_ok,INDEX(nmS_M,3)*1.5/Mpk_sn,NA())</f>
        <v/>
      </c>
      <c r="DR5">
        <f>INDEX(nmS_N,3)/NRdmax_sn</f>
        <v/>
      </c>
      <c r="DT5">
        <f>IF(inputs_ok,-INDEX(nmH_M,3)*1.5/Mpk_sn,NA())</f>
        <v/>
      </c>
      <c r="DU5">
        <f>INDEX(nmH_N,3)/NRdmax_sn</f>
        <v/>
      </c>
    </row>
    <row r="6">
      <c r="D6">
        <f>IF(inputs_ok,0,NA())</f>
        <v/>
      </c>
      <c r="E6">
        <f>sn_h</f>
        <v/>
      </c>
      <c r="G6">
        <f>IF(inputs_ok,IF(sn_phiw&gt;0,(sn_c+sn_phiw/2),NA()),NA())</f>
        <v/>
      </c>
      <c r="H6">
        <f>IF(sn_phiw&gt;0,sn_h-(sn_c+sn_phiw/2),NA())</f>
        <v/>
      </c>
      <c r="J6">
        <f>IF(inputs_ok,IF(0&lt;sn_nt,(IF(sn_nt=1,sn_b/2,(sn_c+sn_phiw+sn_pt/2)+0*(sn_b-2*(sn_c+sn_phiw+sn_pt/2))/(sn_nt-1)))+(sn_pt/2)*0.000000,NA()),NA())</f>
        <v/>
      </c>
      <c r="K6">
        <f>IF(0&lt;sn_nt,(sn_h-dt_sn)+(sn_pt/2)*1.000000,NA())</f>
        <v/>
      </c>
      <c r="M6">
        <f>IF(inputs_ok,IF(1&lt;sn_nt,(IF(sn_nt=1,sn_b/2,(sn_c+sn_phiw+sn_pt/2)+1*(sn_b-2*(sn_c+sn_phiw+sn_pt/2))/(sn_nt-1)))+(sn_pt/2)*0.000000,NA()),NA())</f>
        <v/>
      </c>
      <c r="N6">
        <f>IF(1&lt;sn_nt,(sn_h-dt_sn)+(sn_pt/2)*1.000000,NA())</f>
        <v/>
      </c>
      <c r="P6">
        <f>IF(inputs_ok,IF(2&lt;sn_nt,(IF(sn_nt=1,sn_b/2,(sn_c+sn_phiw+sn_pt/2)+2*(sn_b-2*(sn_c+sn_phiw+sn_pt/2))/(sn_nt-1)))+(sn_pt/2)*0.000000,NA()),NA())</f>
        <v/>
      </c>
      <c r="Q6">
        <f>IF(2&lt;sn_nt,(sn_h-dt_sn)+(sn_pt/2)*1.000000,NA())</f>
        <v/>
      </c>
      <c r="S6">
        <f>IF(inputs_ok,IF(3&lt;sn_nt,(IF(sn_nt=1,sn_b/2,(sn_c+sn_phiw+sn_pt/2)+3*(sn_b-2*(sn_c+sn_phiw+sn_pt/2))/(sn_nt-1)))+(sn_pt/2)*0.000000,NA()),NA())</f>
        <v/>
      </c>
      <c r="T6">
        <f>IF(3&lt;sn_nt,(sn_h-dt_sn)+(sn_pt/2)*1.000000,NA())</f>
        <v/>
      </c>
      <c r="V6">
        <f>IF(inputs_ok,IF(4&lt;sn_nt,(IF(sn_nt=1,sn_b/2,(sn_c+sn_phiw+sn_pt/2)+4*(sn_b-2*(sn_c+sn_phiw+sn_pt/2))/(sn_nt-1)))+(sn_pt/2)*0.000000,NA()),NA())</f>
        <v/>
      </c>
      <c r="W6">
        <f>IF(4&lt;sn_nt,(sn_h-dt_sn)+(sn_pt/2)*1.000000,NA())</f>
        <v/>
      </c>
      <c r="Y6">
        <f>IF(inputs_ok,IF(5&lt;sn_nt,(IF(sn_nt=1,sn_b/2,(sn_c+sn_phiw+sn_pt/2)+5*(sn_b-2*(sn_c+sn_phiw+sn_pt/2))/(sn_nt-1)))+(sn_pt/2)*0.000000,NA()),NA())</f>
        <v/>
      </c>
      <c r="Z6">
        <f>IF(5&lt;sn_nt,(sn_h-dt_sn)+(sn_pt/2)*1.000000,NA())</f>
        <v/>
      </c>
      <c r="AB6">
        <f>IF(inputs_ok,IF(6&lt;sn_nt,(IF(sn_nt=1,sn_b/2,(sn_c+sn_phiw+sn_pt/2)+6*(sn_b-2*(sn_c+sn_phiw+sn_pt/2))/(sn_nt-1)))+(sn_pt/2)*0.000000,NA()),NA())</f>
        <v/>
      </c>
      <c r="AC6">
        <f>IF(6&lt;sn_nt,(sn_h-dt_sn)+(sn_pt/2)*1.000000,NA())</f>
        <v/>
      </c>
      <c r="AE6">
        <f>IF(inputs_ok,IF(7&lt;sn_nt,(IF(sn_nt=1,sn_b/2,(sn_c+sn_phiw+sn_pt/2)+7*(sn_b-2*(sn_c+sn_phiw+sn_pt/2))/(sn_nt-1)))+(sn_pt/2)*0.000000,NA()),NA())</f>
        <v/>
      </c>
      <c r="AF6">
        <f>IF(7&lt;sn_nt,(sn_h-dt_sn)+(sn_pt/2)*1.000000,NA())</f>
        <v/>
      </c>
      <c r="AH6">
        <f>IF(inputs_ok,IF(8&lt;sn_nt,(IF(sn_nt=1,sn_b/2,(sn_c+sn_phiw+sn_pt/2)+8*(sn_b-2*(sn_c+sn_phiw+sn_pt/2))/(sn_nt-1)))+(sn_pt/2)*0.000000,NA()),NA())</f>
        <v/>
      </c>
      <c r="AI6">
        <f>IF(8&lt;sn_nt,(sn_h-dt_sn)+(sn_pt/2)*1.000000,NA())</f>
        <v/>
      </c>
      <c r="AK6">
        <f>IF(inputs_ok,IF(9&lt;sn_nt,(IF(sn_nt=1,sn_b/2,(sn_c+sn_phiw+sn_pt/2)+9*(sn_b-2*(sn_c+sn_phiw+sn_pt/2))/(sn_nt-1)))+(sn_pt/2)*0.000000,NA()),NA())</f>
        <v/>
      </c>
      <c r="AL6">
        <f>IF(9&lt;sn_nt,(sn_h-dt_sn)+(sn_pt/2)*1.000000,NA())</f>
        <v/>
      </c>
      <c r="AN6">
        <f>IF(inputs_ok,IF(10&lt;sn_nt,(IF(sn_nt=1,sn_b/2,(sn_c+sn_phiw+sn_pt/2)+10*(sn_b-2*(sn_c+sn_phiw+sn_pt/2))/(sn_nt-1)))+(sn_pt/2)*0.000000,NA()),NA())</f>
        <v/>
      </c>
      <c r="AO6">
        <f>IF(10&lt;sn_nt,(sn_h-dt_sn)+(sn_pt/2)*1.000000,NA())</f>
        <v/>
      </c>
      <c r="AQ6">
        <f>IF(inputs_ok,IF(11&lt;sn_nt,(IF(sn_nt=1,sn_b/2,(sn_c+sn_phiw+sn_pt/2)+11*(sn_b-2*(sn_c+sn_phiw+sn_pt/2))/(sn_nt-1)))+(sn_pt/2)*0.000000,NA()),NA())</f>
        <v/>
      </c>
      <c r="AR6">
        <f>IF(11&lt;sn_nt,(sn_h-dt_sn)+(sn_pt/2)*1.000000,NA())</f>
        <v/>
      </c>
      <c r="AT6">
        <f>IF(inputs_ok,IF(0&lt;sn_nb,(IF(sn_nb=1,sn_b/2,(sn_c+sn_phiw+sn_pb/2)+0*(sn_b-2*(sn_c+sn_phiw+sn_pb/2))/(sn_nb-1)))+(sn_pb/2)*0.000000,NA()),NA())</f>
        <v/>
      </c>
      <c r="AU6">
        <f>IF(0&lt;sn_nb,(db_sn)+(sn_pb/2)*1.000000,NA())</f>
        <v/>
      </c>
      <c r="AW6">
        <f>IF(inputs_ok,IF(1&lt;sn_nb,(IF(sn_nb=1,sn_b/2,(sn_c+sn_phiw+sn_pb/2)+1*(sn_b-2*(sn_c+sn_phiw+sn_pb/2))/(sn_nb-1)))+(sn_pb/2)*0.000000,NA()),NA())</f>
        <v/>
      </c>
      <c r="AX6">
        <f>IF(1&lt;sn_nb,(db_sn)+(sn_pb/2)*1.000000,NA())</f>
        <v/>
      </c>
      <c r="AZ6">
        <f>IF(inputs_ok,IF(2&lt;sn_nb,(IF(sn_nb=1,sn_b/2,(sn_c+sn_phiw+sn_pb/2)+2*(sn_b-2*(sn_c+sn_phiw+sn_pb/2))/(sn_nb-1)))+(sn_pb/2)*0.000000,NA()),NA())</f>
        <v/>
      </c>
      <c r="BA6">
        <f>IF(2&lt;sn_nb,(db_sn)+(sn_pb/2)*1.000000,NA())</f>
        <v/>
      </c>
      <c r="BC6">
        <f>IF(inputs_ok,IF(3&lt;sn_nb,(IF(sn_nb=1,sn_b/2,(sn_c+sn_phiw+sn_pb/2)+3*(sn_b-2*(sn_c+sn_phiw+sn_pb/2))/(sn_nb-1)))+(sn_pb/2)*0.000000,NA()),NA())</f>
        <v/>
      </c>
      <c r="BD6">
        <f>IF(3&lt;sn_nb,(db_sn)+(sn_pb/2)*1.000000,NA())</f>
        <v/>
      </c>
      <c r="BF6">
        <f>IF(inputs_ok,IF(4&lt;sn_nb,(IF(sn_nb=1,sn_b/2,(sn_c+sn_phiw+sn_pb/2)+4*(sn_b-2*(sn_c+sn_phiw+sn_pb/2))/(sn_nb-1)))+(sn_pb/2)*0.000000,NA()),NA())</f>
        <v/>
      </c>
      <c r="BG6">
        <f>IF(4&lt;sn_nb,(db_sn)+(sn_pb/2)*1.000000,NA())</f>
        <v/>
      </c>
      <c r="BI6">
        <f>IF(inputs_ok,IF(5&lt;sn_nb,(IF(sn_nb=1,sn_b/2,(sn_c+sn_phiw+sn_pb/2)+5*(sn_b-2*(sn_c+sn_phiw+sn_pb/2))/(sn_nb-1)))+(sn_pb/2)*0.000000,NA()),NA())</f>
        <v/>
      </c>
      <c r="BJ6">
        <f>IF(5&lt;sn_nb,(db_sn)+(sn_pb/2)*1.000000,NA())</f>
        <v/>
      </c>
      <c r="BL6">
        <f>IF(inputs_ok,IF(6&lt;sn_nb,(IF(sn_nb=1,sn_b/2,(sn_c+sn_phiw+sn_pb/2)+6*(sn_b-2*(sn_c+sn_phiw+sn_pb/2))/(sn_nb-1)))+(sn_pb/2)*0.000000,NA()),NA())</f>
        <v/>
      </c>
      <c r="BM6">
        <f>IF(6&lt;sn_nb,(db_sn)+(sn_pb/2)*1.000000,NA())</f>
        <v/>
      </c>
      <c r="BO6">
        <f>IF(inputs_ok,IF(7&lt;sn_nb,(IF(sn_nb=1,sn_b/2,(sn_c+sn_phiw+sn_pb/2)+7*(sn_b-2*(sn_c+sn_phiw+sn_pb/2))/(sn_nb-1)))+(sn_pb/2)*0.000000,NA()),NA())</f>
        <v/>
      </c>
      <c r="BP6">
        <f>IF(7&lt;sn_nb,(db_sn)+(sn_pb/2)*1.000000,NA())</f>
        <v/>
      </c>
      <c r="BR6">
        <f>IF(inputs_ok,IF(8&lt;sn_nb,(IF(sn_nb=1,sn_b/2,(sn_c+sn_phiw+sn_pb/2)+8*(sn_b-2*(sn_c+sn_phiw+sn_pb/2))/(sn_nb-1)))+(sn_pb/2)*0.000000,NA()),NA())</f>
        <v/>
      </c>
      <c r="BS6">
        <f>IF(8&lt;sn_nb,(db_sn)+(sn_pb/2)*1.000000,NA())</f>
        <v/>
      </c>
      <c r="BU6">
        <f>IF(inputs_ok,IF(9&lt;sn_nb,(IF(sn_nb=1,sn_b/2,(sn_c+sn_phiw+sn_pb/2)+9*(sn_b-2*(sn_c+sn_phiw+sn_pb/2))/(sn_nb-1)))+(sn_pb/2)*0.000000,NA()),NA())</f>
        <v/>
      </c>
      <c r="BV6">
        <f>IF(9&lt;sn_nb,(db_sn)+(sn_pb/2)*1.000000,NA())</f>
        <v/>
      </c>
      <c r="BX6">
        <f>IF(inputs_ok,IF(10&lt;sn_nb,(IF(sn_nb=1,sn_b/2,(sn_c+sn_phiw+sn_pb/2)+10*(sn_b-2*(sn_c+sn_phiw+sn_pb/2))/(sn_nb-1)))+(sn_pb/2)*0.000000,NA()),NA())</f>
        <v/>
      </c>
      <c r="BY6">
        <f>IF(10&lt;sn_nb,(db_sn)+(sn_pb/2)*1.000000,NA())</f>
        <v/>
      </c>
      <c r="CA6">
        <f>IF(inputs_ok,IF(11&lt;sn_nb,(IF(sn_nb=1,sn_b/2,(sn_c+sn_phiw+sn_pb/2)+11*(sn_b-2*(sn_c+sn_phiw+sn_pb/2))/(sn_nb-1)))+(sn_pb/2)*0.000000,NA()),NA())</f>
        <v/>
      </c>
      <c r="CB6">
        <f>IF(11&lt;sn_nb,(db_sn)+(sn_pb/2)*1.000000,NA())</f>
        <v/>
      </c>
      <c r="DQ6">
        <f>IF(inputs_ok,INDEX(nmS_M,4)*1.5/Mpk_sn,NA())</f>
        <v/>
      </c>
      <c r="DR6">
        <f>INDEX(nmS_N,4)/NRdmax_sn</f>
        <v/>
      </c>
      <c r="DT6">
        <f>IF(inputs_ok,-INDEX(nmH_M,4)*1.5/Mpk_sn,NA())</f>
        <v/>
      </c>
      <c r="DU6">
        <f>INDEX(nmH_N,4)/NRdmax_sn</f>
        <v/>
      </c>
    </row>
    <row r="7">
      <c r="D7">
        <f>IF(inputs_ok,0,NA())</f>
        <v/>
      </c>
      <c r="E7">
        <f>0</f>
        <v/>
      </c>
      <c r="G7">
        <f>IF(inputs_ok,IF(sn_phiw&gt;0,(sn_c+sn_phiw/2),NA()),NA())</f>
        <v/>
      </c>
      <c r="H7">
        <f>IF(sn_phiw&gt;0,(sn_c+sn_phiw/2),NA())</f>
        <v/>
      </c>
      <c r="J7">
        <f>IF(inputs_ok,IF(0&lt;sn_nt,(IF(sn_nt=1,sn_b/2,(sn_c+sn_phiw+sn_pt/2)+0*(sn_b-2*(sn_c+sn_phiw+sn_pt/2))/(sn_nt-1)))+(sn_pt/2)*-0.500000,NA()),NA())</f>
        <v/>
      </c>
      <c r="K7">
        <f>IF(0&lt;sn_nt,(sn_h-dt_sn)+(sn_pt/2)*0.866025,NA())</f>
        <v/>
      </c>
      <c r="M7">
        <f>IF(inputs_ok,IF(1&lt;sn_nt,(IF(sn_nt=1,sn_b/2,(sn_c+sn_phiw+sn_pt/2)+1*(sn_b-2*(sn_c+sn_phiw+sn_pt/2))/(sn_nt-1)))+(sn_pt/2)*-0.500000,NA()),NA())</f>
        <v/>
      </c>
      <c r="N7">
        <f>IF(1&lt;sn_nt,(sn_h-dt_sn)+(sn_pt/2)*0.866025,NA())</f>
        <v/>
      </c>
      <c r="P7">
        <f>IF(inputs_ok,IF(2&lt;sn_nt,(IF(sn_nt=1,sn_b/2,(sn_c+sn_phiw+sn_pt/2)+2*(sn_b-2*(sn_c+sn_phiw+sn_pt/2))/(sn_nt-1)))+(sn_pt/2)*-0.500000,NA()),NA())</f>
        <v/>
      </c>
      <c r="Q7">
        <f>IF(2&lt;sn_nt,(sn_h-dt_sn)+(sn_pt/2)*0.866025,NA())</f>
        <v/>
      </c>
      <c r="S7">
        <f>IF(inputs_ok,IF(3&lt;sn_nt,(IF(sn_nt=1,sn_b/2,(sn_c+sn_phiw+sn_pt/2)+3*(sn_b-2*(sn_c+sn_phiw+sn_pt/2))/(sn_nt-1)))+(sn_pt/2)*-0.500000,NA()),NA())</f>
        <v/>
      </c>
      <c r="T7">
        <f>IF(3&lt;sn_nt,(sn_h-dt_sn)+(sn_pt/2)*0.866025,NA())</f>
        <v/>
      </c>
      <c r="V7">
        <f>IF(inputs_ok,IF(4&lt;sn_nt,(IF(sn_nt=1,sn_b/2,(sn_c+sn_phiw+sn_pt/2)+4*(sn_b-2*(sn_c+sn_phiw+sn_pt/2))/(sn_nt-1)))+(sn_pt/2)*-0.500000,NA()),NA())</f>
        <v/>
      </c>
      <c r="W7">
        <f>IF(4&lt;sn_nt,(sn_h-dt_sn)+(sn_pt/2)*0.866025,NA())</f>
        <v/>
      </c>
      <c r="Y7">
        <f>IF(inputs_ok,IF(5&lt;sn_nt,(IF(sn_nt=1,sn_b/2,(sn_c+sn_phiw+sn_pt/2)+5*(sn_b-2*(sn_c+sn_phiw+sn_pt/2))/(sn_nt-1)))+(sn_pt/2)*-0.500000,NA()),NA())</f>
        <v/>
      </c>
      <c r="Z7">
        <f>IF(5&lt;sn_nt,(sn_h-dt_sn)+(sn_pt/2)*0.866025,NA())</f>
        <v/>
      </c>
      <c r="AB7">
        <f>IF(inputs_ok,IF(6&lt;sn_nt,(IF(sn_nt=1,sn_b/2,(sn_c+sn_phiw+sn_pt/2)+6*(sn_b-2*(sn_c+sn_phiw+sn_pt/2))/(sn_nt-1)))+(sn_pt/2)*-0.500000,NA()),NA())</f>
        <v/>
      </c>
      <c r="AC7">
        <f>IF(6&lt;sn_nt,(sn_h-dt_sn)+(sn_pt/2)*0.866025,NA())</f>
        <v/>
      </c>
      <c r="AE7">
        <f>IF(inputs_ok,IF(7&lt;sn_nt,(IF(sn_nt=1,sn_b/2,(sn_c+sn_phiw+sn_pt/2)+7*(sn_b-2*(sn_c+sn_phiw+sn_pt/2))/(sn_nt-1)))+(sn_pt/2)*-0.500000,NA()),NA())</f>
        <v/>
      </c>
      <c r="AF7">
        <f>IF(7&lt;sn_nt,(sn_h-dt_sn)+(sn_pt/2)*0.866025,NA())</f>
        <v/>
      </c>
      <c r="AH7">
        <f>IF(inputs_ok,IF(8&lt;sn_nt,(IF(sn_nt=1,sn_b/2,(sn_c+sn_phiw+sn_pt/2)+8*(sn_b-2*(sn_c+sn_phiw+sn_pt/2))/(sn_nt-1)))+(sn_pt/2)*-0.500000,NA()),NA())</f>
        <v/>
      </c>
      <c r="AI7">
        <f>IF(8&lt;sn_nt,(sn_h-dt_sn)+(sn_pt/2)*0.866025,NA())</f>
        <v/>
      </c>
      <c r="AK7">
        <f>IF(inputs_ok,IF(9&lt;sn_nt,(IF(sn_nt=1,sn_b/2,(sn_c+sn_phiw+sn_pt/2)+9*(sn_b-2*(sn_c+sn_phiw+sn_pt/2))/(sn_nt-1)))+(sn_pt/2)*-0.500000,NA()),NA())</f>
        <v/>
      </c>
      <c r="AL7">
        <f>IF(9&lt;sn_nt,(sn_h-dt_sn)+(sn_pt/2)*0.866025,NA())</f>
        <v/>
      </c>
      <c r="AN7">
        <f>IF(inputs_ok,IF(10&lt;sn_nt,(IF(sn_nt=1,sn_b/2,(sn_c+sn_phiw+sn_pt/2)+10*(sn_b-2*(sn_c+sn_phiw+sn_pt/2))/(sn_nt-1)))+(sn_pt/2)*-0.500000,NA()),NA())</f>
        <v/>
      </c>
      <c r="AO7">
        <f>IF(10&lt;sn_nt,(sn_h-dt_sn)+(sn_pt/2)*0.866025,NA())</f>
        <v/>
      </c>
      <c r="AQ7">
        <f>IF(inputs_ok,IF(11&lt;sn_nt,(IF(sn_nt=1,sn_b/2,(sn_c+sn_phiw+sn_pt/2)+11*(sn_b-2*(sn_c+sn_phiw+sn_pt/2))/(sn_nt-1)))+(sn_pt/2)*-0.500000,NA()),NA())</f>
        <v/>
      </c>
      <c r="AR7">
        <f>IF(11&lt;sn_nt,(sn_h-dt_sn)+(sn_pt/2)*0.866025,NA())</f>
        <v/>
      </c>
      <c r="AT7">
        <f>IF(inputs_ok,IF(0&lt;sn_nb,(IF(sn_nb=1,sn_b/2,(sn_c+sn_phiw+sn_pb/2)+0*(sn_b-2*(sn_c+sn_phiw+sn_pb/2))/(sn_nb-1)))+(sn_pb/2)*-0.500000,NA()),NA())</f>
        <v/>
      </c>
      <c r="AU7">
        <f>IF(0&lt;sn_nb,(db_sn)+(sn_pb/2)*0.866025,NA())</f>
        <v/>
      </c>
      <c r="AW7">
        <f>IF(inputs_ok,IF(1&lt;sn_nb,(IF(sn_nb=1,sn_b/2,(sn_c+sn_phiw+sn_pb/2)+1*(sn_b-2*(sn_c+sn_phiw+sn_pb/2))/(sn_nb-1)))+(sn_pb/2)*-0.500000,NA()),NA())</f>
        <v/>
      </c>
      <c r="AX7">
        <f>IF(1&lt;sn_nb,(db_sn)+(sn_pb/2)*0.866025,NA())</f>
        <v/>
      </c>
      <c r="AZ7">
        <f>IF(inputs_ok,IF(2&lt;sn_nb,(IF(sn_nb=1,sn_b/2,(sn_c+sn_phiw+sn_pb/2)+2*(sn_b-2*(sn_c+sn_phiw+sn_pb/2))/(sn_nb-1)))+(sn_pb/2)*-0.500000,NA()),NA())</f>
        <v/>
      </c>
      <c r="BA7">
        <f>IF(2&lt;sn_nb,(db_sn)+(sn_pb/2)*0.866025,NA())</f>
        <v/>
      </c>
      <c r="BC7">
        <f>IF(inputs_ok,IF(3&lt;sn_nb,(IF(sn_nb=1,sn_b/2,(sn_c+sn_phiw+sn_pb/2)+3*(sn_b-2*(sn_c+sn_phiw+sn_pb/2))/(sn_nb-1)))+(sn_pb/2)*-0.500000,NA()),NA())</f>
        <v/>
      </c>
      <c r="BD7">
        <f>IF(3&lt;sn_nb,(db_sn)+(sn_pb/2)*0.866025,NA())</f>
        <v/>
      </c>
      <c r="BF7">
        <f>IF(inputs_ok,IF(4&lt;sn_nb,(IF(sn_nb=1,sn_b/2,(sn_c+sn_phiw+sn_pb/2)+4*(sn_b-2*(sn_c+sn_phiw+sn_pb/2))/(sn_nb-1)))+(sn_pb/2)*-0.500000,NA()),NA())</f>
        <v/>
      </c>
      <c r="BG7">
        <f>IF(4&lt;sn_nb,(db_sn)+(sn_pb/2)*0.866025,NA())</f>
        <v/>
      </c>
      <c r="BI7">
        <f>IF(inputs_ok,IF(5&lt;sn_nb,(IF(sn_nb=1,sn_b/2,(sn_c+sn_phiw+sn_pb/2)+5*(sn_b-2*(sn_c+sn_phiw+sn_pb/2))/(sn_nb-1)))+(sn_pb/2)*-0.500000,NA()),NA())</f>
        <v/>
      </c>
      <c r="BJ7">
        <f>IF(5&lt;sn_nb,(db_sn)+(sn_pb/2)*0.866025,NA())</f>
        <v/>
      </c>
      <c r="BL7">
        <f>IF(inputs_ok,IF(6&lt;sn_nb,(IF(sn_nb=1,sn_b/2,(sn_c+sn_phiw+sn_pb/2)+6*(sn_b-2*(sn_c+sn_phiw+sn_pb/2))/(sn_nb-1)))+(sn_pb/2)*-0.500000,NA()),NA())</f>
        <v/>
      </c>
      <c r="BM7">
        <f>IF(6&lt;sn_nb,(db_sn)+(sn_pb/2)*0.866025,NA())</f>
        <v/>
      </c>
      <c r="BO7">
        <f>IF(inputs_ok,IF(7&lt;sn_nb,(IF(sn_nb=1,sn_b/2,(sn_c+sn_phiw+sn_pb/2)+7*(sn_b-2*(sn_c+sn_phiw+sn_pb/2))/(sn_nb-1)))+(sn_pb/2)*-0.500000,NA()),NA())</f>
        <v/>
      </c>
      <c r="BP7">
        <f>IF(7&lt;sn_nb,(db_sn)+(sn_pb/2)*0.866025,NA())</f>
        <v/>
      </c>
      <c r="BR7">
        <f>IF(inputs_ok,IF(8&lt;sn_nb,(IF(sn_nb=1,sn_b/2,(sn_c+sn_phiw+sn_pb/2)+8*(sn_b-2*(sn_c+sn_phiw+sn_pb/2))/(sn_nb-1)))+(sn_pb/2)*-0.500000,NA()),NA())</f>
        <v/>
      </c>
      <c r="BS7">
        <f>IF(8&lt;sn_nb,(db_sn)+(sn_pb/2)*0.866025,NA())</f>
        <v/>
      </c>
      <c r="BU7">
        <f>IF(inputs_ok,IF(9&lt;sn_nb,(IF(sn_nb=1,sn_b/2,(sn_c+sn_phiw+sn_pb/2)+9*(sn_b-2*(sn_c+sn_phiw+sn_pb/2))/(sn_nb-1)))+(sn_pb/2)*-0.500000,NA()),NA())</f>
        <v/>
      </c>
      <c r="BV7">
        <f>IF(9&lt;sn_nb,(db_sn)+(sn_pb/2)*0.866025,NA())</f>
        <v/>
      </c>
      <c r="BX7">
        <f>IF(inputs_ok,IF(10&lt;sn_nb,(IF(sn_nb=1,sn_b/2,(sn_c+sn_phiw+sn_pb/2)+10*(sn_b-2*(sn_c+sn_phiw+sn_pb/2))/(sn_nb-1)))+(sn_pb/2)*-0.500000,NA()),NA())</f>
        <v/>
      </c>
      <c r="BY7">
        <f>IF(10&lt;sn_nb,(db_sn)+(sn_pb/2)*0.866025,NA())</f>
        <v/>
      </c>
      <c r="CA7">
        <f>IF(inputs_ok,IF(11&lt;sn_nb,(IF(sn_nb=1,sn_b/2,(sn_c+sn_phiw+sn_pb/2)+11*(sn_b-2*(sn_c+sn_phiw+sn_pb/2))/(sn_nb-1)))+(sn_pb/2)*-0.500000,NA()),NA())</f>
        <v/>
      </c>
      <c r="CB7">
        <f>IF(11&lt;sn_nb,(db_sn)+(sn_pb/2)*0.866025,NA())</f>
        <v/>
      </c>
      <c r="DQ7">
        <f>IF(inputs_ok,INDEX(nmS_M,5)*1.5/Mpk_sn,NA())</f>
        <v/>
      </c>
      <c r="DR7">
        <f>INDEX(nmS_N,5)/NRdmax_sn</f>
        <v/>
      </c>
      <c r="DT7">
        <f>IF(inputs_ok,-INDEX(nmH_M,5)*1.5/Mpk_sn,NA())</f>
        <v/>
      </c>
      <c r="DU7">
        <f>INDEX(nmH_N,5)/NRdmax_sn</f>
        <v/>
      </c>
    </row>
    <row r="8">
      <c r="J8">
        <f>IF(inputs_ok,IF(0&lt;sn_nt,(IF(sn_nt=1,sn_b/2,(sn_c+sn_phiw+sn_pt/2)+0*(sn_b-2*(sn_c+sn_phiw+sn_pt/2))/(sn_nt-1)))+(sn_pt/2)*-0.866025,NA()),NA())</f>
        <v/>
      </c>
      <c r="K8">
        <f>IF(0&lt;sn_nt,(sn_h-dt_sn)+(sn_pt/2)*0.500000,NA())</f>
        <v/>
      </c>
      <c r="M8">
        <f>IF(inputs_ok,IF(1&lt;sn_nt,(IF(sn_nt=1,sn_b/2,(sn_c+sn_phiw+sn_pt/2)+1*(sn_b-2*(sn_c+sn_phiw+sn_pt/2))/(sn_nt-1)))+(sn_pt/2)*-0.866025,NA()),NA())</f>
        <v/>
      </c>
      <c r="N8">
        <f>IF(1&lt;sn_nt,(sn_h-dt_sn)+(sn_pt/2)*0.500000,NA())</f>
        <v/>
      </c>
      <c r="P8">
        <f>IF(inputs_ok,IF(2&lt;sn_nt,(IF(sn_nt=1,sn_b/2,(sn_c+sn_phiw+sn_pt/2)+2*(sn_b-2*(sn_c+sn_phiw+sn_pt/2))/(sn_nt-1)))+(sn_pt/2)*-0.866025,NA()),NA())</f>
        <v/>
      </c>
      <c r="Q8">
        <f>IF(2&lt;sn_nt,(sn_h-dt_sn)+(sn_pt/2)*0.500000,NA())</f>
        <v/>
      </c>
      <c r="S8">
        <f>IF(inputs_ok,IF(3&lt;sn_nt,(IF(sn_nt=1,sn_b/2,(sn_c+sn_phiw+sn_pt/2)+3*(sn_b-2*(sn_c+sn_phiw+sn_pt/2))/(sn_nt-1)))+(sn_pt/2)*-0.866025,NA()),NA())</f>
        <v/>
      </c>
      <c r="T8">
        <f>IF(3&lt;sn_nt,(sn_h-dt_sn)+(sn_pt/2)*0.500000,NA())</f>
        <v/>
      </c>
      <c r="V8">
        <f>IF(inputs_ok,IF(4&lt;sn_nt,(IF(sn_nt=1,sn_b/2,(sn_c+sn_phiw+sn_pt/2)+4*(sn_b-2*(sn_c+sn_phiw+sn_pt/2))/(sn_nt-1)))+(sn_pt/2)*-0.866025,NA()),NA())</f>
        <v/>
      </c>
      <c r="W8">
        <f>IF(4&lt;sn_nt,(sn_h-dt_sn)+(sn_pt/2)*0.500000,NA())</f>
        <v/>
      </c>
      <c r="Y8">
        <f>IF(inputs_ok,IF(5&lt;sn_nt,(IF(sn_nt=1,sn_b/2,(sn_c+sn_phiw+sn_pt/2)+5*(sn_b-2*(sn_c+sn_phiw+sn_pt/2))/(sn_nt-1)))+(sn_pt/2)*-0.866025,NA()),NA())</f>
        <v/>
      </c>
      <c r="Z8">
        <f>IF(5&lt;sn_nt,(sn_h-dt_sn)+(sn_pt/2)*0.500000,NA())</f>
        <v/>
      </c>
      <c r="AB8">
        <f>IF(inputs_ok,IF(6&lt;sn_nt,(IF(sn_nt=1,sn_b/2,(sn_c+sn_phiw+sn_pt/2)+6*(sn_b-2*(sn_c+sn_phiw+sn_pt/2))/(sn_nt-1)))+(sn_pt/2)*-0.866025,NA()),NA())</f>
        <v/>
      </c>
      <c r="AC8">
        <f>IF(6&lt;sn_nt,(sn_h-dt_sn)+(sn_pt/2)*0.500000,NA())</f>
        <v/>
      </c>
      <c r="AE8">
        <f>IF(inputs_ok,IF(7&lt;sn_nt,(IF(sn_nt=1,sn_b/2,(sn_c+sn_phiw+sn_pt/2)+7*(sn_b-2*(sn_c+sn_phiw+sn_pt/2))/(sn_nt-1)))+(sn_pt/2)*-0.866025,NA()),NA())</f>
        <v/>
      </c>
      <c r="AF8">
        <f>IF(7&lt;sn_nt,(sn_h-dt_sn)+(sn_pt/2)*0.500000,NA())</f>
        <v/>
      </c>
      <c r="AH8">
        <f>IF(inputs_ok,IF(8&lt;sn_nt,(IF(sn_nt=1,sn_b/2,(sn_c+sn_phiw+sn_pt/2)+8*(sn_b-2*(sn_c+sn_phiw+sn_pt/2))/(sn_nt-1)))+(sn_pt/2)*-0.866025,NA()),NA())</f>
        <v/>
      </c>
      <c r="AI8">
        <f>IF(8&lt;sn_nt,(sn_h-dt_sn)+(sn_pt/2)*0.500000,NA())</f>
        <v/>
      </c>
      <c r="AK8">
        <f>IF(inputs_ok,IF(9&lt;sn_nt,(IF(sn_nt=1,sn_b/2,(sn_c+sn_phiw+sn_pt/2)+9*(sn_b-2*(sn_c+sn_phiw+sn_pt/2))/(sn_nt-1)))+(sn_pt/2)*-0.866025,NA()),NA())</f>
        <v/>
      </c>
      <c r="AL8">
        <f>IF(9&lt;sn_nt,(sn_h-dt_sn)+(sn_pt/2)*0.500000,NA())</f>
        <v/>
      </c>
      <c r="AN8">
        <f>IF(inputs_ok,IF(10&lt;sn_nt,(IF(sn_nt=1,sn_b/2,(sn_c+sn_phiw+sn_pt/2)+10*(sn_b-2*(sn_c+sn_phiw+sn_pt/2))/(sn_nt-1)))+(sn_pt/2)*-0.866025,NA()),NA())</f>
        <v/>
      </c>
      <c r="AO8">
        <f>IF(10&lt;sn_nt,(sn_h-dt_sn)+(sn_pt/2)*0.500000,NA())</f>
        <v/>
      </c>
      <c r="AQ8">
        <f>IF(inputs_ok,IF(11&lt;sn_nt,(IF(sn_nt=1,sn_b/2,(sn_c+sn_phiw+sn_pt/2)+11*(sn_b-2*(sn_c+sn_phiw+sn_pt/2))/(sn_nt-1)))+(sn_pt/2)*-0.866025,NA()),NA())</f>
        <v/>
      </c>
      <c r="AR8">
        <f>IF(11&lt;sn_nt,(sn_h-dt_sn)+(sn_pt/2)*0.500000,NA())</f>
        <v/>
      </c>
      <c r="AT8">
        <f>IF(inputs_ok,IF(0&lt;sn_nb,(IF(sn_nb=1,sn_b/2,(sn_c+sn_phiw+sn_pb/2)+0*(sn_b-2*(sn_c+sn_phiw+sn_pb/2))/(sn_nb-1)))+(sn_pb/2)*-0.866025,NA()),NA())</f>
        <v/>
      </c>
      <c r="AU8">
        <f>IF(0&lt;sn_nb,(db_sn)+(sn_pb/2)*0.500000,NA())</f>
        <v/>
      </c>
      <c r="AW8">
        <f>IF(inputs_ok,IF(1&lt;sn_nb,(IF(sn_nb=1,sn_b/2,(sn_c+sn_phiw+sn_pb/2)+1*(sn_b-2*(sn_c+sn_phiw+sn_pb/2))/(sn_nb-1)))+(sn_pb/2)*-0.866025,NA()),NA())</f>
        <v/>
      </c>
      <c r="AX8">
        <f>IF(1&lt;sn_nb,(db_sn)+(sn_pb/2)*0.500000,NA())</f>
        <v/>
      </c>
      <c r="AZ8">
        <f>IF(inputs_ok,IF(2&lt;sn_nb,(IF(sn_nb=1,sn_b/2,(sn_c+sn_phiw+sn_pb/2)+2*(sn_b-2*(sn_c+sn_phiw+sn_pb/2))/(sn_nb-1)))+(sn_pb/2)*-0.866025,NA()),NA())</f>
        <v/>
      </c>
      <c r="BA8">
        <f>IF(2&lt;sn_nb,(db_sn)+(sn_pb/2)*0.500000,NA())</f>
        <v/>
      </c>
      <c r="BC8">
        <f>IF(inputs_ok,IF(3&lt;sn_nb,(IF(sn_nb=1,sn_b/2,(sn_c+sn_phiw+sn_pb/2)+3*(sn_b-2*(sn_c+sn_phiw+sn_pb/2))/(sn_nb-1)))+(sn_pb/2)*-0.866025,NA()),NA())</f>
        <v/>
      </c>
      <c r="BD8">
        <f>IF(3&lt;sn_nb,(db_sn)+(sn_pb/2)*0.500000,NA())</f>
        <v/>
      </c>
      <c r="BF8">
        <f>IF(inputs_ok,IF(4&lt;sn_nb,(IF(sn_nb=1,sn_b/2,(sn_c+sn_phiw+sn_pb/2)+4*(sn_b-2*(sn_c+sn_phiw+sn_pb/2))/(sn_nb-1)))+(sn_pb/2)*-0.866025,NA()),NA())</f>
        <v/>
      </c>
      <c r="BG8">
        <f>IF(4&lt;sn_nb,(db_sn)+(sn_pb/2)*0.500000,NA())</f>
        <v/>
      </c>
      <c r="BI8">
        <f>IF(inputs_ok,IF(5&lt;sn_nb,(IF(sn_nb=1,sn_b/2,(sn_c+sn_phiw+sn_pb/2)+5*(sn_b-2*(sn_c+sn_phiw+sn_pb/2))/(sn_nb-1)))+(sn_pb/2)*-0.866025,NA()),NA())</f>
        <v/>
      </c>
      <c r="BJ8">
        <f>IF(5&lt;sn_nb,(db_sn)+(sn_pb/2)*0.500000,NA())</f>
        <v/>
      </c>
      <c r="BL8">
        <f>IF(inputs_ok,IF(6&lt;sn_nb,(IF(sn_nb=1,sn_b/2,(sn_c+sn_phiw+sn_pb/2)+6*(sn_b-2*(sn_c+sn_phiw+sn_pb/2))/(sn_nb-1)))+(sn_pb/2)*-0.866025,NA()),NA())</f>
        <v/>
      </c>
      <c r="BM8">
        <f>IF(6&lt;sn_nb,(db_sn)+(sn_pb/2)*0.500000,NA())</f>
        <v/>
      </c>
      <c r="BO8">
        <f>IF(inputs_ok,IF(7&lt;sn_nb,(IF(sn_nb=1,sn_b/2,(sn_c+sn_phiw+sn_pb/2)+7*(sn_b-2*(sn_c+sn_phiw+sn_pb/2))/(sn_nb-1)))+(sn_pb/2)*-0.866025,NA()),NA())</f>
        <v/>
      </c>
      <c r="BP8">
        <f>IF(7&lt;sn_nb,(db_sn)+(sn_pb/2)*0.500000,NA())</f>
        <v/>
      </c>
      <c r="BR8">
        <f>IF(inputs_ok,IF(8&lt;sn_nb,(IF(sn_nb=1,sn_b/2,(sn_c+sn_phiw+sn_pb/2)+8*(sn_b-2*(sn_c+sn_phiw+sn_pb/2))/(sn_nb-1)))+(sn_pb/2)*-0.866025,NA()),NA())</f>
        <v/>
      </c>
      <c r="BS8">
        <f>IF(8&lt;sn_nb,(db_sn)+(sn_pb/2)*0.500000,NA())</f>
        <v/>
      </c>
      <c r="BU8">
        <f>IF(inputs_ok,IF(9&lt;sn_nb,(IF(sn_nb=1,sn_b/2,(sn_c+sn_phiw+sn_pb/2)+9*(sn_b-2*(sn_c+sn_phiw+sn_pb/2))/(sn_nb-1)))+(sn_pb/2)*-0.866025,NA()),NA())</f>
        <v/>
      </c>
      <c r="BV8">
        <f>IF(9&lt;sn_nb,(db_sn)+(sn_pb/2)*0.500000,NA())</f>
        <v/>
      </c>
      <c r="BX8">
        <f>IF(inputs_ok,IF(10&lt;sn_nb,(IF(sn_nb=1,sn_b/2,(sn_c+sn_phiw+sn_pb/2)+10*(sn_b-2*(sn_c+sn_phiw+sn_pb/2))/(sn_nb-1)))+(sn_pb/2)*-0.866025,NA()),NA())</f>
        <v/>
      </c>
      <c r="BY8">
        <f>IF(10&lt;sn_nb,(db_sn)+(sn_pb/2)*0.500000,NA())</f>
        <v/>
      </c>
      <c r="CA8">
        <f>IF(inputs_ok,IF(11&lt;sn_nb,(IF(sn_nb=1,sn_b/2,(sn_c+sn_phiw+sn_pb/2)+11*(sn_b-2*(sn_c+sn_phiw+sn_pb/2))/(sn_nb-1)))+(sn_pb/2)*-0.866025,NA()),NA())</f>
        <v/>
      </c>
      <c r="CB8">
        <f>IF(11&lt;sn_nb,(db_sn)+(sn_pb/2)*0.500000,NA())</f>
        <v/>
      </c>
      <c r="DQ8">
        <f>IF(inputs_ok,INDEX(nmS_M,6)*1.5/Mpk_sn,NA())</f>
        <v/>
      </c>
      <c r="DR8">
        <f>INDEX(nmS_N,6)/NRdmax_sn</f>
        <v/>
      </c>
      <c r="DT8">
        <f>IF(inputs_ok,-INDEX(nmH_M,6)*1.5/Mpk_sn,NA())</f>
        <v/>
      </c>
      <c r="DU8">
        <f>INDEX(nmH_N,6)/NRdmax_sn</f>
        <v/>
      </c>
    </row>
    <row r="9">
      <c r="J9">
        <f>IF(inputs_ok,IF(0&lt;sn_nt,(IF(sn_nt=1,sn_b/2,(sn_c+sn_phiw+sn_pt/2)+0*(sn_b-2*(sn_c+sn_phiw+sn_pt/2))/(sn_nt-1)))+(sn_pt/2)*-1.000000,NA()),NA())</f>
        <v/>
      </c>
      <c r="K9">
        <f>IF(0&lt;sn_nt,(sn_h-dt_sn)+(sn_pt/2)*0.000000,NA())</f>
        <v/>
      </c>
      <c r="M9">
        <f>IF(inputs_ok,IF(1&lt;sn_nt,(IF(sn_nt=1,sn_b/2,(sn_c+sn_phiw+sn_pt/2)+1*(sn_b-2*(sn_c+sn_phiw+sn_pt/2))/(sn_nt-1)))+(sn_pt/2)*-1.000000,NA()),NA())</f>
        <v/>
      </c>
      <c r="N9">
        <f>IF(1&lt;sn_nt,(sn_h-dt_sn)+(sn_pt/2)*0.000000,NA())</f>
        <v/>
      </c>
      <c r="P9">
        <f>IF(inputs_ok,IF(2&lt;sn_nt,(IF(sn_nt=1,sn_b/2,(sn_c+sn_phiw+sn_pt/2)+2*(sn_b-2*(sn_c+sn_phiw+sn_pt/2))/(sn_nt-1)))+(sn_pt/2)*-1.000000,NA()),NA())</f>
        <v/>
      </c>
      <c r="Q9">
        <f>IF(2&lt;sn_nt,(sn_h-dt_sn)+(sn_pt/2)*0.000000,NA())</f>
        <v/>
      </c>
      <c r="S9">
        <f>IF(inputs_ok,IF(3&lt;sn_nt,(IF(sn_nt=1,sn_b/2,(sn_c+sn_phiw+sn_pt/2)+3*(sn_b-2*(sn_c+sn_phiw+sn_pt/2))/(sn_nt-1)))+(sn_pt/2)*-1.000000,NA()),NA())</f>
        <v/>
      </c>
      <c r="T9">
        <f>IF(3&lt;sn_nt,(sn_h-dt_sn)+(sn_pt/2)*0.000000,NA())</f>
        <v/>
      </c>
      <c r="V9">
        <f>IF(inputs_ok,IF(4&lt;sn_nt,(IF(sn_nt=1,sn_b/2,(sn_c+sn_phiw+sn_pt/2)+4*(sn_b-2*(sn_c+sn_phiw+sn_pt/2))/(sn_nt-1)))+(sn_pt/2)*-1.000000,NA()),NA())</f>
        <v/>
      </c>
      <c r="W9">
        <f>IF(4&lt;sn_nt,(sn_h-dt_sn)+(sn_pt/2)*0.000000,NA())</f>
        <v/>
      </c>
      <c r="Y9">
        <f>IF(inputs_ok,IF(5&lt;sn_nt,(IF(sn_nt=1,sn_b/2,(sn_c+sn_phiw+sn_pt/2)+5*(sn_b-2*(sn_c+sn_phiw+sn_pt/2))/(sn_nt-1)))+(sn_pt/2)*-1.000000,NA()),NA())</f>
        <v/>
      </c>
      <c r="Z9">
        <f>IF(5&lt;sn_nt,(sn_h-dt_sn)+(sn_pt/2)*0.000000,NA())</f>
        <v/>
      </c>
      <c r="AB9">
        <f>IF(inputs_ok,IF(6&lt;sn_nt,(IF(sn_nt=1,sn_b/2,(sn_c+sn_phiw+sn_pt/2)+6*(sn_b-2*(sn_c+sn_phiw+sn_pt/2))/(sn_nt-1)))+(sn_pt/2)*-1.000000,NA()),NA())</f>
        <v/>
      </c>
      <c r="AC9">
        <f>IF(6&lt;sn_nt,(sn_h-dt_sn)+(sn_pt/2)*0.000000,NA())</f>
        <v/>
      </c>
      <c r="AE9">
        <f>IF(inputs_ok,IF(7&lt;sn_nt,(IF(sn_nt=1,sn_b/2,(sn_c+sn_phiw+sn_pt/2)+7*(sn_b-2*(sn_c+sn_phiw+sn_pt/2))/(sn_nt-1)))+(sn_pt/2)*-1.000000,NA()),NA())</f>
        <v/>
      </c>
      <c r="AF9">
        <f>IF(7&lt;sn_nt,(sn_h-dt_sn)+(sn_pt/2)*0.000000,NA())</f>
        <v/>
      </c>
      <c r="AH9">
        <f>IF(inputs_ok,IF(8&lt;sn_nt,(IF(sn_nt=1,sn_b/2,(sn_c+sn_phiw+sn_pt/2)+8*(sn_b-2*(sn_c+sn_phiw+sn_pt/2))/(sn_nt-1)))+(sn_pt/2)*-1.000000,NA()),NA())</f>
        <v/>
      </c>
      <c r="AI9">
        <f>IF(8&lt;sn_nt,(sn_h-dt_sn)+(sn_pt/2)*0.000000,NA())</f>
        <v/>
      </c>
      <c r="AK9">
        <f>IF(inputs_ok,IF(9&lt;sn_nt,(IF(sn_nt=1,sn_b/2,(sn_c+sn_phiw+sn_pt/2)+9*(sn_b-2*(sn_c+sn_phiw+sn_pt/2))/(sn_nt-1)))+(sn_pt/2)*-1.000000,NA()),NA())</f>
        <v/>
      </c>
      <c r="AL9">
        <f>IF(9&lt;sn_nt,(sn_h-dt_sn)+(sn_pt/2)*0.000000,NA())</f>
        <v/>
      </c>
      <c r="AN9">
        <f>IF(inputs_ok,IF(10&lt;sn_nt,(IF(sn_nt=1,sn_b/2,(sn_c+sn_phiw+sn_pt/2)+10*(sn_b-2*(sn_c+sn_phiw+sn_pt/2))/(sn_nt-1)))+(sn_pt/2)*-1.000000,NA()),NA())</f>
        <v/>
      </c>
      <c r="AO9">
        <f>IF(10&lt;sn_nt,(sn_h-dt_sn)+(sn_pt/2)*0.000000,NA())</f>
        <v/>
      </c>
      <c r="AQ9">
        <f>IF(inputs_ok,IF(11&lt;sn_nt,(IF(sn_nt=1,sn_b/2,(sn_c+sn_phiw+sn_pt/2)+11*(sn_b-2*(sn_c+sn_phiw+sn_pt/2))/(sn_nt-1)))+(sn_pt/2)*-1.000000,NA()),NA())</f>
        <v/>
      </c>
      <c r="AR9">
        <f>IF(11&lt;sn_nt,(sn_h-dt_sn)+(sn_pt/2)*0.000000,NA())</f>
        <v/>
      </c>
      <c r="AT9">
        <f>IF(inputs_ok,IF(0&lt;sn_nb,(IF(sn_nb=1,sn_b/2,(sn_c+sn_phiw+sn_pb/2)+0*(sn_b-2*(sn_c+sn_phiw+sn_pb/2))/(sn_nb-1)))+(sn_pb/2)*-1.000000,NA()),NA())</f>
        <v/>
      </c>
      <c r="AU9">
        <f>IF(0&lt;sn_nb,(db_sn)+(sn_pb/2)*0.000000,NA())</f>
        <v/>
      </c>
      <c r="AW9">
        <f>IF(inputs_ok,IF(1&lt;sn_nb,(IF(sn_nb=1,sn_b/2,(sn_c+sn_phiw+sn_pb/2)+1*(sn_b-2*(sn_c+sn_phiw+sn_pb/2))/(sn_nb-1)))+(sn_pb/2)*-1.000000,NA()),NA())</f>
        <v/>
      </c>
      <c r="AX9">
        <f>IF(1&lt;sn_nb,(db_sn)+(sn_pb/2)*0.000000,NA())</f>
        <v/>
      </c>
      <c r="AZ9">
        <f>IF(inputs_ok,IF(2&lt;sn_nb,(IF(sn_nb=1,sn_b/2,(sn_c+sn_phiw+sn_pb/2)+2*(sn_b-2*(sn_c+sn_phiw+sn_pb/2))/(sn_nb-1)))+(sn_pb/2)*-1.000000,NA()),NA())</f>
        <v/>
      </c>
      <c r="BA9">
        <f>IF(2&lt;sn_nb,(db_sn)+(sn_pb/2)*0.000000,NA())</f>
        <v/>
      </c>
      <c r="BC9">
        <f>IF(inputs_ok,IF(3&lt;sn_nb,(IF(sn_nb=1,sn_b/2,(sn_c+sn_phiw+sn_pb/2)+3*(sn_b-2*(sn_c+sn_phiw+sn_pb/2))/(sn_nb-1)))+(sn_pb/2)*-1.000000,NA()),NA())</f>
        <v/>
      </c>
      <c r="BD9">
        <f>IF(3&lt;sn_nb,(db_sn)+(sn_pb/2)*0.000000,NA())</f>
        <v/>
      </c>
      <c r="BF9">
        <f>IF(inputs_ok,IF(4&lt;sn_nb,(IF(sn_nb=1,sn_b/2,(sn_c+sn_phiw+sn_pb/2)+4*(sn_b-2*(sn_c+sn_phiw+sn_pb/2))/(sn_nb-1)))+(sn_pb/2)*-1.000000,NA()),NA())</f>
        <v/>
      </c>
      <c r="BG9">
        <f>IF(4&lt;sn_nb,(db_sn)+(sn_pb/2)*0.000000,NA())</f>
        <v/>
      </c>
      <c r="BI9">
        <f>IF(inputs_ok,IF(5&lt;sn_nb,(IF(sn_nb=1,sn_b/2,(sn_c+sn_phiw+sn_pb/2)+5*(sn_b-2*(sn_c+sn_phiw+sn_pb/2))/(sn_nb-1)))+(sn_pb/2)*-1.000000,NA()),NA())</f>
        <v/>
      </c>
      <c r="BJ9">
        <f>IF(5&lt;sn_nb,(db_sn)+(sn_pb/2)*0.000000,NA())</f>
        <v/>
      </c>
      <c r="BL9">
        <f>IF(inputs_ok,IF(6&lt;sn_nb,(IF(sn_nb=1,sn_b/2,(sn_c+sn_phiw+sn_pb/2)+6*(sn_b-2*(sn_c+sn_phiw+sn_pb/2))/(sn_nb-1)))+(sn_pb/2)*-1.000000,NA()),NA())</f>
        <v/>
      </c>
      <c r="BM9">
        <f>IF(6&lt;sn_nb,(db_sn)+(sn_pb/2)*0.000000,NA())</f>
        <v/>
      </c>
      <c r="BO9">
        <f>IF(inputs_ok,IF(7&lt;sn_nb,(IF(sn_nb=1,sn_b/2,(sn_c+sn_phiw+sn_pb/2)+7*(sn_b-2*(sn_c+sn_phiw+sn_pb/2))/(sn_nb-1)))+(sn_pb/2)*-1.000000,NA()),NA())</f>
        <v/>
      </c>
      <c r="BP9">
        <f>IF(7&lt;sn_nb,(db_sn)+(sn_pb/2)*0.000000,NA())</f>
        <v/>
      </c>
      <c r="BR9">
        <f>IF(inputs_ok,IF(8&lt;sn_nb,(IF(sn_nb=1,sn_b/2,(sn_c+sn_phiw+sn_pb/2)+8*(sn_b-2*(sn_c+sn_phiw+sn_pb/2))/(sn_nb-1)))+(sn_pb/2)*-1.000000,NA()),NA())</f>
        <v/>
      </c>
      <c r="BS9">
        <f>IF(8&lt;sn_nb,(db_sn)+(sn_pb/2)*0.000000,NA())</f>
        <v/>
      </c>
      <c r="BU9">
        <f>IF(inputs_ok,IF(9&lt;sn_nb,(IF(sn_nb=1,sn_b/2,(sn_c+sn_phiw+sn_pb/2)+9*(sn_b-2*(sn_c+sn_phiw+sn_pb/2))/(sn_nb-1)))+(sn_pb/2)*-1.000000,NA()),NA())</f>
        <v/>
      </c>
      <c r="BV9">
        <f>IF(9&lt;sn_nb,(db_sn)+(sn_pb/2)*0.000000,NA())</f>
        <v/>
      </c>
      <c r="BX9">
        <f>IF(inputs_ok,IF(10&lt;sn_nb,(IF(sn_nb=1,sn_b/2,(sn_c+sn_phiw+sn_pb/2)+10*(sn_b-2*(sn_c+sn_phiw+sn_pb/2))/(sn_nb-1)))+(sn_pb/2)*-1.000000,NA()),NA())</f>
        <v/>
      </c>
      <c r="BY9">
        <f>IF(10&lt;sn_nb,(db_sn)+(sn_pb/2)*0.000000,NA())</f>
        <v/>
      </c>
      <c r="CA9">
        <f>IF(inputs_ok,IF(11&lt;sn_nb,(IF(sn_nb=1,sn_b/2,(sn_c+sn_phiw+sn_pb/2)+11*(sn_b-2*(sn_c+sn_phiw+sn_pb/2))/(sn_nb-1)))+(sn_pb/2)*-1.000000,NA()),NA())</f>
        <v/>
      </c>
      <c r="CB9">
        <f>IF(11&lt;sn_nb,(db_sn)+(sn_pb/2)*0.000000,NA())</f>
        <v/>
      </c>
      <c r="DQ9">
        <f>IF(inputs_ok,INDEX(nmS_M,7)*1.5/Mpk_sn,NA())</f>
        <v/>
      </c>
      <c r="DR9">
        <f>INDEX(nmS_N,7)/NRdmax_sn</f>
        <v/>
      </c>
      <c r="DT9">
        <f>IF(inputs_ok,-INDEX(nmH_M,7)*1.5/Mpk_sn,NA())</f>
        <v/>
      </c>
      <c r="DU9">
        <f>INDEX(nmH_N,7)/NRdmax_sn</f>
        <v/>
      </c>
    </row>
    <row r="10">
      <c r="J10">
        <f>IF(inputs_ok,IF(0&lt;sn_nt,(IF(sn_nt=1,sn_b/2,(sn_c+sn_phiw+sn_pt/2)+0*(sn_b-2*(sn_c+sn_phiw+sn_pt/2))/(sn_nt-1)))+(sn_pt/2)*-0.866025,NA()),NA())</f>
        <v/>
      </c>
      <c r="K10">
        <f>IF(0&lt;sn_nt,(sn_h-dt_sn)+(sn_pt/2)*-0.500000,NA())</f>
        <v/>
      </c>
      <c r="M10">
        <f>IF(inputs_ok,IF(1&lt;sn_nt,(IF(sn_nt=1,sn_b/2,(sn_c+sn_phiw+sn_pt/2)+1*(sn_b-2*(sn_c+sn_phiw+sn_pt/2))/(sn_nt-1)))+(sn_pt/2)*-0.866025,NA()),NA())</f>
        <v/>
      </c>
      <c r="N10">
        <f>IF(1&lt;sn_nt,(sn_h-dt_sn)+(sn_pt/2)*-0.500000,NA())</f>
        <v/>
      </c>
      <c r="P10">
        <f>IF(inputs_ok,IF(2&lt;sn_nt,(IF(sn_nt=1,sn_b/2,(sn_c+sn_phiw+sn_pt/2)+2*(sn_b-2*(sn_c+sn_phiw+sn_pt/2))/(sn_nt-1)))+(sn_pt/2)*-0.866025,NA()),NA())</f>
        <v/>
      </c>
      <c r="Q10">
        <f>IF(2&lt;sn_nt,(sn_h-dt_sn)+(sn_pt/2)*-0.500000,NA())</f>
        <v/>
      </c>
      <c r="S10">
        <f>IF(inputs_ok,IF(3&lt;sn_nt,(IF(sn_nt=1,sn_b/2,(sn_c+sn_phiw+sn_pt/2)+3*(sn_b-2*(sn_c+sn_phiw+sn_pt/2))/(sn_nt-1)))+(sn_pt/2)*-0.866025,NA()),NA())</f>
        <v/>
      </c>
      <c r="T10">
        <f>IF(3&lt;sn_nt,(sn_h-dt_sn)+(sn_pt/2)*-0.500000,NA())</f>
        <v/>
      </c>
      <c r="V10">
        <f>IF(inputs_ok,IF(4&lt;sn_nt,(IF(sn_nt=1,sn_b/2,(sn_c+sn_phiw+sn_pt/2)+4*(sn_b-2*(sn_c+sn_phiw+sn_pt/2))/(sn_nt-1)))+(sn_pt/2)*-0.866025,NA()),NA())</f>
        <v/>
      </c>
      <c r="W10">
        <f>IF(4&lt;sn_nt,(sn_h-dt_sn)+(sn_pt/2)*-0.500000,NA())</f>
        <v/>
      </c>
      <c r="Y10">
        <f>IF(inputs_ok,IF(5&lt;sn_nt,(IF(sn_nt=1,sn_b/2,(sn_c+sn_phiw+sn_pt/2)+5*(sn_b-2*(sn_c+sn_phiw+sn_pt/2))/(sn_nt-1)))+(sn_pt/2)*-0.866025,NA()),NA())</f>
        <v/>
      </c>
      <c r="Z10">
        <f>IF(5&lt;sn_nt,(sn_h-dt_sn)+(sn_pt/2)*-0.500000,NA())</f>
        <v/>
      </c>
      <c r="AB10">
        <f>IF(inputs_ok,IF(6&lt;sn_nt,(IF(sn_nt=1,sn_b/2,(sn_c+sn_phiw+sn_pt/2)+6*(sn_b-2*(sn_c+sn_phiw+sn_pt/2))/(sn_nt-1)))+(sn_pt/2)*-0.866025,NA()),NA())</f>
        <v/>
      </c>
      <c r="AC10">
        <f>IF(6&lt;sn_nt,(sn_h-dt_sn)+(sn_pt/2)*-0.500000,NA())</f>
        <v/>
      </c>
      <c r="AE10">
        <f>IF(inputs_ok,IF(7&lt;sn_nt,(IF(sn_nt=1,sn_b/2,(sn_c+sn_phiw+sn_pt/2)+7*(sn_b-2*(sn_c+sn_phiw+sn_pt/2))/(sn_nt-1)))+(sn_pt/2)*-0.866025,NA()),NA())</f>
        <v/>
      </c>
      <c r="AF10">
        <f>IF(7&lt;sn_nt,(sn_h-dt_sn)+(sn_pt/2)*-0.500000,NA())</f>
        <v/>
      </c>
      <c r="AH10">
        <f>IF(inputs_ok,IF(8&lt;sn_nt,(IF(sn_nt=1,sn_b/2,(sn_c+sn_phiw+sn_pt/2)+8*(sn_b-2*(sn_c+sn_phiw+sn_pt/2))/(sn_nt-1)))+(sn_pt/2)*-0.866025,NA()),NA())</f>
        <v/>
      </c>
      <c r="AI10">
        <f>IF(8&lt;sn_nt,(sn_h-dt_sn)+(sn_pt/2)*-0.500000,NA())</f>
        <v/>
      </c>
      <c r="AK10">
        <f>IF(inputs_ok,IF(9&lt;sn_nt,(IF(sn_nt=1,sn_b/2,(sn_c+sn_phiw+sn_pt/2)+9*(sn_b-2*(sn_c+sn_phiw+sn_pt/2))/(sn_nt-1)))+(sn_pt/2)*-0.866025,NA()),NA())</f>
        <v/>
      </c>
      <c r="AL10">
        <f>IF(9&lt;sn_nt,(sn_h-dt_sn)+(sn_pt/2)*-0.500000,NA())</f>
        <v/>
      </c>
      <c r="AN10">
        <f>IF(inputs_ok,IF(10&lt;sn_nt,(IF(sn_nt=1,sn_b/2,(sn_c+sn_phiw+sn_pt/2)+10*(sn_b-2*(sn_c+sn_phiw+sn_pt/2))/(sn_nt-1)))+(sn_pt/2)*-0.866025,NA()),NA())</f>
        <v/>
      </c>
      <c r="AO10">
        <f>IF(10&lt;sn_nt,(sn_h-dt_sn)+(sn_pt/2)*-0.500000,NA())</f>
        <v/>
      </c>
      <c r="AQ10">
        <f>IF(inputs_ok,IF(11&lt;sn_nt,(IF(sn_nt=1,sn_b/2,(sn_c+sn_phiw+sn_pt/2)+11*(sn_b-2*(sn_c+sn_phiw+sn_pt/2))/(sn_nt-1)))+(sn_pt/2)*-0.866025,NA()),NA())</f>
        <v/>
      </c>
      <c r="AR10">
        <f>IF(11&lt;sn_nt,(sn_h-dt_sn)+(sn_pt/2)*-0.500000,NA())</f>
        <v/>
      </c>
      <c r="AT10">
        <f>IF(inputs_ok,IF(0&lt;sn_nb,(IF(sn_nb=1,sn_b/2,(sn_c+sn_phiw+sn_pb/2)+0*(sn_b-2*(sn_c+sn_phiw+sn_pb/2))/(sn_nb-1)))+(sn_pb/2)*-0.866025,NA()),NA())</f>
        <v/>
      </c>
      <c r="AU10">
        <f>IF(0&lt;sn_nb,(db_sn)+(sn_pb/2)*-0.500000,NA())</f>
        <v/>
      </c>
      <c r="AW10">
        <f>IF(inputs_ok,IF(1&lt;sn_nb,(IF(sn_nb=1,sn_b/2,(sn_c+sn_phiw+sn_pb/2)+1*(sn_b-2*(sn_c+sn_phiw+sn_pb/2))/(sn_nb-1)))+(sn_pb/2)*-0.866025,NA()),NA())</f>
        <v/>
      </c>
      <c r="AX10">
        <f>IF(1&lt;sn_nb,(db_sn)+(sn_pb/2)*-0.500000,NA())</f>
        <v/>
      </c>
      <c r="AZ10">
        <f>IF(inputs_ok,IF(2&lt;sn_nb,(IF(sn_nb=1,sn_b/2,(sn_c+sn_phiw+sn_pb/2)+2*(sn_b-2*(sn_c+sn_phiw+sn_pb/2))/(sn_nb-1)))+(sn_pb/2)*-0.866025,NA()),NA())</f>
        <v/>
      </c>
      <c r="BA10">
        <f>IF(2&lt;sn_nb,(db_sn)+(sn_pb/2)*-0.500000,NA())</f>
        <v/>
      </c>
      <c r="BC10">
        <f>IF(inputs_ok,IF(3&lt;sn_nb,(IF(sn_nb=1,sn_b/2,(sn_c+sn_phiw+sn_pb/2)+3*(sn_b-2*(sn_c+sn_phiw+sn_pb/2))/(sn_nb-1)))+(sn_pb/2)*-0.866025,NA()),NA())</f>
        <v/>
      </c>
      <c r="BD10">
        <f>IF(3&lt;sn_nb,(db_sn)+(sn_pb/2)*-0.500000,NA())</f>
        <v/>
      </c>
      <c r="BF10">
        <f>IF(inputs_ok,IF(4&lt;sn_nb,(IF(sn_nb=1,sn_b/2,(sn_c+sn_phiw+sn_pb/2)+4*(sn_b-2*(sn_c+sn_phiw+sn_pb/2))/(sn_nb-1)))+(sn_pb/2)*-0.866025,NA()),NA())</f>
        <v/>
      </c>
      <c r="BG10">
        <f>IF(4&lt;sn_nb,(db_sn)+(sn_pb/2)*-0.500000,NA())</f>
        <v/>
      </c>
      <c r="BI10">
        <f>IF(inputs_ok,IF(5&lt;sn_nb,(IF(sn_nb=1,sn_b/2,(sn_c+sn_phiw+sn_pb/2)+5*(sn_b-2*(sn_c+sn_phiw+sn_pb/2))/(sn_nb-1)))+(sn_pb/2)*-0.866025,NA()),NA())</f>
        <v/>
      </c>
      <c r="BJ10">
        <f>IF(5&lt;sn_nb,(db_sn)+(sn_pb/2)*-0.500000,NA())</f>
        <v/>
      </c>
      <c r="BL10">
        <f>IF(inputs_ok,IF(6&lt;sn_nb,(IF(sn_nb=1,sn_b/2,(sn_c+sn_phiw+sn_pb/2)+6*(sn_b-2*(sn_c+sn_phiw+sn_pb/2))/(sn_nb-1)))+(sn_pb/2)*-0.866025,NA()),NA())</f>
        <v/>
      </c>
      <c r="BM10">
        <f>IF(6&lt;sn_nb,(db_sn)+(sn_pb/2)*-0.500000,NA())</f>
        <v/>
      </c>
      <c r="BO10">
        <f>IF(inputs_ok,IF(7&lt;sn_nb,(IF(sn_nb=1,sn_b/2,(sn_c+sn_phiw+sn_pb/2)+7*(sn_b-2*(sn_c+sn_phiw+sn_pb/2))/(sn_nb-1)))+(sn_pb/2)*-0.866025,NA()),NA())</f>
        <v/>
      </c>
      <c r="BP10">
        <f>IF(7&lt;sn_nb,(db_sn)+(sn_pb/2)*-0.500000,NA())</f>
        <v/>
      </c>
      <c r="BR10">
        <f>IF(inputs_ok,IF(8&lt;sn_nb,(IF(sn_nb=1,sn_b/2,(sn_c+sn_phiw+sn_pb/2)+8*(sn_b-2*(sn_c+sn_phiw+sn_pb/2))/(sn_nb-1)))+(sn_pb/2)*-0.866025,NA()),NA())</f>
        <v/>
      </c>
      <c r="BS10">
        <f>IF(8&lt;sn_nb,(db_sn)+(sn_pb/2)*-0.500000,NA())</f>
        <v/>
      </c>
      <c r="BU10">
        <f>IF(inputs_ok,IF(9&lt;sn_nb,(IF(sn_nb=1,sn_b/2,(sn_c+sn_phiw+sn_pb/2)+9*(sn_b-2*(sn_c+sn_phiw+sn_pb/2))/(sn_nb-1)))+(sn_pb/2)*-0.866025,NA()),NA())</f>
        <v/>
      </c>
      <c r="BV10">
        <f>IF(9&lt;sn_nb,(db_sn)+(sn_pb/2)*-0.500000,NA())</f>
        <v/>
      </c>
      <c r="BX10">
        <f>IF(inputs_ok,IF(10&lt;sn_nb,(IF(sn_nb=1,sn_b/2,(sn_c+sn_phiw+sn_pb/2)+10*(sn_b-2*(sn_c+sn_phiw+sn_pb/2))/(sn_nb-1)))+(sn_pb/2)*-0.866025,NA()),NA())</f>
        <v/>
      </c>
      <c r="BY10">
        <f>IF(10&lt;sn_nb,(db_sn)+(sn_pb/2)*-0.500000,NA())</f>
        <v/>
      </c>
      <c r="CA10">
        <f>IF(inputs_ok,IF(11&lt;sn_nb,(IF(sn_nb=1,sn_b/2,(sn_c+sn_phiw+sn_pb/2)+11*(sn_b-2*(sn_c+sn_phiw+sn_pb/2))/(sn_nb-1)))+(sn_pb/2)*-0.866025,NA()),NA())</f>
        <v/>
      </c>
      <c r="CB10">
        <f>IF(11&lt;sn_nb,(db_sn)+(sn_pb/2)*-0.500000,NA())</f>
        <v/>
      </c>
      <c r="DQ10">
        <f>IF(inputs_ok,INDEX(nmS_M,8)*1.5/Mpk_sn,NA())</f>
        <v/>
      </c>
      <c r="DR10">
        <f>INDEX(nmS_N,8)/NRdmax_sn</f>
        <v/>
      </c>
      <c r="DT10">
        <f>IF(inputs_ok,-INDEX(nmH_M,8)*1.5/Mpk_sn,NA())</f>
        <v/>
      </c>
      <c r="DU10">
        <f>INDEX(nmH_N,8)/NRdmax_sn</f>
        <v/>
      </c>
    </row>
    <row r="11">
      <c r="J11">
        <f>IF(inputs_ok,IF(0&lt;sn_nt,(IF(sn_nt=1,sn_b/2,(sn_c+sn_phiw+sn_pt/2)+0*(sn_b-2*(sn_c+sn_phiw+sn_pt/2))/(sn_nt-1)))+(sn_pt/2)*-0.500000,NA()),NA())</f>
        <v/>
      </c>
      <c r="K11">
        <f>IF(0&lt;sn_nt,(sn_h-dt_sn)+(sn_pt/2)*-0.866025,NA())</f>
        <v/>
      </c>
      <c r="M11">
        <f>IF(inputs_ok,IF(1&lt;sn_nt,(IF(sn_nt=1,sn_b/2,(sn_c+sn_phiw+sn_pt/2)+1*(sn_b-2*(sn_c+sn_phiw+sn_pt/2))/(sn_nt-1)))+(sn_pt/2)*-0.500000,NA()),NA())</f>
        <v/>
      </c>
      <c r="N11">
        <f>IF(1&lt;sn_nt,(sn_h-dt_sn)+(sn_pt/2)*-0.866025,NA())</f>
        <v/>
      </c>
      <c r="P11">
        <f>IF(inputs_ok,IF(2&lt;sn_nt,(IF(sn_nt=1,sn_b/2,(sn_c+sn_phiw+sn_pt/2)+2*(sn_b-2*(sn_c+sn_phiw+sn_pt/2))/(sn_nt-1)))+(sn_pt/2)*-0.500000,NA()),NA())</f>
        <v/>
      </c>
      <c r="Q11">
        <f>IF(2&lt;sn_nt,(sn_h-dt_sn)+(sn_pt/2)*-0.866025,NA())</f>
        <v/>
      </c>
      <c r="S11">
        <f>IF(inputs_ok,IF(3&lt;sn_nt,(IF(sn_nt=1,sn_b/2,(sn_c+sn_phiw+sn_pt/2)+3*(sn_b-2*(sn_c+sn_phiw+sn_pt/2))/(sn_nt-1)))+(sn_pt/2)*-0.500000,NA()),NA())</f>
        <v/>
      </c>
      <c r="T11">
        <f>IF(3&lt;sn_nt,(sn_h-dt_sn)+(sn_pt/2)*-0.866025,NA())</f>
        <v/>
      </c>
      <c r="V11">
        <f>IF(inputs_ok,IF(4&lt;sn_nt,(IF(sn_nt=1,sn_b/2,(sn_c+sn_phiw+sn_pt/2)+4*(sn_b-2*(sn_c+sn_phiw+sn_pt/2))/(sn_nt-1)))+(sn_pt/2)*-0.500000,NA()),NA())</f>
        <v/>
      </c>
      <c r="W11">
        <f>IF(4&lt;sn_nt,(sn_h-dt_sn)+(sn_pt/2)*-0.866025,NA())</f>
        <v/>
      </c>
      <c r="Y11">
        <f>IF(inputs_ok,IF(5&lt;sn_nt,(IF(sn_nt=1,sn_b/2,(sn_c+sn_phiw+sn_pt/2)+5*(sn_b-2*(sn_c+sn_phiw+sn_pt/2))/(sn_nt-1)))+(sn_pt/2)*-0.500000,NA()),NA())</f>
        <v/>
      </c>
      <c r="Z11">
        <f>IF(5&lt;sn_nt,(sn_h-dt_sn)+(sn_pt/2)*-0.866025,NA())</f>
        <v/>
      </c>
      <c r="AB11">
        <f>IF(inputs_ok,IF(6&lt;sn_nt,(IF(sn_nt=1,sn_b/2,(sn_c+sn_phiw+sn_pt/2)+6*(sn_b-2*(sn_c+sn_phiw+sn_pt/2))/(sn_nt-1)))+(sn_pt/2)*-0.500000,NA()),NA())</f>
        <v/>
      </c>
      <c r="AC11">
        <f>IF(6&lt;sn_nt,(sn_h-dt_sn)+(sn_pt/2)*-0.866025,NA())</f>
        <v/>
      </c>
      <c r="AE11">
        <f>IF(inputs_ok,IF(7&lt;sn_nt,(IF(sn_nt=1,sn_b/2,(sn_c+sn_phiw+sn_pt/2)+7*(sn_b-2*(sn_c+sn_phiw+sn_pt/2))/(sn_nt-1)))+(sn_pt/2)*-0.500000,NA()),NA())</f>
        <v/>
      </c>
      <c r="AF11">
        <f>IF(7&lt;sn_nt,(sn_h-dt_sn)+(sn_pt/2)*-0.866025,NA())</f>
        <v/>
      </c>
      <c r="AH11">
        <f>IF(inputs_ok,IF(8&lt;sn_nt,(IF(sn_nt=1,sn_b/2,(sn_c+sn_phiw+sn_pt/2)+8*(sn_b-2*(sn_c+sn_phiw+sn_pt/2))/(sn_nt-1)))+(sn_pt/2)*-0.500000,NA()),NA())</f>
        <v/>
      </c>
      <c r="AI11">
        <f>IF(8&lt;sn_nt,(sn_h-dt_sn)+(sn_pt/2)*-0.866025,NA())</f>
        <v/>
      </c>
      <c r="AK11">
        <f>IF(inputs_ok,IF(9&lt;sn_nt,(IF(sn_nt=1,sn_b/2,(sn_c+sn_phiw+sn_pt/2)+9*(sn_b-2*(sn_c+sn_phiw+sn_pt/2))/(sn_nt-1)))+(sn_pt/2)*-0.500000,NA()),NA())</f>
        <v/>
      </c>
      <c r="AL11">
        <f>IF(9&lt;sn_nt,(sn_h-dt_sn)+(sn_pt/2)*-0.866025,NA())</f>
        <v/>
      </c>
      <c r="AN11">
        <f>IF(inputs_ok,IF(10&lt;sn_nt,(IF(sn_nt=1,sn_b/2,(sn_c+sn_phiw+sn_pt/2)+10*(sn_b-2*(sn_c+sn_phiw+sn_pt/2))/(sn_nt-1)))+(sn_pt/2)*-0.500000,NA()),NA())</f>
        <v/>
      </c>
      <c r="AO11">
        <f>IF(10&lt;sn_nt,(sn_h-dt_sn)+(sn_pt/2)*-0.866025,NA())</f>
        <v/>
      </c>
      <c r="AQ11">
        <f>IF(inputs_ok,IF(11&lt;sn_nt,(IF(sn_nt=1,sn_b/2,(sn_c+sn_phiw+sn_pt/2)+11*(sn_b-2*(sn_c+sn_phiw+sn_pt/2))/(sn_nt-1)))+(sn_pt/2)*-0.500000,NA()),NA())</f>
        <v/>
      </c>
      <c r="AR11">
        <f>IF(11&lt;sn_nt,(sn_h-dt_sn)+(sn_pt/2)*-0.866025,NA())</f>
        <v/>
      </c>
      <c r="AT11">
        <f>IF(inputs_ok,IF(0&lt;sn_nb,(IF(sn_nb=1,sn_b/2,(sn_c+sn_phiw+sn_pb/2)+0*(sn_b-2*(sn_c+sn_phiw+sn_pb/2))/(sn_nb-1)))+(sn_pb/2)*-0.500000,NA()),NA())</f>
        <v/>
      </c>
      <c r="AU11">
        <f>IF(0&lt;sn_nb,(db_sn)+(sn_pb/2)*-0.866025,NA())</f>
        <v/>
      </c>
      <c r="AW11">
        <f>IF(inputs_ok,IF(1&lt;sn_nb,(IF(sn_nb=1,sn_b/2,(sn_c+sn_phiw+sn_pb/2)+1*(sn_b-2*(sn_c+sn_phiw+sn_pb/2))/(sn_nb-1)))+(sn_pb/2)*-0.500000,NA()),NA())</f>
        <v/>
      </c>
      <c r="AX11">
        <f>IF(1&lt;sn_nb,(db_sn)+(sn_pb/2)*-0.866025,NA())</f>
        <v/>
      </c>
      <c r="AZ11">
        <f>IF(inputs_ok,IF(2&lt;sn_nb,(IF(sn_nb=1,sn_b/2,(sn_c+sn_phiw+sn_pb/2)+2*(sn_b-2*(sn_c+sn_phiw+sn_pb/2))/(sn_nb-1)))+(sn_pb/2)*-0.500000,NA()),NA())</f>
        <v/>
      </c>
      <c r="BA11">
        <f>IF(2&lt;sn_nb,(db_sn)+(sn_pb/2)*-0.866025,NA())</f>
        <v/>
      </c>
      <c r="BC11">
        <f>IF(inputs_ok,IF(3&lt;sn_nb,(IF(sn_nb=1,sn_b/2,(sn_c+sn_phiw+sn_pb/2)+3*(sn_b-2*(sn_c+sn_phiw+sn_pb/2))/(sn_nb-1)))+(sn_pb/2)*-0.500000,NA()),NA())</f>
        <v/>
      </c>
      <c r="BD11">
        <f>IF(3&lt;sn_nb,(db_sn)+(sn_pb/2)*-0.866025,NA())</f>
        <v/>
      </c>
      <c r="BF11">
        <f>IF(inputs_ok,IF(4&lt;sn_nb,(IF(sn_nb=1,sn_b/2,(sn_c+sn_phiw+sn_pb/2)+4*(sn_b-2*(sn_c+sn_phiw+sn_pb/2))/(sn_nb-1)))+(sn_pb/2)*-0.500000,NA()),NA())</f>
        <v/>
      </c>
      <c r="BG11">
        <f>IF(4&lt;sn_nb,(db_sn)+(sn_pb/2)*-0.866025,NA())</f>
        <v/>
      </c>
      <c r="BI11">
        <f>IF(inputs_ok,IF(5&lt;sn_nb,(IF(sn_nb=1,sn_b/2,(sn_c+sn_phiw+sn_pb/2)+5*(sn_b-2*(sn_c+sn_phiw+sn_pb/2))/(sn_nb-1)))+(sn_pb/2)*-0.500000,NA()),NA())</f>
        <v/>
      </c>
      <c r="BJ11">
        <f>IF(5&lt;sn_nb,(db_sn)+(sn_pb/2)*-0.866025,NA())</f>
        <v/>
      </c>
      <c r="BL11">
        <f>IF(inputs_ok,IF(6&lt;sn_nb,(IF(sn_nb=1,sn_b/2,(sn_c+sn_phiw+sn_pb/2)+6*(sn_b-2*(sn_c+sn_phiw+sn_pb/2))/(sn_nb-1)))+(sn_pb/2)*-0.500000,NA()),NA())</f>
        <v/>
      </c>
      <c r="BM11">
        <f>IF(6&lt;sn_nb,(db_sn)+(sn_pb/2)*-0.866025,NA())</f>
        <v/>
      </c>
      <c r="BO11">
        <f>IF(inputs_ok,IF(7&lt;sn_nb,(IF(sn_nb=1,sn_b/2,(sn_c+sn_phiw+sn_pb/2)+7*(sn_b-2*(sn_c+sn_phiw+sn_pb/2))/(sn_nb-1)))+(sn_pb/2)*-0.500000,NA()),NA())</f>
        <v/>
      </c>
      <c r="BP11">
        <f>IF(7&lt;sn_nb,(db_sn)+(sn_pb/2)*-0.866025,NA())</f>
        <v/>
      </c>
      <c r="BR11">
        <f>IF(inputs_ok,IF(8&lt;sn_nb,(IF(sn_nb=1,sn_b/2,(sn_c+sn_phiw+sn_pb/2)+8*(sn_b-2*(sn_c+sn_phiw+sn_pb/2))/(sn_nb-1)))+(sn_pb/2)*-0.500000,NA()),NA())</f>
        <v/>
      </c>
      <c r="BS11">
        <f>IF(8&lt;sn_nb,(db_sn)+(sn_pb/2)*-0.866025,NA())</f>
        <v/>
      </c>
      <c r="BU11">
        <f>IF(inputs_ok,IF(9&lt;sn_nb,(IF(sn_nb=1,sn_b/2,(sn_c+sn_phiw+sn_pb/2)+9*(sn_b-2*(sn_c+sn_phiw+sn_pb/2))/(sn_nb-1)))+(sn_pb/2)*-0.500000,NA()),NA())</f>
        <v/>
      </c>
      <c r="BV11">
        <f>IF(9&lt;sn_nb,(db_sn)+(sn_pb/2)*-0.866025,NA())</f>
        <v/>
      </c>
      <c r="BX11">
        <f>IF(inputs_ok,IF(10&lt;sn_nb,(IF(sn_nb=1,sn_b/2,(sn_c+sn_phiw+sn_pb/2)+10*(sn_b-2*(sn_c+sn_phiw+sn_pb/2))/(sn_nb-1)))+(sn_pb/2)*-0.500000,NA()),NA())</f>
        <v/>
      </c>
      <c r="BY11">
        <f>IF(10&lt;sn_nb,(db_sn)+(sn_pb/2)*-0.866025,NA())</f>
        <v/>
      </c>
      <c r="CA11">
        <f>IF(inputs_ok,IF(11&lt;sn_nb,(IF(sn_nb=1,sn_b/2,(sn_c+sn_phiw+sn_pb/2)+11*(sn_b-2*(sn_c+sn_phiw+sn_pb/2))/(sn_nb-1)))+(sn_pb/2)*-0.500000,NA()),NA())</f>
        <v/>
      </c>
      <c r="CB11">
        <f>IF(11&lt;sn_nb,(db_sn)+(sn_pb/2)*-0.866025,NA())</f>
        <v/>
      </c>
      <c r="DQ11">
        <f>IF(inputs_ok,INDEX(nmS_M,9)*1.5/Mpk_sn,NA())</f>
        <v/>
      </c>
      <c r="DR11">
        <f>INDEX(nmS_N,9)/NRdmax_sn</f>
        <v/>
      </c>
      <c r="DT11">
        <f>IF(inputs_ok,-INDEX(nmH_M,9)*1.5/Mpk_sn,NA())</f>
        <v/>
      </c>
      <c r="DU11">
        <f>INDEX(nmH_N,9)/NRdmax_sn</f>
        <v/>
      </c>
    </row>
    <row r="12">
      <c r="J12">
        <f>IF(inputs_ok,IF(0&lt;sn_nt,(IF(sn_nt=1,sn_b/2,(sn_c+sn_phiw+sn_pt/2)+0*(sn_b-2*(sn_c+sn_phiw+sn_pt/2))/(sn_nt-1)))+(sn_pt/2)*-0.000000,NA()),NA())</f>
        <v/>
      </c>
      <c r="K12">
        <f>IF(0&lt;sn_nt,(sn_h-dt_sn)+(sn_pt/2)*-1.000000,NA())</f>
        <v/>
      </c>
      <c r="M12">
        <f>IF(inputs_ok,IF(1&lt;sn_nt,(IF(sn_nt=1,sn_b/2,(sn_c+sn_phiw+sn_pt/2)+1*(sn_b-2*(sn_c+sn_phiw+sn_pt/2))/(sn_nt-1)))+(sn_pt/2)*-0.000000,NA()),NA())</f>
        <v/>
      </c>
      <c r="N12">
        <f>IF(1&lt;sn_nt,(sn_h-dt_sn)+(sn_pt/2)*-1.000000,NA())</f>
        <v/>
      </c>
      <c r="P12">
        <f>IF(inputs_ok,IF(2&lt;sn_nt,(IF(sn_nt=1,sn_b/2,(sn_c+sn_phiw+sn_pt/2)+2*(sn_b-2*(sn_c+sn_phiw+sn_pt/2))/(sn_nt-1)))+(sn_pt/2)*-0.000000,NA()),NA())</f>
        <v/>
      </c>
      <c r="Q12">
        <f>IF(2&lt;sn_nt,(sn_h-dt_sn)+(sn_pt/2)*-1.000000,NA())</f>
        <v/>
      </c>
      <c r="S12">
        <f>IF(inputs_ok,IF(3&lt;sn_nt,(IF(sn_nt=1,sn_b/2,(sn_c+sn_phiw+sn_pt/2)+3*(sn_b-2*(sn_c+sn_phiw+sn_pt/2))/(sn_nt-1)))+(sn_pt/2)*-0.000000,NA()),NA())</f>
        <v/>
      </c>
      <c r="T12">
        <f>IF(3&lt;sn_nt,(sn_h-dt_sn)+(sn_pt/2)*-1.000000,NA())</f>
        <v/>
      </c>
      <c r="V12">
        <f>IF(inputs_ok,IF(4&lt;sn_nt,(IF(sn_nt=1,sn_b/2,(sn_c+sn_phiw+sn_pt/2)+4*(sn_b-2*(sn_c+sn_phiw+sn_pt/2))/(sn_nt-1)))+(sn_pt/2)*-0.000000,NA()),NA())</f>
        <v/>
      </c>
      <c r="W12">
        <f>IF(4&lt;sn_nt,(sn_h-dt_sn)+(sn_pt/2)*-1.000000,NA())</f>
        <v/>
      </c>
      <c r="Y12">
        <f>IF(inputs_ok,IF(5&lt;sn_nt,(IF(sn_nt=1,sn_b/2,(sn_c+sn_phiw+sn_pt/2)+5*(sn_b-2*(sn_c+sn_phiw+sn_pt/2))/(sn_nt-1)))+(sn_pt/2)*-0.000000,NA()),NA())</f>
        <v/>
      </c>
      <c r="Z12">
        <f>IF(5&lt;sn_nt,(sn_h-dt_sn)+(sn_pt/2)*-1.000000,NA())</f>
        <v/>
      </c>
      <c r="AB12">
        <f>IF(inputs_ok,IF(6&lt;sn_nt,(IF(sn_nt=1,sn_b/2,(sn_c+sn_phiw+sn_pt/2)+6*(sn_b-2*(sn_c+sn_phiw+sn_pt/2))/(sn_nt-1)))+(sn_pt/2)*-0.000000,NA()),NA())</f>
        <v/>
      </c>
      <c r="AC12">
        <f>IF(6&lt;sn_nt,(sn_h-dt_sn)+(sn_pt/2)*-1.000000,NA())</f>
        <v/>
      </c>
      <c r="AE12">
        <f>IF(inputs_ok,IF(7&lt;sn_nt,(IF(sn_nt=1,sn_b/2,(sn_c+sn_phiw+sn_pt/2)+7*(sn_b-2*(sn_c+sn_phiw+sn_pt/2))/(sn_nt-1)))+(sn_pt/2)*-0.000000,NA()),NA())</f>
        <v/>
      </c>
      <c r="AF12">
        <f>IF(7&lt;sn_nt,(sn_h-dt_sn)+(sn_pt/2)*-1.000000,NA())</f>
        <v/>
      </c>
      <c r="AH12">
        <f>IF(inputs_ok,IF(8&lt;sn_nt,(IF(sn_nt=1,sn_b/2,(sn_c+sn_phiw+sn_pt/2)+8*(sn_b-2*(sn_c+sn_phiw+sn_pt/2))/(sn_nt-1)))+(sn_pt/2)*-0.000000,NA()),NA())</f>
        <v/>
      </c>
      <c r="AI12">
        <f>IF(8&lt;sn_nt,(sn_h-dt_sn)+(sn_pt/2)*-1.000000,NA())</f>
        <v/>
      </c>
      <c r="AK12">
        <f>IF(inputs_ok,IF(9&lt;sn_nt,(IF(sn_nt=1,sn_b/2,(sn_c+sn_phiw+sn_pt/2)+9*(sn_b-2*(sn_c+sn_phiw+sn_pt/2))/(sn_nt-1)))+(sn_pt/2)*-0.000000,NA()),NA())</f>
        <v/>
      </c>
      <c r="AL12">
        <f>IF(9&lt;sn_nt,(sn_h-dt_sn)+(sn_pt/2)*-1.000000,NA())</f>
        <v/>
      </c>
      <c r="AN12">
        <f>IF(inputs_ok,IF(10&lt;sn_nt,(IF(sn_nt=1,sn_b/2,(sn_c+sn_phiw+sn_pt/2)+10*(sn_b-2*(sn_c+sn_phiw+sn_pt/2))/(sn_nt-1)))+(sn_pt/2)*-0.000000,NA()),NA())</f>
        <v/>
      </c>
      <c r="AO12">
        <f>IF(10&lt;sn_nt,(sn_h-dt_sn)+(sn_pt/2)*-1.000000,NA())</f>
        <v/>
      </c>
      <c r="AQ12">
        <f>IF(inputs_ok,IF(11&lt;sn_nt,(IF(sn_nt=1,sn_b/2,(sn_c+sn_phiw+sn_pt/2)+11*(sn_b-2*(sn_c+sn_phiw+sn_pt/2))/(sn_nt-1)))+(sn_pt/2)*-0.000000,NA()),NA())</f>
        <v/>
      </c>
      <c r="AR12">
        <f>IF(11&lt;sn_nt,(sn_h-dt_sn)+(sn_pt/2)*-1.000000,NA())</f>
        <v/>
      </c>
      <c r="AT12">
        <f>IF(inputs_ok,IF(0&lt;sn_nb,(IF(sn_nb=1,sn_b/2,(sn_c+sn_phiw+sn_pb/2)+0*(sn_b-2*(sn_c+sn_phiw+sn_pb/2))/(sn_nb-1)))+(sn_pb/2)*-0.000000,NA()),NA())</f>
        <v/>
      </c>
      <c r="AU12">
        <f>IF(0&lt;sn_nb,(db_sn)+(sn_pb/2)*-1.000000,NA())</f>
        <v/>
      </c>
      <c r="AW12">
        <f>IF(inputs_ok,IF(1&lt;sn_nb,(IF(sn_nb=1,sn_b/2,(sn_c+sn_phiw+sn_pb/2)+1*(sn_b-2*(sn_c+sn_phiw+sn_pb/2))/(sn_nb-1)))+(sn_pb/2)*-0.000000,NA()),NA())</f>
        <v/>
      </c>
      <c r="AX12">
        <f>IF(1&lt;sn_nb,(db_sn)+(sn_pb/2)*-1.000000,NA())</f>
        <v/>
      </c>
      <c r="AZ12">
        <f>IF(inputs_ok,IF(2&lt;sn_nb,(IF(sn_nb=1,sn_b/2,(sn_c+sn_phiw+sn_pb/2)+2*(sn_b-2*(sn_c+sn_phiw+sn_pb/2))/(sn_nb-1)))+(sn_pb/2)*-0.000000,NA()),NA())</f>
        <v/>
      </c>
      <c r="BA12">
        <f>IF(2&lt;sn_nb,(db_sn)+(sn_pb/2)*-1.000000,NA())</f>
        <v/>
      </c>
      <c r="BC12">
        <f>IF(inputs_ok,IF(3&lt;sn_nb,(IF(sn_nb=1,sn_b/2,(sn_c+sn_phiw+sn_pb/2)+3*(sn_b-2*(sn_c+sn_phiw+sn_pb/2))/(sn_nb-1)))+(sn_pb/2)*-0.000000,NA()),NA())</f>
        <v/>
      </c>
      <c r="BD12">
        <f>IF(3&lt;sn_nb,(db_sn)+(sn_pb/2)*-1.000000,NA())</f>
        <v/>
      </c>
      <c r="BF12">
        <f>IF(inputs_ok,IF(4&lt;sn_nb,(IF(sn_nb=1,sn_b/2,(sn_c+sn_phiw+sn_pb/2)+4*(sn_b-2*(sn_c+sn_phiw+sn_pb/2))/(sn_nb-1)))+(sn_pb/2)*-0.000000,NA()),NA())</f>
        <v/>
      </c>
      <c r="BG12">
        <f>IF(4&lt;sn_nb,(db_sn)+(sn_pb/2)*-1.000000,NA())</f>
        <v/>
      </c>
      <c r="BI12">
        <f>IF(inputs_ok,IF(5&lt;sn_nb,(IF(sn_nb=1,sn_b/2,(sn_c+sn_phiw+sn_pb/2)+5*(sn_b-2*(sn_c+sn_phiw+sn_pb/2))/(sn_nb-1)))+(sn_pb/2)*-0.000000,NA()),NA())</f>
        <v/>
      </c>
      <c r="BJ12">
        <f>IF(5&lt;sn_nb,(db_sn)+(sn_pb/2)*-1.000000,NA())</f>
        <v/>
      </c>
      <c r="BL12">
        <f>IF(inputs_ok,IF(6&lt;sn_nb,(IF(sn_nb=1,sn_b/2,(sn_c+sn_phiw+sn_pb/2)+6*(sn_b-2*(sn_c+sn_phiw+sn_pb/2))/(sn_nb-1)))+(sn_pb/2)*-0.000000,NA()),NA())</f>
        <v/>
      </c>
      <c r="BM12">
        <f>IF(6&lt;sn_nb,(db_sn)+(sn_pb/2)*-1.000000,NA())</f>
        <v/>
      </c>
      <c r="BO12">
        <f>IF(inputs_ok,IF(7&lt;sn_nb,(IF(sn_nb=1,sn_b/2,(sn_c+sn_phiw+sn_pb/2)+7*(sn_b-2*(sn_c+sn_phiw+sn_pb/2))/(sn_nb-1)))+(sn_pb/2)*-0.000000,NA()),NA())</f>
        <v/>
      </c>
      <c r="BP12">
        <f>IF(7&lt;sn_nb,(db_sn)+(sn_pb/2)*-1.000000,NA())</f>
        <v/>
      </c>
      <c r="BR12">
        <f>IF(inputs_ok,IF(8&lt;sn_nb,(IF(sn_nb=1,sn_b/2,(sn_c+sn_phiw+sn_pb/2)+8*(sn_b-2*(sn_c+sn_phiw+sn_pb/2))/(sn_nb-1)))+(sn_pb/2)*-0.000000,NA()),NA())</f>
        <v/>
      </c>
      <c r="BS12">
        <f>IF(8&lt;sn_nb,(db_sn)+(sn_pb/2)*-1.000000,NA())</f>
        <v/>
      </c>
      <c r="BU12">
        <f>IF(inputs_ok,IF(9&lt;sn_nb,(IF(sn_nb=1,sn_b/2,(sn_c+sn_phiw+sn_pb/2)+9*(sn_b-2*(sn_c+sn_phiw+sn_pb/2))/(sn_nb-1)))+(sn_pb/2)*-0.000000,NA()),NA())</f>
        <v/>
      </c>
      <c r="BV12">
        <f>IF(9&lt;sn_nb,(db_sn)+(sn_pb/2)*-1.000000,NA())</f>
        <v/>
      </c>
      <c r="BX12">
        <f>IF(inputs_ok,IF(10&lt;sn_nb,(IF(sn_nb=1,sn_b/2,(sn_c+sn_phiw+sn_pb/2)+10*(sn_b-2*(sn_c+sn_phiw+sn_pb/2))/(sn_nb-1)))+(sn_pb/2)*-0.000000,NA()),NA())</f>
        <v/>
      </c>
      <c r="BY12">
        <f>IF(10&lt;sn_nb,(db_sn)+(sn_pb/2)*-1.000000,NA())</f>
        <v/>
      </c>
      <c r="CA12">
        <f>IF(inputs_ok,IF(11&lt;sn_nb,(IF(sn_nb=1,sn_b/2,(sn_c+sn_phiw+sn_pb/2)+11*(sn_b-2*(sn_c+sn_phiw+sn_pb/2))/(sn_nb-1)))+(sn_pb/2)*-0.000000,NA()),NA())</f>
        <v/>
      </c>
      <c r="CB12">
        <f>IF(11&lt;sn_nb,(db_sn)+(sn_pb/2)*-1.000000,NA())</f>
        <v/>
      </c>
      <c r="DQ12">
        <f>IF(inputs_ok,INDEX(nmS_M,10)*1.5/Mpk_sn,NA())</f>
        <v/>
      </c>
      <c r="DR12">
        <f>INDEX(nmS_N,10)/NRdmax_sn</f>
        <v/>
      </c>
      <c r="DT12">
        <f>IF(inputs_ok,-INDEX(nmH_M,10)*1.5/Mpk_sn,NA())</f>
        <v/>
      </c>
      <c r="DU12">
        <f>INDEX(nmH_N,10)/NRdmax_sn</f>
        <v/>
      </c>
    </row>
    <row r="13">
      <c r="J13">
        <f>IF(inputs_ok,IF(0&lt;sn_nt,(IF(sn_nt=1,sn_b/2,(sn_c+sn_phiw+sn_pt/2)+0*(sn_b-2*(sn_c+sn_phiw+sn_pt/2))/(sn_nt-1)))+(sn_pt/2)*0.500000,NA()),NA())</f>
        <v/>
      </c>
      <c r="K13">
        <f>IF(0&lt;sn_nt,(sn_h-dt_sn)+(sn_pt/2)*-0.866025,NA())</f>
        <v/>
      </c>
      <c r="M13">
        <f>IF(inputs_ok,IF(1&lt;sn_nt,(IF(sn_nt=1,sn_b/2,(sn_c+sn_phiw+sn_pt/2)+1*(sn_b-2*(sn_c+sn_phiw+sn_pt/2))/(sn_nt-1)))+(sn_pt/2)*0.500000,NA()),NA())</f>
        <v/>
      </c>
      <c r="N13">
        <f>IF(1&lt;sn_nt,(sn_h-dt_sn)+(sn_pt/2)*-0.866025,NA())</f>
        <v/>
      </c>
      <c r="P13">
        <f>IF(inputs_ok,IF(2&lt;sn_nt,(IF(sn_nt=1,sn_b/2,(sn_c+sn_phiw+sn_pt/2)+2*(sn_b-2*(sn_c+sn_phiw+sn_pt/2))/(sn_nt-1)))+(sn_pt/2)*0.500000,NA()),NA())</f>
        <v/>
      </c>
      <c r="Q13">
        <f>IF(2&lt;sn_nt,(sn_h-dt_sn)+(sn_pt/2)*-0.866025,NA())</f>
        <v/>
      </c>
      <c r="S13">
        <f>IF(inputs_ok,IF(3&lt;sn_nt,(IF(sn_nt=1,sn_b/2,(sn_c+sn_phiw+sn_pt/2)+3*(sn_b-2*(sn_c+sn_phiw+sn_pt/2))/(sn_nt-1)))+(sn_pt/2)*0.500000,NA()),NA())</f>
        <v/>
      </c>
      <c r="T13">
        <f>IF(3&lt;sn_nt,(sn_h-dt_sn)+(sn_pt/2)*-0.866025,NA())</f>
        <v/>
      </c>
      <c r="V13">
        <f>IF(inputs_ok,IF(4&lt;sn_nt,(IF(sn_nt=1,sn_b/2,(sn_c+sn_phiw+sn_pt/2)+4*(sn_b-2*(sn_c+sn_phiw+sn_pt/2))/(sn_nt-1)))+(sn_pt/2)*0.500000,NA()),NA())</f>
        <v/>
      </c>
      <c r="W13">
        <f>IF(4&lt;sn_nt,(sn_h-dt_sn)+(sn_pt/2)*-0.866025,NA())</f>
        <v/>
      </c>
      <c r="Y13">
        <f>IF(inputs_ok,IF(5&lt;sn_nt,(IF(sn_nt=1,sn_b/2,(sn_c+sn_phiw+sn_pt/2)+5*(sn_b-2*(sn_c+sn_phiw+sn_pt/2))/(sn_nt-1)))+(sn_pt/2)*0.500000,NA()),NA())</f>
        <v/>
      </c>
      <c r="Z13">
        <f>IF(5&lt;sn_nt,(sn_h-dt_sn)+(sn_pt/2)*-0.866025,NA())</f>
        <v/>
      </c>
      <c r="AB13">
        <f>IF(inputs_ok,IF(6&lt;sn_nt,(IF(sn_nt=1,sn_b/2,(sn_c+sn_phiw+sn_pt/2)+6*(sn_b-2*(sn_c+sn_phiw+sn_pt/2))/(sn_nt-1)))+(sn_pt/2)*0.500000,NA()),NA())</f>
        <v/>
      </c>
      <c r="AC13">
        <f>IF(6&lt;sn_nt,(sn_h-dt_sn)+(sn_pt/2)*-0.866025,NA())</f>
        <v/>
      </c>
      <c r="AE13">
        <f>IF(inputs_ok,IF(7&lt;sn_nt,(IF(sn_nt=1,sn_b/2,(sn_c+sn_phiw+sn_pt/2)+7*(sn_b-2*(sn_c+sn_phiw+sn_pt/2))/(sn_nt-1)))+(sn_pt/2)*0.500000,NA()),NA())</f>
        <v/>
      </c>
      <c r="AF13">
        <f>IF(7&lt;sn_nt,(sn_h-dt_sn)+(sn_pt/2)*-0.866025,NA())</f>
        <v/>
      </c>
      <c r="AH13">
        <f>IF(inputs_ok,IF(8&lt;sn_nt,(IF(sn_nt=1,sn_b/2,(sn_c+sn_phiw+sn_pt/2)+8*(sn_b-2*(sn_c+sn_phiw+sn_pt/2))/(sn_nt-1)))+(sn_pt/2)*0.500000,NA()),NA())</f>
        <v/>
      </c>
      <c r="AI13">
        <f>IF(8&lt;sn_nt,(sn_h-dt_sn)+(sn_pt/2)*-0.866025,NA())</f>
        <v/>
      </c>
      <c r="AK13">
        <f>IF(inputs_ok,IF(9&lt;sn_nt,(IF(sn_nt=1,sn_b/2,(sn_c+sn_phiw+sn_pt/2)+9*(sn_b-2*(sn_c+sn_phiw+sn_pt/2))/(sn_nt-1)))+(sn_pt/2)*0.500000,NA()),NA())</f>
        <v/>
      </c>
      <c r="AL13">
        <f>IF(9&lt;sn_nt,(sn_h-dt_sn)+(sn_pt/2)*-0.866025,NA())</f>
        <v/>
      </c>
      <c r="AN13">
        <f>IF(inputs_ok,IF(10&lt;sn_nt,(IF(sn_nt=1,sn_b/2,(sn_c+sn_phiw+sn_pt/2)+10*(sn_b-2*(sn_c+sn_phiw+sn_pt/2))/(sn_nt-1)))+(sn_pt/2)*0.500000,NA()),NA())</f>
        <v/>
      </c>
      <c r="AO13">
        <f>IF(10&lt;sn_nt,(sn_h-dt_sn)+(sn_pt/2)*-0.866025,NA())</f>
        <v/>
      </c>
      <c r="AQ13">
        <f>IF(inputs_ok,IF(11&lt;sn_nt,(IF(sn_nt=1,sn_b/2,(sn_c+sn_phiw+sn_pt/2)+11*(sn_b-2*(sn_c+sn_phiw+sn_pt/2))/(sn_nt-1)))+(sn_pt/2)*0.500000,NA()),NA())</f>
        <v/>
      </c>
      <c r="AR13">
        <f>IF(11&lt;sn_nt,(sn_h-dt_sn)+(sn_pt/2)*-0.866025,NA())</f>
        <v/>
      </c>
      <c r="AT13">
        <f>IF(inputs_ok,IF(0&lt;sn_nb,(IF(sn_nb=1,sn_b/2,(sn_c+sn_phiw+sn_pb/2)+0*(sn_b-2*(sn_c+sn_phiw+sn_pb/2))/(sn_nb-1)))+(sn_pb/2)*0.500000,NA()),NA())</f>
        <v/>
      </c>
      <c r="AU13">
        <f>IF(0&lt;sn_nb,(db_sn)+(sn_pb/2)*-0.866025,NA())</f>
        <v/>
      </c>
      <c r="AW13">
        <f>IF(inputs_ok,IF(1&lt;sn_nb,(IF(sn_nb=1,sn_b/2,(sn_c+sn_phiw+sn_pb/2)+1*(sn_b-2*(sn_c+sn_phiw+sn_pb/2))/(sn_nb-1)))+(sn_pb/2)*0.500000,NA()),NA())</f>
        <v/>
      </c>
      <c r="AX13">
        <f>IF(1&lt;sn_nb,(db_sn)+(sn_pb/2)*-0.866025,NA())</f>
        <v/>
      </c>
      <c r="AZ13">
        <f>IF(inputs_ok,IF(2&lt;sn_nb,(IF(sn_nb=1,sn_b/2,(sn_c+sn_phiw+sn_pb/2)+2*(sn_b-2*(sn_c+sn_phiw+sn_pb/2))/(sn_nb-1)))+(sn_pb/2)*0.500000,NA()),NA())</f>
        <v/>
      </c>
      <c r="BA13">
        <f>IF(2&lt;sn_nb,(db_sn)+(sn_pb/2)*-0.866025,NA())</f>
        <v/>
      </c>
      <c r="BC13">
        <f>IF(inputs_ok,IF(3&lt;sn_nb,(IF(sn_nb=1,sn_b/2,(sn_c+sn_phiw+sn_pb/2)+3*(sn_b-2*(sn_c+sn_phiw+sn_pb/2))/(sn_nb-1)))+(sn_pb/2)*0.500000,NA()),NA())</f>
        <v/>
      </c>
      <c r="BD13">
        <f>IF(3&lt;sn_nb,(db_sn)+(sn_pb/2)*-0.866025,NA())</f>
        <v/>
      </c>
      <c r="BF13">
        <f>IF(inputs_ok,IF(4&lt;sn_nb,(IF(sn_nb=1,sn_b/2,(sn_c+sn_phiw+sn_pb/2)+4*(sn_b-2*(sn_c+sn_phiw+sn_pb/2))/(sn_nb-1)))+(sn_pb/2)*0.500000,NA()),NA())</f>
        <v/>
      </c>
      <c r="BG13">
        <f>IF(4&lt;sn_nb,(db_sn)+(sn_pb/2)*-0.866025,NA())</f>
        <v/>
      </c>
      <c r="BI13">
        <f>IF(inputs_ok,IF(5&lt;sn_nb,(IF(sn_nb=1,sn_b/2,(sn_c+sn_phiw+sn_pb/2)+5*(sn_b-2*(sn_c+sn_phiw+sn_pb/2))/(sn_nb-1)))+(sn_pb/2)*0.500000,NA()),NA())</f>
        <v/>
      </c>
      <c r="BJ13">
        <f>IF(5&lt;sn_nb,(db_sn)+(sn_pb/2)*-0.866025,NA())</f>
        <v/>
      </c>
      <c r="BL13">
        <f>IF(inputs_ok,IF(6&lt;sn_nb,(IF(sn_nb=1,sn_b/2,(sn_c+sn_phiw+sn_pb/2)+6*(sn_b-2*(sn_c+sn_phiw+sn_pb/2))/(sn_nb-1)))+(sn_pb/2)*0.500000,NA()),NA())</f>
        <v/>
      </c>
      <c r="BM13">
        <f>IF(6&lt;sn_nb,(db_sn)+(sn_pb/2)*-0.866025,NA())</f>
        <v/>
      </c>
      <c r="BO13">
        <f>IF(inputs_ok,IF(7&lt;sn_nb,(IF(sn_nb=1,sn_b/2,(sn_c+sn_phiw+sn_pb/2)+7*(sn_b-2*(sn_c+sn_phiw+sn_pb/2))/(sn_nb-1)))+(sn_pb/2)*0.500000,NA()),NA())</f>
        <v/>
      </c>
      <c r="BP13">
        <f>IF(7&lt;sn_nb,(db_sn)+(sn_pb/2)*-0.866025,NA())</f>
        <v/>
      </c>
      <c r="BR13">
        <f>IF(inputs_ok,IF(8&lt;sn_nb,(IF(sn_nb=1,sn_b/2,(sn_c+sn_phiw+sn_pb/2)+8*(sn_b-2*(sn_c+sn_phiw+sn_pb/2))/(sn_nb-1)))+(sn_pb/2)*0.500000,NA()),NA())</f>
        <v/>
      </c>
      <c r="BS13">
        <f>IF(8&lt;sn_nb,(db_sn)+(sn_pb/2)*-0.866025,NA())</f>
        <v/>
      </c>
      <c r="BU13">
        <f>IF(inputs_ok,IF(9&lt;sn_nb,(IF(sn_nb=1,sn_b/2,(sn_c+sn_phiw+sn_pb/2)+9*(sn_b-2*(sn_c+sn_phiw+sn_pb/2))/(sn_nb-1)))+(sn_pb/2)*0.500000,NA()),NA())</f>
        <v/>
      </c>
      <c r="BV13">
        <f>IF(9&lt;sn_nb,(db_sn)+(sn_pb/2)*-0.866025,NA())</f>
        <v/>
      </c>
      <c r="BX13">
        <f>IF(inputs_ok,IF(10&lt;sn_nb,(IF(sn_nb=1,sn_b/2,(sn_c+sn_phiw+sn_pb/2)+10*(sn_b-2*(sn_c+sn_phiw+sn_pb/2))/(sn_nb-1)))+(sn_pb/2)*0.500000,NA()),NA())</f>
        <v/>
      </c>
      <c r="BY13">
        <f>IF(10&lt;sn_nb,(db_sn)+(sn_pb/2)*-0.866025,NA())</f>
        <v/>
      </c>
      <c r="CA13">
        <f>IF(inputs_ok,IF(11&lt;sn_nb,(IF(sn_nb=1,sn_b/2,(sn_c+sn_phiw+sn_pb/2)+11*(sn_b-2*(sn_c+sn_phiw+sn_pb/2))/(sn_nb-1)))+(sn_pb/2)*0.500000,NA()),NA())</f>
        <v/>
      </c>
      <c r="CB13">
        <f>IF(11&lt;sn_nb,(db_sn)+(sn_pb/2)*-0.866025,NA())</f>
        <v/>
      </c>
      <c r="DQ13">
        <f>IF(inputs_ok,INDEX(nmS_M,11)*1.5/Mpk_sn,NA())</f>
        <v/>
      </c>
      <c r="DR13">
        <f>INDEX(nmS_N,11)/NRdmax_sn</f>
        <v/>
      </c>
      <c r="DT13">
        <f>IF(inputs_ok,-INDEX(nmH_M,11)*1.5/Mpk_sn,NA())</f>
        <v/>
      </c>
      <c r="DU13">
        <f>INDEX(nmH_N,11)/NRdmax_sn</f>
        <v/>
      </c>
    </row>
    <row r="14">
      <c r="J14">
        <f>IF(inputs_ok,IF(0&lt;sn_nt,(IF(sn_nt=1,sn_b/2,(sn_c+sn_phiw+sn_pt/2)+0*(sn_b-2*(sn_c+sn_phiw+sn_pt/2))/(sn_nt-1)))+(sn_pt/2)*0.866025,NA()),NA())</f>
        <v/>
      </c>
      <c r="K14">
        <f>IF(0&lt;sn_nt,(sn_h-dt_sn)+(sn_pt/2)*-0.500000,NA())</f>
        <v/>
      </c>
      <c r="M14">
        <f>IF(inputs_ok,IF(1&lt;sn_nt,(IF(sn_nt=1,sn_b/2,(sn_c+sn_phiw+sn_pt/2)+1*(sn_b-2*(sn_c+sn_phiw+sn_pt/2))/(sn_nt-1)))+(sn_pt/2)*0.866025,NA()),NA())</f>
        <v/>
      </c>
      <c r="N14">
        <f>IF(1&lt;sn_nt,(sn_h-dt_sn)+(sn_pt/2)*-0.500000,NA())</f>
        <v/>
      </c>
      <c r="P14">
        <f>IF(inputs_ok,IF(2&lt;sn_nt,(IF(sn_nt=1,sn_b/2,(sn_c+sn_phiw+sn_pt/2)+2*(sn_b-2*(sn_c+sn_phiw+sn_pt/2))/(sn_nt-1)))+(sn_pt/2)*0.866025,NA()),NA())</f>
        <v/>
      </c>
      <c r="Q14">
        <f>IF(2&lt;sn_nt,(sn_h-dt_sn)+(sn_pt/2)*-0.500000,NA())</f>
        <v/>
      </c>
      <c r="S14">
        <f>IF(inputs_ok,IF(3&lt;sn_nt,(IF(sn_nt=1,sn_b/2,(sn_c+sn_phiw+sn_pt/2)+3*(sn_b-2*(sn_c+sn_phiw+sn_pt/2))/(sn_nt-1)))+(sn_pt/2)*0.866025,NA()),NA())</f>
        <v/>
      </c>
      <c r="T14">
        <f>IF(3&lt;sn_nt,(sn_h-dt_sn)+(sn_pt/2)*-0.500000,NA())</f>
        <v/>
      </c>
      <c r="V14">
        <f>IF(inputs_ok,IF(4&lt;sn_nt,(IF(sn_nt=1,sn_b/2,(sn_c+sn_phiw+sn_pt/2)+4*(sn_b-2*(sn_c+sn_phiw+sn_pt/2))/(sn_nt-1)))+(sn_pt/2)*0.866025,NA()),NA())</f>
        <v/>
      </c>
      <c r="W14">
        <f>IF(4&lt;sn_nt,(sn_h-dt_sn)+(sn_pt/2)*-0.500000,NA())</f>
        <v/>
      </c>
      <c r="Y14">
        <f>IF(inputs_ok,IF(5&lt;sn_nt,(IF(sn_nt=1,sn_b/2,(sn_c+sn_phiw+sn_pt/2)+5*(sn_b-2*(sn_c+sn_phiw+sn_pt/2))/(sn_nt-1)))+(sn_pt/2)*0.866025,NA()),NA())</f>
        <v/>
      </c>
      <c r="Z14">
        <f>IF(5&lt;sn_nt,(sn_h-dt_sn)+(sn_pt/2)*-0.500000,NA())</f>
        <v/>
      </c>
      <c r="AB14">
        <f>IF(inputs_ok,IF(6&lt;sn_nt,(IF(sn_nt=1,sn_b/2,(sn_c+sn_phiw+sn_pt/2)+6*(sn_b-2*(sn_c+sn_phiw+sn_pt/2))/(sn_nt-1)))+(sn_pt/2)*0.866025,NA()),NA())</f>
        <v/>
      </c>
      <c r="AC14">
        <f>IF(6&lt;sn_nt,(sn_h-dt_sn)+(sn_pt/2)*-0.500000,NA())</f>
        <v/>
      </c>
      <c r="AE14">
        <f>IF(inputs_ok,IF(7&lt;sn_nt,(IF(sn_nt=1,sn_b/2,(sn_c+sn_phiw+sn_pt/2)+7*(sn_b-2*(sn_c+sn_phiw+sn_pt/2))/(sn_nt-1)))+(sn_pt/2)*0.866025,NA()),NA())</f>
        <v/>
      </c>
      <c r="AF14">
        <f>IF(7&lt;sn_nt,(sn_h-dt_sn)+(sn_pt/2)*-0.500000,NA())</f>
        <v/>
      </c>
      <c r="AH14">
        <f>IF(inputs_ok,IF(8&lt;sn_nt,(IF(sn_nt=1,sn_b/2,(sn_c+sn_phiw+sn_pt/2)+8*(sn_b-2*(sn_c+sn_phiw+sn_pt/2))/(sn_nt-1)))+(sn_pt/2)*0.866025,NA()),NA())</f>
        <v/>
      </c>
      <c r="AI14">
        <f>IF(8&lt;sn_nt,(sn_h-dt_sn)+(sn_pt/2)*-0.500000,NA())</f>
        <v/>
      </c>
      <c r="AK14">
        <f>IF(inputs_ok,IF(9&lt;sn_nt,(IF(sn_nt=1,sn_b/2,(sn_c+sn_phiw+sn_pt/2)+9*(sn_b-2*(sn_c+sn_phiw+sn_pt/2))/(sn_nt-1)))+(sn_pt/2)*0.866025,NA()),NA())</f>
        <v/>
      </c>
      <c r="AL14">
        <f>IF(9&lt;sn_nt,(sn_h-dt_sn)+(sn_pt/2)*-0.500000,NA())</f>
        <v/>
      </c>
      <c r="AN14">
        <f>IF(inputs_ok,IF(10&lt;sn_nt,(IF(sn_nt=1,sn_b/2,(sn_c+sn_phiw+sn_pt/2)+10*(sn_b-2*(sn_c+sn_phiw+sn_pt/2))/(sn_nt-1)))+(sn_pt/2)*0.866025,NA()),NA())</f>
        <v/>
      </c>
      <c r="AO14">
        <f>IF(10&lt;sn_nt,(sn_h-dt_sn)+(sn_pt/2)*-0.500000,NA())</f>
        <v/>
      </c>
      <c r="AQ14">
        <f>IF(inputs_ok,IF(11&lt;sn_nt,(IF(sn_nt=1,sn_b/2,(sn_c+sn_phiw+sn_pt/2)+11*(sn_b-2*(sn_c+sn_phiw+sn_pt/2))/(sn_nt-1)))+(sn_pt/2)*0.866025,NA()),NA())</f>
        <v/>
      </c>
      <c r="AR14">
        <f>IF(11&lt;sn_nt,(sn_h-dt_sn)+(sn_pt/2)*-0.500000,NA())</f>
        <v/>
      </c>
      <c r="AT14">
        <f>IF(inputs_ok,IF(0&lt;sn_nb,(IF(sn_nb=1,sn_b/2,(sn_c+sn_phiw+sn_pb/2)+0*(sn_b-2*(sn_c+sn_phiw+sn_pb/2))/(sn_nb-1)))+(sn_pb/2)*0.866025,NA()),NA())</f>
        <v/>
      </c>
      <c r="AU14">
        <f>IF(0&lt;sn_nb,(db_sn)+(sn_pb/2)*-0.500000,NA())</f>
        <v/>
      </c>
      <c r="AW14">
        <f>IF(inputs_ok,IF(1&lt;sn_nb,(IF(sn_nb=1,sn_b/2,(sn_c+sn_phiw+sn_pb/2)+1*(sn_b-2*(sn_c+sn_phiw+sn_pb/2))/(sn_nb-1)))+(sn_pb/2)*0.866025,NA()),NA())</f>
        <v/>
      </c>
      <c r="AX14">
        <f>IF(1&lt;sn_nb,(db_sn)+(sn_pb/2)*-0.500000,NA())</f>
        <v/>
      </c>
      <c r="AZ14">
        <f>IF(inputs_ok,IF(2&lt;sn_nb,(IF(sn_nb=1,sn_b/2,(sn_c+sn_phiw+sn_pb/2)+2*(sn_b-2*(sn_c+sn_phiw+sn_pb/2))/(sn_nb-1)))+(sn_pb/2)*0.866025,NA()),NA())</f>
        <v/>
      </c>
      <c r="BA14">
        <f>IF(2&lt;sn_nb,(db_sn)+(sn_pb/2)*-0.500000,NA())</f>
        <v/>
      </c>
      <c r="BC14">
        <f>IF(inputs_ok,IF(3&lt;sn_nb,(IF(sn_nb=1,sn_b/2,(sn_c+sn_phiw+sn_pb/2)+3*(sn_b-2*(sn_c+sn_phiw+sn_pb/2))/(sn_nb-1)))+(sn_pb/2)*0.866025,NA()),NA())</f>
        <v/>
      </c>
      <c r="BD14">
        <f>IF(3&lt;sn_nb,(db_sn)+(sn_pb/2)*-0.500000,NA())</f>
        <v/>
      </c>
      <c r="BF14">
        <f>IF(inputs_ok,IF(4&lt;sn_nb,(IF(sn_nb=1,sn_b/2,(sn_c+sn_phiw+sn_pb/2)+4*(sn_b-2*(sn_c+sn_phiw+sn_pb/2))/(sn_nb-1)))+(sn_pb/2)*0.866025,NA()),NA())</f>
        <v/>
      </c>
      <c r="BG14">
        <f>IF(4&lt;sn_nb,(db_sn)+(sn_pb/2)*-0.500000,NA())</f>
        <v/>
      </c>
      <c r="BI14">
        <f>IF(inputs_ok,IF(5&lt;sn_nb,(IF(sn_nb=1,sn_b/2,(sn_c+sn_phiw+sn_pb/2)+5*(sn_b-2*(sn_c+sn_phiw+sn_pb/2))/(sn_nb-1)))+(sn_pb/2)*0.866025,NA()),NA())</f>
        <v/>
      </c>
      <c r="BJ14">
        <f>IF(5&lt;sn_nb,(db_sn)+(sn_pb/2)*-0.500000,NA())</f>
        <v/>
      </c>
      <c r="BL14">
        <f>IF(inputs_ok,IF(6&lt;sn_nb,(IF(sn_nb=1,sn_b/2,(sn_c+sn_phiw+sn_pb/2)+6*(sn_b-2*(sn_c+sn_phiw+sn_pb/2))/(sn_nb-1)))+(sn_pb/2)*0.866025,NA()),NA())</f>
        <v/>
      </c>
      <c r="BM14">
        <f>IF(6&lt;sn_nb,(db_sn)+(sn_pb/2)*-0.500000,NA())</f>
        <v/>
      </c>
      <c r="BO14">
        <f>IF(inputs_ok,IF(7&lt;sn_nb,(IF(sn_nb=1,sn_b/2,(sn_c+sn_phiw+sn_pb/2)+7*(sn_b-2*(sn_c+sn_phiw+sn_pb/2))/(sn_nb-1)))+(sn_pb/2)*0.866025,NA()),NA())</f>
        <v/>
      </c>
      <c r="BP14">
        <f>IF(7&lt;sn_nb,(db_sn)+(sn_pb/2)*-0.500000,NA())</f>
        <v/>
      </c>
      <c r="BR14">
        <f>IF(inputs_ok,IF(8&lt;sn_nb,(IF(sn_nb=1,sn_b/2,(sn_c+sn_phiw+sn_pb/2)+8*(sn_b-2*(sn_c+sn_phiw+sn_pb/2))/(sn_nb-1)))+(sn_pb/2)*0.866025,NA()),NA())</f>
        <v/>
      </c>
      <c r="BS14">
        <f>IF(8&lt;sn_nb,(db_sn)+(sn_pb/2)*-0.500000,NA())</f>
        <v/>
      </c>
      <c r="BU14">
        <f>IF(inputs_ok,IF(9&lt;sn_nb,(IF(sn_nb=1,sn_b/2,(sn_c+sn_phiw+sn_pb/2)+9*(sn_b-2*(sn_c+sn_phiw+sn_pb/2))/(sn_nb-1)))+(sn_pb/2)*0.866025,NA()),NA())</f>
        <v/>
      </c>
      <c r="BV14">
        <f>IF(9&lt;sn_nb,(db_sn)+(sn_pb/2)*-0.500000,NA())</f>
        <v/>
      </c>
      <c r="BX14">
        <f>IF(inputs_ok,IF(10&lt;sn_nb,(IF(sn_nb=1,sn_b/2,(sn_c+sn_phiw+sn_pb/2)+10*(sn_b-2*(sn_c+sn_phiw+sn_pb/2))/(sn_nb-1)))+(sn_pb/2)*0.866025,NA()),NA())</f>
        <v/>
      </c>
      <c r="BY14">
        <f>IF(10&lt;sn_nb,(db_sn)+(sn_pb/2)*-0.500000,NA())</f>
        <v/>
      </c>
      <c r="CA14">
        <f>IF(inputs_ok,IF(11&lt;sn_nb,(IF(sn_nb=1,sn_b/2,(sn_c+sn_phiw+sn_pb/2)+11*(sn_b-2*(sn_c+sn_phiw+sn_pb/2))/(sn_nb-1)))+(sn_pb/2)*0.866025,NA()),NA())</f>
        <v/>
      </c>
      <c r="CB14">
        <f>IF(11&lt;sn_nb,(db_sn)+(sn_pb/2)*-0.500000,NA())</f>
        <v/>
      </c>
      <c r="DQ14">
        <f>IF(inputs_ok,INDEX(nmS_M,12)*1.5/Mpk_sn,NA())</f>
        <v/>
      </c>
      <c r="DR14">
        <f>INDEX(nmS_N,12)/NRdmax_sn</f>
        <v/>
      </c>
      <c r="DT14">
        <f>IF(inputs_ok,-INDEX(nmH_M,12)*1.5/Mpk_sn,NA())</f>
        <v/>
      </c>
      <c r="DU14">
        <f>INDEX(nmH_N,12)/NRdmax_sn</f>
        <v/>
      </c>
    </row>
    <row r="15">
      <c r="J15">
        <f>IF(inputs_ok,IF(0&lt;sn_nt,(IF(sn_nt=1,sn_b/2,(sn_c+sn_phiw+sn_pt/2)+0*(sn_b-2*(sn_c+sn_phiw+sn_pt/2))/(sn_nt-1)))+(sn_pt/2)*1.000000,NA()),NA())</f>
        <v/>
      </c>
      <c r="K15">
        <f>IF(0&lt;sn_nt,(sn_h-dt_sn)+(sn_pt/2)*-0.000000,NA())</f>
        <v/>
      </c>
      <c r="M15">
        <f>IF(inputs_ok,IF(1&lt;sn_nt,(IF(sn_nt=1,sn_b/2,(sn_c+sn_phiw+sn_pt/2)+1*(sn_b-2*(sn_c+sn_phiw+sn_pt/2))/(sn_nt-1)))+(sn_pt/2)*1.000000,NA()),NA())</f>
        <v/>
      </c>
      <c r="N15">
        <f>IF(1&lt;sn_nt,(sn_h-dt_sn)+(sn_pt/2)*-0.000000,NA())</f>
        <v/>
      </c>
      <c r="P15">
        <f>IF(inputs_ok,IF(2&lt;sn_nt,(IF(sn_nt=1,sn_b/2,(sn_c+sn_phiw+sn_pt/2)+2*(sn_b-2*(sn_c+sn_phiw+sn_pt/2))/(sn_nt-1)))+(sn_pt/2)*1.000000,NA()),NA())</f>
        <v/>
      </c>
      <c r="Q15">
        <f>IF(2&lt;sn_nt,(sn_h-dt_sn)+(sn_pt/2)*-0.000000,NA())</f>
        <v/>
      </c>
      <c r="S15">
        <f>IF(inputs_ok,IF(3&lt;sn_nt,(IF(sn_nt=1,sn_b/2,(sn_c+sn_phiw+sn_pt/2)+3*(sn_b-2*(sn_c+sn_phiw+sn_pt/2))/(sn_nt-1)))+(sn_pt/2)*1.000000,NA()),NA())</f>
        <v/>
      </c>
      <c r="T15">
        <f>IF(3&lt;sn_nt,(sn_h-dt_sn)+(sn_pt/2)*-0.000000,NA())</f>
        <v/>
      </c>
      <c r="V15">
        <f>IF(inputs_ok,IF(4&lt;sn_nt,(IF(sn_nt=1,sn_b/2,(sn_c+sn_phiw+sn_pt/2)+4*(sn_b-2*(sn_c+sn_phiw+sn_pt/2))/(sn_nt-1)))+(sn_pt/2)*1.000000,NA()),NA())</f>
        <v/>
      </c>
      <c r="W15">
        <f>IF(4&lt;sn_nt,(sn_h-dt_sn)+(sn_pt/2)*-0.000000,NA())</f>
        <v/>
      </c>
      <c r="Y15">
        <f>IF(inputs_ok,IF(5&lt;sn_nt,(IF(sn_nt=1,sn_b/2,(sn_c+sn_phiw+sn_pt/2)+5*(sn_b-2*(sn_c+sn_phiw+sn_pt/2))/(sn_nt-1)))+(sn_pt/2)*1.000000,NA()),NA())</f>
        <v/>
      </c>
      <c r="Z15">
        <f>IF(5&lt;sn_nt,(sn_h-dt_sn)+(sn_pt/2)*-0.000000,NA())</f>
        <v/>
      </c>
      <c r="AB15">
        <f>IF(inputs_ok,IF(6&lt;sn_nt,(IF(sn_nt=1,sn_b/2,(sn_c+sn_phiw+sn_pt/2)+6*(sn_b-2*(sn_c+sn_phiw+sn_pt/2))/(sn_nt-1)))+(sn_pt/2)*1.000000,NA()),NA())</f>
        <v/>
      </c>
      <c r="AC15">
        <f>IF(6&lt;sn_nt,(sn_h-dt_sn)+(sn_pt/2)*-0.000000,NA())</f>
        <v/>
      </c>
      <c r="AE15">
        <f>IF(inputs_ok,IF(7&lt;sn_nt,(IF(sn_nt=1,sn_b/2,(sn_c+sn_phiw+sn_pt/2)+7*(sn_b-2*(sn_c+sn_phiw+sn_pt/2))/(sn_nt-1)))+(sn_pt/2)*1.000000,NA()),NA())</f>
        <v/>
      </c>
      <c r="AF15">
        <f>IF(7&lt;sn_nt,(sn_h-dt_sn)+(sn_pt/2)*-0.000000,NA())</f>
        <v/>
      </c>
      <c r="AH15">
        <f>IF(inputs_ok,IF(8&lt;sn_nt,(IF(sn_nt=1,sn_b/2,(sn_c+sn_phiw+sn_pt/2)+8*(sn_b-2*(sn_c+sn_phiw+sn_pt/2))/(sn_nt-1)))+(sn_pt/2)*1.000000,NA()),NA())</f>
        <v/>
      </c>
      <c r="AI15">
        <f>IF(8&lt;sn_nt,(sn_h-dt_sn)+(sn_pt/2)*-0.000000,NA())</f>
        <v/>
      </c>
      <c r="AK15">
        <f>IF(inputs_ok,IF(9&lt;sn_nt,(IF(sn_nt=1,sn_b/2,(sn_c+sn_phiw+sn_pt/2)+9*(sn_b-2*(sn_c+sn_phiw+sn_pt/2))/(sn_nt-1)))+(sn_pt/2)*1.000000,NA()),NA())</f>
        <v/>
      </c>
      <c r="AL15">
        <f>IF(9&lt;sn_nt,(sn_h-dt_sn)+(sn_pt/2)*-0.000000,NA())</f>
        <v/>
      </c>
      <c r="AN15">
        <f>IF(inputs_ok,IF(10&lt;sn_nt,(IF(sn_nt=1,sn_b/2,(sn_c+sn_phiw+sn_pt/2)+10*(sn_b-2*(sn_c+sn_phiw+sn_pt/2))/(sn_nt-1)))+(sn_pt/2)*1.000000,NA()),NA())</f>
        <v/>
      </c>
      <c r="AO15">
        <f>IF(10&lt;sn_nt,(sn_h-dt_sn)+(sn_pt/2)*-0.000000,NA())</f>
        <v/>
      </c>
      <c r="AQ15">
        <f>IF(inputs_ok,IF(11&lt;sn_nt,(IF(sn_nt=1,sn_b/2,(sn_c+sn_phiw+sn_pt/2)+11*(sn_b-2*(sn_c+sn_phiw+sn_pt/2))/(sn_nt-1)))+(sn_pt/2)*1.000000,NA()),NA())</f>
        <v/>
      </c>
      <c r="AR15">
        <f>IF(11&lt;sn_nt,(sn_h-dt_sn)+(sn_pt/2)*-0.000000,NA())</f>
        <v/>
      </c>
      <c r="AT15">
        <f>IF(inputs_ok,IF(0&lt;sn_nb,(IF(sn_nb=1,sn_b/2,(sn_c+sn_phiw+sn_pb/2)+0*(sn_b-2*(sn_c+sn_phiw+sn_pb/2))/(sn_nb-1)))+(sn_pb/2)*1.000000,NA()),NA())</f>
        <v/>
      </c>
      <c r="AU15">
        <f>IF(0&lt;sn_nb,(db_sn)+(sn_pb/2)*-0.000000,NA())</f>
        <v/>
      </c>
      <c r="AW15">
        <f>IF(inputs_ok,IF(1&lt;sn_nb,(IF(sn_nb=1,sn_b/2,(sn_c+sn_phiw+sn_pb/2)+1*(sn_b-2*(sn_c+sn_phiw+sn_pb/2))/(sn_nb-1)))+(sn_pb/2)*1.000000,NA()),NA())</f>
        <v/>
      </c>
      <c r="AX15">
        <f>IF(1&lt;sn_nb,(db_sn)+(sn_pb/2)*-0.000000,NA())</f>
        <v/>
      </c>
      <c r="AZ15">
        <f>IF(inputs_ok,IF(2&lt;sn_nb,(IF(sn_nb=1,sn_b/2,(sn_c+sn_phiw+sn_pb/2)+2*(sn_b-2*(sn_c+sn_phiw+sn_pb/2))/(sn_nb-1)))+(sn_pb/2)*1.000000,NA()),NA())</f>
        <v/>
      </c>
      <c r="BA15">
        <f>IF(2&lt;sn_nb,(db_sn)+(sn_pb/2)*-0.000000,NA())</f>
        <v/>
      </c>
      <c r="BC15">
        <f>IF(inputs_ok,IF(3&lt;sn_nb,(IF(sn_nb=1,sn_b/2,(sn_c+sn_phiw+sn_pb/2)+3*(sn_b-2*(sn_c+sn_phiw+sn_pb/2))/(sn_nb-1)))+(sn_pb/2)*1.000000,NA()),NA())</f>
        <v/>
      </c>
      <c r="BD15">
        <f>IF(3&lt;sn_nb,(db_sn)+(sn_pb/2)*-0.000000,NA())</f>
        <v/>
      </c>
      <c r="BF15">
        <f>IF(inputs_ok,IF(4&lt;sn_nb,(IF(sn_nb=1,sn_b/2,(sn_c+sn_phiw+sn_pb/2)+4*(sn_b-2*(sn_c+sn_phiw+sn_pb/2))/(sn_nb-1)))+(sn_pb/2)*1.000000,NA()),NA())</f>
        <v/>
      </c>
      <c r="BG15">
        <f>IF(4&lt;sn_nb,(db_sn)+(sn_pb/2)*-0.000000,NA())</f>
        <v/>
      </c>
      <c r="BI15">
        <f>IF(inputs_ok,IF(5&lt;sn_nb,(IF(sn_nb=1,sn_b/2,(sn_c+sn_phiw+sn_pb/2)+5*(sn_b-2*(sn_c+sn_phiw+sn_pb/2))/(sn_nb-1)))+(sn_pb/2)*1.000000,NA()),NA())</f>
        <v/>
      </c>
      <c r="BJ15">
        <f>IF(5&lt;sn_nb,(db_sn)+(sn_pb/2)*-0.000000,NA())</f>
        <v/>
      </c>
      <c r="BL15">
        <f>IF(inputs_ok,IF(6&lt;sn_nb,(IF(sn_nb=1,sn_b/2,(sn_c+sn_phiw+sn_pb/2)+6*(sn_b-2*(sn_c+sn_phiw+sn_pb/2))/(sn_nb-1)))+(sn_pb/2)*1.000000,NA()),NA())</f>
        <v/>
      </c>
      <c r="BM15">
        <f>IF(6&lt;sn_nb,(db_sn)+(sn_pb/2)*-0.000000,NA())</f>
        <v/>
      </c>
      <c r="BO15">
        <f>IF(inputs_ok,IF(7&lt;sn_nb,(IF(sn_nb=1,sn_b/2,(sn_c+sn_phiw+sn_pb/2)+7*(sn_b-2*(sn_c+sn_phiw+sn_pb/2))/(sn_nb-1)))+(sn_pb/2)*1.000000,NA()),NA())</f>
        <v/>
      </c>
      <c r="BP15">
        <f>IF(7&lt;sn_nb,(db_sn)+(sn_pb/2)*-0.000000,NA())</f>
        <v/>
      </c>
      <c r="BR15">
        <f>IF(inputs_ok,IF(8&lt;sn_nb,(IF(sn_nb=1,sn_b/2,(sn_c+sn_phiw+sn_pb/2)+8*(sn_b-2*(sn_c+sn_phiw+sn_pb/2))/(sn_nb-1)))+(sn_pb/2)*1.000000,NA()),NA())</f>
        <v/>
      </c>
      <c r="BS15">
        <f>IF(8&lt;sn_nb,(db_sn)+(sn_pb/2)*-0.000000,NA())</f>
        <v/>
      </c>
      <c r="BU15">
        <f>IF(inputs_ok,IF(9&lt;sn_nb,(IF(sn_nb=1,sn_b/2,(sn_c+sn_phiw+sn_pb/2)+9*(sn_b-2*(sn_c+sn_phiw+sn_pb/2))/(sn_nb-1)))+(sn_pb/2)*1.000000,NA()),NA())</f>
        <v/>
      </c>
      <c r="BV15">
        <f>IF(9&lt;sn_nb,(db_sn)+(sn_pb/2)*-0.000000,NA())</f>
        <v/>
      </c>
      <c r="BX15">
        <f>IF(inputs_ok,IF(10&lt;sn_nb,(IF(sn_nb=1,sn_b/2,(sn_c+sn_phiw+sn_pb/2)+10*(sn_b-2*(sn_c+sn_phiw+sn_pb/2))/(sn_nb-1)))+(sn_pb/2)*1.000000,NA()),NA())</f>
        <v/>
      </c>
      <c r="BY15">
        <f>IF(10&lt;sn_nb,(db_sn)+(sn_pb/2)*-0.000000,NA())</f>
        <v/>
      </c>
      <c r="CA15">
        <f>IF(inputs_ok,IF(11&lt;sn_nb,(IF(sn_nb=1,sn_b/2,(sn_c+sn_phiw+sn_pb/2)+11*(sn_b-2*(sn_c+sn_phiw+sn_pb/2))/(sn_nb-1)))+(sn_pb/2)*1.000000,NA()),NA())</f>
        <v/>
      </c>
      <c r="CB15">
        <f>IF(11&lt;sn_nb,(db_sn)+(sn_pb/2)*-0.000000,NA())</f>
        <v/>
      </c>
      <c r="DQ15">
        <f>IF(inputs_ok,INDEX(nmS_M,13)*1.5/Mpk_sn,NA())</f>
        <v/>
      </c>
      <c r="DR15">
        <f>INDEX(nmS_N,13)/NRdmax_sn</f>
        <v/>
      </c>
      <c r="DT15">
        <f>IF(inputs_ok,-INDEX(nmH_M,13)*1.5/Mpk_sn,NA())</f>
        <v/>
      </c>
      <c r="DU15">
        <f>INDEX(nmH_N,13)/NRdmax_sn</f>
        <v/>
      </c>
    </row>
    <row r="16">
      <c r="DQ16">
        <f>IF(inputs_ok,INDEX(nmS_M,14)*1.5/Mpk_sn,NA())</f>
        <v/>
      </c>
      <c r="DR16">
        <f>INDEX(nmS_N,14)/NRdmax_sn</f>
        <v/>
      </c>
      <c r="DT16">
        <f>IF(inputs_ok,-INDEX(nmH_M,14)*1.5/Mpk_sn,NA())</f>
        <v/>
      </c>
      <c r="DU16">
        <f>INDEX(nmH_N,14)/NRdmax_sn</f>
        <v/>
      </c>
    </row>
    <row r="17">
      <c r="DQ17">
        <f>IF(inputs_ok,INDEX(nmS_M,15)*1.5/Mpk_sn,NA())</f>
        <v/>
      </c>
      <c r="DR17">
        <f>INDEX(nmS_N,15)/NRdmax_sn</f>
        <v/>
      </c>
      <c r="DT17">
        <f>IF(inputs_ok,-INDEX(nmH_M,15)*1.5/Mpk_sn,NA())</f>
        <v/>
      </c>
      <c r="DU17">
        <f>INDEX(nmH_N,15)/NRdmax_sn</f>
        <v/>
      </c>
    </row>
    <row r="18">
      <c r="DQ18">
        <f>IF(inputs_ok,INDEX(nmS_M,16)*1.5/Mpk_sn,NA())</f>
        <v/>
      </c>
      <c r="DR18">
        <f>INDEX(nmS_N,16)/NRdmax_sn</f>
        <v/>
      </c>
      <c r="DT18">
        <f>IF(inputs_ok,-INDEX(nmH_M,16)*1.5/Mpk_sn,NA())</f>
        <v/>
      </c>
      <c r="DU18">
        <f>INDEX(nmH_N,16)/NRdmax_sn</f>
        <v/>
      </c>
    </row>
    <row r="19">
      <c r="DQ19">
        <f>IF(inputs_ok,INDEX(nmS_M,17)*1.5/Mpk_sn,NA())</f>
        <v/>
      </c>
      <c r="DR19">
        <f>INDEX(nmS_N,17)/NRdmax_sn</f>
        <v/>
      </c>
      <c r="DT19">
        <f>IF(inputs_ok,-INDEX(nmH_M,17)*1.5/Mpk_sn,NA())</f>
        <v/>
      </c>
      <c r="DU19">
        <f>INDEX(nmH_N,17)/NRdmax_sn</f>
        <v/>
      </c>
    </row>
    <row r="20">
      <c r="DQ20">
        <f>IF(inputs_ok,INDEX(nmS_M,18)*1.5/Mpk_sn,NA())</f>
        <v/>
      </c>
      <c r="DR20">
        <f>INDEX(nmS_N,18)/NRdmax_sn</f>
        <v/>
      </c>
      <c r="DT20">
        <f>IF(inputs_ok,-INDEX(nmH_M,18)*1.5/Mpk_sn,NA())</f>
        <v/>
      </c>
      <c r="DU20">
        <f>INDEX(nmH_N,18)/NRdmax_sn</f>
        <v/>
      </c>
    </row>
    <row r="21">
      <c r="DQ21">
        <f>IF(inputs_ok,INDEX(nmS_M,19)*1.5/Mpk_sn,NA())</f>
        <v/>
      </c>
      <c r="DR21">
        <f>INDEX(nmS_N,19)/NRdmax_sn</f>
        <v/>
      </c>
      <c r="DT21">
        <f>IF(inputs_ok,-INDEX(nmH_M,19)*1.5/Mpk_sn,NA())</f>
        <v/>
      </c>
      <c r="DU21">
        <f>INDEX(nmH_N,19)/NRdmax_sn</f>
        <v/>
      </c>
    </row>
    <row r="22">
      <c r="DQ22">
        <f>IF(inputs_ok,INDEX(nmS_M,20)*1.5/Mpk_sn,NA())</f>
        <v/>
      </c>
      <c r="DR22">
        <f>INDEX(nmS_N,20)/NRdmax_sn</f>
        <v/>
      </c>
      <c r="DT22">
        <f>IF(inputs_ok,-INDEX(nmH_M,20)*1.5/Mpk_sn,NA())</f>
        <v/>
      </c>
      <c r="DU22">
        <f>INDEX(nmH_N,20)/NRdmax_sn</f>
        <v/>
      </c>
    </row>
    <row r="23">
      <c r="DQ23">
        <f>IF(inputs_ok,INDEX(nmS_M,21)*1.5/Mpk_sn,NA())</f>
        <v/>
      </c>
      <c r="DR23">
        <f>INDEX(nmS_N,21)/NRdmax_sn</f>
        <v/>
      </c>
      <c r="DT23">
        <f>IF(inputs_ok,-INDEX(nmH_M,21)*1.5/Mpk_sn,NA())</f>
        <v/>
      </c>
      <c r="DU23">
        <f>INDEX(nmH_N,21)/NRdmax_sn</f>
        <v/>
      </c>
    </row>
    <row r="24">
      <c r="DQ24">
        <f>IF(inputs_ok,INDEX(nmS_M,22)*1.5/Mpk_sn,NA())</f>
        <v/>
      </c>
      <c r="DR24">
        <f>INDEX(nmS_N,22)/NRdmax_sn</f>
        <v/>
      </c>
      <c r="DT24">
        <f>IF(inputs_ok,-INDEX(nmH_M,22)*1.5/Mpk_sn,NA())</f>
        <v/>
      </c>
      <c r="DU24">
        <f>INDEX(nmH_N,22)/NRdmax_sn</f>
        <v/>
      </c>
    </row>
    <row r="25">
      <c r="DQ25">
        <f>IF(inputs_ok,INDEX(nmS_M,23)*1.5/Mpk_sn,NA())</f>
        <v/>
      </c>
      <c r="DR25">
        <f>INDEX(nmS_N,23)/NRdmax_sn</f>
        <v/>
      </c>
      <c r="DT25">
        <f>IF(inputs_ok,-INDEX(nmH_M,23)*1.5/Mpk_sn,NA())</f>
        <v/>
      </c>
      <c r="DU25">
        <f>INDEX(nmH_N,23)/NRdmax_sn</f>
        <v/>
      </c>
    </row>
    <row r="26">
      <c r="DQ26">
        <f>IF(inputs_ok,INDEX(nmS_M,24)*1.5/Mpk_sn,NA())</f>
        <v/>
      </c>
      <c r="DR26">
        <f>INDEX(nmS_N,24)/NRdmax_sn</f>
        <v/>
      </c>
      <c r="DT26">
        <f>IF(inputs_ok,-INDEX(nmH_M,24)*1.5/Mpk_sn,NA())</f>
        <v/>
      </c>
      <c r="DU26">
        <f>INDEX(nmH_N,24)/NRdmax_sn</f>
        <v/>
      </c>
    </row>
    <row r="27">
      <c r="DQ27">
        <f>IF(inputs_ok,INDEX(nmS_M,25)*1.5/Mpk_sn,NA())</f>
        <v/>
      </c>
      <c r="DR27">
        <f>INDEX(nmS_N,25)/NRdmax_sn</f>
        <v/>
      </c>
      <c r="DT27">
        <f>IF(inputs_ok,-INDEX(nmH_M,25)*1.5/Mpk_sn,NA())</f>
        <v/>
      </c>
      <c r="DU27">
        <f>INDEX(nmH_N,25)/NRdmax_sn</f>
        <v/>
      </c>
    </row>
    <row r="28">
      <c r="DQ28">
        <f>IF(inputs_ok,INDEX(nmS_M,26)*1.5/Mpk_sn,NA())</f>
        <v/>
      </c>
      <c r="DR28">
        <f>INDEX(nmS_N,26)/NRdmax_sn</f>
        <v/>
      </c>
      <c r="DT28">
        <f>IF(inputs_ok,-INDEX(nmH_M,26)*1.5/Mpk_sn,NA())</f>
        <v/>
      </c>
      <c r="DU28">
        <f>INDEX(nmH_N,26)/NRdmax_sn</f>
        <v/>
      </c>
    </row>
    <row r="29">
      <c r="DQ29">
        <f>IF(inputs_ok,INDEX(nmS_M,27)*1.5/Mpk_sn,NA())</f>
        <v/>
      </c>
      <c r="DR29">
        <f>INDEX(nmS_N,27)/NRdmax_sn</f>
        <v/>
      </c>
      <c r="DT29">
        <f>IF(inputs_ok,-INDEX(nmH_M,27)*1.5/Mpk_sn,NA())</f>
        <v/>
      </c>
      <c r="DU29">
        <f>INDEX(nmH_N,27)/NRdmax_sn</f>
        <v/>
      </c>
    </row>
    <row r="30">
      <c r="DQ30">
        <f>IF(inputs_ok,INDEX(nmS_M,28)*1.5/Mpk_sn,NA())</f>
        <v/>
      </c>
      <c r="DR30">
        <f>INDEX(nmS_N,28)/NRdmax_sn</f>
        <v/>
      </c>
      <c r="DT30">
        <f>IF(inputs_ok,-INDEX(nmH_M,28)*1.5/Mpk_sn,NA())</f>
        <v/>
      </c>
      <c r="DU30">
        <f>INDEX(nmH_N,28)/NRdmax_sn</f>
        <v/>
      </c>
    </row>
    <row r="31">
      <c r="DQ31">
        <f>IF(inputs_ok,INDEX(nmS_M,29)*1.5/Mpk_sn,NA())</f>
        <v/>
      </c>
      <c r="DR31">
        <f>INDEX(nmS_N,29)/NRdmax_sn</f>
        <v/>
      </c>
      <c r="DT31">
        <f>IF(inputs_ok,-INDEX(nmH_M,29)*1.5/Mpk_sn,NA())</f>
        <v/>
      </c>
      <c r="DU31">
        <f>INDEX(nmH_N,29)/NRdmax_sn</f>
        <v/>
      </c>
    </row>
    <row r="32">
      <c r="DQ32">
        <f>IF(inputs_ok,INDEX(nmS_M,30)*1.5/Mpk_sn,NA())</f>
        <v/>
      </c>
      <c r="DR32">
        <f>INDEX(nmS_N,30)/NRdmax_sn</f>
        <v/>
      </c>
      <c r="DT32">
        <f>IF(inputs_ok,-INDEX(nmH_M,30)*1.5/Mpk_sn,NA())</f>
        <v/>
      </c>
      <c r="DU32">
        <f>INDEX(nmH_N,30)/NRdmax_sn</f>
        <v/>
      </c>
    </row>
    <row r="33">
      <c r="DQ33">
        <f>IF(inputs_ok,INDEX(nmS_M,31)*1.5/Mpk_sn,NA())</f>
        <v/>
      </c>
      <c r="DR33">
        <f>INDEX(nmS_N,31)/NRdmax_sn</f>
        <v/>
      </c>
      <c r="DT33">
        <f>IF(inputs_ok,-INDEX(nmH_M,31)*1.5/Mpk_sn,NA())</f>
        <v/>
      </c>
      <c r="DU33">
        <f>INDEX(nmH_N,31)/NRdmax_sn</f>
        <v/>
      </c>
    </row>
    <row r="34">
      <c r="DQ34">
        <f>IF(inputs_ok,INDEX(nmS_M,32)*1.5/Mpk_sn,NA())</f>
        <v/>
      </c>
      <c r="DR34">
        <f>INDEX(nmS_N,32)/NRdmax_sn</f>
        <v/>
      </c>
      <c r="DT34">
        <f>IF(inputs_ok,-INDEX(nmH_M,32)*1.5/Mpk_sn,NA())</f>
        <v/>
      </c>
      <c r="DU34">
        <f>INDEX(nmH_N,32)/NRdmax_sn</f>
        <v/>
      </c>
    </row>
    <row r="35">
      <c r="DQ35">
        <f>IF(inputs_ok,INDEX(nmS_M,33)*1.5/Mpk_sn,NA())</f>
        <v/>
      </c>
      <c r="DR35">
        <f>INDEX(nmS_N,33)/NRdmax_sn</f>
        <v/>
      </c>
      <c r="DT35">
        <f>IF(inputs_ok,-INDEX(nmH_M,33)*1.5/Mpk_sn,NA())</f>
        <v/>
      </c>
      <c r="DU35">
        <f>INDEX(nmH_N,33)/NRdmax_sn</f>
        <v/>
      </c>
    </row>
    <row r="36">
      <c r="DQ36">
        <f>IF(inputs_ok,INDEX(nmS_M,34)*1.5/Mpk_sn,NA())</f>
        <v/>
      </c>
      <c r="DR36">
        <f>INDEX(nmS_N,34)/NRdmax_sn</f>
        <v/>
      </c>
      <c r="DT36">
        <f>IF(inputs_ok,-INDEX(nmH_M,34)*1.5/Mpk_sn,NA())</f>
        <v/>
      </c>
      <c r="DU36">
        <f>INDEX(nmH_N,34)/NRdmax_sn</f>
        <v/>
      </c>
    </row>
    <row r="37">
      <c r="DQ37">
        <f>IF(inputs_ok,INDEX(nmS_M,35)*1.5/Mpk_sn,NA())</f>
        <v/>
      </c>
      <c r="DR37">
        <f>INDEX(nmS_N,35)/NRdmax_sn</f>
        <v/>
      </c>
      <c r="DT37">
        <f>IF(inputs_ok,-INDEX(nmH_M,35)*1.5/Mpk_sn,NA())</f>
        <v/>
      </c>
      <c r="DU37">
        <f>INDEX(nmH_N,35)/NRdmax_sn</f>
        <v/>
      </c>
    </row>
    <row r="38">
      <c r="DQ38">
        <f>IF(inputs_ok,INDEX(nmS_M,36)*1.5/Mpk_sn,NA())</f>
        <v/>
      </c>
      <c r="DR38">
        <f>INDEX(nmS_N,36)/NRdmax_sn</f>
        <v/>
      </c>
      <c r="DT38">
        <f>IF(inputs_ok,-INDEX(nmH_M,36)*1.5/Mpk_sn,NA())</f>
        <v/>
      </c>
      <c r="DU38">
        <f>INDEX(nmH_N,36)/NRdmax_sn</f>
        <v/>
      </c>
    </row>
    <row r="39">
      <c r="DQ39">
        <f>IF(inputs_ok,INDEX(nmS_M,37)*1.5/Mpk_sn,NA())</f>
        <v/>
      </c>
      <c r="DR39">
        <f>INDEX(nmS_N,37)/NRdmax_sn</f>
        <v/>
      </c>
      <c r="DT39">
        <f>IF(inputs_ok,-INDEX(nmH_M,37)*1.5/Mpk_sn,NA())</f>
        <v/>
      </c>
      <c r="DU39">
        <f>INDEX(nmH_N,37)/NRdmax_sn</f>
        <v/>
      </c>
    </row>
    <row r="40">
      <c r="DQ40">
        <f>IF(inputs_ok,INDEX(nmS_M,38)*1.5/Mpk_sn,NA())</f>
        <v/>
      </c>
      <c r="DR40">
        <f>INDEX(nmS_N,38)/NRdmax_sn</f>
        <v/>
      </c>
      <c r="DT40">
        <f>IF(inputs_ok,-INDEX(nmH_M,38)*1.5/Mpk_sn,NA())</f>
        <v/>
      </c>
      <c r="DU40">
        <f>INDEX(nmH_N,38)/NRdmax_sn</f>
        <v/>
      </c>
    </row>
    <row r="41">
      <c r="DQ41">
        <f>IF(inputs_ok,INDEX(nmS_M,39)*1.5/Mpk_sn,NA())</f>
        <v/>
      </c>
      <c r="DR41">
        <f>INDEX(nmS_N,39)/NRdmax_sn</f>
        <v/>
      </c>
      <c r="DT41">
        <f>IF(inputs_ok,-INDEX(nmH_M,39)*1.5/Mpk_sn,NA())</f>
        <v/>
      </c>
      <c r="DU41">
        <f>INDEX(nmH_N,39)/NRdmax_sn</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B2:M1298"/>
  <sheetViews>
    <sheetView showGridLines="0" tabSelected="0" workbookViewId="0">
      <selection activeCell="A1" sqref="A1"/>
    </sheetView>
  </sheetViews>
  <sheetFormatPr baseColWidth="8" defaultRowHeight="15"/>
  <cols>
    <col width="2" customWidth="1" min="1" max="1"/>
    <col width="8" customWidth="1" min="2" max="2"/>
    <col width="12" customWidth="1" min="3" max="3"/>
    <col width="12" customWidth="1" min="4" max="4"/>
    <col width="12" customWidth="1" min="5" max="5"/>
    <col width="12" customWidth="1" min="6" max="6"/>
    <col width="12" customWidth="1" min="7" max="7"/>
    <col width="12" customWidth="1" min="8" max="8"/>
    <col hidden="1" width="13" customWidth="1" min="9" max="9"/>
    <col hidden="1" width="13" customWidth="1" min="10" max="10"/>
    <col hidden="1" width="13" customWidth="1" min="11" max="11"/>
    <col hidden="1" width="13" customWidth="1" min="12" max="12"/>
    <col hidden="1" width="13" customWidth="1" min="13" max="13"/>
  </cols>
  <sheetData>
    <row r="2">
      <c r="B2" s="46" t="inlineStr">
        <is>
          <t>N-M interaction  ·  strain compatibility, EN 1992-1-1 §6.1</t>
        </is>
      </c>
    </row>
    <row r="3" ht="78" customHeight="1">
      <c r="B3" s="47" t="inlineStr">
        <is>
          <t>Parabola-rectangle of 3.1.7(1), (3.17): εc2 = 0.002, εcu2 = 0.0035, n = 2, fcd = αcc fck / γc, no tension. Strain limits of 6.1(5), Fig. 6.1: 0.0035 at the compressed face while x ≤ h; once the whole section is compressed, 0.002 at 3h/7 from that face, down to the uniform 0.002. Bars elastic-plastic, Es = 200 GPa, horizontal branch (3.2.7(2)b); the concrete displaced by the bars is deducted at the concrete stress at each bar centre. S: top face compressed (sagging); H: bottom face compressed (hogging), M positive in its own sense unless marked signed (sagging +). M about the centre of the gross section, compression positive. zc = min(x, h); t = (4 zc / 7) / (x − 3 zc / 7).</t>
        </is>
      </c>
    </row>
    <row r="5">
      <c r="J5">
        <f>At_sn</f>
        <v/>
      </c>
      <c r="K5">
        <f>Ab_sn</f>
        <v/>
      </c>
    </row>
    <row r="6">
      <c r="J6">
        <f>dt_sn</f>
        <v/>
      </c>
      <c r="K6">
        <f>sn_h-db_sn</f>
        <v/>
      </c>
    </row>
    <row r="7">
      <c r="J7">
        <f>sn_h/2-J6</f>
        <v/>
      </c>
      <c r="K7">
        <f>sn_h/2-K6</f>
        <v/>
      </c>
    </row>
    <row r="8">
      <c r="J8">
        <f>Ab_sn</f>
        <v/>
      </c>
      <c r="K8">
        <f>At_sn</f>
        <v/>
      </c>
    </row>
    <row r="9">
      <c r="J9">
        <f>db_sn</f>
        <v/>
      </c>
      <c r="K9">
        <f>sn_h-dt_sn</f>
        <v/>
      </c>
    </row>
    <row r="10">
      <c r="J10">
        <f>sn_h/2-J9</f>
        <v/>
      </c>
      <c r="K10">
        <f>sn_h/2-K9</f>
        <v/>
      </c>
    </row>
    <row r="12">
      <c r="B12" s="48" t="inlineStr"/>
      <c r="C12" s="48" t="inlineStr">
        <is>
          <t>x (mm)</t>
        </is>
      </c>
      <c r="D12" s="48" t="inlineStr">
        <is>
          <t>zc (mm)</t>
        </is>
      </c>
      <c r="E12" s="48" t="inlineStr">
        <is>
          <t>N S (kN)</t>
        </is>
      </c>
      <c r="F12" s="48" t="inlineStr">
        <is>
          <t>M S (kNm)</t>
        </is>
      </c>
      <c r="G12" s="48" t="inlineStr">
        <is>
          <t>N H (kN)</t>
        </is>
      </c>
      <c r="H12" s="48" t="inlineStr">
        <is>
          <t>M H (kNm)</t>
        </is>
      </c>
    </row>
    <row r="13">
      <c r="B13" s="49" t="n">
        <v>1</v>
      </c>
      <c r="C13" s="50" t="inlineStr">
        <is>
          <t>tension</t>
        </is>
      </c>
      <c r="D13" s="49" t="n">
        <v>0</v>
      </c>
      <c r="E13" s="51">
        <f>-As_sn*fyd_sn/1000</f>
        <v/>
      </c>
      <c r="F13" s="51">
        <f>-fyd_sn*SUMPRODUCT($J$5:$K$5,$J$7:$K$7)/1E6</f>
        <v/>
      </c>
      <c r="G13" s="51">
        <f>-As_sn*fyd_sn/1000</f>
        <v/>
      </c>
      <c r="H13" s="51">
        <f>-fyd_sn*SUMPRODUCT($J$8:$K$8,$J$10:$K$10)/1E6</f>
        <v/>
      </c>
    </row>
    <row r="14">
      <c r="B14" s="49" t="n">
        <v>2</v>
      </c>
      <c r="C14" s="52">
        <f>0.01*sn_h</f>
        <v/>
      </c>
      <c r="D14" s="49">
        <f>MIN($C14,sn_h)</f>
        <v/>
      </c>
      <c r="E14" s="51">
        <f>(fcd_sn*sn_b*$D14*(3/7+4/7*(1-$I14^2/3))+SUMPRODUCT($J$5:$K$5,$J14:$K14))/1000</f>
        <v/>
      </c>
      <c r="F14" s="51">
        <f>(fcd_sn*sn_b*(3/14*$D14*(sn_h-3/7*$D14)+4/7*$D14*(sn_h/2-3/7*$D14)*(1-$I14^2/3)-16/49*$D14^2*(1/2-$I14^2/4))+SUMPRODUCT($J$5:$K$5,$J14:$K14,$J$7:$K$7))/1E6</f>
        <v/>
      </c>
      <c r="G14" s="51">
        <f>(fcd_sn*sn_b*$D14*(3/7+4/7*(1-$I14^2/3))+SUMPRODUCT($J$8:$K$8,$L14:$M14))/1000</f>
        <v/>
      </c>
      <c r="H14" s="51">
        <f>(fcd_sn*sn_b*(3/14*$D14*(sn_h-3/7*$D14)+4/7*$D14*(sn_h/2-3/7*$D14)*(1-$I14^2/3)-16/49*$D14^2*(1/2-$I14^2/4))+SUMPRODUCT($J$8:$K$8,$L14:$M14,$J$10:$K$10))/1E6</f>
        <v/>
      </c>
      <c r="I14">
        <f>IF($C14&lt;=sn_h,1,4/7*sn_h/($C14-3/7*sn_h))</f>
        <v/>
      </c>
      <c r="J14">
        <f>MAX(-fyd_sn,MIN(fyd_sn,200000*0.002*(1-$I14*(7*J$6-3*$D14)/(4*$D14))))-fcd_sn*(1-MIN(1,MAX(0,$I14*(7*J$6-3*$D14)/(4*$D14)))^2)</f>
        <v/>
      </c>
      <c r="K14">
        <f>MAX(-fyd_sn,MIN(fyd_sn,200000*0.002*(1-$I14*(7*K$6-3*$D14)/(4*$D14))))-fcd_sn*(1-MIN(1,MAX(0,$I14*(7*K$6-3*$D14)/(4*$D14)))^2)</f>
        <v/>
      </c>
      <c r="L14">
        <f>MAX(-fyd_sn,MIN(fyd_sn,200000*0.002*(1-$I14*(7*J$9-3*$D14)/(4*$D14))))-fcd_sn*(1-MIN(1,MAX(0,$I14*(7*J$9-3*$D14)/(4*$D14)))^2)</f>
        <v/>
      </c>
      <c r="M14">
        <f>MAX(-fyd_sn,MIN(fyd_sn,200000*0.002*(1-$I14*(7*K$9-3*$D14)/(4*$D14))))-fcd_sn*(1-MIN(1,MAX(0,$I14*(7*K$9-3*$D14)/(4*$D14)))^2)</f>
        <v/>
      </c>
    </row>
    <row r="15">
      <c r="B15" s="49" t="n">
        <v>3</v>
      </c>
      <c r="C15" s="52">
        <f>0.03*sn_h</f>
        <v/>
      </c>
      <c r="D15" s="49">
        <f>MIN($C15,sn_h)</f>
        <v/>
      </c>
      <c r="E15" s="51">
        <f>(fcd_sn*sn_b*$D15*(3/7+4/7*(1-$I15^2/3))+SUMPRODUCT($J$5:$K$5,$J15:$K15))/1000</f>
        <v/>
      </c>
      <c r="F15" s="51">
        <f>(fcd_sn*sn_b*(3/14*$D15*(sn_h-3/7*$D15)+4/7*$D15*(sn_h/2-3/7*$D15)*(1-$I15^2/3)-16/49*$D15^2*(1/2-$I15^2/4))+SUMPRODUCT($J$5:$K$5,$J15:$K15,$J$7:$K$7))/1E6</f>
        <v/>
      </c>
      <c r="G15" s="51">
        <f>(fcd_sn*sn_b*$D15*(3/7+4/7*(1-$I15^2/3))+SUMPRODUCT($J$8:$K$8,$L15:$M15))/1000</f>
        <v/>
      </c>
      <c r="H15" s="51">
        <f>(fcd_sn*sn_b*(3/14*$D15*(sn_h-3/7*$D15)+4/7*$D15*(sn_h/2-3/7*$D15)*(1-$I15^2/3)-16/49*$D15^2*(1/2-$I15^2/4))+SUMPRODUCT($J$8:$K$8,$L15:$M15,$J$10:$K$10))/1E6</f>
        <v/>
      </c>
      <c r="I15">
        <f>IF($C15&lt;=sn_h,1,4/7*sn_h/($C15-3/7*sn_h))</f>
        <v/>
      </c>
      <c r="J15">
        <f>MAX(-fyd_sn,MIN(fyd_sn,200000*0.002*(1-$I15*(7*J$6-3*$D15)/(4*$D15))))-fcd_sn*(1-MIN(1,MAX(0,$I15*(7*J$6-3*$D15)/(4*$D15)))^2)</f>
        <v/>
      </c>
      <c r="K15">
        <f>MAX(-fyd_sn,MIN(fyd_sn,200000*0.002*(1-$I15*(7*K$6-3*$D15)/(4*$D15))))-fcd_sn*(1-MIN(1,MAX(0,$I15*(7*K$6-3*$D15)/(4*$D15)))^2)</f>
        <v/>
      </c>
      <c r="L15">
        <f>MAX(-fyd_sn,MIN(fyd_sn,200000*0.002*(1-$I15*(7*J$9-3*$D15)/(4*$D15))))-fcd_sn*(1-MIN(1,MAX(0,$I15*(7*J$9-3*$D15)/(4*$D15)))^2)</f>
        <v/>
      </c>
      <c r="M15">
        <f>MAX(-fyd_sn,MIN(fyd_sn,200000*0.002*(1-$I15*(7*K$9-3*$D15)/(4*$D15))))-fcd_sn*(1-MIN(1,MAX(0,$I15*(7*K$9-3*$D15)/(4*$D15)))^2)</f>
        <v/>
      </c>
    </row>
    <row r="16">
      <c r="B16" s="49" t="n">
        <v>4</v>
      </c>
      <c r="C16" s="52">
        <f>0.05*sn_h</f>
        <v/>
      </c>
      <c r="D16" s="49">
        <f>MIN($C16,sn_h)</f>
        <v/>
      </c>
      <c r="E16" s="51">
        <f>(fcd_sn*sn_b*$D16*(3/7+4/7*(1-$I16^2/3))+SUMPRODUCT($J$5:$K$5,$J16:$K16))/1000</f>
        <v/>
      </c>
      <c r="F16" s="51">
        <f>(fcd_sn*sn_b*(3/14*$D16*(sn_h-3/7*$D16)+4/7*$D16*(sn_h/2-3/7*$D16)*(1-$I16^2/3)-16/49*$D16^2*(1/2-$I16^2/4))+SUMPRODUCT($J$5:$K$5,$J16:$K16,$J$7:$K$7))/1E6</f>
        <v/>
      </c>
      <c r="G16" s="51">
        <f>(fcd_sn*sn_b*$D16*(3/7+4/7*(1-$I16^2/3))+SUMPRODUCT($J$8:$K$8,$L16:$M16))/1000</f>
        <v/>
      </c>
      <c r="H16" s="51">
        <f>(fcd_sn*sn_b*(3/14*$D16*(sn_h-3/7*$D16)+4/7*$D16*(sn_h/2-3/7*$D16)*(1-$I16^2/3)-16/49*$D16^2*(1/2-$I16^2/4))+SUMPRODUCT($J$8:$K$8,$L16:$M16,$J$10:$K$10))/1E6</f>
        <v/>
      </c>
      <c r="I16">
        <f>IF($C16&lt;=sn_h,1,4/7*sn_h/($C16-3/7*sn_h))</f>
        <v/>
      </c>
      <c r="J16">
        <f>MAX(-fyd_sn,MIN(fyd_sn,200000*0.002*(1-$I16*(7*J$6-3*$D16)/(4*$D16))))-fcd_sn*(1-MIN(1,MAX(0,$I16*(7*J$6-3*$D16)/(4*$D16)))^2)</f>
        <v/>
      </c>
      <c r="K16">
        <f>MAX(-fyd_sn,MIN(fyd_sn,200000*0.002*(1-$I16*(7*K$6-3*$D16)/(4*$D16))))-fcd_sn*(1-MIN(1,MAX(0,$I16*(7*K$6-3*$D16)/(4*$D16)))^2)</f>
        <v/>
      </c>
      <c r="L16">
        <f>MAX(-fyd_sn,MIN(fyd_sn,200000*0.002*(1-$I16*(7*J$9-3*$D16)/(4*$D16))))-fcd_sn*(1-MIN(1,MAX(0,$I16*(7*J$9-3*$D16)/(4*$D16)))^2)</f>
        <v/>
      </c>
      <c r="M16">
        <f>MAX(-fyd_sn,MIN(fyd_sn,200000*0.002*(1-$I16*(7*K$9-3*$D16)/(4*$D16))))-fcd_sn*(1-MIN(1,MAX(0,$I16*(7*K$9-3*$D16)/(4*$D16)))^2)</f>
        <v/>
      </c>
    </row>
    <row r="17">
      <c r="B17" s="49" t="n">
        <v>5</v>
      </c>
      <c r="C17" s="52">
        <f>0.075*sn_h</f>
        <v/>
      </c>
      <c r="D17" s="49">
        <f>MIN($C17,sn_h)</f>
        <v/>
      </c>
      <c r="E17" s="51">
        <f>(fcd_sn*sn_b*$D17*(3/7+4/7*(1-$I17^2/3))+SUMPRODUCT($J$5:$K$5,$J17:$K17))/1000</f>
        <v/>
      </c>
      <c r="F17" s="51">
        <f>(fcd_sn*sn_b*(3/14*$D17*(sn_h-3/7*$D17)+4/7*$D17*(sn_h/2-3/7*$D17)*(1-$I17^2/3)-16/49*$D17^2*(1/2-$I17^2/4))+SUMPRODUCT($J$5:$K$5,$J17:$K17,$J$7:$K$7))/1E6</f>
        <v/>
      </c>
      <c r="G17" s="51">
        <f>(fcd_sn*sn_b*$D17*(3/7+4/7*(1-$I17^2/3))+SUMPRODUCT($J$8:$K$8,$L17:$M17))/1000</f>
        <v/>
      </c>
      <c r="H17" s="51">
        <f>(fcd_sn*sn_b*(3/14*$D17*(sn_h-3/7*$D17)+4/7*$D17*(sn_h/2-3/7*$D17)*(1-$I17^2/3)-16/49*$D17^2*(1/2-$I17^2/4))+SUMPRODUCT($J$8:$K$8,$L17:$M17,$J$10:$K$10))/1E6</f>
        <v/>
      </c>
      <c r="I17">
        <f>IF($C17&lt;=sn_h,1,4/7*sn_h/($C17-3/7*sn_h))</f>
        <v/>
      </c>
      <c r="J17">
        <f>MAX(-fyd_sn,MIN(fyd_sn,200000*0.002*(1-$I17*(7*J$6-3*$D17)/(4*$D17))))-fcd_sn*(1-MIN(1,MAX(0,$I17*(7*J$6-3*$D17)/(4*$D17)))^2)</f>
        <v/>
      </c>
      <c r="K17">
        <f>MAX(-fyd_sn,MIN(fyd_sn,200000*0.002*(1-$I17*(7*K$6-3*$D17)/(4*$D17))))-fcd_sn*(1-MIN(1,MAX(0,$I17*(7*K$6-3*$D17)/(4*$D17)))^2)</f>
        <v/>
      </c>
      <c r="L17">
        <f>MAX(-fyd_sn,MIN(fyd_sn,200000*0.002*(1-$I17*(7*J$9-3*$D17)/(4*$D17))))-fcd_sn*(1-MIN(1,MAX(0,$I17*(7*J$9-3*$D17)/(4*$D17)))^2)</f>
        <v/>
      </c>
      <c r="M17">
        <f>MAX(-fyd_sn,MIN(fyd_sn,200000*0.002*(1-$I17*(7*K$9-3*$D17)/(4*$D17))))-fcd_sn*(1-MIN(1,MAX(0,$I17*(7*K$9-3*$D17)/(4*$D17)))^2)</f>
        <v/>
      </c>
    </row>
    <row r="18">
      <c r="B18" s="49" t="n">
        <v>6</v>
      </c>
      <c r="C18" s="52">
        <f>0.1*sn_h</f>
        <v/>
      </c>
      <c r="D18" s="49">
        <f>MIN($C18,sn_h)</f>
        <v/>
      </c>
      <c r="E18" s="51">
        <f>(fcd_sn*sn_b*$D18*(3/7+4/7*(1-$I18^2/3))+SUMPRODUCT($J$5:$K$5,$J18:$K18))/1000</f>
        <v/>
      </c>
      <c r="F18" s="51">
        <f>(fcd_sn*sn_b*(3/14*$D18*(sn_h-3/7*$D18)+4/7*$D18*(sn_h/2-3/7*$D18)*(1-$I18^2/3)-16/49*$D18^2*(1/2-$I18^2/4))+SUMPRODUCT($J$5:$K$5,$J18:$K18,$J$7:$K$7))/1E6</f>
        <v/>
      </c>
      <c r="G18" s="51">
        <f>(fcd_sn*sn_b*$D18*(3/7+4/7*(1-$I18^2/3))+SUMPRODUCT($J$8:$K$8,$L18:$M18))/1000</f>
        <v/>
      </c>
      <c r="H18" s="51">
        <f>(fcd_sn*sn_b*(3/14*$D18*(sn_h-3/7*$D18)+4/7*$D18*(sn_h/2-3/7*$D18)*(1-$I18^2/3)-16/49*$D18^2*(1/2-$I18^2/4))+SUMPRODUCT($J$8:$K$8,$L18:$M18,$J$10:$K$10))/1E6</f>
        <v/>
      </c>
      <c r="I18">
        <f>IF($C18&lt;=sn_h,1,4/7*sn_h/($C18-3/7*sn_h))</f>
        <v/>
      </c>
      <c r="J18">
        <f>MAX(-fyd_sn,MIN(fyd_sn,200000*0.002*(1-$I18*(7*J$6-3*$D18)/(4*$D18))))-fcd_sn*(1-MIN(1,MAX(0,$I18*(7*J$6-3*$D18)/(4*$D18)))^2)</f>
        <v/>
      </c>
      <c r="K18">
        <f>MAX(-fyd_sn,MIN(fyd_sn,200000*0.002*(1-$I18*(7*K$6-3*$D18)/(4*$D18))))-fcd_sn*(1-MIN(1,MAX(0,$I18*(7*K$6-3*$D18)/(4*$D18)))^2)</f>
        <v/>
      </c>
      <c r="L18">
        <f>MAX(-fyd_sn,MIN(fyd_sn,200000*0.002*(1-$I18*(7*J$9-3*$D18)/(4*$D18))))-fcd_sn*(1-MIN(1,MAX(0,$I18*(7*J$9-3*$D18)/(4*$D18)))^2)</f>
        <v/>
      </c>
      <c r="M18">
        <f>MAX(-fyd_sn,MIN(fyd_sn,200000*0.002*(1-$I18*(7*K$9-3*$D18)/(4*$D18))))-fcd_sn*(1-MIN(1,MAX(0,$I18*(7*K$9-3*$D18)/(4*$D18)))^2)</f>
        <v/>
      </c>
    </row>
    <row r="19">
      <c r="B19" s="49" t="n">
        <v>7</v>
      </c>
      <c r="C19" s="52">
        <f>0.125*sn_h</f>
        <v/>
      </c>
      <c r="D19" s="49">
        <f>MIN($C19,sn_h)</f>
        <v/>
      </c>
      <c r="E19" s="51">
        <f>(fcd_sn*sn_b*$D19*(3/7+4/7*(1-$I19^2/3))+SUMPRODUCT($J$5:$K$5,$J19:$K19))/1000</f>
        <v/>
      </c>
      <c r="F19" s="51">
        <f>(fcd_sn*sn_b*(3/14*$D19*(sn_h-3/7*$D19)+4/7*$D19*(sn_h/2-3/7*$D19)*(1-$I19^2/3)-16/49*$D19^2*(1/2-$I19^2/4))+SUMPRODUCT($J$5:$K$5,$J19:$K19,$J$7:$K$7))/1E6</f>
        <v/>
      </c>
      <c r="G19" s="51">
        <f>(fcd_sn*sn_b*$D19*(3/7+4/7*(1-$I19^2/3))+SUMPRODUCT($J$8:$K$8,$L19:$M19))/1000</f>
        <v/>
      </c>
      <c r="H19" s="51">
        <f>(fcd_sn*sn_b*(3/14*$D19*(sn_h-3/7*$D19)+4/7*$D19*(sn_h/2-3/7*$D19)*(1-$I19^2/3)-16/49*$D19^2*(1/2-$I19^2/4))+SUMPRODUCT($J$8:$K$8,$L19:$M19,$J$10:$K$10))/1E6</f>
        <v/>
      </c>
      <c r="I19">
        <f>IF($C19&lt;=sn_h,1,4/7*sn_h/($C19-3/7*sn_h))</f>
        <v/>
      </c>
      <c r="J19">
        <f>MAX(-fyd_sn,MIN(fyd_sn,200000*0.002*(1-$I19*(7*J$6-3*$D19)/(4*$D19))))-fcd_sn*(1-MIN(1,MAX(0,$I19*(7*J$6-3*$D19)/(4*$D19)))^2)</f>
        <v/>
      </c>
      <c r="K19">
        <f>MAX(-fyd_sn,MIN(fyd_sn,200000*0.002*(1-$I19*(7*K$6-3*$D19)/(4*$D19))))-fcd_sn*(1-MIN(1,MAX(0,$I19*(7*K$6-3*$D19)/(4*$D19)))^2)</f>
        <v/>
      </c>
      <c r="L19">
        <f>MAX(-fyd_sn,MIN(fyd_sn,200000*0.002*(1-$I19*(7*J$9-3*$D19)/(4*$D19))))-fcd_sn*(1-MIN(1,MAX(0,$I19*(7*J$9-3*$D19)/(4*$D19)))^2)</f>
        <v/>
      </c>
      <c r="M19">
        <f>MAX(-fyd_sn,MIN(fyd_sn,200000*0.002*(1-$I19*(7*K$9-3*$D19)/(4*$D19))))-fcd_sn*(1-MIN(1,MAX(0,$I19*(7*K$9-3*$D19)/(4*$D19)))^2)</f>
        <v/>
      </c>
    </row>
    <row r="20">
      <c r="B20" s="49" t="n">
        <v>8</v>
      </c>
      <c r="C20" s="52">
        <f>0.15*sn_h</f>
        <v/>
      </c>
      <c r="D20" s="49">
        <f>MIN($C20,sn_h)</f>
        <v/>
      </c>
      <c r="E20" s="51">
        <f>(fcd_sn*sn_b*$D20*(3/7+4/7*(1-$I20^2/3))+SUMPRODUCT($J$5:$K$5,$J20:$K20))/1000</f>
        <v/>
      </c>
      <c r="F20" s="51">
        <f>(fcd_sn*sn_b*(3/14*$D20*(sn_h-3/7*$D20)+4/7*$D20*(sn_h/2-3/7*$D20)*(1-$I20^2/3)-16/49*$D20^2*(1/2-$I20^2/4))+SUMPRODUCT($J$5:$K$5,$J20:$K20,$J$7:$K$7))/1E6</f>
        <v/>
      </c>
      <c r="G20" s="51">
        <f>(fcd_sn*sn_b*$D20*(3/7+4/7*(1-$I20^2/3))+SUMPRODUCT($J$8:$K$8,$L20:$M20))/1000</f>
        <v/>
      </c>
      <c r="H20" s="51">
        <f>(fcd_sn*sn_b*(3/14*$D20*(sn_h-3/7*$D20)+4/7*$D20*(sn_h/2-3/7*$D20)*(1-$I20^2/3)-16/49*$D20^2*(1/2-$I20^2/4))+SUMPRODUCT($J$8:$K$8,$L20:$M20,$J$10:$K$10))/1E6</f>
        <v/>
      </c>
      <c r="I20">
        <f>IF($C20&lt;=sn_h,1,4/7*sn_h/($C20-3/7*sn_h))</f>
        <v/>
      </c>
      <c r="J20">
        <f>MAX(-fyd_sn,MIN(fyd_sn,200000*0.002*(1-$I20*(7*J$6-3*$D20)/(4*$D20))))-fcd_sn*(1-MIN(1,MAX(0,$I20*(7*J$6-3*$D20)/(4*$D20)))^2)</f>
        <v/>
      </c>
      <c r="K20">
        <f>MAX(-fyd_sn,MIN(fyd_sn,200000*0.002*(1-$I20*(7*K$6-3*$D20)/(4*$D20))))-fcd_sn*(1-MIN(1,MAX(0,$I20*(7*K$6-3*$D20)/(4*$D20)))^2)</f>
        <v/>
      </c>
      <c r="L20">
        <f>MAX(-fyd_sn,MIN(fyd_sn,200000*0.002*(1-$I20*(7*J$9-3*$D20)/(4*$D20))))-fcd_sn*(1-MIN(1,MAX(0,$I20*(7*J$9-3*$D20)/(4*$D20)))^2)</f>
        <v/>
      </c>
      <c r="M20">
        <f>MAX(-fyd_sn,MIN(fyd_sn,200000*0.002*(1-$I20*(7*K$9-3*$D20)/(4*$D20))))-fcd_sn*(1-MIN(1,MAX(0,$I20*(7*K$9-3*$D20)/(4*$D20)))^2)</f>
        <v/>
      </c>
    </row>
    <row r="21">
      <c r="B21" s="49" t="n">
        <v>9</v>
      </c>
      <c r="C21" s="52">
        <f>0.2*sn_h</f>
        <v/>
      </c>
      <c r="D21" s="49">
        <f>MIN($C21,sn_h)</f>
        <v/>
      </c>
      <c r="E21" s="51">
        <f>(fcd_sn*sn_b*$D21*(3/7+4/7*(1-$I21^2/3))+SUMPRODUCT($J$5:$K$5,$J21:$K21))/1000</f>
        <v/>
      </c>
      <c r="F21" s="51">
        <f>(fcd_sn*sn_b*(3/14*$D21*(sn_h-3/7*$D21)+4/7*$D21*(sn_h/2-3/7*$D21)*(1-$I21^2/3)-16/49*$D21^2*(1/2-$I21^2/4))+SUMPRODUCT($J$5:$K$5,$J21:$K21,$J$7:$K$7))/1E6</f>
        <v/>
      </c>
      <c r="G21" s="51">
        <f>(fcd_sn*sn_b*$D21*(3/7+4/7*(1-$I21^2/3))+SUMPRODUCT($J$8:$K$8,$L21:$M21))/1000</f>
        <v/>
      </c>
      <c r="H21" s="51">
        <f>(fcd_sn*sn_b*(3/14*$D21*(sn_h-3/7*$D21)+4/7*$D21*(sn_h/2-3/7*$D21)*(1-$I21^2/3)-16/49*$D21^2*(1/2-$I21^2/4))+SUMPRODUCT($J$8:$K$8,$L21:$M21,$J$10:$K$10))/1E6</f>
        <v/>
      </c>
      <c r="I21">
        <f>IF($C21&lt;=sn_h,1,4/7*sn_h/($C21-3/7*sn_h))</f>
        <v/>
      </c>
      <c r="J21">
        <f>MAX(-fyd_sn,MIN(fyd_sn,200000*0.002*(1-$I21*(7*J$6-3*$D21)/(4*$D21))))-fcd_sn*(1-MIN(1,MAX(0,$I21*(7*J$6-3*$D21)/(4*$D21)))^2)</f>
        <v/>
      </c>
      <c r="K21">
        <f>MAX(-fyd_sn,MIN(fyd_sn,200000*0.002*(1-$I21*(7*K$6-3*$D21)/(4*$D21))))-fcd_sn*(1-MIN(1,MAX(0,$I21*(7*K$6-3*$D21)/(4*$D21)))^2)</f>
        <v/>
      </c>
      <c r="L21">
        <f>MAX(-fyd_sn,MIN(fyd_sn,200000*0.002*(1-$I21*(7*J$9-3*$D21)/(4*$D21))))-fcd_sn*(1-MIN(1,MAX(0,$I21*(7*J$9-3*$D21)/(4*$D21)))^2)</f>
        <v/>
      </c>
      <c r="M21">
        <f>MAX(-fyd_sn,MIN(fyd_sn,200000*0.002*(1-$I21*(7*K$9-3*$D21)/(4*$D21))))-fcd_sn*(1-MIN(1,MAX(0,$I21*(7*K$9-3*$D21)/(4*$D21)))^2)</f>
        <v/>
      </c>
    </row>
    <row r="22">
      <c r="B22" s="49" t="n">
        <v>10</v>
      </c>
      <c r="C22" s="52">
        <f>0.25*sn_h</f>
        <v/>
      </c>
      <c r="D22" s="49">
        <f>MIN($C22,sn_h)</f>
        <v/>
      </c>
      <c r="E22" s="51">
        <f>(fcd_sn*sn_b*$D22*(3/7+4/7*(1-$I22^2/3))+SUMPRODUCT($J$5:$K$5,$J22:$K22))/1000</f>
        <v/>
      </c>
      <c r="F22" s="51">
        <f>(fcd_sn*sn_b*(3/14*$D22*(sn_h-3/7*$D22)+4/7*$D22*(sn_h/2-3/7*$D22)*(1-$I22^2/3)-16/49*$D22^2*(1/2-$I22^2/4))+SUMPRODUCT($J$5:$K$5,$J22:$K22,$J$7:$K$7))/1E6</f>
        <v/>
      </c>
      <c r="G22" s="51">
        <f>(fcd_sn*sn_b*$D22*(3/7+4/7*(1-$I22^2/3))+SUMPRODUCT($J$8:$K$8,$L22:$M22))/1000</f>
        <v/>
      </c>
      <c r="H22" s="51">
        <f>(fcd_sn*sn_b*(3/14*$D22*(sn_h-3/7*$D22)+4/7*$D22*(sn_h/2-3/7*$D22)*(1-$I22^2/3)-16/49*$D22^2*(1/2-$I22^2/4))+SUMPRODUCT($J$8:$K$8,$L22:$M22,$J$10:$K$10))/1E6</f>
        <v/>
      </c>
      <c r="I22">
        <f>IF($C22&lt;=sn_h,1,4/7*sn_h/($C22-3/7*sn_h))</f>
        <v/>
      </c>
      <c r="J22">
        <f>MAX(-fyd_sn,MIN(fyd_sn,200000*0.002*(1-$I22*(7*J$6-3*$D22)/(4*$D22))))-fcd_sn*(1-MIN(1,MAX(0,$I22*(7*J$6-3*$D22)/(4*$D22)))^2)</f>
        <v/>
      </c>
      <c r="K22">
        <f>MAX(-fyd_sn,MIN(fyd_sn,200000*0.002*(1-$I22*(7*K$6-3*$D22)/(4*$D22))))-fcd_sn*(1-MIN(1,MAX(0,$I22*(7*K$6-3*$D22)/(4*$D22)))^2)</f>
        <v/>
      </c>
      <c r="L22">
        <f>MAX(-fyd_sn,MIN(fyd_sn,200000*0.002*(1-$I22*(7*J$9-3*$D22)/(4*$D22))))-fcd_sn*(1-MIN(1,MAX(0,$I22*(7*J$9-3*$D22)/(4*$D22)))^2)</f>
        <v/>
      </c>
      <c r="M22">
        <f>MAX(-fyd_sn,MIN(fyd_sn,200000*0.002*(1-$I22*(7*K$9-3*$D22)/(4*$D22))))-fcd_sn*(1-MIN(1,MAX(0,$I22*(7*K$9-3*$D22)/(4*$D22)))^2)</f>
        <v/>
      </c>
    </row>
    <row r="23">
      <c r="B23" s="49" t="n">
        <v>11</v>
      </c>
      <c r="C23" s="52">
        <f>0.3*sn_h</f>
        <v/>
      </c>
      <c r="D23" s="49">
        <f>MIN($C23,sn_h)</f>
        <v/>
      </c>
      <c r="E23" s="51">
        <f>(fcd_sn*sn_b*$D23*(3/7+4/7*(1-$I23^2/3))+SUMPRODUCT($J$5:$K$5,$J23:$K23))/1000</f>
        <v/>
      </c>
      <c r="F23" s="51">
        <f>(fcd_sn*sn_b*(3/14*$D23*(sn_h-3/7*$D23)+4/7*$D23*(sn_h/2-3/7*$D23)*(1-$I23^2/3)-16/49*$D23^2*(1/2-$I23^2/4))+SUMPRODUCT($J$5:$K$5,$J23:$K23,$J$7:$K$7))/1E6</f>
        <v/>
      </c>
      <c r="G23" s="51">
        <f>(fcd_sn*sn_b*$D23*(3/7+4/7*(1-$I23^2/3))+SUMPRODUCT($J$8:$K$8,$L23:$M23))/1000</f>
        <v/>
      </c>
      <c r="H23" s="51">
        <f>(fcd_sn*sn_b*(3/14*$D23*(sn_h-3/7*$D23)+4/7*$D23*(sn_h/2-3/7*$D23)*(1-$I23^2/3)-16/49*$D23^2*(1/2-$I23^2/4))+SUMPRODUCT($J$8:$K$8,$L23:$M23,$J$10:$K$10))/1E6</f>
        <v/>
      </c>
      <c r="I23">
        <f>IF($C23&lt;=sn_h,1,4/7*sn_h/($C23-3/7*sn_h))</f>
        <v/>
      </c>
      <c r="J23">
        <f>MAX(-fyd_sn,MIN(fyd_sn,200000*0.002*(1-$I23*(7*J$6-3*$D23)/(4*$D23))))-fcd_sn*(1-MIN(1,MAX(0,$I23*(7*J$6-3*$D23)/(4*$D23)))^2)</f>
        <v/>
      </c>
      <c r="K23">
        <f>MAX(-fyd_sn,MIN(fyd_sn,200000*0.002*(1-$I23*(7*K$6-3*$D23)/(4*$D23))))-fcd_sn*(1-MIN(1,MAX(0,$I23*(7*K$6-3*$D23)/(4*$D23)))^2)</f>
        <v/>
      </c>
      <c r="L23">
        <f>MAX(-fyd_sn,MIN(fyd_sn,200000*0.002*(1-$I23*(7*J$9-3*$D23)/(4*$D23))))-fcd_sn*(1-MIN(1,MAX(0,$I23*(7*J$9-3*$D23)/(4*$D23)))^2)</f>
        <v/>
      </c>
      <c r="M23">
        <f>MAX(-fyd_sn,MIN(fyd_sn,200000*0.002*(1-$I23*(7*K$9-3*$D23)/(4*$D23))))-fcd_sn*(1-MIN(1,MAX(0,$I23*(7*K$9-3*$D23)/(4*$D23)))^2)</f>
        <v/>
      </c>
    </row>
    <row r="24">
      <c r="B24" s="49" t="n">
        <v>12</v>
      </c>
      <c r="C24" s="52">
        <f>0.35*sn_h</f>
        <v/>
      </c>
      <c r="D24" s="49">
        <f>MIN($C24,sn_h)</f>
        <v/>
      </c>
      <c r="E24" s="51">
        <f>(fcd_sn*sn_b*$D24*(3/7+4/7*(1-$I24^2/3))+SUMPRODUCT($J$5:$K$5,$J24:$K24))/1000</f>
        <v/>
      </c>
      <c r="F24" s="51">
        <f>(fcd_sn*sn_b*(3/14*$D24*(sn_h-3/7*$D24)+4/7*$D24*(sn_h/2-3/7*$D24)*(1-$I24^2/3)-16/49*$D24^2*(1/2-$I24^2/4))+SUMPRODUCT($J$5:$K$5,$J24:$K24,$J$7:$K$7))/1E6</f>
        <v/>
      </c>
      <c r="G24" s="51">
        <f>(fcd_sn*sn_b*$D24*(3/7+4/7*(1-$I24^2/3))+SUMPRODUCT($J$8:$K$8,$L24:$M24))/1000</f>
        <v/>
      </c>
      <c r="H24" s="51">
        <f>(fcd_sn*sn_b*(3/14*$D24*(sn_h-3/7*$D24)+4/7*$D24*(sn_h/2-3/7*$D24)*(1-$I24^2/3)-16/49*$D24^2*(1/2-$I24^2/4))+SUMPRODUCT($J$8:$K$8,$L24:$M24,$J$10:$K$10))/1E6</f>
        <v/>
      </c>
      <c r="I24">
        <f>IF($C24&lt;=sn_h,1,4/7*sn_h/($C24-3/7*sn_h))</f>
        <v/>
      </c>
      <c r="J24">
        <f>MAX(-fyd_sn,MIN(fyd_sn,200000*0.002*(1-$I24*(7*J$6-3*$D24)/(4*$D24))))-fcd_sn*(1-MIN(1,MAX(0,$I24*(7*J$6-3*$D24)/(4*$D24)))^2)</f>
        <v/>
      </c>
      <c r="K24">
        <f>MAX(-fyd_sn,MIN(fyd_sn,200000*0.002*(1-$I24*(7*K$6-3*$D24)/(4*$D24))))-fcd_sn*(1-MIN(1,MAX(0,$I24*(7*K$6-3*$D24)/(4*$D24)))^2)</f>
        <v/>
      </c>
      <c r="L24">
        <f>MAX(-fyd_sn,MIN(fyd_sn,200000*0.002*(1-$I24*(7*J$9-3*$D24)/(4*$D24))))-fcd_sn*(1-MIN(1,MAX(0,$I24*(7*J$9-3*$D24)/(4*$D24)))^2)</f>
        <v/>
      </c>
      <c r="M24">
        <f>MAX(-fyd_sn,MIN(fyd_sn,200000*0.002*(1-$I24*(7*K$9-3*$D24)/(4*$D24))))-fcd_sn*(1-MIN(1,MAX(0,$I24*(7*K$9-3*$D24)/(4*$D24)))^2)</f>
        <v/>
      </c>
    </row>
    <row r="25">
      <c r="B25" s="49" t="n">
        <v>13</v>
      </c>
      <c r="C25" s="52">
        <f>0.4*sn_h</f>
        <v/>
      </c>
      <c r="D25" s="49">
        <f>MIN($C25,sn_h)</f>
        <v/>
      </c>
      <c r="E25" s="51">
        <f>(fcd_sn*sn_b*$D25*(3/7+4/7*(1-$I25^2/3))+SUMPRODUCT($J$5:$K$5,$J25:$K25))/1000</f>
        <v/>
      </c>
      <c r="F25" s="51">
        <f>(fcd_sn*sn_b*(3/14*$D25*(sn_h-3/7*$D25)+4/7*$D25*(sn_h/2-3/7*$D25)*(1-$I25^2/3)-16/49*$D25^2*(1/2-$I25^2/4))+SUMPRODUCT($J$5:$K$5,$J25:$K25,$J$7:$K$7))/1E6</f>
        <v/>
      </c>
      <c r="G25" s="51">
        <f>(fcd_sn*sn_b*$D25*(3/7+4/7*(1-$I25^2/3))+SUMPRODUCT($J$8:$K$8,$L25:$M25))/1000</f>
        <v/>
      </c>
      <c r="H25" s="51">
        <f>(fcd_sn*sn_b*(3/14*$D25*(sn_h-3/7*$D25)+4/7*$D25*(sn_h/2-3/7*$D25)*(1-$I25^2/3)-16/49*$D25^2*(1/2-$I25^2/4))+SUMPRODUCT($J$8:$K$8,$L25:$M25,$J$10:$K$10))/1E6</f>
        <v/>
      </c>
      <c r="I25">
        <f>IF($C25&lt;=sn_h,1,4/7*sn_h/($C25-3/7*sn_h))</f>
        <v/>
      </c>
      <c r="J25">
        <f>MAX(-fyd_sn,MIN(fyd_sn,200000*0.002*(1-$I25*(7*J$6-3*$D25)/(4*$D25))))-fcd_sn*(1-MIN(1,MAX(0,$I25*(7*J$6-3*$D25)/(4*$D25)))^2)</f>
        <v/>
      </c>
      <c r="K25">
        <f>MAX(-fyd_sn,MIN(fyd_sn,200000*0.002*(1-$I25*(7*K$6-3*$D25)/(4*$D25))))-fcd_sn*(1-MIN(1,MAX(0,$I25*(7*K$6-3*$D25)/(4*$D25)))^2)</f>
        <v/>
      </c>
      <c r="L25">
        <f>MAX(-fyd_sn,MIN(fyd_sn,200000*0.002*(1-$I25*(7*J$9-3*$D25)/(4*$D25))))-fcd_sn*(1-MIN(1,MAX(0,$I25*(7*J$9-3*$D25)/(4*$D25)))^2)</f>
        <v/>
      </c>
      <c r="M25">
        <f>MAX(-fyd_sn,MIN(fyd_sn,200000*0.002*(1-$I25*(7*K$9-3*$D25)/(4*$D25))))-fcd_sn*(1-MIN(1,MAX(0,$I25*(7*K$9-3*$D25)/(4*$D25)))^2)</f>
        <v/>
      </c>
    </row>
    <row r="26">
      <c r="B26" s="49" t="n">
        <v>14</v>
      </c>
      <c r="C26" s="52">
        <f>0.45*sn_h</f>
        <v/>
      </c>
      <c r="D26" s="49">
        <f>MIN($C26,sn_h)</f>
        <v/>
      </c>
      <c r="E26" s="51">
        <f>(fcd_sn*sn_b*$D26*(3/7+4/7*(1-$I26^2/3))+SUMPRODUCT($J$5:$K$5,$J26:$K26))/1000</f>
        <v/>
      </c>
      <c r="F26" s="51">
        <f>(fcd_sn*sn_b*(3/14*$D26*(sn_h-3/7*$D26)+4/7*$D26*(sn_h/2-3/7*$D26)*(1-$I26^2/3)-16/49*$D26^2*(1/2-$I26^2/4))+SUMPRODUCT($J$5:$K$5,$J26:$K26,$J$7:$K$7))/1E6</f>
        <v/>
      </c>
      <c r="G26" s="51">
        <f>(fcd_sn*sn_b*$D26*(3/7+4/7*(1-$I26^2/3))+SUMPRODUCT($J$8:$K$8,$L26:$M26))/1000</f>
        <v/>
      </c>
      <c r="H26" s="51">
        <f>(fcd_sn*sn_b*(3/14*$D26*(sn_h-3/7*$D26)+4/7*$D26*(sn_h/2-3/7*$D26)*(1-$I26^2/3)-16/49*$D26^2*(1/2-$I26^2/4))+SUMPRODUCT($J$8:$K$8,$L26:$M26,$J$10:$K$10))/1E6</f>
        <v/>
      </c>
      <c r="I26">
        <f>IF($C26&lt;=sn_h,1,4/7*sn_h/($C26-3/7*sn_h))</f>
        <v/>
      </c>
      <c r="J26">
        <f>MAX(-fyd_sn,MIN(fyd_sn,200000*0.002*(1-$I26*(7*J$6-3*$D26)/(4*$D26))))-fcd_sn*(1-MIN(1,MAX(0,$I26*(7*J$6-3*$D26)/(4*$D26)))^2)</f>
        <v/>
      </c>
      <c r="K26">
        <f>MAX(-fyd_sn,MIN(fyd_sn,200000*0.002*(1-$I26*(7*K$6-3*$D26)/(4*$D26))))-fcd_sn*(1-MIN(1,MAX(0,$I26*(7*K$6-3*$D26)/(4*$D26)))^2)</f>
        <v/>
      </c>
      <c r="L26">
        <f>MAX(-fyd_sn,MIN(fyd_sn,200000*0.002*(1-$I26*(7*J$9-3*$D26)/(4*$D26))))-fcd_sn*(1-MIN(1,MAX(0,$I26*(7*J$9-3*$D26)/(4*$D26)))^2)</f>
        <v/>
      </c>
      <c r="M26">
        <f>MAX(-fyd_sn,MIN(fyd_sn,200000*0.002*(1-$I26*(7*K$9-3*$D26)/(4*$D26))))-fcd_sn*(1-MIN(1,MAX(0,$I26*(7*K$9-3*$D26)/(4*$D26)))^2)</f>
        <v/>
      </c>
    </row>
    <row r="27">
      <c r="B27" s="49" t="n">
        <v>15</v>
      </c>
      <c r="C27" s="52">
        <f>0.5*sn_h</f>
        <v/>
      </c>
      <c r="D27" s="49">
        <f>MIN($C27,sn_h)</f>
        <v/>
      </c>
      <c r="E27" s="51">
        <f>(fcd_sn*sn_b*$D27*(3/7+4/7*(1-$I27^2/3))+SUMPRODUCT($J$5:$K$5,$J27:$K27))/1000</f>
        <v/>
      </c>
      <c r="F27" s="51">
        <f>(fcd_sn*sn_b*(3/14*$D27*(sn_h-3/7*$D27)+4/7*$D27*(sn_h/2-3/7*$D27)*(1-$I27^2/3)-16/49*$D27^2*(1/2-$I27^2/4))+SUMPRODUCT($J$5:$K$5,$J27:$K27,$J$7:$K$7))/1E6</f>
        <v/>
      </c>
      <c r="G27" s="51">
        <f>(fcd_sn*sn_b*$D27*(3/7+4/7*(1-$I27^2/3))+SUMPRODUCT($J$8:$K$8,$L27:$M27))/1000</f>
        <v/>
      </c>
      <c r="H27" s="51">
        <f>(fcd_sn*sn_b*(3/14*$D27*(sn_h-3/7*$D27)+4/7*$D27*(sn_h/2-3/7*$D27)*(1-$I27^2/3)-16/49*$D27^2*(1/2-$I27^2/4))+SUMPRODUCT($J$8:$K$8,$L27:$M27,$J$10:$K$10))/1E6</f>
        <v/>
      </c>
      <c r="I27">
        <f>IF($C27&lt;=sn_h,1,4/7*sn_h/($C27-3/7*sn_h))</f>
        <v/>
      </c>
      <c r="J27">
        <f>MAX(-fyd_sn,MIN(fyd_sn,200000*0.002*(1-$I27*(7*J$6-3*$D27)/(4*$D27))))-fcd_sn*(1-MIN(1,MAX(0,$I27*(7*J$6-3*$D27)/(4*$D27)))^2)</f>
        <v/>
      </c>
      <c r="K27">
        <f>MAX(-fyd_sn,MIN(fyd_sn,200000*0.002*(1-$I27*(7*K$6-3*$D27)/(4*$D27))))-fcd_sn*(1-MIN(1,MAX(0,$I27*(7*K$6-3*$D27)/(4*$D27)))^2)</f>
        <v/>
      </c>
      <c r="L27">
        <f>MAX(-fyd_sn,MIN(fyd_sn,200000*0.002*(1-$I27*(7*J$9-3*$D27)/(4*$D27))))-fcd_sn*(1-MIN(1,MAX(0,$I27*(7*J$9-3*$D27)/(4*$D27)))^2)</f>
        <v/>
      </c>
      <c r="M27">
        <f>MAX(-fyd_sn,MIN(fyd_sn,200000*0.002*(1-$I27*(7*K$9-3*$D27)/(4*$D27))))-fcd_sn*(1-MIN(1,MAX(0,$I27*(7*K$9-3*$D27)/(4*$D27)))^2)</f>
        <v/>
      </c>
    </row>
    <row r="28">
      <c r="B28" s="49" t="n">
        <v>16</v>
      </c>
      <c r="C28" s="52">
        <f>0.55*sn_h</f>
        <v/>
      </c>
      <c r="D28" s="49">
        <f>MIN($C28,sn_h)</f>
        <v/>
      </c>
      <c r="E28" s="51">
        <f>(fcd_sn*sn_b*$D28*(3/7+4/7*(1-$I28^2/3))+SUMPRODUCT($J$5:$K$5,$J28:$K28))/1000</f>
        <v/>
      </c>
      <c r="F28" s="51">
        <f>(fcd_sn*sn_b*(3/14*$D28*(sn_h-3/7*$D28)+4/7*$D28*(sn_h/2-3/7*$D28)*(1-$I28^2/3)-16/49*$D28^2*(1/2-$I28^2/4))+SUMPRODUCT($J$5:$K$5,$J28:$K28,$J$7:$K$7))/1E6</f>
        <v/>
      </c>
      <c r="G28" s="51">
        <f>(fcd_sn*sn_b*$D28*(3/7+4/7*(1-$I28^2/3))+SUMPRODUCT($J$8:$K$8,$L28:$M28))/1000</f>
        <v/>
      </c>
      <c r="H28" s="51">
        <f>(fcd_sn*sn_b*(3/14*$D28*(sn_h-3/7*$D28)+4/7*$D28*(sn_h/2-3/7*$D28)*(1-$I28^2/3)-16/49*$D28^2*(1/2-$I28^2/4))+SUMPRODUCT($J$8:$K$8,$L28:$M28,$J$10:$K$10))/1E6</f>
        <v/>
      </c>
      <c r="I28">
        <f>IF($C28&lt;=sn_h,1,4/7*sn_h/($C28-3/7*sn_h))</f>
        <v/>
      </c>
      <c r="J28">
        <f>MAX(-fyd_sn,MIN(fyd_sn,200000*0.002*(1-$I28*(7*J$6-3*$D28)/(4*$D28))))-fcd_sn*(1-MIN(1,MAX(0,$I28*(7*J$6-3*$D28)/(4*$D28)))^2)</f>
        <v/>
      </c>
      <c r="K28">
        <f>MAX(-fyd_sn,MIN(fyd_sn,200000*0.002*(1-$I28*(7*K$6-3*$D28)/(4*$D28))))-fcd_sn*(1-MIN(1,MAX(0,$I28*(7*K$6-3*$D28)/(4*$D28)))^2)</f>
        <v/>
      </c>
      <c r="L28">
        <f>MAX(-fyd_sn,MIN(fyd_sn,200000*0.002*(1-$I28*(7*J$9-3*$D28)/(4*$D28))))-fcd_sn*(1-MIN(1,MAX(0,$I28*(7*J$9-3*$D28)/(4*$D28)))^2)</f>
        <v/>
      </c>
      <c r="M28">
        <f>MAX(-fyd_sn,MIN(fyd_sn,200000*0.002*(1-$I28*(7*K$9-3*$D28)/(4*$D28))))-fcd_sn*(1-MIN(1,MAX(0,$I28*(7*K$9-3*$D28)/(4*$D28)))^2)</f>
        <v/>
      </c>
    </row>
    <row r="29">
      <c r="B29" s="49" t="n">
        <v>17</v>
      </c>
      <c r="C29" s="52">
        <f>0.6*sn_h</f>
        <v/>
      </c>
      <c r="D29" s="49">
        <f>MIN($C29,sn_h)</f>
        <v/>
      </c>
      <c r="E29" s="51">
        <f>(fcd_sn*sn_b*$D29*(3/7+4/7*(1-$I29^2/3))+SUMPRODUCT($J$5:$K$5,$J29:$K29))/1000</f>
        <v/>
      </c>
      <c r="F29" s="51">
        <f>(fcd_sn*sn_b*(3/14*$D29*(sn_h-3/7*$D29)+4/7*$D29*(sn_h/2-3/7*$D29)*(1-$I29^2/3)-16/49*$D29^2*(1/2-$I29^2/4))+SUMPRODUCT($J$5:$K$5,$J29:$K29,$J$7:$K$7))/1E6</f>
        <v/>
      </c>
      <c r="G29" s="51">
        <f>(fcd_sn*sn_b*$D29*(3/7+4/7*(1-$I29^2/3))+SUMPRODUCT($J$8:$K$8,$L29:$M29))/1000</f>
        <v/>
      </c>
      <c r="H29" s="51">
        <f>(fcd_sn*sn_b*(3/14*$D29*(sn_h-3/7*$D29)+4/7*$D29*(sn_h/2-3/7*$D29)*(1-$I29^2/3)-16/49*$D29^2*(1/2-$I29^2/4))+SUMPRODUCT($J$8:$K$8,$L29:$M29,$J$10:$K$10))/1E6</f>
        <v/>
      </c>
      <c r="I29">
        <f>IF($C29&lt;=sn_h,1,4/7*sn_h/($C29-3/7*sn_h))</f>
        <v/>
      </c>
      <c r="J29">
        <f>MAX(-fyd_sn,MIN(fyd_sn,200000*0.002*(1-$I29*(7*J$6-3*$D29)/(4*$D29))))-fcd_sn*(1-MIN(1,MAX(0,$I29*(7*J$6-3*$D29)/(4*$D29)))^2)</f>
        <v/>
      </c>
      <c r="K29">
        <f>MAX(-fyd_sn,MIN(fyd_sn,200000*0.002*(1-$I29*(7*K$6-3*$D29)/(4*$D29))))-fcd_sn*(1-MIN(1,MAX(0,$I29*(7*K$6-3*$D29)/(4*$D29)))^2)</f>
        <v/>
      </c>
      <c r="L29">
        <f>MAX(-fyd_sn,MIN(fyd_sn,200000*0.002*(1-$I29*(7*J$9-3*$D29)/(4*$D29))))-fcd_sn*(1-MIN(1,MAX(0,$I29*(7*J$9-3*$D29)/(4*$D29)))^2)</f>
        <v/>
      </c>
      <c r="M29">
        <f>MAX(-fyd_sn,MIN(fyd_sn,200000*0.002*(1-$I29*(7*K$9-3*$D29)/(4*$D29))))-fcd_sn*(1-MIN(1,MAX(0,$I29*(7*K$9-3*$D29)/(4*$D29)))^2)</f>
        <v/>
      </c>
    </row>
    <row r="30">
      <c r="B30" s="49" t="n">
        <v>18</v>
      </c>
      <c r="C30" s="52">
        <f>0.65*sn_h</f>
        <v/>
      </c>
      <c r="D30" s="49">
        <f>MIN($C30,sn_h)</f>
        <v/>
      </c>
      <c r="E30" s="51">
        <f>(fcd_sn*sn_b*$D30*(3/7+4/7*(1-$I30^2/3))+SUMPRODUCT($J$5:$K$5,$J30:$K30))/1000</f>
        <v/>
      </c>
      <c r="F30" s="51">
        <f>(fcd_sn*sn_b*(3/14*$D30*(sn_h-3/7*$D30)+4/7*$D30*(sn_h/2-3/7*$D30)*(1-$I30^2/3)-16/49*$D30^2*(1/2-$I30^2/4))+SUMPRODUCT($J$5:$K$5,$J30:$K30,$J$7:$K$7))/1E6</f>
        <v/>
      </c>
      <c r="G30" s="51">
        <f>(fcd_sn*sn_b*$D30*(3/7+4/7*(1-$I30^2/3))+SUMPRODUCT($J$8:$K$8,$L30:$M30))/1000</f>
        <v/>
      </c>
      <c r="H30" s="51">
        <f>(fcd_sn*sn_b*(3/14*$D30*(sn_h-3/7*$D30)+4/7*$D30*(sn_h/2-3/7*$D30)*(1-$I30^2/3)-16/49*$D30^2*(1/2-$I30^2/4))+SUMPRODUCT($J$8:$K$8,$L30:$M30,$J$10:$K$10))/1E6</f>
        <v/>
      </c>
      <c r="I30">
        <f>IF($C30&lt;=sn_h,1,4/7*sn_h/($C30-3/7*sn_h))</f>
        <v/>
      </c>
      <c r="J30">
        <f>MAX(-fyd_sn,MIN(fyd_sn,200000*0.002*(1-$I30*(7*J$6-3*$D30)/(4*$D30))))-fcd_sn*(1-MIN(1,MAX(0,$I30*(7*J$6-3*$D30)/(4*$D30)))^2)</f>
        <v/>
      </c>
      <c r="K30">
        <f>MAX(-fyd_sn,MIN(fyd_sn,200000*0.002*(1-$I30*(7*K$6-3*$D30)/(4*$D30))))-fcd_sn*(1-MIN(1,MAX(0,$I30*(7*K$6-3*$D30)/(4*$D30)))^2)</f>
        <v/>
      </c>
      <c r="L30">
        <f>MAX(-fyd_sn,MIN(fyd_sn,200000*0.002*(1-$I30*(7*J$9-3*$D30)/(4*$D30))))-fcd_sn*(1-MIN(1,MAX(0,$I30*(7*J$9-3*$D30)/(4*$D30)))^2)</f>
        <v/>
      </c>
      <c r="M30">
        <f>MAX(-fyd_sn,MIN(fyd_sn,200000*0.002*(1-$I30*(7*K$9-3*$D30)/(4*$D30))))-fcd_sn*(1-MIN(1,MAX(0,$I30*(7*K$9-3*$D30)/(4*$D30)))^2)</f>
        <v/>
      </c>
    </row>
    <row r="31">
      <c r="B31" s="49" t="n">
        <v>19</v>
      </c>
      <c r="C31" s="52">
        <f>0.7*sn_h</f>
        <v/>
      </c>
      <c r="D31" s="49">
        <f>MIN($C31,sn_h)</f>
        <v/>
      </c>
      <c r="E31" s="51">
        <f>(fcd_sn*sn_b*$D31*(3/7+4/7*(1-$I31^2/3))+SUMPRODUCT($J$5:$K$5,$J31:$K31))/1000</f>
        <v/>
      </c>
      <c r="F31" s="51">
        <f>(fcd_sn*sn_b*(3/14*$D31*(sn_h-3/7*$D31)+4/7*$D31*(sn_h/2-3/7*$D31)*(1-$I31^2/3)-16/49*$D31^2*(1/2-$I31^2/4))+SUMPRODUCT($J$5:$K$5,$J31:$K31,$J$7:$K$7))/1E6</f>
        <v/>
      </c>
      <c r="G31" s="51">
        <f>(fcd_sn*sn_b*$D31*(3/7+4/7*(1-$I31^2/3))+SUMPRODUCT($J$8:$K$8,$L31:$M31))/1000</f>
        <v/>
      </c>
      <c r="H31" s="51">
        <f>(fcd_sn*sn_b*(3/14*$D31*(sn_h-3/7*$D31)+4/7*$D31*(sn_h/2-3/7*$D31)*(1-$I31^2/3)-16/49*$D31^2*(1/2-$I31^2/4))+SUMPRODUCT($J$8:$K$8,$L31:$M31,$J$10:$K$10))/1E6</f>
        <v/>
      </c>
      <c r="I31">
        <f>IF($C31&lt;=sn_h,1,4/7*sn_h/($C31-3/7*sn_h))</f>
        <v/>
      </c>
      <c r="J31">
        <f>MAX(-fyd_sn,MIN(fyd_sn,200000*0.002*(1-$I31*(7*J$6-3*$D31)/(4*$D31))))-fcd_sn*(1-MIN(1,MAX(0,$I31*(7*J$6-3*$D31)/(4*$D31)))^2)</f>
        <v/>
      </c>
      <c r="K31">
        <f>MAX(-fyd_sn,MIN(fyd_sn,200000*0.002*(1-$I31*(7*K$6-3*$D31)/(4*$D31))))-fcd_sn*(1-MIN(1,MAX(0,$I31*(7*K$6-3*$D31)/(4*$D31)))^2)</f>
        <v/>
      </c>
      <c r="L31">
        <f>MAX(-fyd_sn,MIN(fyd_sn,200000*0.002*(1-$I31*(7*J$9-3*$D31)/(4*$D31))))-fcd_sn*(1-MIN(1,MAX(0,$I31*(7*J$9-3*$D31)/(4*$D31)))^2)</f>
        <v/>
      </c>
      <c r="M31">
        <f>MAX(-fyd_sn,MIN(fyd_sn,200000*0.002*(1-$I31*(7*K$9-3*$D31)/(4*$D31))))-fcd_sn*(1-MIN(1,MAX(0,$I31*(7*K$9-3*$D31)/(4*$D31)))^2)</f>
        <v/>
      </c>
    </row>
    <row r="32">
      <c r="B32" s="49" t="n">
        <v>20</v>
      </c>
      <c r="C32" s="52">
        <f>0.75*sn_h</f>
        <v/>
      </c>
      <c r="D32" s="49">
        <f>MIN($C32,sn_h)</f>
        <v/>
      </c>
      <c r="E32" s="51">
        <f>(fcd_sn*sn_b*$D32*(3/7+4/7*(1-$I32^2/3))+SUMPRODUCT($J$5:$K$5,$J32:$K32))/1000</f>
        <v/>
      </c>
      <c r="F32" s="51">
        <f>(fcd_sn*sn_b*(3/14*$D32*(sn_h-3/7*$D32)+4/7*$D32*(sn_h/2-3/7*$D32)*(1-$I32^2/3)-16/49*$D32^2*(1/2-$I32^2/4))+SUMPRODUCT($J$5:$K$5,$J32:$K32,$J$7:$K$7))/1E6</f>
        <v/>
      </c>
      <c r="G32" s="51">
        <f>(fcd_sn*sn_b*$D32*(3/7+4/7*(1-$I32^2/3))+SUMPRODUCT($J$8:$K$8,$L32:$M32))/1000</f>
        <v/>
      </c>
      <c r="H32" s="51">
        <f>(fcd_sn*sn_b*(3/14*$D32*(sn_h-3/7*$D32)+4/7*$D32*(sn_h/2-3/7*$D32)*(1-$I32^2/3)-16/49*$D32^2*(1/2-$I32^2/4))+SUMPRODUCT($J$8:$K$8,$L32:$M32,$J$10:$K$10))/1E6</f>
        <v/>
      </c>
      <c r="I32">
        <f>IF($C32&lt;=sn_h,1,4/7*sn_h/($C32-3/7*sn_h))</f>
        <v/>
      </c>
      <c r="J32">
        <f>MAX(-fyd_sn,MIN(fyd_sn,200000*0.002*(1-$I32*(7*J$6-3*$D32)/(4*$D32))))-fcd_sn*(1-MIN(1,MAX(0,$I32*(7*J$6-3*$D32)/(4*$D32)))^2)</f>
        <v/>
      </c>
      <c r="K32">
        <f>MAX(-fyd_sn,MIN(fyd_sn,200000*0.002*(1-$I32*(7*K$6-3*$D32)/(4*$D32))))-fcd_sn*(1-MIN(1,MAX(0,$I32*(7*K$6-3*$D32)/(4*$D32)))^2)</f>
        <v/>
      </c>
      <c r="L32">
        <f>MAX(-fyd_sn,MIN(fyd_sn,200000*0.002*(1-$I32*(7*J$9-3*$D32)/(4*$D32))))-fcd_sn*(1-MIN(1,MAX(0,$I32*(7*J$9-3*$D32)/(4*$D32)))^2)</f>
        <v/>
      </c>
      <c r="M32">
        <f>MAX(-fyd_sn,MIN(fyd_sn,200000*0.002*(1-$I32*(7*K$9-3*$D32)/(4*$D32))))-fcd_sn*(1-MIN(1,MAX(0,$I32*(7*K$9-3*$D32)/(4*$D32)))^2)</f>
        <v/>
      </c>
    </row>
    <row r="33">
      <c r="B33" s="49" t="n">
        <v>21</v>
      </c>
      <c r="C33" s="52">
        <f>0.8*sn_h</f>
        <v/>
      </c>
      <c r="D33" s="49">
        <f>MIN($C33,sn_h)</f>
        <v/>
      </c>
      <c r="E33" s="51">
        <f>(fcd_sn*sn_b*$D33*(3/7+4/7*(1-$I33^2/3))+SUMPRODUCT($J$5:$K$5,$J33:$K33))/1000</f>
        <v/>
      </c>
      <c r="F33" s="51">
        <f>(fcd_sn*sn_b*(3/14*$D33*(sn_h-3/7*$D33)+4/7*$D33*(sn_h/2-3/7*$D33)*(1-$I33^2/3)-16/49*$D33^2*(1/2-$I33^2/4))+SUMPRODUCT($J$5:$K$5,$J33:$K33,$J$7:$K$7))/1E6</f>
        <v/>
      </c>
      <c r="G33" s="51">
        <f>(fcd_sn*sn_b*$D33*(3/7+4/7*(1-$I33^2/3))+SUMPRODUCT($J$8:$K$8,$L33:$M33))/1000</f>
        <v/>
      </c>
      <c r="H33" s="51">
        <f>(fcd_sn*sn_b*(3/14*$D33*(sn_h-3/7*$D33)+4/7*$D33*(sn_h/2-3/7*$D33)*(1-$I33^2/3)-16/49*$D33^2*(1/2-$I33^2/4))+SUMPRODUCT($J$8:$K$8,$L33:$M33,$J$10:$K$10))/1E6</f>
        <v/>
      </c>
      <c r="I33">
        <f>IF($C33&lt;=sn_h,1,4/7*sn_h/($C33-3/7*sn_h))</f>
        <v/>
      </c>
      <c r="J33">
        <f>MAX(-fyd_sn,MIN(fyd_sn,200000*0.002*(1-$I33*(7*J$6-3*$D33)/(4*$D33))))-fcd_sn*(1-MIN(1,MAX(0,$I33*(7*J$6-3*$D33)/(4*$D33)))^2)</f>
        <v/>
      </c>
      <c r="K33">
        <f>MAX(-fyd_sn,MIN(fyd_sn,200000*0.002*(1-$I33*(7*K$6-3*$D33)/(4*$D33))))-fcd_sn*(1-MIN(1,MAX(0,$I33*(7*K$6-3*$D33)/(4*$D33)))^2)</f>
        <v/>
      </c>
      <c r="L33">
        <f>MAX(-fyd_sn,MIN(fyd_sn,200000*0.002*(1-$I33*(7*J$9-3*$D33)/(4*$D33))))-fcd_sn*(1-MIN(1,MAX(0,$I33*(7*J$9-3*$D33)/(4*$D33)))^2)</f>
        <v/>
      </c>
      <c r="M33">
        <f>MAX(-fyd_sn,MIN(fyd_sn,200000*0.002*(1-$I33*(7*K$9-3*$D33)/(4*$D33))))-fcd_sn*(1-MIN(1,MAX(0,$I33*(7*K$9-3*$D33)/(4*$D33)))^2)</f>
        <v/>
      </c>
    </row>
    <row r="34">
      <c r="B34" s="49" t="n">
        <v>22</v>
      </c>
      <c r="C34" s="52">
        <f>0.85*sn_h</f>
        <v/>
      </c>
      <c r="D34" s="49">
        <f>MIN($C34,sn_h)</f>
        <v/>
      </c>
      <c r="E34" s="51">
        <f>(fcd_sn*sn_b*$D34*(3/7+4/7*(1-$I34^2/3))+SUMPRODUCT($J$5:$K$5,$J34:$K34))/1000</f>
        <v/>
      </c>
      <c r="F34" s="51">
        <f>(fcd_sn*sn_b*(3/14*$D34*(sn_h-3/7*$D34)+4/7*$D34*(sn_h/2-3/7*$D34)*(1-$I34^2/3)-16/49*$D34^2*(1/2-$I34^2/4))+SUMPRODUCT($J$5:$K$5,$J34:$K34,$J$7:$K$7))/1E6</f>
        <v/>
      </c>
      <c r="G34" s="51">
        <f>(fcd_sn*sn_b*$D34*(3/7+4/7*(1-$I34^2/3))+SUMPRODUCT($J$8:$K$8,$L34:$M34))/1000</f>
        <v/>
      </c>
      <c r="H34" s="51">
        <f>(fcd_sn*sn_b*(3/14*$D34*(sn_h-3/7*$D34)+4/7*$D34*(sn_h/2-3/7*$D34)*(1-$I34^2/3)-16/49*$D34^2*(1/2-$I34^2/4))+SUMPRODUCT($J$8:$K$8,$L34:$M34,$J$10:$K$10))/1E6</f>
        <v/>
      </c>
      <c r="I34">
        <f>IF($C34&lt;=sn_h,1,4/7*sn_h/($C34-3/7*sn_h))</f>
        <v/>
      </c>
      <c r="J34">
        <f>MAX(-fyd_sn,MIN(fyd_sn,200000*0.002*(1-$I34*(7*J$6-3*$D34)/(4*$D34))))-fcd_sn*(1-MIN(1,MAX(0,$I34*(7*J$6-3*$D34)/(4*$D34)))^2)</f>
        <v/>
      </c>
      <c r="K34">
        <f>MAX(-fyd_sn,MIN(fyd_sn,200000*0.002*(1-$I34*(7*K$6-3*$D34)/(4*$D34))))-fcd_sn*(1-MIN(1,MAX(0,$I34*(7*K$6-3*$D34)/(4*$D34)))^2)</f>
        <v/>
      </c>
      <c r="L34">
        <f>MAX(-fyd_sn,MIN(fyd_sn,200000*0.002*(1-$I34*(7*J$9-3*$D34)/(4*$D34))))-fcd_sn*(1-MIN(1,MAX(0,$I34*(7*J$9-3*$D34)/(4*$D34)))^2)</f>
        <v/>
      </c>
      <c r="M34">
        <f>MAX(-fyd_sn,MIN(fyd_sn,200000*0.002*(1-$I34*(7*K$9-3*$D34)/(4*$D34))))-fcd_sn*(1-MIN(1,MAX(0,$I34*(7*K$9-3*$D34)/(4*$D34)))^2)</f>
        <v/>
      </c>
    </row>
    <row r="35">
      <c r="B35" s="49" t="n">
        <v>23</v>
      </c>
      <c r="C35" s="52">
        <f>0.9*sn_h</f>
        <v/>
      </c>
      <c r="D35" s="49">
        <f>MIN($C35,sn_h)</f>
        <v/>
      </c>
      <c r="E35" s="51">
        <f>(fcd_sn*sn_b*$D35*(3/7+4/7*(1-$I35^2/3))+SUMPRODUCT($J$5:$K$5,$J35:$K35))/1000</f>
        <v/>
      </c>
      <c r="F35" s="51">
        <f>(fcd_sn*sn_b*(3/14*$D35*(sn_h-3/7*$D35)+4/7*$D35*(sn_h/2-3/7*$D35)*(1-$I35^2/3)-16/49*$D35^2*(1/2-$I35^2/4))+SUMPRODUCT($J$5:$K$5,$J35:$K35,$J$7:$K$7))/1E6</f>
        <v/>
      </c>
      <c r="G35" s="51">
        <f>(fcd_sn*sn_b*$D35*(3/7+4/7*(1-$I35^2/3))+SUMPRODUCT($J$8:$K$8,$L35:$M35))/1000</f>
        <v/>
      </c>
      <c r="H35" s="51">
        <f>(fcd_sn*sn_b*(3/14*$D35*(sn_h-3/7*$D35)+4/7*$D35*(sn_h/2-3/7*$D35)*(1-$I35^2/3)-16/49*$D35^2*(1/2-$I35^2/4))+SUMPRODUCT($J$8:$K$8,$L35:$M35,$J$10:$K$10))/1E6</f>
        <v/>
      </c>
      <c r="I35">
        <f>IF($C35&lt;=sn_h,1,4/7*sn_h/($C35-3/7*sn_h))</f>
        <v/>
      </c>
      <c r="J35">
        <f>MAX(-fyd_sn,MIN(fyd_sn,200000*0.002*(1-$I35*(7*J$6-3*$D35)/(4*$D35))))-fcd_sn*(1-MIN(1,MAX(0,$I35*(7*J$6-3*$D35)/(4*$D35)))^2)</f>
        <v/>
      </c>
      <c r="K35">
        <f>MAX(-fyd_sn,MIN(fyd_sn,200000*0.002*(1-$I35*(7*K$6-3*$D35)/(4*$D35))))-fcd_sn*(1-MIN(1,MAX(0,$I35*(7*K$6-3*$D35)/(4*$D35)))^2)</f>
        <v/>
      </c>
      <c r="L35">
        <f>MAX(-fyd_sn,MIN(fyd_sn,200000*0.002*(1-$I35*(7*J$9-3*$D35)/(4*$D35))))-fcd_sn*(1-MIN(1,MAX(0,$I35*(7*J$9-3*$D35)/(4*$D35)))^2)</f>
        <v/>
      </c>
      <c r="M35">
        <f>MAX(-fyd_sn,MIN(fyd_sn,200000*0.002*(1-$I35*(7*K$9-3*$D35)/(4*$D35))))-fcd_sn*(1-MIN(1,MAX(0,$I35*(7*K$9-3*$D35)/(4*$D35)))^2)</f>
        <v/>
      </c>
    </row>
    <row r="36">
      <c r="B36" s="49" t="n">
        <v>24</v>
      </c>
      <c r="C36" s="52">
        <f>0.95*sn_h</f>
        <v/>
      </c>
      <c r="D36" s="49">
        <f>MIN($C36,sn_h)</f>
        <v/>
      </c>
      <c r="E36" s="51">
        <f>(fcd_sn*sn_b*$D36*(3/7+4/7*(1-$I36^2/3))+SUMPRODUCT($J$5:$K$5,$J36:$K36))/1000</f>
        <v/>
      </c>
      <c r="F36" s="51">
        <f>(fcd_sn*sn_b*(3/14*$D36*(sn_h-3/7*$D36)+4/7*$D36*(sn_h/2-3/7*$D36)*(1-$I36^2/3)-16/49*$D36^2*(1/2-$I36^2/4))+SUMPRODUCT($J$5:$K$5,$J36:$K36,$J$7:$K$7))/1E6</f>
        <v/>
      </c>
      <c r="G36" s="51">
        <f>(fcd_sn*sn_b*$D36*(3/7+4/7*(1-$I36^2/3))+SUMPRODUCT($J$8:$K$8,$L36:$M36))/1000</f>
        <v/>
      </c>
      <c r="H36" s="51">
        <f>(fcd_sn*sn_b*(3/14*$D36*(sn_h-3/7*$D36)+4/7*$D36*(sn_h/2-3/7*$D36)*(1-$I36^2/3)-16/49*$D36^2*(1/2-$I36^2/4))+SUMPRODUCT($J$8:$K$8,$L36:$M36,$J$10:$K$10))/1E6</f>
        <v/>
      </c>
      <c r="I36">
        <f>IF($C36&lt;=sn_h,1,4/7*sn_h/($C36-3/7*sn_h))</f>
        <v/>
      </c>
      <c r="J36">
        <f>MAX(-fyd_sn,MIN(fyd_sn,200000*0.002*(1-$I36*(7*J$6-3*$D36)/(4*$D36))))-fcd_sn*(1-MIN(1,MAX(0,$I36*(7*J$6-3*$D36)/(4*$D36)))^2)</f>
        <v/>
      </c>
      <c r="K36">
        <f>MAX(-fyd_sn,MIN(fyd_sn,200000*0.002*(1-$I36*(7*K$6-3*$D36)/(4*$D36))))-fcd_sn*(1-MIN(1,MAX(0,$I36*(7*K$6-3*$D36)/(4*$D36)))^2)</f>
        <v/>
      </c>
      <c r="L36">
        <f>MAX(-fyd_sn,MIN(fyd_sn,200000*0.002*(1-$I36*(7*J$9-3*$D36)/(4*$D36))))-fcd_sn*(1-MIN(1,MAX(0,$I36*(7*J$9-3*$D36)/(4*$D36)))^2)</f>
        <v/>
      </c>
      <c r="M36">
        <f>MAX(-fyd_sn,MIN(fyd_sn,200000*0.002*(1-$I36*(7*K$9-3*$D36)/(4*$D36))))-fcd_sn*(1-MIN(1,MAX(0,$I36*(7*K$9-3*$D36)/(4*$D36)))^2)</f>
        <v/>
      </c>
    </row>
    <row r="37">
      <c r="B37" s="49" t="n">
        <v>25</v>
      </c>
      <c r="C37" s="52">
        <f>1.0*sn_h</f>
        <v/>
      </c>
      <c r="D37" s="49">
        <f>MIN($C37,sn_h)</f>
        <v/>
      </c>
      <c r="E37" s="51">
        <f>(fcd_sn*sn_b*$D37*(3/7+4/7*(1-$I37^2/3))+SUMPRODUCT($J$5:$K$5,$J37:$K37))/1000</f>
        <v/>
      </c>
      <c r="F37" s="51">
        <f>(fcd_sn*sn_b*(3/14*$D37*(sn_h-3/7*$D37)+4/7*$D37*(sn_h/2-3/7*$D37)*(1-$I37^2/3)-16/49*$D37^2*(1/2-$I37^2/4))+SUMPRODUCT($J$5:$K$5,$J37:$K37,$J$7:$K$7))/1E6</f>
        <v/>
      </c>
      <c r="G37" s="51">
        <f>(fcd_sn*sn_b*$D37*(3/7+4/7*(1-$I37^2/3))+SUMPRODUCT($J$8:$K$8,$L37:$M37))/1000</f>
        <v/>
      </c>
      <c r="H37" s="51">
        <f>(fcd_sn*sn_b*(3/14*$D37*(sn_h-3/7*$D37)+4/7*$D37*(sn_h/2-3/7*$D37)*(1-$I37^2/3)-16/49*$D37^2*(1/2-$I37^2/4))+SUMPRODUCT($J$8:$K$8,$L37:$M37,$J$10:$K$10))/1E6</f>
        <v/>
      </c>
      <c r="I37">
        <f>IF($C37&lt;=sn_h,1,4/7*sn_h/($C37-3/7*sn_h))</f>
        <v/>
      </c>
      <c r="J37">
        <f>MAX(-fyd_sn,MIN(fyd_sn,200000*0.002*(1-$I37*(7*J$6-3*$D37)/(4*$D37))))-fcd_sn*(1-MIN(1,MAX(0,$I37*(7*J$6-3*$D37)/(4*$D37)))^2)</f>
        <v/>
      </c>
      <c r="K37">
        <f>MAX(-fyd_sn,MIN(fyd_sn,200000*0.002*(1-$I37*(7*K$6-3*$D37)/(4*$D37))))-fcd_sn*(1-MIN(1,MAX(0,$I37*(7*K$6-3*$D37)/(4*$D37)))^2)</f>
        <v/>
      </c>
      <c r="L37">
        <f>MAX(-fyd_sn,MIN(fyd_sn,200000*0.002*(1-$I37*(7*J$9-3*$D37)/(4*$D37))))-fcd_sn*(1-MIN(1,MAX(0,$I37*(7*J$9-3*$D37)/(4*$D37)))^2)</f>
        <v/>
      </c>
      <c r="M37">
        <f>MAX(-fyd_sn,MIN(fyd_sn,200000*0.002*(1-$I37*(7*K$9-3*$D37)/(4*$D37))))-fcd_sn*(1-MIN(1,MAX(0,$I37*(7*K$9-3*$D37)/(4*$D37)))^2)</f>
        <v/>
      </c>
    </row>
    <row r="38">
      <c r="B38" s="49" t="n">
        <v>26</v>
      </c>
      <c r="C38" s="52">
        <f>1.05*sn_h</f>
        <v/>
      </c>
      <c r="D38" s="49">
        <f>MIN($C38,sn_h)</f>
        <v/>
      </c>
      <c r="E38" s="51">
        <f>(fcd_sn*sn_b*$D38*(3/7+4/7*(1-$I38^2/3))+SUMPRODUCT($J$5:$K$5,$J38:$K38))/1000</f>
        <v/>
      </c>
      <c r="F38" s="51">
        <f>(fcd_sn*sn_b*(3/14*$D38*(sn_h-3/7*$D38)+4/7*$D38*(sn_h/2-3/7*$D38)*(1-$I38^2/3)-16/49*$D38^2*(1/2-$I38^2/4))+SUMPRODUCT($J$5:$K$5,$J38:$K38,$J$7:$K$7))/1E6</f>
        <v/>
      </c>
      <c r="G38" s="51">
        <f>(fcd_sn*sn_b*$D38*(3/7+4/7*(1-$I38^2/3))+SUMPRODUCT($J$8:$K$8,$L38:$M38))/1000</f>
        <v/>
      </c>
      <c r="H38" s="51">
        <f>(fcd_sn*sn_b*(3/14*$D38*(sn_h-3/7*$D38)+4/7*$D38*(sn_h/2-3/7*$D38)*(1-$I38^2/3)-16/49*$D38^2*(1/2-$I38^2/4))+SUMPRODUCT($J$8:$K$8,$L38:$M38,$J$10:$K$10))/1E6</f>
        <v/>
      </c>
      <c r="I38">
        <f>IF($C38&lt;=sn_h,1,4/7*sn_h/($C38-3/7*sn_h))</f>
        <v/>
      </c>
      <c r="J38">
        <f>MAX(-fyd_sn,MIN(fyd_sn,200000*0.002*(1-$I38*(7*J$6-3*$D38)/(4*$D38))))-fcd_sn*(1-MIN(1,MAX(0,$I38*(7*J$6-3*$D38)/(4*$D38)))^2)</f>
        <v/>
      </c>
      <c r="K38">
        <f>MAX(-fyd_sn,MIN(fyd_sn,200000*0.002*(1-$I38*(7*K$6-3*$D38)/(4*$D38))))-fcd_sn*(1-MIN(1,MAX(0,$I38*(7*K$6-3*$D38)/(4*$D38)))^2)</f>
        <v/>
      </c>
      <c r="L38">
        <f>MAX(-fyd_sn,MIN(fyd_sn,200000*0.002*(1-$I38*(7*J$9-3*$D38)/(4*$D38))))-fcd_sn*(1-MIN(1,MAX(0,$I38*(7*J$9-3*$D38)/(4*$D38)))^2)</f>
        <v/>
      </c>
      <c r="M38">
        <f>MAX(-fyd_sn,MIN(fyd_sn,200000*0.002*(1-$I38*(7*K$9-3*$D38)/(4*$D38))))-fcd_sn*(1-MIN(1,MAX(0,$I38*(7*K$9-3*$D38)/(4*$D38)))^2)</f>
        <v/>
      </c>
    </row>
    <row r="39">
      <c r="B39" s="49" t="n">
        <v>27</v>
      </c>
      <c r="C39" s="52">
        <f>1.1*sn_h</f>
        <v/>
      </c>
      <c r="D39" s="49">
        <f>MIN($C39,sn_h)</f>
        <v/>
      </c>
      <c r="E39" s="51">
        <f>(fcd_sn*sn_b*$D39*(3/7+4/7*(1-$I39^2/3))+SUMPRODUCT($J$5:$K$5,$J39:$K39))/1000</f>
        <v/>
      </c>
      <c r="F39" s="51">
        <f>(fcd_sn*sn_b*(3/14*$D39*(sn_h-3/7*$D39)+4/7*$D39*(sn_h/2-3/7*$D39)*(1-$I39^2/3)-16/49*$D39^2*(1/2-$I39^2/4))+SUMPRODUCT($J$5:$K$5,$J39:$K39,$J$7:$K$7))/1E6</f>
        <v/>
      </c>
      <c r="G39" s="51">
        <f>(fcd_sn*sn_b*$D39*(3/7+4/7*(1-$I39^2/3))+SUMPRODUCT($J$8:$K$8,$L39:$M39))/1000</f>
        <v/>
      </c>
      <c r="H39" s="51">
        <f>(fcd_sn*sn_b*(3/14*$D39*(sn_h-3/7*$D39)+4/7*$D39*(sn_h/2-3/7*$D39)*(1-$I39^2/3)-16/49*$D39^2*(1/2-$I39^2/4))+SUMPRODUCT($J$8:$K$8,$L39:$M39,$J$10:$K$10))/1E6</f>
        <v/>
      </c>
      <c r="I39">
        <f>IF($C39&lt;=sn_h,1,4/7*sn_h/($C39-3/7*sn_h))</f>
        <v/>
      </c>
      <c r="J39">
        <f>MAX(-fyd_sn,MIN(fyd_sn,200000*0.002*(1-$I39*(7*J$6-3*$D39)/(4*$D39))))-fcd_sn*(1-MIN(1,MAX(0,$I39*(7*J$6-3*$D39)/(4*$D39)))^2)</f>
        <v/>
      </c>
      <c r="K39">
        <f>MAX(-fyd_sn,MIN(fyd_sn,200000*0.002*(1-$I39*(7*K$6-3*$D39)/(4*$D39))))-fcd_sn*(1-MIN(1,MAX(0,$I39*(7*K$6-3*$D39)/(4*$D39)))^2)</f>
        <v/>
      </c>
      <c r="L39">
        <f>MAX(-fyd_sn,MIN(fyd_sn,200000*0.002*(1-$I39*(7*J$9-3*$D39)/(4*$D39))))-fcd_sn*(1-MIN(1,MAX(0,$I39*(7*J$9-3*$D39)/(4*$D39)))^2)</f>
        <v/>
      </c>
      <c r="M39">
        <f>MAX(-fyd_sn,MIN(fyd_sn,200000*0.002*(1-$I39*(7*K$9-3*$D39)/(4*$D39))))-fcd_sn*(1-MIN(1,MAX(0,$I39*(7*K$9-3*$D39)/(4*$D39)))^2)</f>
        <v/>
      </c>
    </row>
    <row r="40">
      <c r="B40" s="49" t="n">
        <v>28</v>
      </c>
      <c r="C40" s="52">
        <f>1.2*sn_h</f>
        <v/>
      </c>
      <c r="D40" s="49">
        <f>MIN($C40,sn_h)</f>
        <v/>
      </c>
      <c r="E40" s="51">
        <f>(fcd_sn*sn_b*$D40*(3/7+4/7*(1-$I40^2/3))+SUMPRODUCT($J$5:$K$5,$J40:$K40))/1000</f>
        <v/>
      </c>
      <c r="F40" s="51">
        <f>(fcd_sn*sn_b*(3/14*$D40*(sn_h-3/7*$D40)+4/7*$D40*(sn_h/2-3/7*$D40)*(1-$I40^2/3)-16/49*$D40^2*(1/2-$I40^2/4))+SUMPRODUCT($J$5:$K$5,$J40:$K40,$J$7:$K$7))/1E6</f>
        <v/>
      </c>
      <c r="G40" s="51">
        <f>(fcd_sn*sn_b*$D40*(3/7+4/7*(1-$I40^2/3))+SUMPRODUCT($J$8:$K$8,$L40:$M40))/1000</f>
        <v/>
      </c>
      <c r="H40" s="51">
        <f>(fcd_sn*sn_b*(3/14*$D40*(sn_h-3/7*$D40)+4/7*$D40*(sn_h/2-3/7*$D40)*(1-$I40^2/3)-16/49*$D40^2*(1/2-$I40^2/4))+SUMPRODUCT($J$8:$K$8,$L40:$M40,$J$10:$K$10))/1E6</f>
        <v/>
      </c>
      <c r="I40">
        <f>IF($C40&lt;=sn_h,1,4/7*sn_h/($C40-3/7*sn_h))</f>
        <v/>
      </c>
      <c r="J40">
        <f>MAX(-fyd_sn,MIN(fyd_sn,200000*0.002*(1-$I40*(7*J$6-3*$D40)/(4*$D40))))-fcd_sn*(1-MIN(1,MAX(0,$I40*(7*J$6-3*$D40)/(4*$D40)))^2)</f>
        <v/>
      </c>
      <c r="K40">
        <f>MAX(-fyd_sn,MIN(fyd_sn,200000*0.002*(1-$I40*(7*K$6-3*$D40)/(4*$D40))))-fcd_sn*(1-MIN(1,MAX(0,$I40*(7*K$6-3*$D40)/(4*$D40)))^2)</f>
        <v/>
      </c>
      <c r="L40">
        <f>MAX(-fyd_sn,MIN(fyd_sn,200000*0.002*(1-$I40*(7*J$9-3*$D40)/(4*$D40))))-fcd_sn*(1-MIN(1,MAX(0,$I40*(7*J$9-3*$D40)/(4*$D40)))^2)</f>
        <v/>
      </c>
      <c r="M40">
        <f>MAX(-fyd_sn,MIN(fyd_sn,200000*0.002*(1-$I40*(7*K$9-3*$D40)/(4*$D40))))-fcd_sn*(1-MIN(1,MAX(0,$I40*(7*K$9-3*$D40)/(4*$D40)))^2)</f>
        <v/>
      </c>
    </row>
    <row r="41">
      <c r="B41" s="49" t="n">
        <v>29</v>
      </c>
      <c r="C41" s="52">
        <f>1.35*sn_h</f>
        <v/>
      </c>
      <c r="D41" s="49">
        <f>MIN($C41,sn_h)</f>
        <v/>
      </c>
      <c r="E41" s="51">
        <f>(fcd_sn*sn_b*$D41*(3/7+4/7*(1-$I41^2/3))+SUMPRODUCT($J$5:$K$5,$J41:$K41))/1000</f>
        <v/>
      </c>
      <c r="F41" s="51">
        <f>(fcd_sn*sn_b*(3/14*$D41*(sn_h-3/7*$D41)+4/7*$D41*(sn_h/2-3/7*$D41)*(1-$I41^2/3)-16/49*$D41^2*(1/2-$I41^2/4))+SUMPRODUCT($J$5:$K$5,$J41:$K41,$J$7:$K$7))/1E6</f>
        <v/>
      </c>
      <c r="G41" s="51">
        <f>(fcd_sn*sn_b*$D41*(3/7+4/7*(1-$I41^2/3))+SUMPRODUCT($J$8:$K$8,$L41:$M41))/1000</f>
        <v/>
      </c>
      <c r="H41" s="51">
        <f>(fcd_sn*sn_b*(3/14*$D41*(sn_h-3/7*$D41)+4/7*$D41*(sn_h/2-3/7*$D41)*(1-$I41^2/3)-16/49*$D41^2*(1/2-$I41^2/4))+SUMPRODUCT($J$8:$K$8,$L41:$M41,$J$10:$K$10))/1E6</f>
        <v/>
      </c>
      <c r="I41">
        <f>IF($C41&lt;=sn_h,1,4/7*sn_h/($C41-3/7*sn_h))</f>
        <v/>
      </c>
      <c r="J41">
        <f>MAX(-fyd_sn,MIN(fyd_sn,200000*0.002*(1-$I41*(7*J$6-3*$D41)/(4*$D41))))-fcd_sn*(1-MIN(1,MAX(0,$I41*(7*J$6-3*$D41)/(4*$D41)))^2)</f>
        <v/>
      </c>
      <c r="K41">
        <f>MAX(-fyd_sn,MIN(fyd_sn,200000*0.002*(1-$I41*(7*K$6-3*$D41)/(4*$D41))))-fcd_sn*(1-MIN(1,MAX(0,$I41*(7*K$6-3*$D41)/(4*$D41)))^2)</f>
        <v/>
      </c>
      <c r="L41">
        <f>MAX(-fyd_sn,MIN(fyd_sn,200000*0.002*(1-$I41*(7*J$9-3*$D41)/(4*$D41))))-fcd_sn*(1-MIN(1,MAX(0,$I41*(7*J$9-3*$D41)/(4*$D41)))^2)</f>
        <v/>
      </c>
      <c r="M41">
        <f>MAX(-fyd_sn,MIN(fyd_sn,200000*0.002*(1-$I41*(7*K$9-3*$D41)/(4*$D41))))-fcd_sn*(1-MIN(1,MAX(0,$I41*(7*K$9-3*$D41)/(4*$D41)))^2)</f>
        <v/>
      </c>
    </row>
    <row r="42">
      <c r="B42" s="49" t="n">
        <v>30</v>
      </c>
      <c r="C42" s="52">
        <f>1.5*sn_h</f>
        <v/>
      </c>
      <c r="D42" s="49">
        <f>MIN($C42,sn_h)</f>
        <v/>
      </c>
      <c r="E42" s="51">
        <f>(fcd_sn*sn_b*$D42*(3/7+4/7*(1-$I42^2/3))+SUMPRODUCT($J$5:$K$5,$J42:$K42))/1000</f>
        <v/>
      </c>
      <c r="F42" s="51">
        <f>(fcd_sn*sn_b*(3/14*$D42*(sn_h-3/7*$D42)+4/7*$D42*(sn_h/2-3/7*$D42)*(1-$I42^2/3)-16/49*$D42^2*(1/2-$I42^2/4))+SUMPRODUCT($J$5:$K$5,$J42:$K42,$J$7:$K$7))/1E6</f>
        <v/>
      </c>
      <c r="G42" s="51">
        <f>(fcd_sn*sn_b*$D42*(3/7+4/7*(1-$I42^2/3))+SUMPRODUCT($J$8:$K$8,$L42:$M42))/1000</f>
        <v/>
      </c>
      <c r="H42" s="51">
        <f>(fcd_sn*sn_b*(3/14*$D42*(sn_h-3/7*$D42)+4/7*$D42*(sn_h/2-3/7*$D42)*(1-$I42^2/3)-16/49*$D42^2*(1/2-$I42^2/4))+SUMPRODUCT($J$8:$K$8,$L42:$M42,$J$10:$K$10))/1E6</f>
        <v/>
      </c>
      <c r="I42">
        <f>IF($C42&lt;=sn_h,1,4/7*sn_h/($C42-3/7*sn_h))</f>
        <v/>
      </c>
      <c r="J42">
        <f>MAX(-fyd_sn,MIN(fyd_sn,200000*0.002*(1-$I42*(7*J$6-3*$D42)/(4*$D42))))-fcd_sn*(1-MIN(1,MAX(0,$I42*(7*J$6-3*$D42)/(4*$D42)))^2)</f>
        <v/>
      </c>
      <c r="K42">
        <f>MAX(-fyd_sn,MIN(fyd_sn,200000*0.002*(1-$I42*(7*K$6-3*$D42)/(4*$D42))))-fcd_sn*(1-MIN(1,MAX(0,$I42*(7*K$6-3*$D42)/(4*$D42)))^2)</f>
        <v/>
      </c>
      <c r="L42">
        <f>MAX(-fyd_sn,MIN(fyd_sn,200000*0.002*(1-$I42*(7*J$9-3*$D42)/(4*$D42))))-fcd_sn*(1-MIN(1,MAX(0,$I42*(7*J$9-3*$D42)/(4*$D42)))^2)</f>
        <v/>
      </c>
      <c r="M42">
        <f>MAX(-fyd_sn,MIN(fyd_sn,200000*0.002*(1-$I42*(7*K$9-3*$D42)/(4*$D42))))-fcd_sn*(1-MIN(1,MAX(0,$I42*(7*K$9-3*$D42)/(4*$D42)))^2)</f>
        <v/>
      </c>
    </row>
    <row r="43">
      <c r="B43" s="49" t="n">
        <v>31</v>
      </c>
      <c r="C43" s="52">
        <f>1.75*sn_h</f>
        <v/>
      </c>
      <c r="D43" s="49">
        <f>MIN($C43,sn_h)</f>
        <v/>
      </c>
      <c r="E43" s="51">
        <f>(fcd_sn*sn_b*$D43*(3/7+4/7*(1-$I43^2/3))+SUMPRODUCT($J$5:$K$5,$J43:$K43))/1000</f>
        <v/>
      </c>
      <c r="F43" s="51">
        <f>(fcd_sn*sn_b*(3/14*$D43*(sn_h-3/7*$D43)+4/7*$D43*(sn_h/2-3/7*$D43)*(1-$I43^2/3)-16/49*$D43^2*(1/2-$I43^2/4))+SUMPRODUCT($J$5:$K$5,$J43:$K43,$J$7:$K$7))/1E6</f>
        <v/>
      </c>
      <c r="G43" s="51">
        <f>(fcd_sn*sn_b*$D43*(3/7+4/7*(1-$I43^2/3))+SUMPRODUCT($J$8:$K$8,$L43:$M43))/1000</f>
        <v/>
      </c>
      <c r="H43" s="51">
        <f>(fcd_sn*sn_b*(3/14*$D43*(sn_h-3/7*$D43)+4/7*$D43*(sn_h/2-3/7*$D43)*(1-$I43^2/3)-16/49*$D43^2*(1/2-$I43^2/4))+SUMPRODUCT($J$8:$K$8,$L43:$M43,$J$10:$K$10))/1E6</f>
        <v/>
      </c>
      <c r="I43">
        <f>IF($C43&lt;=sn_h,1,4/7*sn_h/($C43-3/7*sn_h))</f>
        <v/>
      </c>
      <c r="J43">
        <f>MAX(-fyd_sn,MIN(fyd_sn,200000*0.002*(1-$I43*(7*J$6-3*$D43)/(4*$D43))))-fcd_sn*(1-MIN(1,MAX(0,$I43*(7*J$6-3*$D43)/(4*$D43)))^2)</f>
        <v/>
      </c>
      <c r="K43">
        <f>MAX(-fyd_sn,MIN(fyd_sn,200000*0.002*(1-$I43*(7*K$6-3*$D43)/(4*$D43))))-fcd_sn*(1-MIN(1,MAX(0,$I43*(7*K$6-3*$D43)/(4*$D43)))^2)</f>
        <v/>
      </c>
      <c r="L43">
        <f>MAX(-fyd_sn,MIN(fyd_sn,200000*0.002*(1-$I43*(7*J$9-3*$D43)/(4*$D43))))-fcd_sn*(1-MIN(1,MAX(0,$I43*(7*J$9-3*$D43)/(4*$D43)))^2)</f>
        <v/>
      </c>
      <c r="M43">
        <f>MAX(-fyd_sn,MIN(fyd_sn,200000*0.002*(1-$I43*(7*K$9-3*$D43)/(4*$D43))))-fcd_sn*(1-MIN(1,MAX(0,$I43*(7*K$9-3*$D43)/(4*$D43)))^2)</f>
        <v/>
      </c>
    </row>
    <row r="44">
      <c r="B44" s="49" t="n">
        <v>32</v>
      </c>
      <c r="C44" s="52">
        <f>2*sn_h</f>
        <v/>
      </c>
      <c r="D44" s="49">
        <f>MIN($C44,sn_h)</f>
        <v/>
      </c>
      <c r="E44" s="51">
        <f>(fcd_sn*sn_b*$D44*(3/7+4/7*(1-$I44^2/3))+SUMPRODUCT($J$5:$K$5,$J44:$K44))/1000</f>
        <v/>
      </c>
      <c r="F44" s="51">
        <f>(fcd_sn*sn_b*(3/14*$D44*(sn_h-3/7*$D44)+4/7*$D44*(sn_h/2-3/7*$D44)*(1-$I44^2/3)-16/49*$D44^2*(1/2-$I44^2/4))+SUMPRODUCT($J$5:$K$5,$J44:$K44,$J$7:$K$7))/1E6</f>
        <v/>
      </c>
      <c r="G44" s="51">
        <f>(fcd_sn*sn_b*$D44*(3/7+4/7*(1-$I44^2/3))+SUMPRODUCT($J$8:$K$8,$L44:$M44))/1000</f>
        <v/>
      </c>
      <c r="H44" s="51">
        <f>(fcd_sn*sn_b*(3/14*$D44*(sn_h-3/7*$D44)+4/7*$D44*(sn_h/2-3/7*$D44)*(1-$I44^2/3)-16/49*$D44^2*(1/2-$I44^2/4))+SUMPRODUCT($J$8:$K$8,$L44:$M44,$J$10:$K$10))/1E6</f>
        <v/>
      </c>
      <c r="I44">
        <f>IF($C44&lt;=sn_h,1,4/7*sn_h/($C44-3/7*sn_h))</f>
        <v/>
      </c>
      <c r="J44">
        <f>MAX(-fyd_sn,MIN(fyd_sn,200000*0.002*(1-$I44*(7*J$6-3*$D44)/(4*$D44))))-fcd_sn*(1-MIN(1,MAX(0,$I44*(7*J$6-3*$D44)/(4*$D44)))^2)</f>
        <v/>
      </c>
      <c r="K44">
        <f>MAX(-fyd_sn,MIN(fyd_sn,200000*0.002*(1-$I44*(7*K$6-3*$D44)/(4*$D44))))-fcd_sn*(1-MIN(1,MAX(0,$I44*(7*K$6-3*$D44)/(4*$D44)))^2)</f>
        <v/>
      </c>
      <c r="L44">
        <f>MAX(-fyd_sn,MIN(fyd_sn,200000*0.002*(1-$I44*(7*J$9-3*$D44)/(4*$D44))))-fcd_sn*(1-MIN(1,MAX(0,$I44*(7*J$9-3*$D44)/(4*$D44)))^2)</f>
        <v/>
      </c>
      <c r="M44">
        <f>MAX(-fyd_sn,MIN(fyd_sn,200000*0.002*(1-$I44*(7*K$9-3*$D44)/(4*$D44))))-fcd_sn*(1-MIN(1,MAX(0,$I44*(7*K$9-3*$D44)/(4*$D44)))^2)</f>
        <v/>
      </c>
    </row>
    <row r="45">
      <c r="B45" s="49" t="n">
        <v>33</v>
      </c>
      <c r="C45" s="52">
        <f>2.5*sn_h</f>
        <v/>
      </c>
      <c r="D45" s="49">
        <f>MIN($C45,sn_h)</f>
        <v/>
      </c>
      <c r="E45" s="51">
        <f>(fcd_sn*sn_b*$D45*(3/7+4/7*(1-$I45^2/3))+SUMPRODUCT($J$5:$K$5,$J45:$K45))/1000</f>
        <v/>
      </c>
      <c r="F45" s="51">
        <f>(fcd_sn*sn_b*(3/14*$D45*(sn_h-3/7*$D45)+4/7*$D45*(sn_h/2-3/7*$D45)*(1-$I45^2/3)-16/49*$D45^2*(1/2-$I45^2/4))+SUMPRODUCT($J$5:$K$5,$J45:$K45,$J$7:$K$7))/1E6</f>
        <v/>
      </c>
      <c r="G45" s="51">
        <f>(fcd_sn*sn_b*$D45*(3/7+4/7*(1-$I45^2/3))+SUMPRODUCT($J$8:$K$8,$L45:$M45))/1000</f>
        <v/>
      </c>
      <c r="H45" s="51">
        <f>(fcd_sn*sn_b*(3/14*$D45*(sn_h-3/7*$D45)+4/7*$D45*(sn_h/2-3/7*$D45)*(1-$I45^2/3)-16/49*$D45^2*(1/2-$I45^2/4))+SUMPRODUCT($J$8:$K$8,$L45:$M45,$J$10:$K$10))/1E6</f>
        <v/>
      </c>
      <c r="I45">
        <f>IF($C45&lt;=sn_h,1,4/7*sn_h/($C45-3/7*sn_h))</f>
        <v/>
      </c>
      <c r="J45">
        <f>MAX(-fyd_sn,MIN(fyd_sn,200000*0.002*(1-$I45*(7*J$6-3*$D45)/(4*$D45))))-fcd_sn*(1-MIN(1,MAX(0,$I45*(7*J$6-3*$D45)/(4*$D45)))^2)</f>
        <v/>
      </c>
      <c r="K45">
        <f>MAX(-fyd_sn,MIN(fyd_sn,200000*0.002*(1-$I45*(7*K$6-3*$D45)/(4*$D45))))-fcd_sn*(1-MIN(1,MAX(0,$I45*(7*K$6-3*$D45)/(4*$D45)))^2)</f>
        <v/>
      </c>
      <c r="L45">
        <f>MAX(-fyd_sn,MIN(fyd_sn,200000*0.002*(1-$I45*(7*J$9-3*$D45)/(4*$D45))))-fcd_sn*(1-MIN(1,MAX(0,$I45*(7*J$9-3*$D45)/(4*$D45)))^2)</f>
        <v/>
      </c>
      <c r="M45">
        <f>MAX(-fyd_sn,MIN(fyd_sn,200000*0.002*(1-$I45*(7*K$9-3*$D45)/(4*$D45))))-fcd_sn*(1-MIN(1,MAX(0,$I45*(7*K$9-3*$D45)/(4*$D45)))^2)</f>
        <v/>
      </c>
    </row>
    <row r="46">
      <c r="B46" s="49" t="n">
        <v>34</v>
      </c>
      <c r="C46" s="52">
        <f>3*sn_h</f>
        <v/>
      </c>
      <c r="D46" s="49">
        <f>MIN($C46,sn_h)</f>
        <v/>
      </c>
      <c r="E46" s="51">
        <f>(fcd_sn*sn_b*$D46*(3/7+4/7*(1-$I46^2/3))+SUMPRODUCT($J$5:$K$5,$J46:$K46))/1000</f>
        <v/>
      </c>
      <c r="F46" s="51">
        <f>(fcd_sn*sn_b*(3/14*$D46*(sn_h-3/7*$D46)+4/7*$D46*(sn_h/2-3/7*$D46)*(1-$I46^2/3)-16/49*$D46^2*(1/2-$I46^2/4))+SUMPRODUCT($J$5:$K$5,$J46:$K46,$J$7:$K$7))/1E6</f>
        <v/>
      </c>
      <c r="G46" s="51">
        <f>(fcd_sn*sn_b*$D46*(3/7+4/7*(1-$I46^2/3))+SUMPRODUCT($J$8:$K$8,$L46:$M46))/1000</f>
        <v/>
      </c>
      <c r="H46" s="51">
        <f>(fcd_sn*sn_b*(3/14*$D46*(sn_h-3/7*$D46)+4/7*$D46*(sn_h/2-3/7*$D46)*(1-$I46^2/3)-16/49*$D46^2*(1/2-$I46^2/4))+SUMPRODUCT($J$8:$K$8,$L46:$M46,$J$10:$K$10))/1E6</f>
        <v/>
      </c>
      <c r="I46">
        <f>IF($C46&lt;=sn_h,1,4/7*sn_h/($C46-3/7*sn_h))</f>
        <v/>
      </c>
      <c r="J46">
        <f>MAX(-fyd_sn,MIN(fyd_sn,200000*0.002*(1-$I46*(7*J$6-3*$D46)/(4*$D46))))-fcd_sn*(1-MIN(1,MAX(0,$I46*(7*J$6-3*$D46)/(4*$D46)))^2)</f>
        <v/>
      </c>
      <c r="K46">
        <f>MAX(-fyd_sn,MIN(fyd_sn,200000*0.002*(1-$I46*(7*K$6-3*$D46)/(4*$D46))))-fcd_sn*(1-MIN(1,MAX(0,$I46*(7*K$6-3*$D46)/(4*$D46)))^2)</f>
        <v/>
      </c>
      <c r="L46">
        <f>MAX(-fyd_sn,MIN(fyd_sn,200000*0.002*(1-$I46*(7*J$9-3*$D46)/(4*$D46))))-fcd_sn*(1-MIN(1,MAX(0,$I46*(7*J$9-3*$D46)/(4*$D46)))^2)</f>
        <v/>
      </c>
      <c r="M46">
        <f>MAX(-fyd_sn,MIN(fyd_sn,200000*0.002*(1-$I46*(7*K$9-3*$D46)/(4*$D46))))-fcd_sn*(1-MIN(1,MAX(0,$I46*(7*K$9-3*$D46)/(4*$D46)))^2)</f>
        <v/>
      </c>
    </row>
    <row r="47">
      <c r="B47" s="49" t="n">
        <v>35</v>
      </c>
      <c r="C47" s="52">
        <f>4*sn_h</f>
        <v/>
      </c>
      <c r="D47" s="49">
        <f>MIN($C47,sn_h)</f>
        <v/>
      </c>
      <c r="E47" s="51">
        <f>(fcd_sn*sn_b*$D47*(3/7+4/7*(1-$I47^2/3))+SUMPRODUCT($J$5:$K$5,$J47:$K47))/1000</f>
        <v/>
      </c>
      <c r="F47" s="51">
        <f>(fcd_sn*sn_b*(3/14*$D47*(sn_h-3/7*$D47)+4/7*$D47*(sn_h/2-3/7*$D47)*(1-$I47^2/3)-16/49*$D47^2*(1/2-$I47^2/4))+SUMPRODUCT($J$5:$K$5,$J47:$K47,$J$7:$K$7))/1E6</f>
        <v/>
      </c>
      <c r="G47" s="51">
        <f>(fcd_sn*sn_b*$D47*(3/7+4/7*(1-$I47^2/3))+SUMPRODUCT($J$8:$K$8,$L47:$M47))/1000</f>
        <v/>
      </c>
      <c r="H47" s="51">
        <f>(fcd_sn*sn_b*(3/14*$D47*(sn_h-3/7*$D47)+4/7*$D47*(sn_h/2-3/7*$D47)*(1-$I47^2/3)-16/49*$D47^2*(1/2-$I47^2/4))+SUMPRODUCT($J$8:$K$8,$L47:$M47,$J$10:$K$10))/1E6</f>
        <v/>
      </c>
      <c r="I47">
        <f>IF($C47&lt;=sn_h,1,4/7*sn_h/($C47-3/7*sn_h))</f>
        <v/>
      </c>
      <c r="J47">
        <f>MAX(-fyd_sn,MIN(fyd_sn,200000*0.002*(1-$I47*(7*J$6-3*$D47)/(4*$D47))))-fcd_sn*(1-MIN(1,MAX(0,$I47*(7*J$6-3*$D47)/(4*$D47)))^2)</f>
        <v/>
      </c>
      <c r="K47">
        <f>MAX(-fyd_sn,MIN(fyd_sn,200000*0.002*(1-$I47*(7*K$6-3*$D47)/(4*$D47))))-fcd_sn*(1-MIN(1,MAX(0,$I47*(7*K$6-3*$D47)/(4*$D47)))^2)</f>
        <v/>
      </c>
      <c r="L47">
        <f>MAX(-fyd_sn,MIN(fyd_sn,200000*0.002*(1-$I47*(7*J$9-3*$D47)/(4*$D47))))-fcd_sn*(1-MIN(1,MAX(0,$I47*(7*J$9-3*$D47)/(4*$D47)))^2)</f>
        <v/>
      </c>
      <c r="M47">
        <f>MAX(-fyd_sn,MIN(fyd_sn,200000*0.002*(1-$I47*(7*K$9-3*$D47)/(4*$D47))))-fcd_sn*(1-MIN(1,MAX(0,$I47*(7*K$9-3*$D47)/(4*$D47)))^2)</f>
        <v/>
      </c>
    </row>
    <row r="48">
      <c r="B48" s="49" t="n">
        <v>36</v>
      </c>
      <c r="C48" s="52">
        <f>6*sn_h</f>
        <v/>
      </c>
      <c r="D48" s="49">
        <f>MIN($C48,sn_h)</f>
        <v/>
      </c>
      <c r="E48" s="51">
        <f>(fcd_sn*sn_b*$D48*(3/7+4/7*(1-$I48^2/3))+SUMPRODUCT($J$5:$K$5,$J48:$K48))/1000</f>
        <v/>
      </c>
      <c r="F48" s="51">
        <f>(fcd_sn*sn_b*(3/14*$D48*(sn_h-3/7*$D48)+4/7*$D48*(sn_h/2-3/7*$D48)*(1-$I48^2/3)-16/49*$D48^2*(1/2-$I48^2/4))+SUMPRODUCT($J$5:$K$5,$J48:$K48,$J$7:$K$7))/1E6</f>
        <v/>
      </c>
      <c r="G48" s="51">
        <f>(fcd_sn*sn_b*$D48*(3/7+4/7*(1-$I48^2/3))+SUMPRODUCT($J$8:$K$8,$L48:$M48))/1000</f>
        <v/>
      </c>
      <c r="H48" s="51">
        <f>(fcd_sn*sn_b*(3/14*$D48*(sn_h-3/7*$D48)+4/7*$D48*(sn_h/2-3/7*$D48)*(1-$I48^2/3)-16/49*$D48^2*(1/2-$I48^2/4))+SUMPRODUCT($J$8:$K$8,$L48:$M48,$J$10:$K$10))/1E6</f>
        <v/>
      </c>
      <c r="I48">
        <f>IF($C48&lt;=sn_h,1,4/7*sn_h/($C48-3/7*sn_h))</f>
        <v/>
      </c>
      <c r="J48">
        <f>MAX(-fyd_sn,MIN(fyd_sn,200000*0.002*(1-$I48*(7*J$6-3*$D48)/(4*$D48))))-fcd_sn*(1-MIN(1,MAX(0,$I48*(7*J$6-3*$D48)/(4*$D48)))^2)</f>
        <v/>
      </c>
      <c r="K48">
        <f>MAX(-fyd_sn,MIN(fyd_sn,200000*0.002*(1-$I48*(7*K$6-3*$D48)/(4*$D48))))-fcd_sn*(1-MIN(1,MAX(0,$I48*(7*K$6-3*$D48)/(4*$D48)))^2)</f>
        <v/>
      </c>
      <c r="L48">
        <f>MAX(-fyd_sn,MIN(fyd_sn,200000*0.002*(1-$I48*(7*J$9-3*$D48)/(4*$D48))))-fcd_sn*(1-MIN(1,MAX(0,$I48*(7*J$9-3*$D48)/(4*$D48)))^2)</f>
        <v/>
      </c>
      <c r="M48">
        <f>MAX(-fyd_sn,MIN(fyd_sn,200000*0.002*(1-$I48*(7*K$9-3*$D48)/(4*$D48))))-fcd_sn*(1-MIN(1,MAX(0,$I48*(7*K$9-3*$D48)/(4*$D48)))^2)</f>
        <v/>
      </c>
    </row>
    <row r="49">
      <c r="B49" s="49" t="n">
        <v>37</v>
      </c>
      <c r="C49" s="52">
        <f>10*sn_h</f>
        <v/>
      </c>
      <c r="D49" s="49">
        <f>MIN($C49,sn_h)</f>
        <v/>
      </c>
      <c r="E49" s="51">
        <f>(fcd_sn*sn_b*$D49*(3/7+4/7*(1-$I49^2/3))+SUMPRODUCT($J$5:$K$5,$J49:$K49))/1000</f>
        <v/>
      </c>
      <c r="F49" s="51">
        <f>(fcd_sn*sn_b*(3/14*$D49*(sn_h-3/7*$D49)+4/7*$D49*(sn_h/2-3/7*$D49)*(1-$I49^2/3)-16/49*$D49^2*(1/2-$I49^2/4))+SUMPRODUCT($J$5:$K$5,$J49:$K49,$J$7:$K$7))/1E6</f>
        <v/>
      </c>
      <c r="G49" s="51">
        <f>(fcd_sn*sn_b*$D49*(3/7+4/7*(1-$I49^2/3))+SUMPRODUCT($J$8:$K$8,$L49:$M49))/1000</f>
        <v/>
      </c>
      <c r="H49" s="51">
        <f>(fcd_sn*sn_b*(3/14*$D49*(sn_h-3/7*$D49)+4/7*$D49*(sn_h/2-3/7*$D49)*(1-$I49^2/3)-16/49*$D49^2*(1/2-$I49^2/4))+SUMPRODUCT($J$8:$K$8,$L49:$M49,$J$10:$K$10))/1E6</f>
        <v/>
      </c>
      <c r="I49">
        <f>IF($C49&lt;=sn_h,1,4/7*sn_h/($C49-3/7*sn_h))</f>
        <v/>
      </c>
      <c r="J49">
        <f>MAX(-fyd_sn,MIN(fyd_sn,200000*0.002*(1-$I49*(7*J$6-3*$D49)/(4*$D49))))-fcd_sn*(1-MIN(1,MAX(0,$I49*(7*J$6-3*$D49)/(4*$D49)))^2)</f>
        <v/>
      </c>
      <c r="K49">
        <f>MAX(-fyd_sn,MIN(fyd_sn,200000*0.002*(1-$I49*(7*K$6-3*$D49)/(4*$D49))))-fcd_sn*(1-MIN(1,MAX(0,$I49*(7*K$6-3*$D49)/(4*$D49)))^2)</f>
        <v/>
      </c>
      <c r="L49">
        <f>MAX(-fyd_sn,MIN(fyd_sn,200000*0.002*(1-$I49*(7*J$9-3*$D49)/(4*$D49))))-fcd_sn*(1-MIN(1,MAX(0,$I49*(7*J$9-3*$D49)/(4*$D49)))^2)</f>
        <v/>
      </c>
      <c r="M49">
        <f>MAX(-fyd_sn,MIN(fyd_sn,200000*0.002*(1-$I49*(7*K$9-3*$D49)/(4*$D49))))-fcd_sn*(1-MIN(1,MAX(0,$I49*(7*K$9-3*$D49)/(4*$D49)))^2)</f>
        <v/>
      </c>
    </row>
    <row r="50">
      <c r="B50" s="49" t="n">
        <v>38</v>
      </c>
      <c r="C50" s="52">
        <f>25*sn_h</f>
        <v/>
      </c>
      <c r="D50" s="49">
        <f>MIN($C50,sn_h)</f>
        <v/>
      </c>
      <c r="E50" s="51">
        <f>(fcd_sn*sn_b*$D50*(3/7+4/7*(1-$I50^2/3))+SUMPRODUCT($J$5:$K$5,$J50:$K50))/1000</f>
        <v/>
      </c>
      <c r="F50" s="51">
        <f>(fcd_sn*sn_b*(3/14*$D50*(sn_h-3/7*$D50)+4/7*$D50*(sn_h/2-3/7*$D50)*(1-$I50^2/3)-16/49*$D50^2*(1/2-$I50^2/4))+SUMPRODUCT($J$5:$K$5,$J50:$K50,$J$7:$K$7))/1E6</f>
        <v/>
      </c>
      <c r="G50" s="51">
        <f>(fcd_sn*sn_b*$D50*(3/7+4/7*(1-$I50^2/3))+SUMPRODUCT($J$8:$K$8,$L50:$M50))/1000</f>
        <v/>
      </c>
      <c r="H50" s="51">
        <f>(fcd_sn*sn_b*(3/14*$D50*(sn_h-3/7*$D50)+4/7*$D50*(sn_h/2-3/7*$D50)*(1-$I50^2/3)-16/49*$D50^2*(1/2-$I50^2/4))+SUMPRODUCT($J$8:$K$8,$L50:$M50,$J$10:$K$10))/1E6</f>
        <v/>
      </c>
      <c r="I50">
        <f>IF($C50&lt;=sn_h,1,4/7*sn_h/($C50-3/7*sn_h))</f>
        <v/>
      </c>
      <c r="J50">
        <f>MAX(-fyd_sn,MIN(fyd_sn,200000*0.002*(1-$I50*(7*J$6-3*$D50)/(4*$D50))))-fcd_sn*(1-MIN(1,MAX(0,$I50*(7*J$6-3*$D50)/(4*$D50)))^2)</f>
        <v/>
      </c>
      <c r="K50">
        <f>MAX(-fyd_sn,MIN(fyd_sn,200000*0.002*(1-$I50*(7*K$6-3*$D50)/(4*$D50))))-fcd_sn*(1-MIN(1,MAX(0,$I50*(7*K$6-3*$D50)/(4*$D50)))^2)</f>
        <v/>
      </c>
      <c r="L50">
        <f>MAX(-fyd_sn,MIN(fyd_sn,200000*0.002*(1-$I50*(7*J$9-3*$D50)/(4*$D50))))-fcd_sn*(1-MIN(1,MAX(0,$I50*(7*J$9-3*$D50)/(4*$D50)))^2)</f>
        <v/>
      </c>
      <c r="M50">
        <f>MAX(-fyd_sn,MIN(fyd_sn,200000*0.002*(1-$I50*(7*K$9-3*$D50)/(4*$D50))))-fcd_sn*(1-MIN(1,MAX(0,$I50*(7*K$9-3*$D50)/(4*$D50)))^2)</f>
        <v/>
      </c>
    </row>
    <row r="51">
      <c r="B51" s="49" t="n">
        <v>39</v>
      </c>
      <c r="C51" s="52">
        <f>IF($I51&gt;=1,$D51,3/7*sn_h+4/7*sn_h/MAX($I51,1E-12))</f>
        <v/>
      </c>
      <c r="D51" s="49">
        <f>sn_h</f>
        <v/>
      </c>
      <c r="E51" s="51">
        <f>(fcd_sn*sn_b*$D51*(3/7+4/7*(1-$I51^2/3))+SUMPRODUCT($J$5:$K$5,$J51:$K51))/1000</f>
        <v/>
      </c>
      <c r="F51" s="51">
        <f>(fcd_sn*sn_b*(3/14*$D51*(sn_h-3/7*$D51)+4/7*$D51*(sn_h/2-3/7*$D51)*(1-$I51^2/3)-16/49*$D51^2*(1/2-$I51^2/4))+SUMPRODUCT($J$5:$K$5,$J51:$K51,$J$7:$K$7))/1E6</f>
        <v/>
      </c>
      <c r="G51" s="51">
        <f>(fcd_sn*sn_b*$D51*(3/7+4/7*(1-$I51^2/3))+SUMPRODUCT($J$8:$K$8,$L51:$M51))/1000</f>
        <v/>
      </c>
      <c r="H51" s="51">
        <f>(fcd_sn*sn_b*(3/14*$D51*(sn_h-3/7*$D51)+4/7*$D51*(sn_h/2-3/7*$D51)*(1-$I51^2/3)-16/49*$D51^2*(1/2-$I51^2/4))+SUMPRODUCT($J$8:$K$8,$L51:$M51,$J$10:$K$10))/1E6</f>
        <v/>
      </c>
      <c r="I51" t="n">
        <v>0</v>
      </c>
      <c r="J51">
        <f>MAX(-fyd_sn,MIN(fyd_sn,200000*0.002*(1-$I51*(7*J$6-3*$D51)/(4*$D51))))-fcd_sn*(1-MIN(1,MAX(0,$I51*(7*J$6-3*$D51)/(4*$D51)))^2)</f>
        <v/>
      </c>
      <c r="K51">
        <f>MAX(-fyd_sn,MIN(fyd_sn,200000*0.002*(1-$I51*(7*K$6-3*$D51)/(4*$D51))))-fcd_sn*(1-MIN(1,MAX(0,$I51*(7*K$6-3*$D51)/(4*$D51)))^2)</f>
        <v/>
      </c>
      <c r="L51">
        <f>MAX(-fyd_sn,MIN(fyd_sn,200000*0.002*(1-$I51*(7*J$9-3*$D51)/(4*$D51))))-fcd_sn*(1-MIN(1,MAX(0,$I51*(7*J$9-3*$D51)/(4*$D51)))^2)</f>
        <v/>
      </c>
      <c r="M51">
        <f>MAX(-fyd_sn,MIN(fyd_sn,200000*0.002*(1-$I51*(7*K$9-3*$D51)/(4*$D51))))-fcd_sn*(1-MIN(1,MAX(0,$I51*(7*K$9-3*$D51)/(4*$D51)))^2)</f>
        <v/>
      </c>
    </row>
    <row r="53">
      <c r="B53" s="53" t="inlineStr">
        <is>
          <t>The table draws the curves. x ≤ h (one root on each face, every strain and so N rising with x): bisection on s = x / h until N = NEd.</t>
        </is>
      </c>
    </row>
    <row r="54">
      <c r="B54" s="54" t="inlineStr">
        <is>
          <t>Top face compressed, x ≤ h</t>
        </is>
      </c>
    </row>
    <row r="55">
      <c r="B55" s="48" t="inlineStr">
        <is>
          <t>step</t>
        </is>
      </c>
      <c r="C55" s="48" t="inlineStr">
        <is>
          <t>s low</t>
        </is>
      </c>
      <c r="D55" s="48" t="inlineStr">
        <is>
          <t>s high</t>
        </is>
      </c>
      <c r="E55" s="48" t="inlineStr">
        <is>
          <t>x (mm)</t>
        </is>
      </c>
      <c r="F55" s="48" t="inlineStr"/>
      <c r="G55" s="48" t="inlineStr">
        <is>
          <t>N (kN)</t>
        </is>
      </c>
      <c r="H55" s="48" t="inlineStr">
        <is>
          <t>M (kNm)</t>
        </is>
      </c>
    </row>
    <row r="56">
      <c r="B56" s="55" t="n">
        <v>1</v>
      </c>
      <c r="C56" s="56" t="n">
        <v>0</v>
      </c>
      <c r="D56" s="56" t="n">
        <v>1</v>
      </c>
      <c r="E56" s="57">
        <f>sn_h*(($C56+$D56)/2)</f>
        <v/>
      </c>
      <c r="G56" s="57">
        <f>(fcd_sn*sn_b*$E56*(3/7+4/7*(1-1^2/3))+SUMPRODUCT($J$5:$K$5,$J56:$K56))/1000</f>
        <v/>
      </c>
      <c r="H56" s="57">
        <f>(fcd_sn*sn_b*(3/14*$E56*(sn_h-3/7*$E56)+4/7*$E56*(sn_h/2-3/7*$E56)*(1-1^2/3)-16/49*$E56^2*(1/2-1^2/4))+SUMPRODUCT($J$5:$K$5,$J56:$K56,$J$7:$K$7))/1E6</f>
        <v/>
      </c>
      <c r="J56">
        <f>MAX(-fyd_sn,MIN(fyd_sn,200000*0.002*(1-1*(7*J$6-3*$E56)/(4*$E56))))-fcd_sn*(1-MIN(1,MAX(0,1*(7*J$6-3*$E56)/(4*$E56)))^2)</f>
        <v/>
      </c>
      <c r="K56">
        <f>MAX(-fyd_sn,MIN(fyd_sn,200000*0.002*(1-1*(7*K$6-3*$E56)/(4*$E56))))-fcd_sn*(1-MIN(1,MAX(0,1*(7*K$6-3*$E56)/(4*$E56)))^2)</f>
        <v/>
      </c>
    </row>
    <row r="57">
      <c r="B57" s="55" t="n">
        <v>2</v>
      </c>
      <c r="C57" s="56">
        <f>IF($G56&lt;sn_N,($C56+$D56)/2,$C56)</f>
        <v/>
      </c>
      <c r="D57" s="56">
        <f>IF($G56&lt;sn_N,$D56,($C56+$D56)/2)</f>
        <v/>
      </c>
      <c r="E57" s="57">
        <f>sn_h*(($C57+$D57)/2)</f>
        <v/>
      </c>
      <c r="G57" s="57">
        <f>(fcd_sn*sn_b*$E57*(3/7+4/7*(1-1^2/3))+SUMPRODUCT($J$5:$K$5,$J57:$K57))/1000</f>
        <v/>
      </c>
      <c r="H57" s="57">
        <f>(fcd_sn*sn_b*(3/14*$E57*(sn_h-3/7*$E57)+4/7*$E57*(sn_h/2-3/7*$E57)*(1-1^2/3)-16/49*$E57^2*(1/2-1^2/4))+SUMPRODUCT($J$5:$K$5,$J57:$K57,$J$7:$K$7))/1E6</f>
        <v/>
      </c>
      <c r="J57">
        <f>MAX(-fyd_sn,MIN(fyd_sn,200000*0.002*(1-1*(7*J$6-3*$E57)/(4*$E57))))-fcd_sn*(1-MIN(1,MAX(0,1*(7*J$6-3*$E57)/(4*$E57)))^2)</f>
        <v/>
      </c>
      <c r="K57">
        <f>MAX(-fyd_sn,MIN(fyd_sn,200000*0.002*(1-1*(7*K$6-3*$E57)/(4*$E57))))-fcd_sn*(1-MIN(1,MAX(0,1*(7*K$6-3*$E57)/(4*$E57)))^2)</f>
        <v/>
      </c>
    </row>
    <row r="58">
      <c r="B58" s="55" t="n">
        <v>3</v>
      </c>
      <c r="C58" s="56">
        <f>IF($G57&lt;sn_N,($C57+$D57)/2,$C57)</f>
        <v/>
      </c>
      <c r="D58" s="56">
        <f>IF($G57&lt;sn_N,$D57,($C57+$D57)/2)</f>
        <v/>
      </c>
      <c r="E58" s="57">
        <f>sn_h*(($C58+$D58)/2)</f>
        <v/>
      </c>
      <c r="G58" s="57">
        <f>(fcd_sn*sn_b*$E58*(3/7+4/7*(1-1^2/3))+SUMPRODUCT($J$5:$K$5,$J58:$K58))/1000</f>
        <v/>
      </c>
      <c r="H58" s="57">
        <f>(fcd_sn*sn_b*(3/14*$E58*(sn_h-3/7*$E58)+4/7*$E58*(sn_h/2-3/7*$E58)*(1-1^2/3)-16/49*$E58^2*(1/2-1^2/4))+SUMPRODUCT($J$5:$K$5,$J58:$K58,$J$7:$K$7))/1E6</f>
        <v/>
      </c>
      <c r="J58">
        <f>MAX(-fyd_sn,MIN(fyd_sn,200000*0.002*(1-1*(7*J$6-3*$E58)/(4*$E58))))-fcd_sn*(1-MIN(1,MAX(0,1*(7*J$6-3*$E58)/(4*$E58)))^2)</f>
        <v/>
      </c>
      <c r="K58">
        <f>MAX(-fyd_sn,MIN(fyd_sn,200000*0.002*(1-1*(7*K$6-3*$E58)/(4*$E58))))-fcd_sn*(1-MIN(1,MAX(0,1*(7*K$6-3*$E58)/(4*$E58)))^2)</f>
        <v/>
      </c>
    </row>
    <row r="59">
      <c r="B59" s="55" t="n">
        <v>4</v>
      </c>
      <c r="C59" s="56">
        <f>IF($G58&lt;sn_N,($C58+$D58)/2,$C58)</f>
        <v/>
      </c>
      <c r="D59" s="56">
        <f>IF($G58&lt;sn_N,$D58,($C58+$D58)/2)</f>
        <v/>
      </c>
      <c r="E59" s="57">
        <f>sn_h*(($C59+$D59)/2)</f>
        <v/>
      </c>
      <c r="G59" s="57">
        <f>(fcd_sn*sn_b*$E59*(3/7+4/7*(1-1^2/3))+SUMPRODUCT($J$5:$K$5,$J59:$K59))/1000</f>
        <v/>
      </c>
      <c r="H59" s="57">
        <f>(fcd_sn*sn_b*(3/14*$E59*(sn_h-3/7*$E59)+4/7*$E59*(sn_h/2-3/7*$E59)*(1-1^2/3)-16/49*$E59^2*(1/2-1^2/4))+SUMPRODUCT($J$5:$K$5,$J59:$K59,$J$7:$K$7))/1E6</f>
        <v/>
      </c>
      <c r="J59">
        <f>MAX(-fyd_sn,MIN(fyd_sn,200000*0.002*(1-1*(7*J$6-3*$E59)/(4*$E59))))-fcd_sn*(1-MIN(1,MAX(0,1*(7*J$6-3*$E59)/(4*$E59)))^2)</f>
        <v/>
      </c>
      <c r="K59">
        <f>MAX(-fyd_sn,MIN(fyd_sn,200000*0.002*(1-1*(7*K$6-3*$E59)/(4*$E59))))-fcd_sn*(1-MIN(1,MAX(0,1*(7*K$6-3*$E59)/(4*$E59)))^2)</f>
        <v/>
      </c>
    </row>
    <row r="60">
      <c r="B60" s="55" t="n">
        <v>5</v>
      </c>
      <c r="C60" s="56">
        <f>IF($G59&lt;sn_N,($C59+$D59)/2,$C59)</f>
        <v/>
      </c>
      <c r="D60" s="56">
        <f>IF($G59&lt;sn_N,$D59,($C59+$D59)/2)</f>
        <v/>
      </c>
      <c r="E60" s="57">
        <f>sn_h*(($C60+$D60)/2)</f>
        <v/>
      </c>
      <c r="G60" s="57">
        <f>(fcd_sn*sn_b*$E60*(3/7+4/7*(1-1^2/3))+SUMPRODUCT($J$5:$K$5,$J60:$K60))/1000</f>
        <v/>
      </c>
      <c r="H60" s="57">
        <f>(fcd_sn*sn_b*(3/14*$E60*(sn_h-3/7*$E60)+4/7*$E60*(sn_h/2-3/7*$E60)*(1-1^2/3)-16/49*$E60^2*(1/2-1^2/4))+SUMPRODUCT($J$5:$K$5,$J60:$K60,$J$7:$K$7))/1E6</f>
        <v/>
      </c>
      <c r="J60">
        <f>MAX(-fyd_sn,MIN(fyd_sn,200000*0.002*(1-1*(7*J$6-3*$E60)/(4*$E60))))-fcd_sn*(1-MIN(1,MAX(0,1*(7*J$6-3*$E60)/(4*$E60)))^2)</f>
        <v/>
      </c>
      <c r="K60">
        <f>MAX(-fyd_sn,MIN(fyd_sn,200000*0.002*(1-1*(7*K$6-3*$E60)/(4*$E60))))-fcd_sn*(1-MIN(1,MAX(0,1*(7*K$6-3*$E60)/(4*$E60)))^2)</f>
        <v/>
      </c>
    </row>
    <row r="61">
      <c r="B61" s="55" t="n">
        <v>6</v>
      </c>
      <c r="C61" s="56">
        <f>IF($G60&lt;sn_N,($C60+$D60)/2,$C60)</f>
        <v/>
      </c>
      <c r="D61" s="56">
        <f>IF($G60&lt;sn_N,$D60,($C60+$D60)/2)</f>
        <v/>
      </c>
      <c r="E61" s="57">
        <f>sn_h*(($C61+$D61)/2)</f>
        <v/>
      </c>
      <c r="G61" s="57">
        <f>(fcd_sn*sn_b*$E61*(3/7+4/7*(1-1^2/3))+SUMPRODUCT($J$5:$K$5,$J61:$K61))/1000</f>
        <v/>
      </c>
      <c r="H61" s="57">
        <f>(fcd_sn*sn_b*(3/14*$E61*(sn_h-3/7*$E61)+4/7*$E61*(sn_h/2-3/7*$E61)*(1-1^2/3)-16/49*$E61^2*(1/2-1^2/4))+SUMPRODUCT($J$5:$K$5,$J61:$K61,$J$7:$K$7))/1E6</f>
        <v/>
      </c>
      <c r="J61">
        <f>MAX(-fyd_sn,MIN(fyd_sn,200000*0.002*(1-1*(7*J$6-3*$E61)/(4*$E61))))-fcd_sn*(1-MIN(1,MAX(0,1*(7*J$6-3*$E61)/(4*$E61)))^2)</f>
        <v/>
      </c>
      <c r="K61">
        <f>MAX(-fyd_sn,MIN(fyd_sn,200000*0.002*(1-1*(7*K$6-3*$E61)/(4*$E61))))-fcd_sn*(1-MIN(1,MAX(0,1*(7*K$6-3*$E61)/(4*$E61)))^2)</f>
        <v/>
      </c>
    </row>
    <row r="62">
      <c r="B62" s="55" t="n">
        <v>7</v>
      </c>
      <c r="C62" s="56">
        <f>IF($G61&lt;sn_N,($C61+$D61)/2,$C61)</f>
        <v/>
      </c>
      <c r="D62" s="56">
        <f>IF($G61&lt;sn_N,$D61,($C61+$D61)/2)</f>
        <v/>
      </c>
      <c r="E62" s="57">
        <f>sn_h*(($C62+$D62)/2)</f>
        <v/>
      </c>
      <c r="G62" s="57">
        <f>(fcd_sn*sn_b*$E62*(3/7+4/7*(1-1^2/3))+SUMPRODUCT($J$5:$K$5,$J62:$K62))/1000</f>
        <v/>
      </c>
      <c r="H62" s="57">
        <f>(fcd_sn*sn_b*(3/14*$E62*(sn_h-3/7*$E62)+4/7*$E62*(sn_h/2-3/7*$E62)*(1-1^2/3)-16/49*$E62^2*(1/2-1^2/4))+SUMPRODUCT($J$5:$K$5,$J62:$K62,$J$7:$K$7))/1E6</f>
        <v/>
      </c>
      <c r="J62">
        <f>MAX(-fyd_sn,MIN(fyd_sn,200000*0.002*(1-1*(7*J$6-3*$E62)/(4*$E62))))-fcd_sn*(1-MIN(1,MAX(0,1*(7*J$6-3*$E62)/(4*$E62)))^2)</f>
        <v/>
      </c>
      <c r="K62">
        <f>MAX(-fyd_sn,MIN(fyd_sn,200000*0.002*(1-1*(7*K$6-3*$E62)/(4*$E62))))-fcd_sn*(1-MIN(1,MAX(0,1*(7*K$6-3*$E62)/(4*$E62)))^2)</f>
        <v/>
      </c>
    </row>
    <row r="63">
      <c r="B63" s="55" t="n">
        <v>8</v>
      </c>
      <c r="C63" s="56">
        <f>IF($G62&lt;sn_N,($C62+$D62)/2,$C62)</f>
        <v/>
      </c>
      <c r="D63" s="56">
        <f>IF($G62&lt;sn_N,$D62,($C62+$D62)/2)</f>
        <v/>
      </c>
      <c r="E63" s="57">
        <f>sn_h*(($C63+$D63)/2)</f>
        <v/>
      </c>
      <c r="G63" s="57">
        <f>(fcd_sn*sn_b*$E63*(3/7+4/7*(1-1^2/3))+SUMPRODUCT($J$5:$K$5,$J63:$K63))/1000</f>
        <v/>
      </c>
      <c r="H63" s="57">
        <f>(fcd_sn*sn_b*(3/14*$E63*(sn_h-3/7*$E63)+4/7*$E63*(sn_h/2-3/7*$E63)*(1-1^2/3)-16/49*$E63^2*(1/2-1^2/4))+SUMPRODUCT($J$5:$K$5,$J63:$K63,$J$7:$K$7))/1E6</f>
        <v/>
      </c>
      <c r="J63">
        <f>MAX(-fyd_sn,MIN(fyd_sn,200000*0.002*(1-1*(7*J$6-3*$E63)/(4*$E63))))-fcd_sn*(1-MIN(1,MAX(0,1*(7*J$6-3*$E63)/(4*$E63)))^2)</f>
        <v/>
      </c>
      <c r="K63">
        <f>MAX(-fyd_sn,MIN(fyd_sn,200000*0.002*(1-1*(7*K$6-3*$E63)/(4*$E63))))-fcd_sn*(1-MIN(1,MAX(0,1*(7*K$6-3*$E63)/(4*$E63)))^2)</f>
        <v/>
      </c>
    </row>
    <row r="64">
      <c r="B64" s="55" t="n">
        <v>9</v>
      </c>
      <c r="C64" s="56">
        <f>IF($G63&lt;sn_N,($C63+$D63)/2,$C63)</f>
        <v/>
      </c>
      <c r="D64" s="56">
        <f>IF($G63&lt;sn_N,$D63,($C63+$D63)/2)</f>
        <v/>
      </c>
      <c r="E64" s="57">
        <f>sn_h*(($C64+$D64)/2)</f>
        <v/>
      </c>
      <c r="G64" s="57">
        <f>(fcd_sn*sn_b*$E64*(3/7+4/7*(1-1^2/3))+SUMPRODUCT($J$5:$K$5,$J64:$K64))/1000</f>
        <v/>
      </c>
      <c r="H64" s="57">
        <f>(fcd_sn*sn_b*(3/14*$E64*(sn_h-3/7*$E64)+4/7*$E64*(sn_h/2-3/7*$E64)*(1-1^2/3)-16/49*$E64^2*(1/2-1^2/4))+SUMPRODUCT($J$5:$K$5,$J64:$K64,$J$7:$K$7))/1E6</f>
        <v/>
      </c>
      <c r="J64">
        <f>MAX(-fyd_sn,MIN(fyd_sn,200000*0.002*(1-1*(7*J$6-3*$E64)/(4*$E64))))-fcd_sn*(1-MIN(1,MAX(0,1*(7*J$6-3*$E64)/(4*$E64)))^2)</f>
        <v/>
      </c>
      <c r="K64">
        <f>MAX(-fyd_sn,MIN(fyd_sn,200000*0.002*(1-1*(7*K$6-3*$E64)/(4*$E64))))-fcd_sn*(1-MIN(1,MAX(0,1*(7*K$6-3*$E64)/(4*$E64)))^2)</f>
        <v/>
      </c>
    </row>
    <row r="65">
      <c r="B65" s="55" t="n">
        <v>10</v>
      </c>
      <c r="C65" s="56">
        <f>IF($G64&lt;sn_N,($C64+$D64)/2,$C64)</f>
        <v/>
      </c>
      <c r="D65" s="56">
        <f>IF($G64&lt;sn_N,$D64,($C64+$D64)/2)</f>
        <v/>
      </c>
      <c r="E65" s="57">
        <f>sn_h*(($C65+$D65)/2)</f>
        <v/>
      </c>
      <c r="G65" s="57">
        <f>(fcd_sn*sn_b*$E65*(3/7+4/7*(1-1^2/3))+SUMPRODUCT($J$5:$K$5,$J65:$K65))/1000</f>
        <v/>
      </c>
      <c r="H65" s="57">
        <f>(fcd_sn*sn_b*(3/14*$E65*(sn_h-3/7*$E65)+4/7*$E65*(sn_h/2-3/7*$E65)*(1-1^2/3)-16/49*$E65^2*(1/2-1^2/4))+SUMPRODUCT($J$5:$K$5,$J65:$K65,$J$7:$K$7))/1E6</f>
        <v/>
      </c>
      <c r="J65">
        <f>MAX(-fyd_sn,MIN(fyd_sn,200000*0.002*(1-1*(7*J$6-3*$E65)/(4*$E65))))-fcd_sn*(1-MIN(1,MAX(0,1*(7*J$6-3*$E65)/(4*$E65)))^2)</f>
        <v/>
      </c>
      <c r="K65">
        <f>MAX(-fyd_sn,MIN(fyd_sn,200000*0.002*(1-1*(7*K$6-3*$E65)/(4*$E65))))-fcd_sn*(1-MIN(1,MAX(0,1*(7*K$6-3*$E65)/(4*$E65)))^2)</f>
        <v/>
      </c>
    </row>
    <row r="66">
      <c r="B66" s="55" t="n">
        <v>11</v>
      </c>
      <c r="C66" s="56">
        <f>IF($G65&lt;sn_N,($C65+$D65)/2,$C65)</f>
        <v/>
      </c>
      <c r="D66" s="56">
        <f>IF($G65&lt;sn_N,$D65,($C65+$D65)/2)</f>
        <v/>
      </c>
      <c r="E66" s="57">
        <f>sn_h*(($C66+$D66)/2)</f>
        <v/>
      </c>
      <c r="G66" s="57">
        <f>(fcd_sn*sn_b*$E66*(3/7+4/7*(1-1^2/3))+SUMPRODUCT($J$5:$K$5,$J66:$K66))/1000</f>
        <v/>
      </c>
      <c r="H66" s="57">
        <f>(fcd_sn*sn_b*(3/14*$E66*(sn_h-3/7*$E66)+4/7*$E66*(sn_h/2-3/7*$E66)*(1-1^2/3)-16/49*$E66^2*(1/2-1^2/4))+SUMPRODUCT($J$5:$K$5,$J66:$K66,$J$7:$K$7))/1E6</f>
        <v/>
      </c>
      <c r="J66">
        <f>MAX(-fyd_sn,MIN(fyd_sn,200000*0.002*(1-1*(7*J$6-3*$E66)/(4*$E66))))-fcd_sn*(1-MIN(1,MAX(0,1*(7*J$6-3*$E66)/(4*$E66)))^2)</f>
        <v/>
      </c>
      <c r="K66">
        <f>MAX(-fyd_sn,MIN(fyd_sn,200000*0.002*(1-1*(7*K$6-3*$E66)/(4*$E66))))-fcd_sn*(1-MIN(1,MAX(0,1*(7*K$6-3*$E66)/(4*$E66)))^2)</f>
        <v/>
      </c>
    </row>
    <row r="67">
      <c r="B67" s="55" t="n">
        <v>12</v>
      </c>
      <c r="C67" s="56">
        <f>IF($G66&lt;sn_N,($C66+$D66)/2,$C66)</f>
        <v/>
      </c>
      <c r="D67" s="56">
        <f>IF($G66&lt;sn_N,$D66,($C66+$D66)/2)</f>
        <v/>
      </c>
      <c r="E67" s="57">
        <f>sn_h*(($C67+$D67)/2)</f>
        <v/>
      </c>
      <c r="G67" s="57">
        <f>(fcd_sn*sn_b*$E67*(3/7+4/7*(1-1^2/3))+SUMPRODUCT($J$5:$K$5,$J67:$K67))/1000</f>
        <v/>
      </c>
      <c r="H67" s="57">
        <f>(fcd_sn*sn_b*(3/14*$E67*(sn_h-3/7*$E67)+4/7*$E67*(sn_h/2-3/7*$E67)*(1-1^2/3)-16/49*$E67^2*(1/2-1^2/4))+SUMPRODUCT($J$5:$K$5,$J67:$K67,$J$7:$K$7))/1E6</f>
        <v/>
      </c>
      <c r="J67">
        <f>MAX(-fyd_sn,MIN(fyd_sn,200000*0.002*(1-1*(7*J$6-3*$E67)/(4*$E67))))-fcd_sn*(1-MIN(1,MAX(0,1*(7*J$6-3*$E67)/(4*$E67)))^2)</f>
        <v/>
      </c>
      <c r="K67">
        <f>MAX(-fyd_sn,MIN(fyd_sn,200000*0.002*(1-1*(7*K$6-3*$E67)/(4*$E67))))-fcd_sn*(1-MIN(1,MAX(0,1*(7*K$6-3*$E67)/(4*$E67)))^2)</f>
        <v/>
      </c>
    </row>
    <row r="68">
      <c r="B68" s="55" t="n">
        <v>13</v>
      </c>
      <c r="C68" s="56">
        <f>IF($G67&lt;sn_N,($C67+$D67)/2,$C67)</f>
        <v/>
      </c>
      <c r="D68" s="56">
        <f>IF($G67&lt;sn_N,$D67,($C67+$D67)/2)</f>
        <v/>
      </c>
      <c r="E68" s="57">
        <f>sn_h*(($C68+$D68)/2)</f>
        <v/>
      </c>
      <c r="G68" s="57">
        <f>(fcd_sn*sn_b*$E68*(3/7+4/7*(1-1^2/3))+SUMPRODUCT($J$5:$K$5,$J68:$K68))/1000</f>
        <v/>
      </c>
      <c r="H68" s="57">
        <f>(fcd_sn*sn_b*(3/14*$E68*(sn_h-3/7*$E68)+4/7*$E68*(sn_h/2-3/7*$E68)*(1-1^2/3)-16/49*$E68^2*(1/2-1^2/4))+SUMPRODUCT($J$5:$K$5,$J68:$K68,$J$7:$K$7))/1E6</f>
        <v/>
      </c>
      <c r="J68">
        <f>MAX(-fyd_sn,MIN(fyd_sn,200000*0.002*(1-1*(7*J$6-3*$E68)/(4*$E68))))-fcd_sn*(1-MIN(1,MAX(0,1*(7*J$6-3*$E68)/(4*$E68)))^2)</f>
        <v/>
      </c>
      <c r="K68">
        <f>MAX(-fyd_sn,MIN(fyd_sn,200000*0.002*(1-1*(7*K$6-3*$E68)/(4*$E68))))-fcd_sn*(1-MIN(1,MAX(0,1*(7*K$6-3*$E68)/(4*$E68)))^2)</f>
        <v/>
      </c>
    </row>
    <row r="69">
      <c r="B69" s="55" t="n">
        <v>14</v>
      </c>
      <c r="C69" s="56">
        <f>IF($G68&lt;sn_N,($C68+$D68)/2,$C68)</f>
        <v/>
      </c>
      <c r="D69" s="56">
        <f>IF($G68&lt;sn_N,$D68,($C68+$D68)/2)</f>
        <v/>
      </c>
      <c r="E69" s="57">
        <f>sn_h*(($C69+$D69)/2)</f>
        <v/>
      </c>
      <c r="G69" s="57">
        <f>(fcd_sn*sn_b*$E69*(3/7+4/7*(1-1^2/3))+SUMPRODUCT($J$5:$K$5,$J69:$K69))/1000</f>
        <v/>
      </c>
      <c r="H69" s="57">
        <f>(fcd_sn*sn_b*(3/14*$E69*(sn_h-3/7*$E69)+4/7*$E69*(sn_h/2-3/7*$E69)*(1-1^2/3)-16/49*$E69^2*(1/2-1^2/4))+SUMPRODUCT($J$5:$K$5,$J69:$K69,$J$7:$K$7))/1E6</f>
        <v/>
      </c>
      <c r="J69">
        <f>MAX(-fyd_sn,MIN(fyd_sn,200000*0.002*(1-1*(7*J$6-3*$E69)/(4*$E69))))-fcd_sn*(1-MIN(1,MAX(0,1*(7*J$6-3*$E69)/(4*$E69)))^2)</f>
        <v/>
      </c>
      <c r="K69">
        <f>MAX(-fyd_sn,MIN(fyd_sn,200000*0.002*(1-1*(7*K$6-3*$E69)/(4*$E69))))-fcd_sn*(1-MIN(1,MAX(0,1*(7*K$6-3*$E69)/(4*$E69)))^2)</f>
        <v/>
      </c>
    </row>
    <row r="70">
      <c r="B70" s="55" t="n">
        <v>15</v>
      </c>
      <c r="C70" s="56">
        <f>IF($G69&lt;sn_N,($C69+$D69)/2,$C69)</f>
        <v/>
      </c>
      <c r="D70" s="56">
        <f>IF($G69&lt;sn_N,$D69,($C69+$D69)/2)</f>
        <v/>
      </c>
      <c r="E70" s="57">
        <f>sn_h*(($C70+$D70)/2)</f>
        <v/>
      </c>
      <c r="G70" s="57">
        <f>(fcd_sn*sn_b*$E70*(3/7+4/7*(1-1^2/3))+SUMPRODUCT($J$5:$K$5,$J70:$K70))/1000</f>
        <v/>
      </c>
      <c r="H70" s="57">
        <f>(fcd_sn*sn_b*(3/14*$E70*(sn_h-3/7*$E70)+4/7*$E70*(sn_h/2-3/7*$E70)*(1-1^2/3)-16/49*$E70^2*(1/2-1^2/4))+SUMPRODUCT($J$5:$K$5,$J70:$K70,$J$7:$K$7))/1E6</f>
        <v/>
      </c>
      <c r="J70">
        <f>MAX(-fyd_sn,MIN(fyd_sn,200000*0.002*(1-1*(7*J$6-3*$E70)/(4*$E70))))-fcd_sn*(1-MIN(1,MAX(0,1*(7*J$6-3*$E70)/(4*$E70)))^2)</f>
        <v/>
      </c>
      <c r="K70">
        <f>MAX(-fyd_sn,MIN(fyd_sn,200000*0.002*(1-1*(7*K$6-3*$E70)/(4*$E70))))-fcd_sn*(1-MIN(1,MAX(0,1*(7*K$6-3*$E70)/(4*$E70)))^2)</f>
        <v/>
      </c>
    </row>
    <row r="71">
      <c r="B71" s="55" t="n">
        <v>16</v>
      </c>
      <c r="C71" s="56">
        <f>IF($G70&lt;sn_N,($C70+$D70)/2,$C70)</f>
        <v/>
      </c>
      <c r="D71" s="56">
        <f>IF($G70&lt;sn_N,$D70,($C70+$D70)/2)</f>
        <v/>
      </c>
      <c r="E71" s="57">
        <f>sn_h*(($C71+$D71)/2)</f>
        <v/>
      </c>
      <c r="G71" s="57">
        <f>(fcd_sn*sn_b*$E71*(3/7+4/7*(1-1^2/3))+SUMPRODUCT($J$5:$K$5,$J71:$K71))/1000</f>
        <v/>
      </c>
      <c r="H71" s="57">
        <f>(fcd_sn*sn_b*(3/14*$E71*(sn_h-3/7*$E71)+4/7*$E71*(sn_h/2-3/7*$E71)*(1-1^2/3)-16/49*$E71^2*(1/2-1^2/4))+SUMPRODUCT($J$5:$K$5,$J71:$K71,$J$7:$K$7))/1E6</f>
        <v/>
      </c>
      <c r="J71">
        <f>MAX(-fyd_sn,MIN(fyd_sn,200000*0.002*(1-1*(7*J$6-3*$E71)/(4*$E71))))-fcd_sn*(1-MIN(1,MAX(0,1*(7*J$6-3*$E71)/(4*$E71)))^2)</f>
        <v/>
      </c>
      <c r="K71">
        <f>MAX(-fyd_sn,MIN(fyd_sn,200000*0.002*(1-1*(7*K$6-3*$E71)/(4*$E71))))-fcd_sn*(1-MIN(1,MAX(0,1*(7*K$6-3*$E71)/(4*$E71)))^2)</f>
        <v/>
      </c>
    </row>
    <row r="72">
      <c r="B72" s="55" t="n">
        <v>17</v>
      </c>
      <c r="C72" s="56">
        <f>IF($G71&lt;sn_N,($C71+$D71)/2,$C71)</f>
        <v/>
      </c>
      <c r="D72" s="56">
        <f>IF($G71&lt;sn_N,$D71,($C71+$D71)/2)</f>
        <v/>
      </c>
      <c r="E72" s="57">
        <f>sn_h*(($C72+$D72)/2)</f>
        <v/>
      </c>
      <c r="G72" s="57">
        <f>(fcd_sn*sn_b*$E72*(3/7+4/7*(1-1^2/3))+SUMPRODUCT($J$5:$K$5,$J72:$K72))/1000</f>
        <v/>
      </c>
      <c r="H72" s="57">
        <f>(fcd_sn*sn_b*(3/14*$E72*(sn_h-3/7*$E72)+4/7*$E72*(sn_h/2-3/7*$E72)*(1-1^2/3)-16/49*$E72^2*(1/2-1^2/4))+SUMPRODUCT($J$5:$K$5,$J72:$K72,$J$7:$K$7))/1E6</f>
        <v/>
      </c>
      <c r="J72">
        <f>MAX(-fyd_sn,MIN(fyd_sn,200000*0.002*(1-1*(7*J$6-3*$E72)/(4*$E72))))-fcd_sn*(1-MIN(1,MAX(0,1*(7*J$6-3*$E72)/(4*$E72)))^2)</f>
        <v/>
      </c>
      <c r="K72">
        <f>MAX(-fyd_sn,MIN(fyd_sn,200000*0.002*(1-1*(7*K$6-3*$E72)/(4*$E72))))-fcd_sn*(1-MIN(1,MAX(0,1*(7*K$6-3*$E72)/(4*$E72)))^2)</f>
        <v/>
      </c>
    </row>
    <row r="73">
      <c r="B73" s="55" t="n">
        <v>18</v>
      </c>
      <c r="C73" s="56">
        <f>IF($G72&lt;sn_N,($C72+$D72)/2,$C72)</f>
        <v/>
      </c>
      <c r="D73" s="56">
        <f>IF($G72&lt;sn_N,$D72,($C72+$D72)/2)</f>
        <v/>
      </c>
      <c r="E73" s="57">
        <f>sn_h*(($C73+$D73)/2)</f>
        <v/>
      </c>
      <c r="G73" s="57">
        <f>(fcd_sn*sn_b*$E73*(3/7+4/7*(1-1^2/3))+SUMPRODUCT($J$5:$K$5,$J73:$K73))/1000</f>
        <v/>
      </c>
      <c r="H73" s="57">
        <f>(fcd_sn*sn_b*(3/14*$E73*(sn_h-3/7*$E73)+4/7*$E73*(sn_h/2-3/7*$E73)*(1-1^2/3)-16/49*$E73^2*(1/2-1^2/4))+SUMPRODUCT($J$5:$K$5,$J73:$K73,$J$7:$K$7))/1E6</f>
        <v/>
      </c>
      <c r="J73">
        <f>MAX(-fyd_sn,MIN(fyd_sn,200000*0.002*(1-1*(7*J$6-3*$E73)/(4*$E73))))-fcd_sn*(1-MIN(1,MAX(0,1*(7*J$6-3*$E73)/(4*$E73)))^2)</f>
        <v/>
      </c>
      <c r="K73">
        <f>MAX(-fyd_sn,MIN(fyd_sn,200000*0.002*(1-1*(7*K$6-3*$E73)/(4*$E73))))-fcd_sn*(1-MIN(1,MAX(0,1*(7*K$6-3*$E73)/(4*$E73)))^2)</f>
        <v/>
      </c>
    </row>
    <row r="74">
      <c r="B74" s="55" t="n">
        <v>19</v>
      </c>
      <c r="C74" s="56">
        <f>IF($G73&lt;sn_N,($C73+$D73)/2,$C73)</f>
        <v/>
      </c>
      <c r="D74" s="56">
        <f>IF($G73&lt;sn_N,$D73,($C73+$D73)/2)</f>
        <v/>
      </c>
      <c r="E74" s="57">
        <f>sn_h*(($C74+$D74)/2)</f>
        <v/>
      </c>
      <c r="G74" s="57">
        <f>(fcd_sn*sn_b*$E74*(3/7+4/7*(1-1^2/3))+SUMPRODUCT($J$5:$K$5,$J74:$K74))/1000</f>
        <v/>
      </c>
      <c r="H74" s="57">
        <f>(fcd_sn*sn_b*(3/14*$E74*(sn_h-3/7*$E74)+4/7*$E74*(sn_h/2-3/7*$E74)*(1-1^2/3)-16/49*$E74^2*(1/2-1^2/4))+SUMPRODUCT($J$5:$K$5,$J74:$K74,$J$7:$K$7))/1E6</f>
        <v/>
      </c>
      <c r="J74">
        <f>MAX(-fyd_sn,MIN(fyd_sn,200000*0.002*(1-1*(7*J$6-3*$E74)/(4*$E74))))-fcd_sn*(1-MIN(1,MAX(0,1*(7*J$6-3*$E74)/(4*$E74)))^2)</f>
        <v/>
      </c>
      <c r="K74">
        <f>MAX(-fyd_sn,MIN(fyd_sn,200000*0.002*(1-1*(7*K$6-3*$E74)/(4*$E74))))-fcd_sn*(1-MIN(1,MAX(0,1*(7*K$6-3*$E74)/(4*$E74)))^2)</f>
        <v/>
      </c>
    </row>
    <row r="75">
      <c r="B75" s="55" t="n">
        <v>20</v>
      </c>
      <c r="C75" s="56">
        <f>IF($G74&lt;sn_N,($C74+$D74)/2,$C74)</f>
        <v/>
      </c>
      <c r="D75" s="56">
        <f>IF($G74&lt;sn_N,$D74,($C74+$D74)/2)</f>
        <v/>
      </c>
      <c r="E75" s="57">
        <f>sn_h*(($C75+$D75)/2)</f>
        <v/>
      </c>
      <c r="G75" s="57">
        <f>(fcd_sn*sn_b*$E75*(3/7+4/7*(1-1^2/3))+SUMPRODUCT($J$5:$K$5,$J75:$K75))/1000</f>
        <v/>
      </c>
      <c r="H75" s="57">
        <f>(fcd_sn*sn_b*(3/14*$E75*(sn_h-3/7*$E75)+4/7*$E75*(sn_h/2-3/7*$E75)*(1-1^2/3)-16/49*$E75^2*(1/2-1^2/4))+SUMPRODUCT($J$5:$K$5,$J75:$K75,$J$7:$K$7))/1E6</f>
        <v/>
      </c>
      <c r="J75">
        <f>MAX(-fyd_sn,MIN(fyd_sn,200000*0.002*(1-1*(7*J$6-3*$E75)/(4*$E75))))-fcd_sn*(1-MIN(1,MAX(0,1*(7*J$6-3*$E75)/(4*$E75)))^2)</f>
        <v/>
      </c>
      <c r="K75">
        <f>MAX(-fyd_sn,MIN(fyd_sn,200000*0.002*(1-1*(7*K$6-3*$E75)/(4*$E75))))-fcd_sn*(1-MIN(1,MAX(0,1*(7*K$6-3*$E75)/(4*$E75)))^2)</f>
        <v/>
      </c>
    </row>
    <row r="76">
      <c r="B76" s="55" t="n">
        <v>21</v>
      </c>
      <c r="C76" s="56">
        <f>IF($G75&lt;sn_N,($C75+$D75)/2,$C75)</f>
        <v/>
      </c>
      <c r="D76" s="56">
        <f>IF($G75&lt;sn_N,$D75,($C75+$D75)/2)</f>
        <v/>
      </c>
      <c r="E76" s="57">
        <f>sn_h*(($C76+$D76)/2)</f>
        <v/>
      </c>
      <c r="G76" s="57">
        <f>(fcd_sn*sn_b*$E76*(3/7+4/7*(1-1^2/3))+SUMPRODUCT($J$5:$K$5,$J76:$K76))/1000</f>
        <v/>
      </c>
      <c r="H76" s="57">
        <f>(fcd_sn*sn_b*(3/14*$E76*(sn_h-3/7*$E76)+4/7*$E76*(sn_h/2-3/7*$E76)*(1-1^2/3)-16/49*$E76^2*(1/2-1^2/4))+SUMPRODUCT($J$5:$K$5,$J76:$K76,$J$7:$K$7))/1E6</f>
        <v/>
      </c>
      <c r="J76">
        <f>MAX(-fyd_sn,MIN(fyd_sn,200000*0.002*(1-1*(7*J$6-3*$E76)/(4*$E76))))-fcd_sn*(1-MIN(1,MAX(0,1*(7*J$6-3*$E76)/(4*$E76)))^2)</f>
        <v/>
      </c>
      <c r="K76">
        <f>MAX(-fyd_sn,MIN(fyd_sn,200000*0.002*(1-1*(7*K$6-3*$E76)/(4*$E76))))-fcd_sn*(1-MIN(1,MAX(0,1*(7*K$6-3*$E76)/(4*$E76)))^2)</f>
        <v/>
      </c>
    </row>
    <row r="77">
      <c r="B77" s="55" t="n">
        <v>22</v>
      </c>
      <c r="C77" s="56">
        <f>IF($G76&lt;sn_N,($C76+$D76)/2,$C76)</f>
        <v/>
      </c>
      <c r="D77" s="56">
        <f>IF($G76&lt;sn_N,$D76,($C76+$D76)/2)</f>
        <v/>
      </c>
      <c r="E77" s="57">
        <f>sn_h*(($C77+$D77)/2)</f>
        <v/>
      </c>
      <c r="G77" s="57">
        <f>(fcd_sn*sn_b*$E77*(3/7+4/7*(1-1^2/3))+SUMPRODUCT($J$5:$K$5,$J77:$K77))/1000</f>
        <v/>
      </c>
      <c r="H77" s="57">
        <f>(fcd_sn*sn_b*(3/14*$E77*(sn_h-3/7*$E77)+4/7*$E77*(sn_h/2-3/7*$E77)*(1-1^2/3)-16/49*$E77^2*(1/2-1^2/4))+SUMPRODUCT($J$5:$K$5,$J77:$K77,$J$7:$K$7))/1E6</f>
        <v/>
      </c>
      <c r="J77">
        <f>MAX(-fyd_sn,MIN(fyd_sn,200000*0.002*(1-1*(7*J$6-3*$E77)/(4*$E77))))-fcd_sn*(1-MIN(1,MAX(0,1*(7*J$6-3*$E77)/(4*$E77)))^2)</f>
        <v/>
      </c>
      <c r="K77">
        <f>MAX(-fyd_sn,MIN(fyd_sn,200000*0.002*(1-1*(7*K$6-3*$E77)/(4*$E77))))-fcd_sn*(1-MIN(1,MAX(0,1*(7*K$6-3*$E77)/(4*$E77)))^2)</f>
        <v/>
      </c>
    </row>
    <row r="78">
      <c r="B78" s="55" t="n">
        <v>23</v>
      </c>
      <c r="C78" s="56">
        <f>IF($G77&lt;sn_N,($C77+$D77)/2,$C77)</f>
        <v/>
      </c>
      <c r="D78" s="56">
        <f>IF($G77&lt;sn_N,$D77,($C77+$D77)/2)</f>
        <v/>
      </c>
      <c r="E78" s="57">
        <f>sn_h*(($C78+$D78)/2)</f>
        <v/>
      </c>
      <c r="G78" s="57">
        <f>(fcd_sn*sn_b*$E78*(3/7+4/7*(1-1^2/3))+SUMPRODUCT($J$5:$K$5,$J78:$K78))/1000</f>
        <v/>
      </c>
      <c r="H78" s="57">
        <f>(fcd_sn*sn_b*(3/14*$E78*(sn_h-3/7*$E78)+4/7*$E78*(sn_h/2-3/7*$E78)*(1-1^2/3)-16/49*$E78^2*(1/2-1^2/4))+SUMPRODUCT($J$5:$K$5,$J78:$K78,$J$7:$K$7))/1E6</f>
        <v/>
      </c>
      <c r="J78">
        <f>MAX(-fyd_sn,MIN(fyd_sn,200000*0.002*(1-1*(7*J$6-3*$E78)/(4*$E78))))-fcd_sn*(1-MIN(1,MAX(0,1*(7*J$6-3*$E78)/(4*$E78)))^2)</f>
        <v/>
      </c>
      <c r="K78">
        <f>MAX(-fyd_sn,MIN(fyd_sn,200000*0.002*(1-1*(7*K$6-3*$E78)/(4*$E78))))-fcd_sn*(1-MIN(1,MAX(0,1*(7*K$6-3*$E78)/(4*$E78)))^2)</f>
        <v/>
      </c>
    </row>
    <row r="79">
      <c r="B79" s="55" t="n">
        <v>24</v>
      </c>
      <c r="C79" s="56">
        <f>IF($G78&lt;sn_N,($C78+$D78)/2,$C78)</f>
        <v/>
      </c>
      <c r="D79" s="56">
        <f>IF($G78&lt;sn_N,$D78,($C78+$D78)/2)</f>
        <v/>
      </c>
      <c r="E79" s="57">
        <f>sn_h*(($C79+$D79)/2)</f>
        <v/>
      </c>
      <c r="G79" s="57">
        <f>(fcd_sn*sn_b*$E79*(3/7+4/7*(1-1^2/3))+SUMPRODUCT($J$5:$K$5,$J79:$K79))/1000</f>
        <v/>
      </c>
      <c r="H79" s="57">
        <f>(fcd_sn*sn_b*(3/14*$E79*(sn_h-3/7*$E79)+4/7*$E79*(sn_h/2-3/7*$E79)*(1-1^2/3)-16/49*$E79^2*(1/2-1^2/4))+SUMPRODUCT($J$5:$K$5,$J79:$K79,$J$7:$K$7))/1E6</f>
        <v/>
      </c>
      <c r="J79">
        <f>MAX(-fyd_sn,MIN(fyd_sn,200000*0.002*(1-1*(7*J$6-3*$E79)/(4*$E79))))-fcd_sn*(1-MIN(1,MAX(0,1*(7*J$6-3*$E79)/(4*$E79)))^2)</f>
        <v/>
      </c>
      <c r="K79">
        <f>MAX(-fyd_sn,MIN(fyd_sn,200000*0.002*(1-1*(7*K$6-3*$E79)/(4*$E79))))-fcd_sn*(1-MIN(1,MAX(0,1*(7*K$6-3*$E79)/(4*$E79)))^2)</f>
        <v/>
      </c>
    </row>
    <row r="80">
      <c r="B80" s="55" t="n">
        <v>25</v>
      </c>
      <c r="C80" s="56">
        <f>IF($G79&lt;sn_N,($C79+$D79)/2,$C79)</f>
        <v/>
      </c>
      <c r="D80" s="56">
        <f>IF($G79&lt;sn_N,$D79,($C79+$D79)/2)</f>
        <v/>
      </c>
      <c r="E80" s="57">
        <f>sn_h*(($C80+$D80)/2)</f>
        <v/>
      </c>
      <c r="G80" s="57">
        <f>(fcd_sn*sn_b*$E80*(3/7+4/7*(1-1^2/3))+SUMPRODUCT($J$5:$K$5,$J80:$K80))/1000</f>
        <v/>
      </c>
      <c r="H80" s="57">
        <f>(fcd_sn*sn_b*(3/14*$E80*(sn_h-3/7*$E80)+4/7*$E80*(sn_h/2-3/7*$E80)*(1-1^2/3)-16/49*$E80^2*(1/2-1^2/4))+SUMPRODUCT($J$5:$K$5,$J80:$K80,$J$7:$K$7))/1E6</f>
        <v/>
      </c>
      <c r="J80">
        <f>MAX(-fyd_sn,MIN(fyd_sn,200000*0.002*(1-1*(7*J$6-3*$E80)/(4*$E80))))-fcd_sn*(1-MIN(1,MAX(0,1*(7*J$6-3*$E80)/(4*$E80)))^2)</f>
        <v/>
      </c>
      <c r="K80">
        <f>MAX(-fyd_sn,MIN(fyd_sn,200000*0.002*(1-1*(7*K$6-3*$E80)/(4*$E80))))-fcd_sn*(1-MIN(1,MAX(0,1*(7*K$6-3*$E80)/(4*$E80)))^2)</f>
        <v/>
      </c>
    </row>
    <row r="81">
      <c r="B81" s="55" t="n">
        <v>26</v>
      </c>
      <c r="C81" s="56">
        <f>IF($G80&lt;sn_N,($C80+$D80)/2,$C80)</f>
        <v/>
      </c>
      <c r="D81" s="56">
        <f>IF($G80&lt;sn_N,$D80,($C80+$D80)/2)</f>
        <v/>
      </c>
      <c r="E81" s="57">
        <f>sn_h*(($C81+$D81)/2)</f>
        <v/>
      </c>
      <c r="G81" s="57">
        <f>(fcd_sn*sn_b*$E81*(3/7+4/7*(1-1^2/3))+SUMPRODUCT($J$5:$K$5,$J81:$K81))/1000</f>
        <v/>
      </c>
      <c r="H81" s="57">
        <f>(fcd_sn*sn_b*(3/14*$E81*(sn_h-3/7*$E81)+4/7*$E81*(sn_h/2-3/7*$E81)*(1-1^2/3)-16/49*$E81^2*(1/2-1^2/4))+SUMPRODUCT($J$5:$K$5,$J81:$K81,$J$7:$K$7))/1E6</f>
        <v/>
      </c>
      <c r="J81">
        <f>MAX(-fyd_sn,MIN(fyd_sn,200000*0.002*(1-1*(7*J$6-3*$E81)/(4*$E81))))-fcd_sn*(1-MIN(1,MAX(0,1*(7*J$6-3*$E81)/(4*$E81)))^2)</f>
        <v/>
      </c>
      <c r="K81">
        <f>MAX(-fyd_sn,MIN(fyd_sn,200000*0.002*(1-1*(7*K$6-3*$E81)/(4*$E81))))-fcd_sn*(1-MIN(1,MAX(0,1*(7*K$6-3*$E81)/(4*$E81)))^2)</f>
        <v/>
      </c>
    </row>
    <row r="82">
      <c r="B82" s="55" t="n">
        <v>27</v>
      </c>
      <c r="C82" s="56">
        <f>IF($G81&lt;sn_N,($C81+$D81)/2,$C81)</f>
        <v/>
      </c>
      <c r="D82" s="56">
        <f>IF($G81&lt;sn_N,$D81,($C81+$D81)/2)</f>
        <v/>
      </c>
      <c r="E82" s="57">
        <f>sn_h*(($C82+$D82)/2)</f>
        <v/>
      </c>
      <c r="G82" s="57">
        <f>(fcd_sn*sn_b*$E82*(3/7+4/7*(1-1^2/3))+SUMPRODUCT($J$5:$K$5,$J82:$K82))/1000</f>
        <v/>
      </c>
      <c r="H82" s="57">
        <f>(fcd_sn*sn_b*(3/14*$E82*(sn_h-3/7*$E82)+4/7*$E82*(sn_h/2-3/7*$E82)*(1-1^2/3)-16/49*$E82^2*(1/2-1^2/4))+SUMPRODUCT($J$5:$K$5,$J82:$K82,$J$7:$K$7))/1E6</f>
        <v/>
      </c>
      <c r="J82">
        <f>MAX(-fyd_sn,MIN(fyd_sn,200000*0.002*(1-1*(7*J$6-3*$E82)/(4*$E82))))-fcd_sn*(1-MIN(1,MAX(0,1*(7*J$6-3*$E82)/(4*$E82)))^2)</f>
        <v/>
      </c>
      <c r="K82">
        <f>MAX(-fyd_sn,MIN(fyd_sn,200000*0.002*(1-1*(7*K$6-3*$E82)/(4*$E82))))-fcd_sn*(1-MIN(1,MAX(0,1*(7*K$6-3*$E82)/(4*$E82)))^2)</f>
        <v/>
      </c>
    </row>
    <row r="83">
      <c r="B83" s="55" t="n">
        <v>28</v>
      </c>
      <c r="C83" s="56">
        <f>IF($G82&lt;sn_N,($C82+$D82)/2,$C82)</f>
        <v/>
      </c>
      <c r="D83" s="56">
        <f>IF($G82&lt;sn_N,$D82,($C82+$D82)/2)</f>
        <v/>
      </c>
      <c r="E83" s="57">
        <f>sn_h*(($C83+$D83)/2)</f>
        <v/>
      </c>
      <c r="G83" s="57">
        <f>(fcd_sn*sn_b*$E83*(3/7+4/7*(1-1^2/3))+SUMPRODUCT($J$5:$K$5,$J83:$K83))/1000</f>
        <v/>
      </c>
      <c r="H83" s="57">
        <f>(fcd_sn*sn_b*(3/14*$E83*(sn_h-3/7*$E83)+4/7*$E83*(sn_h/2-3/7*$E83)*(1-1^2/3)-16/49*$E83^2*(1/2-1^2/4))+SUMPRODUCT($J$5:$K$5,$J83:$K83,$J$7:$K$7))/1E6</f>
        <v/>
      </c>
      <c r="J83">
        <f>MAX(-fyd_sn,MIN(fyd_sn,200000*0.002*(1-1*(7*J$6-3*$E83)/(4*$E83))))-fcd_sn*(1-MIN(1,MAX(0,1*(7*J$6-3*$E83)/(4*$E83)))^2)</f>
        <v/>
      </c>
      <c r="K83">
        <f>MAX(-fyd_sn,MIN(fyd_sn,200000*0.002*(1-1*(7*K$6-3*$E83)/(4*$E83))))-fcd_sn*(1-MIN(1,MAX(0,1*(7*K$6-3*$E83)/(4*$E83)))^2)</f>
        <v/>
      </c>
    </row>
    <row r="84">
      <c r="B84" s="55" t="n">
        <v>29</v>
      </c>
      <c r="C84" s="56">
        <f>IF($G83&lt;sn_N,($C83+$D83)/2,$C83)</f>
        <v/>
      </c>
      <c r="D84" s="56">
        <f>IF($G83&lt;sn_N,$D83,($C83+$D83)/2)</f>
        <v/>
      </c>
      <c r="E84" s="57">
        <f>sn_h*(($C84+$D84)/2)</f>
        <v/>
      </c>
      <c r="G84" s="57">
        <f>(fcd_sn*sn_b*$E84*(3/7+4/7*(1-1^2/3))+SUMPRODUCT($J$5:$K$5,$J84:$K84))/1000</f>
        <v/>
      </c>
      <c r="H84" s="57">
        <f>(fcd_sn*sn_b*(3/14*$E84*(sn_h-3/7*$E84)+4/7*$E84*(sn_h/2-3/7*$E84)*(1-1^2/3)-16/49*$E84^2*(1/2-1^2/4))+SUMPRODUCT($J$5:$K$5,$J84:$K84,$J$7:$K$7))/1E6</f>
        <v/>
      </c>
      <c r="J84">
        <f>MAX(-fyd_sn,MIN(fyd_sn,200000*0.002*(1-1*(7*J$6-3*$E84)/(4*$E84))))-fcd_sn*(1-MIN(1,MAX(0,1*(7*J$6-3*$E84)/(4*$E84)))^2)</f>
        <v/>
      </c>
      <c r="K84">
        <f>MAX(-fyd_sn,MIN(fyd_sn,200000*0.002*(1-1*(7*K$6-3*$E84)/(4*$E84))))-fcd_sn*(1-MIN(1,MAX(0,1*(7*K$6-3*$E84)/(4*$E84)))^2)</f>
        <v/>
      </c>
    </row>
    <row r="85">
      <c r="B85" s="55" t="n">
        <v>30</v>
      </c>
      <c r="C85" s="56">
        <f>IF($G84&lt;sn_N,($C84+$D84)/2,$C84)</f>
        <v/>
      </c>
      <c r="D85" s="56">
        <f>IF($G84&lt;sn_N,$D84,($C84+$D84)/2)</f>
        <v/>
      </c>
      <c r="E85" s="57">
        <f>sn_h*(($C85+$D85)/2)</f>
        <v/>
      </c>
      <c r="G85" s="57">
        <f>(fcd_sn*sn_b*$E85*(3/7+4/7*(1-1^2/3))+SUMPRODUCT($J$5:$K$5,$J85:$K85))/1000</f>
        <v/>
      </c>
      <c r="H85" s="57">
        <f>(fcd_sn*sn_b*(3/14*$E85*(sn_h-3/7*$E85)+4/7*$E85*(sn_h/2-3/7*$E85)*(1-1^2/3)-16/49*$E85^2*(1/2-1^2/4))+SUMPRODUCT($J$5:$K$5,$J85:$K85,$J$7:$K$7))/1E6</f>
        <v/>
      </c>
      <c r="J85">
        <f>MAX(-fyd_sn,MIN(fyd_sn,200000*0.002*(1-1*(7*J$6-3*$E85)/(4*$E85))))-fcd_sn*(1-MIN(1,MAX(0,1*(7*J$6-3*$E85)/(4*$E85)))^2)</f>
        <v/>
      </c>
      <c r="K85">
        <f>MAX(-fyd_sn,MIN(fyd_sn,200000*0.002*(1-1*(7*K$6-3*$E85)/(4*$E85))))-fcd_sn*(1-MIN(1,MAX(0,1*(7*K$6-3*$E85)/(4*$E85)))^2)</f>
        <v/>
      </c>
    </row>
    <row r="86">
      <c r="B86" s="55" t="n">
        <v>31</v>
      </c>
      <c r="C86" s="56">
        <f>IF($G85&lt;sn_N,($C85+$D85)/2,$C85)</f>
        <v/>
      </c>
      <c r="D86" s="56">
        <f>IF($G85&lt;sn_N,$D85,($C85+$D85)/2)</f>
        <v/>
      </c>
      <c r="E86" s="57">
        <f>sn_h*(($C86+$D86)/2)</f>
        <v/>
      </c>
      <c r="G86" s="57">
        <f>(fcd_sn*sn_b*$E86*(3/7+4/7*(1-1^2/3))+SUMPRODUCT($J$5:$K$5,$J86:$K86))/1000</f>
        <v/>
      </c>
      <c r="H86" s="57">
        <f>(fcd_sn*sn_b*(3/14*$E86*(sn_h-3/7*$E86)+4/7*$E86*(sn_h/2-3/7*$E86)*(1-1^2/3)-16/49*$E86^2*(1/2-1^2/4))+SUMPRODUCT($J$5:$K$5,$J86:$K86,$J$7:$K$7))/1E6</f>
        <v/>
      </c>
      <c r="J86">
        <f>MAX(-fyd_sn,MIN(fyd_sn,200000*0.002*(1-1*(7*J$6-3*$E86)/(4*$E86))))-fcd_sn*(1-MIN(1,MAX(0,1*(7*J$6-3*$E86)/(4*$E86)))^2)</f>
        <v/>
      </c>
      <c r="K86">
        <f>MAX(-fyd_sn,MIN(fyd_sn,200000*0.002*(1-1*(7*K$6-3*$E86)/(4*$E86))))-fcd_sn*(1-MIN(1,MAX(0,1*(7*K$6-3*$E86)/(4*$E86)))^2)</f>
        <v/>
      </c>
    </row>
    <row r="87">
      <c r="B87" s="55" t="n">
        <v>32</v>
      </c>
      <c r="C87" s="56">
        <f>IF($G86&lt;sn_N,($C86+$D86)/2,$C86)</f>
        <v/>
      </c>
      <c r="D87" s="56">
        <f>IF($G86&lt;sn_N,$D86,($C86+$D86)/2)</f>
        <v/>
      </c>
      <c r="E87" s="57">
        <f>sn_h*(($C87+$D87)/2)</f>
        <v/>
      </c>
      <c r="G87" s="57">
        <f>(fcd_sn*sn_b*$E87*(3/7+4/7*(1-1^2/3))+SUMPRODUCT($J$5:$K$5,$J87:$K87))/1000</f>
        <v/>
      </c>
      <c r="H87" s="57">
        <f>(fcd_sn*sn_b*(3/14*$E87*(sn_h-3/7*$E87)+4/7*$E87*(sn_h/2-3/7*$E87)*(1-1^2/3)-16/49*$E87^2*(1/2-1^2/4))+SUMPRODUCT($J$5:$K$5,$J87:$K87,$J$7:$K$7))/1E6</f>
        <v/>
      </c>
      <c r="J87">
        <f>MAX(-fyd_sn,MIN(fyd_sn,200000*0.002*(1-1*(7*J$6-3*$E87)/(4*$E87))))-fcd_sn*(1-MIN(1,MAX(0,1*(7*J$6-3*$E87)/(4*$E87)))^2)</f>
        <v/>
      </c>
      <c r="K87">
        <f>MAX(-fyd_sn,MIN(fyd_sn,200000*0.002*(1-1*(7*K$6-3*$E87)/(4*$E87))))-fcd_sn*(1-MIN(1,MAX(0,1*(7*K$6-3*$E87)/(4*$E87)))^2)</f>
        <v/>
      </c>
    </row>
    <row r="88">
      <c r="B88" s="55" t="n">
        <v>33</v>
      </c>
      <c r="C88" s="56">
        <f>IF($G87&lt;sn_N,($C87+$D87)/2,$C87)</f>
        <v/>
      </c>
      <c r="D88" s="56">
        <f>IF($G87&lt;sn_N,$D87,($C87+$D87)/2)</f>
        <v/>
      </c>
      <c r="E88" s="57">
        <f>sn_h*(($C88+$D88)/2)</f>
        <v/>
      </c>
      <c r="G88" s="57">
        <f>(fcd_sn*sn_b*$E88*(3/7+4/7*(1-1^2/3))+SUMPRODUCT($J$5:$K$5,$J88:$K88))/1000</f>
        <v/>
      </c>
      <c r="H88" s="57">
        <f>(fcd_sn*sn_b*(3/14*$E88*(sn_h-3/7*$E88)+4/7*$E88*(sn_h/2-3/7*$E88)*(1-1^2/3)-16/49*$E88^2*(1/2-1^2/4))+SUMPRODUCT($J$5:$K$5,$J88:$K88,$J$7:$K$7))/1E6</f>
        <v/>
      </c>
      <c r="J88">
        <f>MAX(-fyd_sn,MIN(fyd_sn,200000*0.002*(1-1*(7*J$6-3*$E88)/(4*$E88))))-fcd_sn*(1-MIN(1,MAX(0,1*(7*J$6-3*$E88)/(4*$E88)))^2)</f>
        <v/>
      </c>
      <c r="K88">
        <f>MAX(-fyd_sn,MIN(fyd_sn,200000*0.002*(1-1*(7*K$6-3*$E88)/(4*$E88))))-fcd_sn*(1-MIN(1,MAX(0,1*(7*K$6-3*$E88)/(4*$E88)))^2)</f>
        <v/>
      </c>
    </row>
    <row r="89">
      <c r="B89" s="55" t="n">
        <v>34</v>
      </c>
      <c r="C89" s="56">
        <f>IF($G88&lt;sn_N,($C88+$D88)/2,$C88)</f>
        <v/>
      </c>
      <c r="D89" s="56">
        <f>IF($G88&lt;sn_N,$D88,($C88+$D88)/2)</f>
        <v/>
      </c>
      <c r="E89" s="57">
        <f>sn_h*(($C89+$D89)/2)</f>
        <v/>
      </c>
      <c r="G89" s="57">
        <f>(fcd_sn*sn_b*$E89*(3/7+4/7*(1-1^2/3))+SUMPRODUCT($J$5:$K$5,$J89:$K89))/1000</f>
        <v/>
      </c>
      <c r="H89" s="57">
        <f>(fcd_sn*sn_b*(3/14*$E89*(sn_h-3/7*$E89)+4/7*$E89*(sn_h/2-3/7*$E89)*(1-1^2/3)-16/49*$E89^2*(1/2-1^2/4))+SUMPRODUCT($J$5:$K$5,$J89:$K89,$J$7:$K$7))/1E6</f>
        <v/>
      </c>
      <c r="J89">
        <f>MAX(-fyd_sn,MIN(fyd_sn,200000*0.002*(1-1*(7*J$6-3*$E89)/(4*$E89))))-fcd_sn*(1-MIN(1,MAX(0,1*(7*J$6-3*$E89)/(4*$E89)))^2)</f>
        <v/>
      </c>
      <c r="K89">
        <f>MAX(-fyd_sn,MIN(fyd_sn,200000*0.002*(1-1*(7*K$6-3*$E89)/(4*$E89))))-fcd_sn*(1-MIN(1,MAX(0,1*(7*K$6-3*$E89)/(4*$E89)))^2)</f>
        <v/>
      </c>
    </row>
    <row r="90">
      <c r="B90" s="55" t="n">
        <v>35</v>
      </c>
      <c r="C90" s="56">
        <f>IF($G89&lt;sn_N,($C89+$D89)/2,$C89)</f>
        <v/>
      </c>
      <c r="D90" s="56">
        <f>IF($G89&lt;sn_N,$D89,($C89+$D89)/2)</f>
        <v/>
      </c>
      <c r="E90" s="57">
        <f>sn_h*(($C90+$D90)/2)</f>
        <v/>
      </c>
      <c r="G90" s="57">
        <f>(fcd_sn*sn_b*$E90*(3/7+4/7*(1-1^2/3))+SUMPRODUCT($J$5:$K$5,$J90:$K90))/1000</f>
        <v/>
      </c>
      <c r="H90" s="57">
        <f>(fcd_sn*sn_b*(3/14*$E90*(sn_h-3/7*$E90)+4/7*$E90*(sn_h/2-3/7*$E90)*(1-1^2/3)-16/49*$E90^2*(1/2-1^2/4))+SUMPRODUCT($J$5:$K$5,$J90:$K90,$J$7:$K$7))/1E6</f>
        <v/>
      </c>
      <c r="J90">
        <f>MAX(-fyd_sn,MIN(fyd_sn,200000*0.002*(1-1*(7*J$6-3*$E90)/(4*$E90))))-fcd_sn*(1-MIN(1,MAX(0,1*(7*J$6-3*$E90)/(4*$E90)))^2)</f>
        <v/>
      </c>
      <c r="K90">
        <f>MAX(-fyd_sn,MIN(fyd_sn,200000*0.002*(1-1*(7*K$6-3*$E90)/(4*$E90))))-fcd_sn*(1-MIN(1,MAX(0,1*(7*K$6-3*$E90)/(4*$E90)))^2)</f>
        <v/>
      </c>
    </row>
    <row r="91">
      <c r="B91" s="55" t="n">
        <v>36</v>
      </c>
      <c r="C91" s="56">
        <f>IF($G90&lt;sn_N,($C90+$D90)/2,$C90)</f>
        <v/>
      </c>
      <c r="D91" s="56">
        <f>IF($G90&lt;sn_N,$D90,($C90+$D90)/2)</f>
        <v/>
      </c>
      <c r="E91" s="57">
        <f>sn_h*(($C91+$D91)/2)</f>
        <v/>
      </c>
      <c r="G91" s="57">
        <f>(fcd_sn*sn_b*$E91*(3/7+4/7*(1-1^2/3))+SUMPRODUCT($J$5:$K$5,$J91:$K91))/1000</f>
        <v/>
      </c>
      <c r="H91" s="57">
        <f>(fcd_sn*sn_b*(3/14*$E91*(sn_h-3/7*$E91)+4/7*$E91*(sn_h/2-3/7*$E91)*(1-1^2/3)-16/49*$E91^2*(1/2-1^2/4))+SUMPRODUCT($J$5:$K$5,$J91:$K91,$J$7:$K$7))/1E6</f>
        <v/>
      </c>
      <c r="J91">
        <f>MAX(-fyd_sn,MIN(fyd_sn,200000*0.002*(1-1*(7*J$6-3*$E91)/(4*$E91))))-fcd_sn*(1-MIN(1,MAX(0,1*(7*J$6-3*$E91)/(4*$E91)))^2)</f>
        <v/>
      </c>
      <c r="K91">
        <f>MAX(-fyd_sn,MIN(fyd_sn,200000*0.002*(1-1*(7*K$6-3*$E91)/(4*$E91))))-fcd_sn*(1-MIN(1,MAX(0,1*(7*K$6-3*$E91)/(4*$E91)))^2)</f>
        <v/>
      </c>
    </row>
    <row r="92">
      <c r="B92" s="55" t="n">
        <v>37</v>
      </c>
      <c r="C92" s="56">
        <f>IF($G91&lt;sn_N,($C91+$D91)/2,$C91)</f>
        <v/>
      </c>
      <c r="D92" s="56">
        <f>IF($G91&lt;sn_N,$D91,($C91+$D91)/2)</f>
        <v/>
      </c>
      <c r="E92" s="57">
        <f>sn_h*(($C92+$D92)/2)</f>
        <v/>
      </c>
      <c r="G92" s="57">
        <f>(fcd_sn*sn_b*$E92*(3/7+4/7*(1-1^2/3))+SUMPRODUCT($J$5:$K$5,$J92:$K92))/1000</f>
        <v/>
      </c>
      <c r="H92" s="57">
        <f>(fcd_sn*sn_b*(3/14*$E92*(sn_h-3/7*$E92)+4/7*$E92*(sn_h/2-3/7*$E92)*(1-1^2/3)-16/49*$E92^2*(1/2-1^2/4))+SUMPRODUCT($J$5:$K$5,$J92:$K92,$J$7:$K$7))/1E6</f>
        <v/>
      </c>
      <c r="J92">
        <f>MAX(-fyd_sn,MIN(fyd_sn,200000*0.002*(1-1*(7*J$6-3*$E92)/(4*$E92))))-fcd_sn*(1-MIN(1,MAX(0,1*(7*J$6-3*$E92)/(4*$E92)))^2)</f>
        <v/>
      </c>
      <c r="K92">
        <f>MAX(-fyd_sn,MIN(fyd_sn,200000*0.002*(1-1*(7*K$6-3*$E92)/(4*$E92))))-fcd_sn*(1-MIN(1,MAX(0,1*(7*K$6-3*$E92)/(4*$E92)))^2)</f>
        <v/>
      </c>
    </row>
    <row r="93">
      <c r="B93" s="55" t="n">
        <v>38</v>
      </c>
      <c r="C93" s="56">
        <f>IF($G92&lt;sn_N,($C92+$D92)/2,$C92)</f>
        <v/>
      </c>
      <c r="D93" s="56">
        <f>IF($G92&lt;sn_N,$D92,($C92+$D92)/2)</f>
        <v/>
      </c>
      <c r="E93" s="57">
        <f>sn_h*(($C93+$D93)/2)</f>
        <v/>
      </c>
      <c r="G93" s="57">
        <f>(fcd_sn*sn_b*$E93*(3/7+4/7*(1-1^2/3))+SUMPRODUCT($J$5:$K$5,$J93:$K93))/1000</f>
        <v/>
      </c>
      <c r="H93" s="57">
        <f>(fcd_sn*sn_b*(3/14*$E93*(sn_h-3/7*$E93)+4/7*$E93*(sn_h/2-3/7*$E93)*(1-1^2/3)-16/49*$E93^2*(1/2-1^2/4))+SUMPRODUCT($J$5:$K$5,$J93:$K93,$J$7:$K$7))/1E6</f>
        <v/>
      </c>
      <c r="J93">
        <f>MAX(-fyd_sn,MIN(fyd_sn,200000*0.002*(1-1*(7*J$6-3*$E93)/(4*$E93))))-fcd_sn*(1-MIN(1,MAX(0,1*(7*J$6-3*$E93)/(4*$E93)))^2)</f>
        <v/>
      </c>
      <c r="K93">
        <f>MAX(-fyd_sn,MIN(fyd_sn,200000*0.002*(1-1*(7*K$6-3*$E93)/(4*$E93))))-fcd_sn*(1-MIN(1,MAX(0,1*(7*K$6-3*$E93)/(4*$E93)))^2)</f>
        <v/>
      </c>
    </row>
    <row r="94">
      <c r="B94" s="55" t="n">
        <v>39</v>
      </c>
      <c r="C94" s="56">
        <f>IF($G93&lt;sn_N,($C93+$D93)/2,$C93)</f>
        <v/>
      </c>
      <c r="D94" s="56">
        <f>IF($G93&lt;sn_N,$D93,($C93+$D93)/2)</f>
        <v/>
      </c>
      <c r="E94" s="57">
        <f>sn_h*(($C94+$D94)/2)</f>
        <v/>
      </c>
      <c r="G94" s="57">
        <f>(fcd_sn*sn_b*$E94*(3/7+4/7*(1-1^2/3))+SUMPRODUCT($J$5:$K$5,$J94:$K94))/1000</f>
        <v/>
      </c>
      <c r="H94" s="57">
        <f>(fcd_sn*sn_b*(3/14*$E94*(sn_h-3/7*$E94)+4/7*$E94*(sn_h/2-3/7*$E94)*(1-1^2/3)-16/49*$E94^2*(1/2-1^2/4))+SUMPRODUCT($J$5:$K$5,$J94:$K94,$J$7:$K$7))/1E6</f>
        <v/>
      </c>
      <c r="J94">
        <f>MAX(-fyd_sn,MIN(fyd_sn,200000*0.002*(1-1*(7*J$6-3*$E94)/(4*$E94))))-fcd_sn*(1-MIN(1,MAX(0,1*(7*J$6-3*$E94)/(4*$E94)))^2)</f>
        <v/>
      </c>
      <c r="K94">
        <f>MAX(-fyd_sn,MIN(fyd_sn,200000*0.002*(1-1*(7*K$6-3*$E94)/(4*$E94))))-fcd_sn*(1-MIN(1,MAX(0,1*(7*K$6-3*$E94)/(4*$E94)))^2)</f>
        <v/>
      </c>
    </row>
    <row r="95">
      <c r="B95" s="55" t="n">
        <v>40</v>
      </c>
      <c r="C95" s="56">
        <f>IF($G94&lt;sn_N,($C94+$D94)/2,$C94)</f>
        <v/>
      </c>
      <c r="D95" s="56">
        <f>IF($G94&lt;sn_N,$D94,($C94+$D94)/2)</f>
        <v/>
      </c>
      <c r="E95" s="57">
        <f>sn_h*(($C95+$D95)/2)</f>
        <v/>
      </c>
      <c r="G95" s="57">
        <f>(fcd_sn*sn_b*$E95*(3/7+4/7*(1-1^2/3))+SUMPRODUCT($J$5:$K$5,$J95:$K95))/1000</f>
        <v/>
      </c>
      <c r="H95" s="57">
        <f>(fcd_sn*sn_b*(3/14*$E95*(sn_h-3/7*$E95)+4/7*$E95*(sn_h/2-3/7*$E95)*(1-1^2/3)-16/49*$E95^2*(1/2-1^2/4))+SUMPRODUCT($J$5:$K$5,$J95:$K95,$J$7:$K$7))/1E6</f>
        <v/>
      </c>
      <c r="J95">
        <f>MAX(-fyd_sn,MIN(fyd_sn,200000*0.002*(1-1*(7*J$6-3*$E95)/(4*$E95))))-fcd_sn*(1-MIN(1,MAX(0,1*(7*J$6-3*$E95)/(4*$E95)))^2)</f>
        <v/>
      </c>
      <c r="K95">
        <f>MAX(-fyd_sn,MIN(fyd_sn,200000*0.002*(1-1*(7*K$6-3*$E95)/(4*$E95))))-fcd_sn*(1-MIN(1,MAX(0,1*(7*K$6-3*$E95)/(4*$E95)))^2)</f>
        <v/>
      </c>
    </row>
    <row r="96">
      <c r="B96" s="55" t="n">
        <v>41</v>
      </c>
      <c r="C96" s="56">
        <f>IF($G95&lt;sn_N,($C95+$D95)/2,$C95)</f>
        <v/>
      </c>
      <c r="D96" s="56">
        <f>IF($G95&lt;sn_N,$D95,($C95+$D95)/2)</f>
        <v/>
      </c>
      <c r="E96" s="57">
        <f>sn_h*(($C96+$D96)/2)</f>
        <v/>
      </c>
      <c r="G96" s="57">
        <f>(fcd_sn*sn_b*$E96*(3/7+4/7*(1-1^2/3))+SUMPRODUCT($J$5:$K$5,$J96:$K96))/1000</f>
        <v/>
      </c>
      <c r="H96" s="57">
        <f>(fcd_sn*sn_b*(3/14*$E96*(sn_h-3/7*$E96)+4/7*$E96*(sn_h/2-3/7*$E96)*(1-1^2/3)-16/49*$E96^2*(1/2-1^2/4))+SUMPRODUCT($J$5:$K$5,$J96:$K96,$J$7:$K$7))/1E6</f>
        <v/>
      </c>
      <c r="J96">
        <f>MAX(-fyd_sn,MIN(fyd_sn,200000*0.002*(1-1*(7*J$6-3*$E96)/(4*$E96))))-fcd_sn*(1-MIN(1,MAX(0,1*(7*J$6-3*$E96)/(4*$E96)))^2)</f>
        <v/>
      </c>
      <c r="K96">
        <f>MAX(-fyd_sn,MIN(fyd_sn,200000*0.002*(1-1*(7*K$6-3*$E96)/(4*$E96))))-fcd_sn*(1-MIN(1,MAX(0,1*(7*K$6-3*$E96)/(4*$E96)))^2)</f>
        <v/>
      </c>
    </row>
    <row r="97">
      <c r="B97" s="55" t="n">
        <v>42</v>
      </c>
      <c r="C97" s="56">
        <f>IF($G96&lt;sn_N,($C96+$D96)/2,$C96)</f>
        <v/>
      </c>
      <c r="D97" s="56">
        <f>IF($G96&lt;sn_N,$D96,($C96+$D96)/2)</f>
        <v/>
      </c>
      <c r="E97" s="57">
        <f>sn_h*(($C97+$D97)/2)</f>
        <v/>
      </c>
      <c r="G97" s="57">
        <f>(fcd_sn*sn_b*$E97*(3/7+4/7*(1-1^2/3))+SUMPRODUCT($J$5:$K$5,$J97:$K97))/1000</f>
        <v/>
      </c>
      <c r="H97" s="57">
        <f>(fcd_sn*sn_b*(3/14*$E97*(sn_h-3/7*$E97)+4/7*$E97*(sn_h/2-3/7*$E97)*(1-1^2/3)-16/49*$E97^2*(1/2-1^2/4))+SUMPRODUCT($J$5:$K$5,$J97:$K97,$J$7:$K$7))/1E6</f>
        <v/>
      </c>
      <c r="J97">
        <f>MAX(-fyd_sn,MIN(fyd_sn,200000*0.002*(1-1*(7*J$6-3*$E97)/(4*$E97))))-fcd_sn*(1-MIN(1,MAX(0,1*(7*J$6-3*$E97)/(4*$E97)))^2)</f>
        <v/>
      </c>
      <c r="K97">
        <f>MAX(-fyd_sn,MIN(fyd_sn,200000*0.002*(1-1*(7*K$6-3*$E97)/(4*$E97))))-fcd_sn*(1-MIN(1,MAX(0,1*(7*K$6-3*$E97)/(4*$E97)))^2)</f>
        <v/>
      </c>
    </row>
    <row r="98">
      <c r="B98" s="55" t="n">
        <v>43</v>
      </c>
      <c r="C98" s="56">
        <f>IF($G97&lt;sn_N,($C97+$D97)/2,$C97)</f>
        <v/>
      </c>
      <c r="D98" s="56">
        <f>IF($G97&lt;sn_N,$D97,($C97+$D97)/2)</f>
        <v/>
      </c>
      <c r="E98" s="57">
        <f>sn_h*(($C98+$D98)/2)</f>
        <v/>
      </c>
      <c r="G98" s="57">
        <f>(fcd_sn*sn_b*$E98*(3/7+4/7*(1-1^2/3))+SUMPRODUCT($J$5:$K$5,$J98:$K98))/1000</f>
        <v/>
      </c>
      <c r="H98" s="57">
        <f>(fcd_sn*sn_b*(3/14*$E98*(sn_h-3/7*$E98)+4/7*$E98*(sn_h/2-3/7*$E98)*(1-1^2/3)-16/49*$E98^2*(1/2-1^2/4))+SUMPRODUCT($J$5:$K$5,$J98:$K98,$J$7:$K$7))/1E6</f>
        <v/>
      </c>
      <c r="J98">
        <f>MAX(-fyd_sn,MIN(fyd_sn,200000*0.002*(1-1*(7*J$6-3*$E98)/(4*$E98))))-fcd_sn*(1-MIN(1,MAX(0,1*(7*J$6-3*$E98)/(4*$E98)))^2)</f>
        <v/>
      </c>
      <c r="K98">
        <f>MAX(-fyd_sn,MIN(fyd_sn,200000*0.002*(1-1*(7*K$6-3*$E98)/(4*$E98))))-fcd_sn*(1-MIN(1,MAX(0,1*(7*K$6-3*$E98)/(4*$E98)))^2)</f>
        <v/>
      </c>
    </row>
    <row r="99">
      <c r="B99" s="55" t="n">
        <v>44</v>
      </c>
      <c r="C99" s="56">
        <f>IF($G98&lt;sn_N,($C98+$D98)/2,$C98)</f>
        <v/>
      </c>
      <c r="D99" s="56">
        <f>IF($G98&lt;sn_N,$D98,($C98+$D98)/2)</f>
        <v/>
      </c>
      <c r="E99" s="57">
        <f>sn_h*(($C99+$D99)/2)</f>
        <v/>
      </c>
      <c r="G99" s="57">
        <f>(fcd_sn*sn_b*$E99*(3/7+4/7*(1-1^2/3))+SUMPRODUCT($J$5:$K$5,$J99:$K99))/1000</f>
        <v/>
      </c>
      <c r="H99" s="57">
        <f>(fcd_sn*sn_b*(3/14*$E99*(sn_h-3/7*$E99)+4/7*$E99*(sn_h/2-3/7*$E99)*(1-1^2/3)-16/49*$E99^2*(1/2-1^2/4))+SUMPRODUCT($J$5:$K$5,$J99:$K99,$J$7:$K$7))/1E6</f>
        <v/>
      </c>
      <c r="J99">
        <f>MAX(-fyd_sn,MIN(fyd_sn,200000*0.002*(1-1*(7*J$6-3*$E99)/(4*$E99))))-fcd_sn*(1-MIN(1,MAX(0,1*(7*J$6-3*$E99)/(4*$E99)))^2)</f>
        <v/>
      </c>
      <c r="K99">
        <f>MAX(-fyd_sn,MIN(fyd_sn,200000*0.002*(1-1*(7*K$6-3*$E99)/(4*$E99))))-fcd_sn*(1-MIN(1,MAX(0,1*(7*K$6-3*$E99)/(4*$E99)))^2)</f>
        <v/>
      </c>
    </row>
    <row r="100">
      <c r="B100" s="55" t="n">
        <v>45</v>
      </c>
      <c r="C100" s="56">
        <f>IF($G99&lt;sn_N,($C99+$D99)/2,$C99)</f>
        <v/>
      </c>
      <c r="D100" s="56">
        <f>IF($G99&lt;sn_N,$D99,($C99+$D99)/2)</f>
        <v/>
      </c>
      <c r="E100" s="57">
        <f>sn_h*(($C100+$D100)/2)</f>
        <v/>
      </c>
      <c r="G100" s="57">
        <f>(fcd_sn*sn_b*$E100*(3/7+4/7*(1-1^2/3))+SUMPRODUCT($J$5:$K$5,$J100:$K100))/1000</f>
        <v/>
      </c>
      <c r="H100" s="57">
        <f>(fcd_sn*sn_b*(3/14*$E100*(sn_h-3/7*$E100)+4/7*$E100*(sn_h/2-3/7*$E100)*(1-1^2/3)-16/49*$E100^2*(1/2-1^2/4))+SUMPRODUCT($J$5:$K$5,$J100:$K100,$J$7:$K$7))/1E6</f>
        <v/>
      </c>
      <c r="J100">
        <f>MAX(-fyd_sn,MIN(fyd_sn,200000*0.002*(1-1*(7*J$6-3*$E100)/(4*$E100))))-fcd_sn*(1-MIN(1,MAX(0,1*(7*J$6-3*$E100)/(4*$E100)))^2)</f>
        <v/>
      </c>
      <c r="K100">
        <f>MAX(-fyd_sn,MIN(fyd_sn,200000*0.002*(1-1*(7*K$6-3*$E100)/(4*$E100))))-fcd_sn*(1-MIN(1,MAX(0,1*(7*K$6-3*$E100)/(4*$E100)))^2)</f>
        <v/>
      </c>
    </row>
    <row r="101">
      <c r="B101" s="55" t="n">
        <v>46</v>
      </c>
      <c r="C101" s="56">
        <f>IF($G100&lt;sn_N,($C100+$D100)/2,$C100)</f>
        <v/>
      </c>
      <c r="D101" s="56">
        <f>IF($G100&lt;sn_N,$D100,($C100+$D100)/2)</f>
        <v/>
      </c>
      <c r="E101" s="57">
        <f>sn_h*(($C101+$D101)/2)</f>
        <v/>
      </c>
      <c r="G101" s="57">
        <f>(fcd_sn*sn_b*$E101*(3/7+4/7*(1-1^2/3))+SUMPRODUCT($J$5:$K$5,$J101:$K101))/1000</f>
        <v/>
      </c>
      <c r="H101" s="57">
        <f>(fcd_sn*sn_b*(3/14*$E101*(sn_h-3/7*$E101)+4/7*$E101*(sn_h/2-3/7*$E101)*(1-1^2/3)-16/49*$E101^2*(1/2-1^2/4))+SUMPRODUCT($J$5:$K$5,$J101:$K101,$J$7:$K$7))/1E6</f>
        <v/>
      </c>
      <c r="J101">
        <f>MAX(-fyd_sn,MIN(fyd_sn,200000*0.002*(1-1*(7*J$6-3*$E101)/(4*$E101))))-fcd_sn*(1-MIN(1,MAX(0,1*(7*J$6-3*$E101)/(4*$E101)))^2)</f>
        <v/>
      </c>
      <c r="K101">
        <f>MAX(-fyd_sn,MIN(fyd_sn,200000*0.002*(1-1*(7*K$6-3*$E101)/(4*$E101))))-fcd_sn*(1-MIN(1,MAX(0,1*(7*K$6-3*$E101)/(4*$E101)))^2)</f>
        <v/>
      </c>
    </row>
    <row r="102">
      <c r="B102" s="55" t="n">
        <v>47</v>
      </c>
      <c r="C102" s="56">
        <f>IF($G101&lt;sn_N,($C101+$D101)/2,$C101)</f>
        <v/>
      </c>
      <c r="D102" s="56">
        <f>IF($G101&lt;sn_N,$D101,($C101+$D101)/2)</f>
        <v/>
      </c>
      <c r="E102" s="57">
        <f>sn_h*(($C102+$D102)/2)</f>
        <v/>
      </c>
      <c r="G102" s="57">
        <f>(fcd_sn*sn_b*$E102*(3/7+4/7*(1-1^2/3))+SUMPRODUCT($J$5:$K$5,$J102:$K102))/1000</f>
        <v/>
      </c>
      <c r="H102" s="57">
        <f>(fcd_sn*sn_b*(3/14*$E102*(sn_h-3/7*$E102)+4/7*$E102*(sn_h/2-3/7*$E102)*(1-1^2/3)-16/49*$E102^2*(1/2-1^2/4))+SUMPRODUCT($J$5:$K$5,$J102:$K102,$J$7:$K$7))/1E6</f>
        <v/>
      </c>
      <c r="J102">
        <f>MAX(-fyd_sn,MIN(fyd_sn,200000*0.002*(1-1*(7*J$6-3*$E102)/(4*$E102))))-fcd_sn*(1-MIN(1,MAX(0,1*(7*J$6-3*$E102)/(4*$E102)))^2)</f>
        <v/>
      </c>
      <c r="K102">
        <f>MAX(-fyd_sn,MIN(fyd_sn,200000*0.002*(1-1*(7*K$6-3*$E102)/(4*$E102))))-fcd_sn*(1-MIN(1,MAX(0,1*(7*K$6-3*$E102)/(4*$E102)))^2)</f>
        <v/>
      </c>
    </row>
    <row r="103">
      <c r="B103" s="55" t="n">
        <v>48</v>
      </c>
      <c r="C103" s="56">
        <f>IF($G102&lt;sn_N,($C102+$D102)/2,$C102)</f>
        <v/>
      </c>
      <c r="D103" s="56">
        <f>IF($G102&lt;sn_N,$D102,($C102+$D102)/2)</f>
        <v/>
      </c>
      <c r="E103" s="57">
        <f>sn_h*(($C103+$D103)/2)</f>
        <v/>
      </c>
      <c r="G103" s="57">
        <f>(fcd_sn*sn_b*$E103*(3/7+4/7*(1-1^2/3))+SUMPRODUCT($J$5:$K$5,$J103:$K103))/1000</f>
        <v/>
      </c>
      <c r="H103" s="57">
        <f>(fcd_sn*sn_b*(3/14*$E103*(sn_h-3/7*$E103)+4/7*$E103*(sn_h/2-3/7*$E103)*(1-1^2/3)-16/49*$E103^2*(1/2-1^2/4))+SUMPRODUCT($J$5:$K$5,$J103:$K103,$J$7:$K$7))/1E6</f>
        <v/>
      </c>
      <c r="J103">
        <f>MAX(-fyd_sn,MIN(fyd_sn,200000*0.002*(1-1*(7*J$6-3*$E103)/(4*$E103))))-fcd_sn*(1-MIN(1,MAX(0,1*(7*J$6-3*$E103)/(4*$E103)))^2)</f>
        <v/>
      </c>
      <c r="K103">
        <f>MAX(-fyd_sn,MIN(fyd_sn,200000*0.002*(1-1*(7*K$6-3*$E103)/(4*$E103))))-fcd_sn*(1-MIN(1,MAX(0,1*(7*K$6-3*$E103)/(4*$E103)))^2)</f>
        <v/>
      </c>
    </row>
    <row r="104">
      <c r="B104" s="55" t="n">
        <v>49</v>
      </c>
      <c r="C104" s="56">
        <f>IF($G103&lt;sn_N,($C103+$D103)/2,$C103)</f>
        <v/>
      </c>
      <c r="D104" s="56">
        <f>IF($G103&lt;sn_N,$D103,($C103+$D103)/2)</f>
        <v/>
      </c>
      <c r="E104" s="57">
        <f>sn_h*(($C104+$D104)/2)</f>
        <v/>
      </c>
      <c r="G104" s="57">
        <f>(fcd_sn*sn_b*$E104*(3/7+4/7*(1-1^2/3))+SUMPRODUCT($J$5:$K$5,$J104:$K104))/1000</f>
        <v/>
      </c>
      <c r="H104" s="57">
        <f>(fcd_sn*sn_b*(3/14*$E104*(sn_h-3/7*$E104)+4/7*$E104*(sn_h/2-3/7*$E104)*(1-1^2/3)-16/49*$E104^2*(1/2-1^2/4))+SUMPRODUCT($J$5:$K$5,$J104:$K104,$J$7:$K$7))/1E6</f>
        <v/>
      </c>
      <c r="J104">
        <f>MAX(-fyd_sn,MIN(fyd_sn,200000*0.002*(1-1*(7*J$6-3*$E104)/(4*$E104))))-fcd_sn*(1-MIN(1,MAX(0,1*(7*J$6-3*$E104)/(4*$E104)))^2)</f>
        <v/>
      </c>
      <c r="K104">
        <f>MAX(-fyd_sn,MIN(fyd_sn,200000*0.002*(1-1*(7*K$6-3*$E104)/(4*$E104))))-fcd_sn*(1-MIN(1,MAX(0,1*(7*K$6-3*$E104)/(4*$E104)))^2)</f>
        <v/>
      </c>
    </row>
    <row r="105">
      <c r="B105" s="55" t="n">
        <v>50</v>
      </c>
      <c r="C105" s="56">
        <f>IF($G104&lt;sn_N,($C104+$D104)/2,$C104)</f>
        <v/>
      </c>
      <c r="D105" s="56">
        <f>IF($G104&lt;sn_N,$D104,($C104+$D104)/2)</f>
        <v/>
      </c>
      <c r="E105" s="57">
        <f>sn_h*(($C105+$D105)/2)</f>
        <v/>
      </c>
      <c r="G105" s="57">
        <f>(fcd_sn*sn_b*$E105*(3/7+4/7*(1-1^2/3))+SUMPRODUCT($J$5:$K$5,$J105:$K105))/1000</f>
        <v/>
      </c>
      <c r="H105" s="57">
        <f>(fcd_sn*sn_b*(3/14*$E105*(sn_h-3/7*$E105)+4/7*$E105*(sn_h/2-3/7*$E105)*(1-1^2/3)-16/49*$E105^2*(1/2-1^2/4))+SUMPRODUCT($J$5:$K$5,$J105:$K105,$J$7:$K$7))/1E6</f>
        <v/>
      </c>
      <c r="J105">
        <f>MAX(-fyd_sn,MIN(fyd_sn,200000*0.002*(1-1*(7*J$6-3*$E105)/(4*$E105))))-fcd_sn*(1-MIN(1,MAX(0,1*(7*J$6-3*$E105)/(4*$E105)))^2)</f>
        <v/>
      </c>
      <c r="K105">
        <f>MAX(-fyd_sn,MIN(fyd_sn,200000*0.002*(1-1*(7*K$6-3*$E105)/(4*$E105))))-fcd_sn*(1-MIN(1,MAX(0,1*(7*K$6-3*$E105)/(4*$E105)))^2)</f>
        <v/>
      </c>
    </row>
    <row r="106">
      <c r="B106" s="55" t="n">
        <v>51</v>
      </c>
      <c r="C106" s="56">
        <f>IF($G105&lt;sn_N,($C105+$D105)/2,$C105)</f>
        <v/>
      </c>
      <c r="D106" s="56">
        <f>IF($G105&lt;sn_N,$D105,($C105+$D105)/2)</f>
        <v/>
      </c>
      <c r="E106" s="57">
        <f>sn_h*(($C106+$D106)/2)</f>
        <v/>
      </c>
      <c r="G106" s="57">
        <f>(fcd_sn*sn_b*$E106*(3/7+4/7*(1-1^2/3))+SUMPRODUCT($J$5:$K$5,$J106:$K106))/1000</f>
        <v/>
      </c>
      <c r="H106" s="57">
        <f>(fcd_sn*sn_b*(3/14*$E106*(sn_h-3/7*$E106)+4/7*$E106*(sn_h/2-3/7*$E106)*(1-1^2/3)-16/49*$E106^2*(1/2-1^2/4))+SUMPRODUCT($J$5:$K$5,$J106:$K106,$J$7:$K$7))/1E6</f>
        <v/>
      </c>
      <c r="J106">
        <f>MAX(-fyd_sn,MIN(fyd_sn,200000*0.002*(1-1*(7*J$6-3*$E106)/(4*$E106))))-fcd_sn*(1-MIN(1,MAX(0,1*(7*J$6-3*$E106)/(4*$E106)))^2)</f>
        <v/>
      </c>
      <c r="K106">
        <f>MAX(-fyd_sn,MIN(fyd_sn,200000*0.002*(1-1*(7*K$6-3*$E106)/(4*$E106))))-fcd_sn*(1-MIN(1,MAX(0,1*(7*K$6-3*$E106)/(4*$E106)))^2)</f>
        <v/>
      </c>
    </row>
    <row r="107">
      <c r="B107" s="55" t="n">
        <v>52</v>
      </c>
      <c r="C107" s="56">
        <f>IF($G106&lt;sn_N,($C106+$D106)/2,$C106)</f>
        <v/>
      </c>
      <c r="D107" s="56">
        <f>IF($G106&lt;sn_N,$D106,($C106+$D106)/2)</f>
        <v/>
      </c>
      <c r="E107" s="57">
        <f>sn_h*(($C107+$D107)/2)</f>
        <v/>
      </c>
      <c r="G107" s="57">
        <f>(fcd_sn*sn_b*$E107*(3/7+4/7*(1-1^2/3))+SUMPRODUCT($J$5:$K$5,$J107:$K107))/1000</f>
        <v/>
      </c>
      <c r="H107" s="57">
        <f>(fcd_sn*sn_b*(3/14*$E107*(sn_h-3/7*$E107)+4/7*$E107*(sn_h/2-3/7*$E107)*(1-1^2/3)-16/49*$E107^2*(1/2-1^2/4))+SUMPRODUCT($J$5:$K$5,$J107:$K107,$J$7:$K$7))/1E6</f>
        <v/>
      </c>
      <c r="J107">
        <f>MAX(-fyd_sn,MIN(fyd_sn,200000*0.002*(1-1*(7*J$6-3*$E107)/(4*$E107))))-fcd_sn*(1-MIN(1,MAX(0,1*(7*J$6-3*$E107)/(4*$E107)))^2)</f>
        <v/>
      </c>
      <c r="K107">
        <f>MAX(-fyd_sn,MIN(fyd_sn,200000*0.002*(1-1*(7*K$6-3*$E107)/(4*$E107))))-fcd_sn*(1-MIN(1,MAX(0,1*(7*K$6-3*$E107)/(4*$E107)))^2)</f>
        <v/>
      </c>
    </row>
    <row r="108">
      <c r="B108" s="55" t="n">
        <v>53</v>
      </c>
      <c r="C108" s="56">
        <f>IF($G107&lt;sn_N,($C107+$D107)/2,$C107)</f>
        <v/>
      </c>
      <c r="D108" s="56">
        <f>IF($G107&lt;sn_N,$D107,($C107+$D107)/2)</f>
        <v/>
      </c>
      <c r="E108" s="57">
        <f>sn_h*(($C108+$D108)/2)</f>
        <v/>
      </c>
      <c r="G108" s="57">
        <f>(fcd_sn*sn_b*$E108*(3/7+4/7*(1-1^2/3))+SUMPRODUCT($J$5:$K$5,$J108:$K108))/1000</f>
        <v/>
      </c>
      <c r="H108" s="57">
        <f>(fcd_sn*sn_b*(3/14*$E108*(sn_h-3/7*$E108)+4/7*$E108*(sn_h/2-3/7*$E108)*(1-1^2/3)-16/49*$E108^2*(1/2-1^2/4))+SUMPRODUCT($J$5:$K$5,$J108:$K108,$J$7:$K$7))/1E6</f>
        <v/>
      </c>
      <c r="J108">
        <f>MAX(-fyd_sn,MIN(fyd_sn,200000*0.002*(1-1*(7*J$6-3*$E108)/(4*$E108))))-fcd_sn*(1-MIN(1,MAX(0,1*(7*J$6-3*$E108)/(4*$E108)))^2)</f>
        <v/>
      </c>
      <c r="K108">
        <f>MAX(-fyd_sn,MIN(fyd_sn,200000*0.002*(1-1*(7*K$6-3*$E108)/(4*$E108))))-fcd_sn*(1-MIN(1,MAX(0,1*(7*K$6-3*$E108)/(4*$E108)))^2)</f>
        <v/>
      </c>
    </row>
    <row r="109">
      <c r="B109" s="55" t="n">
        <v>54</v>
      </c>
      <c r="C109" s="56">
        <f>IF($G108&lt;sn_N,($C108+$D108)/2,$C108)</f>
        <v/>
      </c>
      <c r="D109" s="56">
        <f>IF($G108&lt;sn_N,$D108,($C108+$D108)/2)</f>
        <v/>
      </c>
      <c r="E109" s="57">
        <f>sn_h*(($C109+$D109)/2)</f>
        <v/>
      </c>
      <c r="G109" s="57">
        <f>(fcd_sn*sn_b*$E109*(3/7+4/7*(1-1^2/3))+SUMPRODUCT($J$5:$K$5,$J109:$K109))/1000</f>
        <v/>
      </c>
      <c r="H109" s="57">
        <f>(fcd_sn*sn_b*(3/14*$E109*(sn_h-3/7*$E109)+4/7*$E109*(sn_h/2-3/7*$E109)*(1-1^2/3)-16/49*$E109^2*(1/2-1^2/4))+SUMPRODUCT($J$5:$K$5,$J109:$K109,$J$7:$K$7))/1E6</f>
        <v/>
      </c>
      <c r="J109">
        <f>MAX(-fyd_sn,MIN(fyd_sn,200000*0.002*(1-1*(7*J$6-3*$E109)/(4*$E109))))-fcd_sn*(1-MIN(1,MAX(0,1*(7*J$6-3*$E109)/(4*$E109)))^2)</f>
        <v/>
      </c>
      <c r="K109">
        <f>MAX(-fyd_sn,MIN(fyd_sn,200000*0.002*(1-1*(7*K$6-3*$E109)/(4*$E109))))-fcd_sn*(1-MIN(1,MAX(0,1*(7*K$6-3*$E109)/(4*$E109)))^2)</f>
        <v/>
      </c>
    </row>
    <row r="110">
      <c r="B110" s="55" t="n">
        <v>55</v>
      </c>
      <c r="C110" s="56">
        <f>IF($G109&lt;sn_N,($C109+$D109)/2,$C109)</f>
        <v/>
      </c>
      <c r="D110" s="56">
        <f>IF($G109&lt;sn_N,$D109,($C109+$D109)/2)</f>
        <v/>
      </c>
      <c r="E110" s="57">
        <f>sn_h*(($C110+$D110)/2)</f>
        <v/>
      </c>
      <c r="G110" s="57">
        <f>(fcd_sn*sn_b*$E110*(3/7+4/7*(1-1^2/3))+SUMPRODUCT($J$5:$K$5,$J110:$K110))/1000</f>
        <v/>
      </c>
      <c r="H110" s="57">
        <f>(fcd_sn*sn_b*(3/14*$E110*(sn_h-3/7*$E110)+4/7*$E110*(sn_h/2-3/7*$E110)*(1-1^2/3)-16/49*$E110^2*(1/2-1^2/4))+SUMPRODUCT($J$5:$K$5,$J110:$K110,$J$7:$K$7))/1E6</f>
        <v/>
      </c>
      <c r="J110">
        <f>MAX(-fyd_sn,MIN(fyd_sn,200000*0.002*(1-1*(7*J$6-3*$E110)/(4*$E110))))-fcd_sn*(1-MIN(1,MAX(0,1*(7*J$6-3*$E110)/(4*$E110)))^2)</f>
        <v/>
      </c>
      <c r="K110">
        <f>MAX(-fyd_sn,MIN(fyd_sn,200000*0.002*(1-1*(7*K$6-3*$E110)/(4*$E110))))-fcd_sn*(1-MIN(1,MAX(0,1*(7*K$6-3*$E110)/(4*$E110)))^2)</f>
        <v/>
      </c>
    </row>
    <row r="111">
      <c r="B111" s="55" t="n">
        <v>56</v>
      </c>
      <c r="C111" s="56">
        <f>IF($G110&lt;sn_N,($C110+$D110)/2,$C110)</f>
        <v/>
      </c>
      <c r="D111" s="56">
        <f>IF($G110&lt;sn_N,$D110,($C110+$D110)/2)</f>
        <v/>
      </c>
      <c r="E111" s="57">
        <f>sn_h*(($C111+$D111)/2)</f>
        <v/>
      </c>
      <c r="G111" s="57">
        <f>(fcd_sn*sn_b*$E111*(3/7+4/7*(1-1^2/3))+SUMPRODUCT($J$5:$K$5,$J111:$K111))/1000</f>
        <v/>
      </c>
      <c r="H111" s="57">
        <f>(fcd_sn*sn_b*(3/14*$E111*(sn_h-3/7*$E111)+4/7*$E111*(sn_h/2-3/7*$E111)*(1-1^2/3)-16/49*$E111^2*(1/2-1^2/4))+SUMPRODUCT($J$5:$K$5,$J111:$K111,$J$7:$K$7))/1E6</f>
        <v/>
      </c>
      <c r="J111">
        <f>MAX(-fyd_sn,MIN(fyd_sn,200000*0.002*(1-1*(7*J$6-3*$E111)/(4*$E111))))-fcd_sn*(1-MIN(1,MAX(0,1*(7*J$6-3*$E111)/(4*$E111)))^2)</f>
        <v/>
      </c>
      <c r="K111">
        <f>MAX(-fyd_sn,MIN(fyd_sn,200000*0.002*(1-1*(7*K$6-3*$E111)/(4*$E111))))-fcd_sn*(1-MIN(1,MAX(0,1*(7*K$6-3*$E111)/(4*$E111)))^2)</f>
        <v/>
      </c>
    </row>
    <row r="112">
      <c r="B112" s="55" t="n">
        <v>57</v>
      </c>
      <c r="C112" s="56">
        <f>IF($G111&lt;sn_N,($C111+$D111)/2,$C111)</f>
        <v/>
      </c>
      <c r="D112" s="56">
        <f>IF($G111&lt;sn_N,$D111,($C111+$D111)/2)</f>
        <v/>
      </c>
      <c r="E112" s="57">
        <f>sn_h*(($C112+$D112)/2)</f>
        <v/>
      </c>
      <c r="G112" s="57">
        <f>(fcd_sn*sn_b*$E112*(3/7+4/7*(1-1^2/3))+SUMPRODUCT($J$5:$K$5,$J112:$K112))/1000</f>
        <v/>
      </c>
      <c r="H112" s="57">
        <f>(fcd_sn*sn_b*(3/14*$E112*(sn_h-3/7*$E112)+4/7*$E112*(sn_h/2-3/7*$E112)*(1-1^2/3)-16/49*$E112^2*(1/2-1^2/4))+SUMPRODUCT($J$5:$K$5,$J112:$K112,$J$7:$K$7))/1E6</f>
        <v/>
      </c>
      <c r="J112">
        <f>MAX(-fyd_sn,MIN(fyd_sn,200000*0.002*(1-1*(7*J$6-3*$E112)/(4*$E112))))-fcd_sn*(1-MIN(1,MAX(0,1*(7*J$6-3*$E112)/(4*$E112)))^2)</f>
        <v/>
      </c>
      <c r="K112">
        <f>MAX(-fyd_sn,MIN(fyd_sn,200000*0.002*(1-1*(7*K$6-3*$E112)/(4*$E112))))-fcd_sn*(1-MIN(1,MAX(0,1*(7*K$6-3*$E112)/(4*$E112)))^2)</f>
        <v/>
      </c>
    </row>
    <row r="113">
      <c r="B113" s="55" t="n">
        <v>58</v>
      </c>
      <c r="C113" s="56">
        <f>IF($G112&lt;sn_N,($C112+$D112)/2,$C112)</f>
        <v/>
      </c>
      <c r="D113" s="56">
        <f>IF($G112&lt;sn_N,$D112,($C112+$D112)/2)</f>
        <v/>
      </c>
      <c r="E113" s="57">
        <f>sn_h*(($C113+$D113)/2)</f>
        <v/>
      </c>
      <c r="G113" s="57">
        <f>(fcd_sn*sn_b*$E113*(3/7+4/7*(1-1^2/3))+SUMPRODUCT($J$5:$K$5,$J113:$K113))/1000</f>
        <v/>
      </c>
      <c r="H113" s="57">
        <f>(fcd_sn*sn_b*(3/14*$E113*(sn_h-3/7*$E113)+4/7*$E113*(sn_h/2-3/7*$E113)*(1-1^2/3)-16/49*$E113^2*(1/2-1^2/4))+SUMPRODUCT($J$5:$K$5,$J113:$K113,$J$7:$K$7))/1E6</f>
        <v/>
      </c>
      <c r="J113">
        <f>MAX(-fyd_sn,MIN(fyd_sn,200000*0.002*(1-1*(7*J$6-3*$E113)/(4*$E113))))-fcd_sn*(1-MIN(1,MAX(0,1*(7*J$6-3*$E113)/(4*$E113)))^2)</f>
        <v/>
      </c>
      <c r="K113">
        <f>MAX(-fyd_sn,MIN(fyd_sn,200000*0.002*(1-1*(7*K$6-3*$E113)/(4*$E113))))-fcd_sn*(1-MIN(1,MAX(0,1*(7*K$6-3*$E113)/(4*$E113)))^2)</f>
        <v/>
      </c>
    </row>
    <row r="114">
      <c r="B114" s="55" t="n">
        <v>59</v>
      </c>
      <c r="C114" s="56">
        <f>IF($G113&lt;sn_N,($C113+$D113)/2,$C113)</f>
        <v/>
      </c>
      <c r="D114" s="56">
        <f>IF($G113&lt;sn_N,$D113,($C113+$D113)/2)</f>
        <v/>
      </c>
      <c r="E114" s="57">
        <f>sn_h*(($C114+$D114)/2)</f>
        <v/>
      </c>
      <c r="G114" s="57">
        <f>(fcd_sn*sn_b*$E114*(3/7+4/7*(1-1^2/3))+SUMPRODUCT($J$5:$K$5,$J114:$K114))/1000</f>
        <v/>
      </c>
      <c r="H114" s="57">
        <f>(fcd_sn*sn_b*(3/14*$E114*(sn_h-3/7*$E114)+4/7*$E114*(sn_h/2-3/7*$E114)*(1-1^2/3)-16/49*$E114^2*(1/2-1^2/4))+SUMPRODUCT($J$5:$K$5,$J114:$K114,$J$7:$K$7))/1E6</f>
        <v/>
      </c>
      <c r="J114">
        <f>MAX(-fyd_sn,MIN(fyd_sn,200000*0.002*(1-1*(7*J$6-3*$E114)/(4*$E114))))-fcd_sn*(1-MIN(1,MAX(0,1*(7*J$6-3*$E114)/(4*$E114)))^2)</f>
        <v/>
      </c>
      <c r="K114">
        <f>MAX(-fyd_sn,MIN(fyd_sn,200000*0.002*(1-1*(7*K$6-3*$E114)/(4*$E114))))-fcd_sn*(1-MIN(1,MAX(0,1*(7*K$6-3*$E114)/(4*$E114)))^2)</f>
        <v/>
      </c>
    </row>
    <row r="115">
      <c r="B115" s="55" t="n">
        <v>60</v>
      </c>
      <c r="C115" s="56">
        <f>IF($G114&lt;sn_N,($C114+$D114)/2,$C114)</f>
        <v/>
      </c>
      <c r="D115" s="56">
        <f>IF($G114&lt;sn_N,$D114,($C114+$D114)/2)</f>
        <v/>
      </c>
      <c r="E115" s="57">
        <f>sn_h*(($C115+$D115)/2)</f>
        <v/>
      </c>
      <c r="G115" s="57">
        <f>(fcd_sn*sn_b*$E115*(3/7+4/7*(1-1^2/3))+SUMPRODUCT($J$5:$K$5,$J115:$K115))/1000</f>
        <v/>
      </c>
      <c r="H115" s="57">
        <f>(fcd_sn*sn_b*(3/14*$E115*(sn_h-3/7*$E115)+4/7*$E115*(sn_h/2-3/7*$E115)*(1-1^2/3)-16/49*$E115^2*(1/2-1^2/4))+SUMPRODUCT($J$5:$K$5,$J115:$K115,$J$7:$K$7))/1E6</f>
        <v/>
      </c>
      <c r="J115">
        <f>MAX(-fyd_sn,MIN(fyd_sn,200000*0.002*(1-1*(7*J$6-3*$E115)/(4*$E115))))-fcd_sn*(1-MIN(1,MAX(0,1*(7*J$6-3*$E115)/(4*$E115)))^2)</f>
        <v/>
      </c>
      <c r="K115">
        <f>MAX(-fyd_sn,MIN(fyd_sn,200000*0.002*(1-1*(7*K$6-3*$E115)/(4*$E115))))-fcd_sn*(1-MIN(1,MAX(0,1*(7*K$6-3*$E115)/(4*$E115)))^2)</f>
        <v/>
      </c>
    </row>
    <row r="117">
      <c r="B117" s="54" t="inlineStr">
        <is>
          <t>Bottom face compressed, x ≤ h</t>
        </is>
      </c>
    </row>
    <row r="118">
      <c r="B118" s="48" t="inlineStr">
        <is>
          <t>step</t>
        </is>
      </c>
      <c r="C118" s="48" t="inlineStr">
        <is>
          <t>s low</t>
        </is>
      </c>
      <c r="D118" s="48" t="inlineStr">
        <is>
          <t>s high</t>
        </is>
      </c>
      <c r="E118" s="48" t="inlineStr">
        <is>
          <t>x (mm)</t>
        </is>
      </c>
      <c r="F118" s="48" t="inlineStr"/>
      <c r="G118" s="48" t="inlineStr">
        <is>
          <t>N (kN)</t>
        </is>
      </c>
      <c r="H118" s="48" t="inlineStr">
        <is>
          <t>M (kNm)</t>
        </is>
      </c>
    </row>
    <row r="119">
      <c r="B119" s="55" t="n">
        <v>1</v>
      </c>
      <c r="C119" s="56" t="n">
        <v>0</v>
      </c>
      <c r="D119" s="56" t="n">
        <v>1</v>
      </c>
      <c r="E119" s="57">
        <f>sn_h*(($C119+$D119)/2)</f>
        <v/>
      </c>
      <c r="G119" s="57">
        <f>(fcd_sn*sn_b*$E119*(3/7+4/7*(1-1^2/3))+SUMPRODUCT($J$8:$K$8,$J119:$K119))/1000</f>
        <v/>
      </c>
      <c r="H119" s="57">
        <f>(fcd_sn*sn_b*(3/14*$E119*(sn_h-3/7*$E119)+4/7*$E119*(sn_h/2-3/7*$E119)*(1-1^2/3)-16/49*$E119^2*(1/2-1^2/4))+SUMPRODUCT($J$8:$K$8,$J119:$K119,$J$10:$K$10))/1E6</f>
        <v/>
      </c>
      <c r="J119">
        <f>MAX(-fyd_sn,MIN(fyd_sn,200000*0.002*(1-1*(7*J$9-3*$E119)/(4*$E119))))-fcd_sn*(1-MIN(1,MAX(0,1*(7*J$9-3*$E119)/(4*$E119)))^2)</f>
        <v/>
      </c>
      <c r="K119">
        <f>MAX(-fyd_sn,MIN(fyd_sn,200000*0.002*(1-1*(7*K$9-3*$E119)/(4*$E119))))-fcd_sn*(1-MIN(1,MAX(0,1*(7*K$9-3*$E119)/(4*$E119)))^2)</f>
        <v/>
      </c>
    </row>
    <row r="120">
      <c r="B120" s="55" t="n">
        <v>2</v>
      </c>
      <c r="C120" s="56">
        <f>IF($G119&lt;sn_N,($C119+$D119)/2,$C119)</f>
        <v/>
      </c>
      <c r="D120" s="56">
        <f>IF($G119&lt;sn_N,$D119,($C119+$D119)/2)</f>
        <v/>
      </c>
      <c r="E120" s="57">
        <f>sn_h*(($C120+$D120)/2)</f>
        <v/>
      </c>
      <c r="G120" s="57">
        <f>(fcd_sn*sn_b*$E120*(3/7+4/7*(1-1^2/3))+SUMPRODUCT($J$8:$K$8,$J120:$K120))/1000</f>
        <v/>
      </c>
      <c r="H120" s="57">
        <f>(fcd_sn*sn_b*(3/14*$E120*(sn_h-3/7*$E120)+4/7*$E120*(sn_h/2-3/7*$E120)*(1-1^2/3)-16/49*$E120^2*(1/2-1^2/4))+SUMPRODUCT($J$8:$K$8,$J120:$K120,$J$10:$K$10))/1E6</f>
        <v/>
      </c>
      <c r="J120">
        <f>MAX(-fyd_sn,MIN(fyd_sn,200000*0.002*(1-1*(7*J$9-3*$E120)/(4*$E120))))-fcd_sn*(1-MIN(1,MAX(0,1*(7*J$9-3*$E120)/(4*$E120)))^2)</f>
        <v/>
      </c>
      <c r="K120">
        <f>MAX(-fyd_sn,MIN(fyd_sn,200000*0.002*(1-1*(7*K$9-3*$E120)/(4*$E120))))-fcd_sn*(1-MIN(1,MAX(0,1*(7*K$9-3*$E120)/(4*$E120)))^2)</f>
        <v/>
      </c>
    </row>
    <row r="121">
      <c r="B121" s="55" t="n">
        <v>3</v>
      </c>
      <c r="C121" s="56">
        <f>IF($G120&lt;sn_N,($C120+$D120)/2,$C120)</f>
        <v/>
      </c>
      <c r="D121" s="56">
        <f>IF($G120&lt;sn_N,$D120,($C120+$D120)/2)</f>
        <v/>
      </c>
      <c r="E121" s="57">
        <f>sn_h*(($C121+$D121)/2)</f>
        <v/>
      </c>
      <c r="G121" s="57">
        <f>(fcd_sn*sn_b*$E121*(3/7+4/7*(1-1^2/3))+SUMPRODUCT($J$8:$K$8,$J121:$K121))/1000</f>
        <v/>
      </c>
      <c r="H121" s="57">
        <f>(fcd_sn*sn_b*(3/14*$E121*(sn_h-3/7*$E121)+4/7*$E121*(sn_h/2-3/7*$E121)*(1-1^2/3)-16/49*$E121^2*(1/2-1^2/4))+SUMPRODUCT($J$8:$K$8,$J121:$K121,$J$10:$K$10))/1E6</f>
        <v/>
      </c>
      <c r="J121">
        <f>MAX(-fyd_sn,MIN(fyd_sn,200000*0.002*(1-1*(7*J$9-3*$E121)/(4*$E121))))-fcd_sn*(1-MIN(1,MAX(0,1*(7*J$9-3*$E121)/(4*$E121)))^2)</f>
        <v/>
      </c>
      <c r="K121">
        <f>MAX(-fyd_sn,MIN(fyd_sn,200000*0.002*(1-1*(7*K$9-3*$E121)/(4*$E121))))-fcd_sn*(1-MIN(1,MAX(0,1*(7*K$9-3*$E121)/(4*$E121)))^2)</f>
        <v/>
      </c>
    </row>
    <row r="122">
      <c r="B122" s="55" t="n">
        <v>4</v>
      </c>
      <c r="C122" s="56">
        <f>IF($G121&lt;sn_N,($C121+$D121)/2,$C121)</f>
        <v/>
      </c>
      <c r="D122" s="56">
        <f>IF($G121&lt;sn_N,$D121,($C121+$D121)/2)</f>
        <v/>
      </c>
      <c r="E122" s="57">
        <f>sn_h*(($C122+$D122)/2)</f>
        <v/>
      </c>
      <c r="G122" s="57">
        <f>(fcd_sn*sn_b*$E122*(3/7+4/7*(1-1^2/3))+SUMPRODUCT($J$8:$K$8,$J122:$K122))/1000</f>
        <v/>
      </c>
      <c r="H122" s="57">
        <f>(fcd_sn*sn_b*(3/14*$E122*(sn_h-3/7*$E122)+4/7*$E122*(sn_h/2-3/7*$E122)*(1-1^2/3)-16/49*$E122^2*(1/2-1^2/4))+SUMPRODUCT($J$8:$K$8,$J122:$K122,$J$10:$K$10))/1E6</f>
        <v/>
      </c>
      <c r="J122">
        <f>MAX(-fyd_sn,MIN(fyd_sn,200000*0.002*(1-1*(7*J$9-3*$E122)/(4*$E122))))-fcd_sn*(1-MIN(1,MAX(0,1*(7*J$9-3*$E122)/(4*$E122)))^2)</f>
        <v/>
      </c>
      <c r="K122">
        <f>MAX(-fyd_sn,MIN(fyd_sn,200000*0.002*(1-1*(7*K$9-3*$E122)/(4*$E122))))-fcd_sn*(1-MIN(1,MAX(0,1*(7*K$9-3*$E122)/(4*$E122)))^2)</f>
        <v/>
      </c>
    </row>
    <row r="123">
      <c r="B123" s="55" t="n">
        <v>5</v>
      </c>
      <c r="C123" s="56">
        <f>IF($G122&lt;sn_N,($C122+$D122)/2,$C122)</f>
        <v/>
      </c>
      <c r="D123" s="56">
        <f>IF($G122&lt;sn_N,$D122,($C122+$D122)/2)</f>
        <v/>
      </c>
      <c r="E123" s="57">
        <f>sn_h*(($C123+$D123)/2)</f>
        <v/>
      </c>
      <c r="G123" s="57">
        <f>(fcd_sn*sn_b*$E123*(3/7+4/7*(1-1^2/3))+SUMPRODUCT($J$8:$K$8,$J123:$K123))/1000</f>
        <v/>
      </c>
      <c r="H123" s="57">
        <f>(fcd_sn*sn_b*(3/14*$E123*(sn_h-3/7*$E123)+4/7*$E123*(sn_h/2-3/7*$E123)*(1-1^2/3)-16/49*$E123^2*(1/2-1^2/4))+SUMPRODUCT($J$8:$K$8,$J123:$K123,$J$10:$K$10))/1E6</f>
        <v/>
      </c>
      <c r="J123">
        <f>MAX(-fyd_sn,MIN(fyd_sn,200000*0.002*(1-1*(7*J$9-3*$E123)/(4*$E123))))-fcd_sn*(1-MIN(1,MAX(0,1*(7*J$9-3*$E123)/(4*$E123)))^2)</f>
        <v/>
      </c>
      <c r="K123">
        <f>MAX(-fyd_sn,MIN(fyd_sn,200000*0.002*(1-1*(7*K$9-3*$E123)/(4*$E123))))-fcd_sn*(1-MIN(1,MAX(0,1*(7*K$9-3*$E123)/(4*$E123)))^2)</f>
        <v/>
      </c>
    </row>
    <row r="124">
      <c r="B124" s="55" t="n">
        <v>6</v>
      </c>
      <c r="C124" s="56">
        <f>IF($G123&lt;sn_N,($C123+$D123)/2,$C123)</f>
        <v/>
      </c>
      <c r="D124" s="56">
        <f>IF($G123&lt;sn_N,$D123,($C123+$D123)/2)</f>
        <v/>
      </c>
      <c r="E124" s="57">
        <f>sn_h*(($C124+$D124)/2)</f>
        <v/>
      </c>
      <c r="G124" s="57">
        <f>(fcd_sn*sn_b*$E124*(3/7+4/7*(1-1^2/3))+SUMPRODUCT($J$8:$K$8,$J124:$K124))/1000</f>
        <v/>
      </c>
      <c r="H124" s="57">
        <f>(fcd_sn*sn_b*(3/14*$E124*(sn_h-3/7*$E124)+4/7*$E124*(sn_h/2-3/7*$E124)*(1-1^2/3)-16/49*$E124^2*(1/2-1^2/4))+SUMPRODUCT($J$8:$K$8,$J124:$K124,$J$10:$K$10))/1E6</f>
        <v/>
      </c>
      <c r="J124">
        <f>MAX(-fyd_sn,MIN(fyd_sn,200000*0.002*(1-1*(7*J$9-3*$E124)/(4*$E124))))-fcd_sn*(1-MIN(1,MAX(0,1*(7*J$9-3*$E124)/(4*$E124)))^2)</f>
        <v/>
      </c>
      <c r="K124">
        <f>MAX(-fyd_sn,MIN(fyd_sn,200000*0.002*(1-1*(7*K$9-3*$E124)/(4*$E124))))-fcd_sn*(1-MIN(1,MAX(0,1*(7*K$9-3*$E124)/(4*$E124)))^2)</f>
        <v/>
      </c>
    </row>
    <row r="125">
      <c r="B125" s="55" t="n">
        <v>7</v>
      </c>
      <c r="C125" s="56">
        <f>IF($G124&lt;sn_N,($C124+$D124)/2,$C124)</f>
        <v/>
      </c>
      <c r="D125" s="56">
        <f>IF($G124&lt;sn_N,$D124,($C124+$D124)/2)</f>
        <v/>
      </c>
      <c r="E125" s="57">
        <f>sn_h*(($C125+$D125)/2)</f>
        <v/>
      </c>
      <c r="G125" s="57">
        <f>(fcd_sn*sn_b*$E125*(3/7+4/7*(1-1^2/3))+SUMPRODUCT($J$8:$K$8,$J125:$K125))/1000</f>
        <v/>
      </c>
      <c r="H125" s="57">
        <f>(fcd_sn*sn_b*(3/14*$E125*(sn_h-3/7*$E125)+4/7*$E125*(sn_h/2-3/7*$E125)*(1-1^2/3)-16/49*$E125^2*(1/2-1^2/4))+SUMPRODUCT($J$8:$K$8,$J125:$K125,$J$10:$K$10))/1E6</f>
        <v/>
      </c>
      <c r="J125">
        <f>MAX(-fyd_sn,MIN(fyd_sn,200000*0.002*(1-1*(7*J$9-3*$E125)/(4*$E125))))-fcd_sn*(1-MIN(1,MAX(0,1*(7*J$9-3*$E125)/(4*$E125)))^2)</f>
        <v/>
      </c>
      <c r="K125">
        <f>MAX(-fyd_sn,MIN(fyd_sn,200000*0.002*(1-1*(7*K$9-3*$E125)/(4*$E125))))-fcd_sn*(1-MIN(1,MAX(0,1*(7*K$9-3*$E125)/(4*$E125)))^2)</f>
        <v/>
      </c>
    </row>
    <row r="126">
      <c r="B126" s="55" t="n">
        <v>8</v>
      </c>
      <c r="C126" s="56">
        <f>IF($G125&lt;sn_N,($C125+$D125)/2,$C125)</f>
        <v/>
      </c>
      <c r="D126" s="56">
        <f>IF($G125&lt;sn_N,$D125,($C125+$D125)/2)</f>
        <v/>
      </c>
      <c r="E126" s="57">
        <f>sn_h*(($C126+$D126)/2)</f>
        <v/>
      </c>
      <c r="G126" s="57">
        <f>(fcd_sn*sn_b*$E126*(3/7+4/7*(1-1^2/3))+SUMPRODUCT($J$8:$K$8,$J126:$K126))/1000</f>
        <v/>
      </c>
      <c r="H126" s="57">
        <f>(fcd_sn*sn_b*(3/14*$E126*(sn_h-3/7*$E126)+4/7*$E126*(sn_h/2-3/7*$E126)*(1-1^2/3)-16/49*$E126^2*(1/2-1^2/4))+SUMPRODUCT($J$8:$K$8,$J126:$K126,$J$10:$K$10))/1E6</f>
        <v/>
      </c>
      <c r="J126">
        <f>MAX(-fyd_sn,MIN(fyd_sn,200000*0.002*(1-1*(7*J$9-3*$E126)/(4*$E126))))-fcd_sn*(1-MIN(1,MAX(0,1*(7*J$9-3*$E126)/(4*$E126)))^2)</f>
        <v/>
      </c>
      <c r="K126">
        <f>MAX(-fyd_sn,MIN(fyd_sn,200000*0.002*(1-1*(7*K$9-3*$E126)/(4*$E126))))-fcd_sn*(1-MIN(1,MAX(0,1*(7*K$9-3*$E126)/(4*$E126)))^2)</f>
        <v/>
      </c>
    </row>
    <row r="127">
      <c r="B127" s="55" t="n">
        <v>9</v>
      </c>
      <c r="C127" s="56">
        <f>IF($G126&lt;sn_N,($C126+$D126)/2,$C126)</f>
        <v/>
      </c>
      <c r="D127" s="56">
        <f>IF($G126&lt;sn_N,$D126,($C126+$D126)/2)</f>
        <v/>
      </c>
      <c r="E127" s="57">
        <f>sn_h*(($C127+$D127)/2)</f>
        <v/>
      </c>
      <c r="G127" s="57">
        <f>(fcd_sn*sn_b*$E127*(3/7+4/7*(1-1^2/3))+SUMPRODUCT($J$8:$K$8,$J127:$K127))/1000</f>
        <v/>
      </c>
      <c r="H127" s="57">
        <f>(fcd_sn*sn_b*(3/14*$E127*(sn_h-3/7*$E127)+4/7*$E127*(sn_h/2-3/7*$E127)*(1-1^2/3)-16/49*$E127^2*(1/2-1^2/4))+SUMPRODUCT($J$8:$K$8,$J127:$K127,$J$10:$K$10))/1E6</f>
        <v/>
      </c>
      <c r="J127">
        <f>MAX(-fyd_sn,MIN(fyd_sn,200000*0.002*(1-1*(7*J$9-3*$E127)/(4*$E127))))-fcd_sn*(1-MIN(1,MAX(0,1*(7*J$9-3*$E127)/(4*$E127)))^2)</f>
        <v/>
      </c>
      <c r="K127">
        <f>MAX(-fyd_sn,MIN(fyd_sn,200000*0.002*(1-1*(7*K$9-3*$E127)/(4*$E127))))-fcd_sn*(1-MIN(1,MAX(0,1*(7*K$9-3*$E127)/(4*$E127)))^2)</f>
        <v/>
      </c>
    </row>
    <row r="128">
      <c r="B128" s="55" t="n">
        <v>10</v>
      </c>
      <c r="C128" s="56">
        <f>IF($G127&lt;sn_N,($C127+$D127)/2,$C127)</f>
        <v/>
      </c>
      <c r="D128" s="56">
        <f>IF($G127&lt;sn_N,$D127,($C127+$D127)/2)</f>
        <v/>
      </c>
      <c r="E128" s="57">
        <f>sn_h*(($C128+$D128)/2)</f>
        <v/>
      </c>
      <c r="G128" s="57">
        <f>(fcd_sn*sn_b*$E128*(3/7+4/7*(1-1^2/3))+SUMPRODUCT($J$8:$K$8,$J128:$K128))/1000</f>
        <v/>
      </c>
      <c r="H128" s="57">
        <f>(fcd_sn*sn_b*(3/14*$E128*(sn_h-3/7*$E128)+4/7*$E128*(sn_h/2-3/7*$E128)*(1-1^2/3)-16/49*$E128^2*(1/2-1^2/4))+SUMPRODUCT($J$8:$K$8,$J128:$K128,$J$10:$K$10))/1E6</f>
        <v/>
      </c>
      <c r="J128">
        <f>MAX(-fyd_sn,MIN(fyd_sn,200000*0.002*(1-1*(7*J$9-3*$E128)/(4*$E128))))-fcd_sn*(1-MIN(1,MAX(0,1*(7*J$9-3*$E128)/(4*$E128)))^2)</f>
        <v/>
      </c>
      <c r="K128">
        <f>MAX(-fyd_sn,MIN(fyd_sn,200000*0.002*(1-1*(7*K$9-3*$E128)/(4*$E128))))-fcd_sn*(1-MIN(1,MAX(0,1*(7*K$9-3*$E128)/(4*$E128)))^2)</f>
        <v/>
      </c>
    </row>
    <row r="129">
      <c r="B129" s="55" t="n">
        <v>11</v>
      </c>
      <c r="C129" s="56">
        <f>IF($G128&lt;sn_N,($C128+$D128)/2,$C128)</f>
        <v/>
      </c>
      <c r="D129" s="56">
        <f>IF($G128&lt;sn_N,$D128,($C128+$D128)/2)</f>
        <v/>
      </c>
      <c r="E129" s="57">
        <f>sn_h*(($C129+$D129)/2)</f>
        <v/>
      </c>
      <c r="G129" s="57">
        <f>(fcd_sn*sn_b*$E129*(3/7+4/7*(1-1^2/3))+SUMPRODUCT($J$8:$K$8,$J129:$K129))/1000</f>
        <v/>
      </c>
      <c r="H129" s="57">
        <f>(fcd_sn*sn_b*(3/14*$E129*(sn_h-3/7*$E129)+4/7*$E129*(sn_h/2-3/7*$E129)*(1-1^2/3)-16/49*$E129^2*(1/2-1^2/4))+SUMPRODUCT($J$8:$K$8,$J129:$K129,$J$10:$K$10))/1E6</f>
        <v/>
      </c>
      <c r="J129">
        <f>MAX(-fyd_sn,MIN(fyd_sn,200000*0.002*(1-1*(7*J$9-3*$E129)/(4*$E129))))-fcd_sn*(1-MIN(1,MAX(0,1*(7*J$9-3*$E129)/(4*$E129)))^2)</f>
        <v/>
      </c>
      <c r="K129">
        <f>MAX(-fyd_sn,MIN(fyd_sn,200000*0.002*(1-1*(7*K$9-3*$E129)/(4*$E129))))-fcd_sn*(1-MIN(1,MAX(0,1*(7*K$9-3*$E129)/(4*$E129)))^2)</f>
        <v/>
      </c>
    </row>
    <row r="130">
      <c r="B130" s="55" t="n">
        <v>12</v>
      </c>
      <c r="C130" s="56">
        <f>IF($G129&lt;sn_N,($C129+$D129)/2,$C129)</f>
        <v/>
      </c>
      <c r="D130" s="56">
        <f>IF($G129&lt;sn_N,$D129,($C129+$D129)/2)</f>
        <v/>
      </c>
      <c r="E130" s="57">
        <f>sn_h*(($C130+$D130)/2)</f>
        <v/>
      </c>
      <c r="G130" s="57">
        <f>(fcd_sn*sn_b*$E130*(3/7+4/7*(1-1^2/3))+SUMPRODUCT($J$8:$K$8,$J130:$K130))/1000</f>
        <v/>
      </c>
      <c r="H130" s="57">
        <f>(fcd_sn*sn_b*(3/14*$E130*(sn_h-3/7*$E130)+4/7*$E130*(sn_h/2-3/7*$E130)*(1-1^2/3)-16/49*$E130^2*(1/2-1^2/4))+SUMPRODUCT($J$8:$K$8,$J130:$K130,$J$10:$K$10))/1E6</f>
        <v/>
      </c>
      <c r="J130">
        <f>MAX(-fyd_sn,MIN(fyd_sn,200000*0.002*(1-1*(7*J$9-3*$E130)/(4*$E130))))-fcd_sn*(1-MIN(1,MAX(0,1*(7*J$9-3*$E130)/(4*$E130)))^2)</f>
        <v/>
      </c>
      <c r="K130">
        <f>MAX(-fyd_sn,MIN(fyd_sn,200000*0.002*(1-1*(7*K$9-3*$E130)/(4*$E130))))-fcd_sn*(1-MIN(1,MAX(0,1*(7*K$9-3*$E130)/(4*$E130)))^2)</f>
        <v/>
      </c>
    </row>
    <row r="131">
      <c r="B131" s="55" t="n">
        <v>13</v>
      </c>
      <c r="C131" s="56">
        <f>IF($G130&lt;sn_N,($C130+$D130)/2,$C130)</f>
        <v/>
      </c>
      <c r="D131" s="56">
        <f>IF($G130&lt;sn_N,$D130,($C130+$D130)/2)</f>
        <v/>
      </c>
      <c r="E131" s="57">
        <f>sn_h*(($C131+$D131)/2)</f>
        <v/>
      </c>
      <c r="G131" s="57">
        <f>(fcd_sn*sn_b*$E131*(3/7+4/7*(1-1^2/3))+SUMPRODUCT($J$8:$K$8,$J131:$K131))/1000</f>
        <v/>
      </c>
      <c r="H131" s="57">
        <f>(fcd_sn*sn_b*(3/14*$E131*(sn_h-3/7*$E131)+4/7*$E131*(sn_h/2-3/7*$E131)*(1-1^2/3)-16/49*$E131^2*(1/2-1^2/4))+SUMPRODUCT($J$8:$K$8,$J131:$K131,$J$10:$K$10))/1E6</f>
        <v/>
      </c>
      <c r="J131">
        <f>MAX(-fyd_sn,MIN(fyd_sn,200000*0.002*(1-1*(7*J$9-3*$E131)/(4*$E131))))-fcd_sn*(1-MIN(1,MAX(0,1*(7*J$9-3*$E131)/(4*$E131)))^2)</f>
        <v/>
      </c>
      <c r="K131">
        <f>MAX(-fyd_sn,MIN(fyd_sn,200000*0.002*(1-1*(7*K$9-3*$E131)/(4*$E131))))-fcd_sn*(1-MIN(1,MAX(0,1*(7*K$9-3*$E131)/(4*$E131)))^2)</f>
        <v/>
      </c>
    </row>
    <row r="132">
      <c r="B132" s="55" t="n">
        <v>14</v>
      </c>
      <c r="C132" s="56">
        <f>IF($G131&lt;sn_N,($C131+$D131)/2,$C131)</f>
        <v/>
      </c>
      <c r="D132" s="56">
        <f>IF($G131&lt;sn_N,$D131,($C131+$D131)/2)</f>
        <v/>
      </c>
      <c r="E132" s="57">
        <f>sn_h*(($C132+$D132)/2)</f>
        <v/>
      </c>
      <c r="G132" s="57">
        <f>(fcd_sn*sn_b*$E132*(3/7+4/7*(1-1^2/3))+SUMPRODUCT($J$8:$K$8,$J132:$K132))/1000</f>
        <v/>
      </c>
      <c r="H132" s="57">
        <f>(fcd_sn*sn_b*(3/14*$E132*(sn_h-3/7*$E132)+4/7*$E132*(sn_h/2-3/7*$E132)*(1-1^2/3)-16/49*$E132^2*(1/2-1^2/4))+SUMPRODUCT($J$8:$K$8,$J132:$K132,$J$10:$K$10))/1E6</f>
        <v/>
      </c>
      <c r="J132">
        <f>MAX(-fyd_sn,MIN(fyd_sn,200000*0.002*(1-1*(7*J$9-3*$E132)/(4*$E132))))-fcd_sn*(1-MIN(1,MAX(0,1*(7*J$9-3*$E132)/(4*$E132)))^2)</f>
        <v/>
      </c>
      <c r="K132">
        <f>MAX(-fyd_sn,MIN(fyd_sn,200000*0.002*(1-1*(7*K$9-3*$E132)/(4*$E132))))-fcd_sn*(1-MIN(1,MAX(0,1*(7*K$9-3*$E132)/(4*$E132)))^2)</f>
        <v/>
      </c>
    </row>
    <row r="133">
      <c r="B133" s="55" t="n">
        <v>15</v>
      </c>
      <c r="C133" s="56">
        <f>IF($G132&lt;sn_N,($C132+$D132)/2,$C132)</f>
        <v/>
      </c>
      <c r="D133" s="56">
        <f>IF($G132&lt;sn_N,$D132,($C132+$D132)/2)</f>
        <v/>
      </c>
      <c r="E133" s="57">
        <f>sn_h*(($C133+$D133)/2)</f>
        <v/>
      </c>
      <c r="G133" s="57">
        <f>(fcd_sn*sn_b*$E133*(3/7+4/7*(1-1^2/3))+SUMPRODUCT($J$8:$K$8,$J133:$K133))/1000</f>
        <v/>
      </c>
      <c r="H133" s="57">
        <f>(fcd_sn*sn_b*(3/14*$E133*(sn_h-3/7*$E133)+4/7*$E133*(sn_h/2-3/7*$E133)*(1-1^2/3)-16/49*$E133^2*(1/2-1^2/4))+SUMPRODUCT($J$8:$K$8,$J133:$K133,$J$10:$K$10))/1E6</f>
        <v/>
      </c>
      <c r="J133">
        <f>MAX(-fyd_sn,MIN(fyd_sn,200000*0.002*(1-1*(7*J$9-3*$E133)/(4*$E133))))-fcd_sn*(1-MIN(1,MAX(0,1*(7*J$9-3*$E133)/(4*$E133)))^2)</f>
        <v/>
      </c>
      <c r="K133">
        <f>MAX(-fyd_sn,MIN(fyd_sn,200000*0.002*(1-1*(7*K$9-3*$E133)/(4*$E133))))-fcd_sn*(1-MIN(1,MAX(0,1*(7*K$9-3*$E133)/(4*$E133)))^2)</f>
        <v/>
      </c>
    </row>
    <row r="134">
      <c r="B134" s="55" t="n">
        <v>16</v>
      </c>
      <c r="C134" s="56">
        <f>IF($G133&lt;sn_N,($C133+$D133)/2,$C133)</f>
        <v/>
      </c>
      <c r="D134" s="56">
        <f>IF($G133&lt;sn_N,$D133,($C133+$D133)/2)</f>
        <v/>
      </c>
      <c r="E134" s="57">
        <f>sn_h*(($C134+$D134)/2)</f>
        <v/>
      </c>
      <c r="G134" s="57">
        <f>(fcd_sn*sn_b*$E134*(3/7+4/7*(1-1^2/3))+SUMPRODUCT($J$8:$K$8,$J134:$K134))/1000</f>
        <v/>
      </c>
      <c r="H134" s="57">
        <f>(fcd_sn*sn_b*(3/14*$E134*(sn_h-3/7*$E134)+4/7*$E134*(sn_h/2-3/7*$E134)*(1-1^2/3)-16/49*$E134^2*(1/2-1^2/4))+SUMPRODUCT($J$8:$K$8,$J134:$K134,$J$10:$K$10))/1E6</f>
        <v/>
      </c>
      <c r="J134">
        <f>MAX(-fyd_sn,MIN(fyd_sn,200000*0.002*(1-1*(7*J$9-3*$E134)/(4*$E134))))-fcd_sn*(1-MIN(1,MAX(0,1*(7*J$9-3*$E134)/(4*$E134)))^2)</f>
        <v/>
      </c>
      <c r="K134">
        <f>MAX(-fyd_sn,MIN(fyd_sn,200000*0.002*(1-1*(7*K$9-3*$E134)/(4*$E134))))-fcd_sn*(1-MIN(1,MAX(0,1*(7*K$9-3*$E134)/(4*$E134)))^2)</f>
        <v/>
      </c>
    </row>
    <row r="135">
      <c r="B135" s="55" t="n">
        <v>17</v>
      </c>
      <c r="C135" s="56">
        <f>IF($G134&lt;sn_N,($C134+$D134)/2,$C134)</f>
        <v/>
      </c>
      <c r="D135" s="56">
        <f>IF($G134&lt;sn_N,$D134,($C134+$D134)/2)</f>
        <v/>
      </c>
      <c r="E135" s="57">
        <f>sn_h*(($C135+$D135)/2)</f>
        <v/>
      </c>
      <c r="G135" s="57">
        <f>(fcd_sn*sn_b*$E135*(3/7+4/7*(1-1^2/3))+SUMPRODUCT($J$8:$K$8,$J135:$K135))/1000</f>
        <v/>
      </c>
      <c r="H135" s="57">
        <f>(fcd_sn*sn_b*(3/14*$E135*(sn_h-3/7*$E135)+4/7*$E135*(sn_h/2-3/7*$E135)*(1-1^2/3)-16/49*$E135^2*(1/2-1^2/4))+SUMPRODUCT($J$8:$K$8,$J135:$K135,$J$10:$K$10))/1E6</f>
        <v/>
      </c>
      <c r="J135">
        <f>MAX(-fyd_sn,MIN(fyd_sn,200000*0.002*(1-1*(7*J$9-3*$E135)/(4*$E135))))-fcd_sn*(1-MIN(1,MAX(0,1*(7*J$9-3*$E135)/(4*$E135)))^2)</f>
        <v/>
      </c>
      <c r="K135">
        <f>MAX(-fyd_sn,MIN(fyd_sn,200000*0.002*(1-1*(7*K$9-3*$E135)/(4*$E135))))-fcd_sn*(1-MIN(1,MAX(0,1*(7*K$9-3*$E135)/(4*$E135)))^2)</f>
        <v/>
      </c>
    </row>
    <row r="136">
      <c r="B136" s="55" t="n">
        <v>18</v>
      </c>
      <c r="C136" s="56">
        <f>IF($G135&lt;sn_N,($C135+$D135)/2,$C135)</f>
        <v/>
      </c>
      <c r="D136" s="56">
        <f>IF($G135&lt;sn_N,$D135,($C135+$D135)/2)</f>
        <v/>
      </c>
      <c r="E136" s="57">
        <f>sn_h*(($C136+$D136)/2)</f>
        <v/>
      </c>
      <c r="G136" s="57">
        <f>(fcd_sn*sn_b*$E136*(3/7+4/7*(1-1^2/3))+SUMPRODUCT($J$8:$K$8,$J136:$K136))/1000</f>
        <v/>
      </c>
      <c r="H136" s="57">
        <f>(fcd_sn*sn_b*(3/14*$E136*(sn_h-3/7*$E136)+4/7*$E136*(sn_h/2-3/7*$E136)*(1-1^2/3)-16/49*$E136^2*(1/2-1^2/4))+SUMPRODUCT($J$8:$K$8,$J136:$K136,$J$10:$K$10))/1E6</f>
        <v/>
      </c>
      <c r="J136">
        <f>MAX(-fyd_sn,MIN(fyd_sn,200000*0.002*(1-1*(7*J$9-3*$E136)/(4*$E136))))-fcd_sn*(1-MIN(1,MAX(0,1*(7*J$9-3*$E136)/(4*$E136)))^2)</f>
        <v/>
      </c>
      <c r="K136">
        <f>MAX(-fyd_sn,MIN(fyd_sn,200000*0.002*(1-1*(7*K$9-3*$E136)/(4*$E136))))-fcd_sn*(1-MIN(1,MAX(0,1*(7*K$9-3*$E136)/(4*$E136)))^2)</f>
        <v/>
      </c>
    </row>
    <row r="137">
      <c r="B137" s="55" t="n">
        <v>19</v>
      </c>
      <c r="C137" s="56">
        <f>IF($G136&lt;sn_N,($C136+$D136)/2,$C136)</f>
        <v/>
      </c>
      <c r="D137" s="56">
        <f>IF($G136&lt;sn_N,$D136,($C136+$D136)/2)</f>
        <v/>
      </c>
      <c r="E137" s="57">
        <f>sn_h*(($C137+$D137)/2)</f>
        <v/>
      </c>
      <c r="G137" s="57">
        <f>(fcd_sn*sn_b*$E137*(3/7+4/7*(1-1^2/3))+SUMPRODUCT($J$8:$K$8,$J137:$K137))/1000</f>
        <v/>
      </c>
      <c r="H137" s="57">
        <f>(fcd_sn*sn_b*(3/14*$E137*(sn_h-3/7*$E137)+4/7*$E137*(sn_h/2-3/7*$E137)*(1-1^2/3)-16/49*$E137^2*(1/2-1^2/4))+SUMPRODUCT($J$8:$K$8,$J137:$K137,$J$10:$K$10))/1E6</f>
        <v/>
      </c>
      <c r="J137">
        <f>MAX(-fyd_sn,MIN(fyd_sn,200000*0.002*(1-1*(7*J$9-3*$E137)/(4*$E137))))-fcd_sn*(1-MIN(1,MAX(0,1*(7*J$9-3*$E137)/(4*$E137)))^2)</f>
        <v/>
      </c>
      <c r="K137">
        <f>MAX(-fyd_sn,MIN(fyd_sn,200000*0.002*(1-1*(7*K$9-3*$E137)/(4*$E137))))-fcd_sn*(1-MIN(1,MAX(0,1*(7*K$9-3*$E137)/(4*$E137)))^2)</f>
        <v/>
      </c>
    </row>
    <row r="138">
      <c r="B138" s="55" t="n">
        <v>20</v>
      </c>
      <c r="C138" s="56">
        <f>IF($G137&lt;sn_N,($C137+$D137)/2,$C137)</f>
        <v/>
      </c>
      <c r="D138" s="56">
        <f>IF($G137&lt;sn_N,$D137,($C137+$D137)/2)</f>
        <v/>
      </c>
      <c r="E138" s="57">
        <f>sn_h*(($C138+$D138)/2)</f>
        <v/>
      </c>
      <c r="G138" s="57">
        <f>(fcd_sn*sn_b*$E138*(3/7+4/7*(1-1^2/3))+SUMPRODUCT($J$8:$K$8,$J138:$K138))/1000</f>
        <v/>
      </c>
      <c r="H138" s="57">
        <f>(fcd_sn*sn_b*(3/14*$E138*(sn_h-3/7*$E138)+4/7*$E138*(sn_h/2-3/7*$E138)*(1-1^2/3)-16/49*$E138^2*(1/2-1^2/4))+SUMPRODUCT($J$8:$K$8,$J138:$K138,$J$10:$K$10))/1E6</f>
        <v/>
      </c>
      <c r="J138">
        <f>MAX(-fyd_sn,MIN(fyd_sn,200000*0.002*(1-1*(7*J$9-3*$E138)/(4*$E138))))-fcd_sn*(1-MIN(1,MAX(0,1*(7*J$9-3*$E138)/(4*$E138)))^2)</f>
        <v/>
      </c>
      <c r="K138">
        <f>MAX(-fyd_sn,MIN(fyd_sn,200000*0.002*(1-1*(7*K$9-3*$E138)/(4*$E138))))-fcd_sn*(1-MIN(1,MAX(0,1*(7*K$9-3*$E138)/(4*$E138)))^2)</f>
        <v/>
      </c>
    </row>
    <row r="139">
      <c r="B139" s="55" t="n">
        <v>21</v>
      </c>
      <c r="C139" s="56">
        <f>IF($G138&lt;sn_N,($C138+$D138)/2,$C138)</f>
        <v/>
      </c>
      <c r="D139" s="56">
        <f>IF($G138&lt;sn_N,$D138,($C138+$D138)/2)</f>
        <v/>
      </c>
      <c r="E139" s="57">
        <f>sn_h*(($C139+$D139)/2)</f>
        <v/>
      </c>
      <c r="G139" s="57">
        <f>(fcd_sn*sn_b*$E139*(3/7+4/7*(1-1^2/3))+SUMPRODUCT($J$8:$K$8,$J139:$K139))/1000</f>
        <v/>
      </c>
      <c r="H139" s="57">
        <f>(fcd_sn*sn_b*(3/14*$E139*(sn_h-3/7*$E139)+4/7*$E139*(sn_h/2-3/7*$E139)*(1-1^2/3)-16/49*$E139^2*(1/2-1^2/4))+SUMPRODUCT($J$8:$K$8,$J139:$K139,$J$10:$K$10))/1E6</f>
        <v/>
      </c>
      <c r="J139">
        <f>MAX(-fyd_sn,MIN(fyd_sn,200000*0.002*(1-1*(7*J$9-3*$E139)/(4*$E139))))-fcd_sn*(1-MIN(1,MAX(0,1*(7*J$9-3*$E139)/(4*$E139)))^2)</f>
        <v/>
      </c>
      <c r="K139">
        <f>MAX(-fyd_sn,MIN(fyd_sn,200000*0.002*(1-1*(7*K$9-3*$E139)/(4*$E139))))-fcd_sn*(1-MIN(1,MAX(0,1*(7*K$9-3*$E139)/(4*$E139)))^2)</f>
        <v/>
      </c>
    </row>
    <row r="140">
      <c r="B140" s="55" t="n">
        <v>22</v>
      </c>
      <c r="C140" s="56">
        <f>IF($G139&lt;sn_N,($C139+$D139)/2,$C139)</f>
        <v/>
      </c>
      <c r="D140" s="56">
        <f>IF($G139&lt;sn_N,$D139,($C139+$D139)/2)</f>
        <v/>
      </c>
      <c r="E140" s="57">
        <f>sn_h*(($C140+$D140)/2)</f>
        <v/>
      </c>
      <c r="G140" s="57">
        <f>(fcd_sn*sn_b*$E140*(3/7+4/7*(1-1^2/3))+SUMPRODUCT($J$8:$K$8,$J140:$K140))/1000</f>
        <v/>
      </c>
      <c r="H140" s="57">
        <f>(fcd_sn*sn_b*(3/14*$E140*(sn_h-3/7*$E140)+4/7*$E140*(sn_h/2-3/7*$E140)*(1-1^2/3)-16/49*$E140^2*(1/2-1^2/4))+SUMPRODUCT($J$8:$K$8,$J140:$K140,$J$10:$K$10))/1E6</f>
        <v/>
      </c>
      <c r="J140">
        <f>MAX(-fyd_sn,MIN(fyd_sn,200000*0.002*(1-1*(7*J$9-3*$E140)/(4*$E140))))-fcd_sn*(1-MIN(1,MAX(0,1*(7*J$9-3*$E140)/(4*$E140)))^2)</f>
        <v/>
      </c>
      <c r="K140">
        <f>MAX(-fyd_sn,MIN(fyd_sn,200000*0.002*(1-1*(7*K$9-3*$E140)/(4*$E140))))-fcd_sn*(1-MIN(1,MAX(0,1*(7*K$9-3*$E140)/(4*$E140)))^2)</f>
        <v/>
      </c>
    </row>
    <row r="141">
      <c r="B141" s="55" t="n">
        <v>23</v>
      </c>
      <c r="C141" s="56">
        <f>IF($G140&lt;sn_N,($C140+$D140)/2,$C140)</f>
        <v/>
      </c>
      <c r="D141" s="56">
        <f>IF($G140&lt;sn_N,$D140,($C140+$D140)/2)</f>
        <v/>
      </c>
      <c r="E141" s="57">
        <f>sn_h*(($C141+$D141)/2)</f>
        <v/>
      </c>
      <c r="G141" s="57">
        <f>(fcd_sn*sn_b*$E141*(3/7+4/7*(1-1^2/3))+SUMPRODUCT($J$8:$K$8,$J141:$K141))/1000</f>
        <v/>
      </c>
      <c r="H141" s="57">
        <f>(fcd_sn*sn_b*(3/14*$E141*(sn_h-3/7*$E141)+4/7*$E141*(sn_h/2-3/7*$E141)*(1-1^2/3)-16/49*$E141^2*(1/2-1^2/4))+SUMPRODUCT($J$8:$K$8,$J141:$K141,$J$10:$K$10))/1E6</f>
        <v/>
      </c>
      <c r="J141">
        <f>MAX(-fyd_sn,MIN(fyd_sn,200000*0.002*(1-1*(7*J$9-3*$E141)/(4*$E141))))-fcd_sn*(1-MIN(1,MAX(0,1*(7*J$9-3*$E141)/(4*$E141)))^2)</f>
        <v/>
      </c>
      <c r="K141">
        <f>MAX(-fyd_sn,MIN(fyd_sn,200000*0.002*(1-1*(7*K$9-3*$E141)/(4*$E141))))-fcd_sn*(1-MIN(1,MAX(0,1*(7*K$9-3*$E141)/(4*$E141)))^2)</f>
        <v/>
      </c>
    </row>
    <row r="142">
      <c r="B142" s="55" t="n">
        <v>24</v>
      </c>
      <c r="C142" s="56">
        <f>IF($G141&lt;sn_N,($C141+$D141)/2,$C141)</f>
        <v/>
      </c>
      <c r="D142" s="56">
        <f>IF($G141&lt;sn_N,$D141,($C141+$D141)/2)</f>
        <v/>
      </c>
      <c r="E142" s="57">
        <f>sn_h*(($C142+$D142)/2)</f>
        <v/>
      </c>
      <c r="G142" s="57">
        <f>(fcd_sn*sn_b*$E142*(3/7+4/7*(1-1^2/3))+SUMPRODUCT($J$8:$K$8,$J142:$K142))/1000</f>
        <v/>
      </c>
      <c r="H142" s="57">
        <f>(fcd_sn*sn_b*(3/14*$E142*(sn_h-3/7*$E142)+4/7*$E142*(sn_h/2-3/7*$E142)*(1-1^2/3)-16/49*$E142^2*(1/2-1^2/4))+SUMPRODUCT($J$8:$K$8,$J142:$K142,$J$10:$K$10))/1E6</f>
        <v/>
      </c>
      <c r="J142">
        <f>MAX(-fyd_sn,MIN(fyd_sn,200000*0.002*(1-1*(7*J$9-3*$E142)/(4*$E142))))-fcd_sn*(1-MIN(1,MAX(0,1*(7*J$9-3*$E142)/(4*$E142)))^2)</f>
        <v/>
      </c>
      <c r="K142">
        <f>MAX(-fyd_sn,MIN(fyd_sn,200000*0.002*(1-1*(7*K$9-3*$E142)/(4*$E142))))-fcd_sn*(1-MIN(1,MAX(0,1*(7*K$9-3*$E142)/(4*$E142)))^2)</f>
        <v/>
      </c>
    </row>
    <row r="143">
      <c r="B143" s="55" t="n">
        <v>25</v>
      </c>
      <c r="C143" s="56">
        <f>IF($G142&lt;sn_N,($C142+$D142)/2,$C142)</f>
        <v/>
      </c>
      <c r="D143" s="56">
        <f>IF($G142&lt;sn_N,$D142,($C142+$D142)/2)</f>
        <v/>
      </c>
      <c r="E143" s="57">
        <f>sn_h*(($C143+$D143)/2)</f>
        <v/>
      </c>
      <c r="G143" s="57">
        <f>(fcd_sn*sn_b*$E143*(3/7+4/7*(1-1^2/3))+SUMPRODUCT($J$8:$K$8,$J143:$K143))/1000</f>
        <v/>
      </c>
      <c r="H143" s="57">
        <f>(fcd_sn*sn_b*(3/14*$E143*(sn_h-3/7*$E143)+4/7*$E143*(sn_h/2-3/7*$E143)*(1-1^2/3)-16/49*$E143^2*(1/2-1^2/4))+SUMPRODUCT($J$8:$K$8,$J143:$K143,$J$10:$K$10))/1E6</f>
        <v/>
      </c>
      <c r="J143">
        <f>MAX(-fyd_sn,MIN(fyd_sn,200000*0.002*(1-1*(7*J$9-3*$E143)/(4*$E143))))-fcd_sn*(1-MIN(1,MAX(0,1*(7*J$9-3*$E143)/(4*$E143)))^2)</f>
        <v/>
      </c>
      <c r="K143">
        <f>MAX(-fyd_sn,MIN(fyd_sn,200000*0.002*(1-1*(7*K$9-3*$E143)/(4*$E143))))-fcd_sn*(1-MIN(1,MAX(0,1*(7*K$9-3*$E143)/(4*$E143)))^2)</f>
        <v/>
      </c>
    </row>
    <row r="144">
      <c r="B144" s="55" t="n">
        <v>26</v>
      </c>
      <c r="C144" s="56">
        <f>IF($G143&lt;sn_N,($C143+$D143)/2,$C143)</f>
        <v/>
      </c>
      <c r="D144" s="56">
        <f>IF($G143&lt;sn_N,$D143,($C143+$D143)/2)</f>
        <v/>
      </c>
      <c r="E144" s="57">
        <f>sn_h*(($C144+$D144)/2)</f>
        <v/>
      </c>
      <c r="G144" s="57">
        <f>(fcd_sn*sn_b*$E144*(3/7+4/7*(1-1^2/3))+SUMPRODUCT($J$8:$K$8,$J144:$K144))/1000</f>
        <v/>
      </c>
      <c r="H144" s="57">
        <f>(fcd_sn*sn_b*(3/14*$E144*(sn_h-3/7*$E144)+4/7*$E144*(sn_h/2-3/7*$E144)*(1-1^2/3)-16/49*$E144^2*(1/2-1^2/4))+SUMPRODUCT($J$8:$K$8,$J144:$K144,$J$10:$K$10))/1E6</f>
        <v/>
      </c>
      <c r="J144">
        <f>MAX(-fyd_sn,MIN(fyd_sn,200000*0.002*(1-1*(7*J$9-3*$E144)/(4*$E144))))-fcd_sn*(1-MIN(1,MAX(0,1*(7*J$9-3*$E144)/(4*$E144)))^2)</f>
        <v/>
      </c>
      <c r="K144">
        <f>MAX(-fyd_sn,MIN(fyd_sn,200000*0.002*(1-1*(7*K$9-3*$E144)/(4*$E144))))-fcd_sn*(1-MIN(1,MAX(0,1*(7*K$9-3*$E144)/(4*$E144)))^2)</f>
        <v/>
      </c>
    </row>
    <row r="145">
      <c r="B145" s="55" t="n">
        <v>27</v>
      </c>
      <c r="C145" s="56">
        <f>IF($G144&lt;sn_N,($C144+$D144)/2,$C144)</f>
        <v/>
      </c>
      <c r="D145" s="56">
        <f>IF($G144&lt;sn_N,$D144,($C144+$D144)/2)</f>
        <v/>
      </c>
      <c r="E145" s="57">
        <f>sn_h*(($C145+$D145)/2)</f>
        <v/>
      </c>
      <c r="G145" s="57">
        <f>(fcd_sn*sn_b*$E145*(3/7+4/7*(1-1^2/3))+SUMPRODUCT($J$8:$K$8,$J145:$K145))/1000</f>
        <v/>
      </c>
      <c r="H145" s="57">
        <f>(fcd_sn*sn_b*(3/14*$E145*(sn_h-3/7*$E145)+4/7*$E145*(sn_h/2-3/7*$E145)*(1-1^2/3)-16/49*$E145^2*(1/2-1^2/4))+SUMPRODUCT($J$8:$K$8,$J145:$K145,$J$10:$K$10))/1E6</f>
        <v/>
      </c>
      <c r="J145">
        <f>MAX(-fyd_sn,MIN(fyd_sn,200000*0.002*(1-1*(7*J$9-3*$E145)/(4*$E145))))-fcd_sn*(1-MIN(1,MAX(0,1*(7*J$9-3*$E145)/(4*$E145)))^2)</f>
        <v/>
      </c>
      <c r="K145">
        <f>MAX(-fyd_sn,MIN(fyd_sn,200000*0.002*(1-1*(7*K$9-3*$E145)/(4*$E145))))-fcd_sn*(1-MIN(1,MAX(0,1*(7*K$9-3*$E145)/(4*$E145)))^2)</f>
        <v/>
      </c>
    </row>
    <row r="146">
      <c r="B146" s="55" t="n">
        <v>28</v>
      </c>
      <c r="C146" s="56">
        <f>IF($G145&lt;sn_N,($C145+$D145)/2,$C145)</f>
        <v/>
      </c>
      <c r="D146" s="56">
        <f>IF($G145&lt;sn_N,$D145,($C145+$D145)/2)</f>
        <v/>
      </c>
      <c r="E146" s="57">
        <f>sn_h*(($C146+$D146)/2)</f>
        <v/>
      </c>
      <c r="G146" s="57">
        <f>(fcd_sn*sn_b*$E146*(3/7+4/7*(1-1^2/3))+SUMPRODUCT($J$8:$K$8,$J146:$K146))/1000</f>
        <v/>
      </c>
      <c r="H146" s="57">
        <f>(fcd_sn*sn_b*(3/14*$E146*(sn_h-3/7*$E146)+4/7*$E146*(sn_h/2-3/7*$E146)*(1-1^2/3)-16/49*$E146^2*(1/2-1^2/4))+SUMPRODUCT($J$8:$K$8,$J146:$K146,$J$10:$K$10))/1E6</f>
        <v/>
      </c>
      <c r="J146">
        <f>MAX(-fyd_sn,MIN(fyd_sn,200000*0.002*(1-1*(7*J$9-3*$E146)/(4*$E146))))-fcd_sn*(1-MIN(1,MAX(0,1*(7*J$9-3*$E146)/(4*$E146)))^2)</f>
        <v/>
      </c>
      <c r="K146">
        <f>MAX(-fyd_sn,MIN(fyd_sn,200000*0.002*(1-1*(7*K$9-3*$E146)/(4*$E146))))-fcd_sn*(1-MIN(1,MAX(0,1*(7*K$9-3*$E146)/(4*$E146)))^2)</f>
        <v/>
      </c>
    </row>
    <row r="147">
      <c r="B147" s="55" t="n">
        <v>29</v>
      </c>
      <c r="C147" s="56">
        <f>IF($G146&lt;sn_N,($C146+$D146)/2,$C146)</f>
        <v/>
      </c>
      <c r="D147" s="56">
        <f>IF($G146&lt;sn_N,$D146,($C146+$D146)/2)</f>
        <v/>
      </c>
      <c r="E147" s="57">
        <f>sn_h*(($C147+$D147)/2)</f>
        <v/>
      </c>
      <c r="G147" s="57">
        <f>(fcd_sn*sn_b*$E147*(3/7+4/7*(1-1^2/3))+SUMPRODUCT($J$8:$K$8,$J147:$K147))/1000</f>
        <v/>
      </c>
      <c r="H147" s="57">
        <f>(fcd_sn*sn_b*(3/14*$E147*(sn_h-3/7*$E147)+4/7*$E147*(sn_h/2-3/7*$E147)*(1-1^2/3)-16/49*$E147^2*(1/2-1^2/4))+SUMPRODUCT($J$8:$K$8,$J147:$K147,$J$10:$K$10))/1E6</f>
        <v/>
      </c>
      <c r="J147">
        <f>MAX(-fyd_sn,MIN(fyd_sn,200000*0.002*(1-1*(7*J$9-3*$E147)/(4*$E147))))-fcd_sn*(1-MIN(1,MAX(0,1*(7*J$9-3*$E147)/(4*$E147)))^2)</f>
        <v/>
      </c>
      <c r="K147">
        <f>MAX(-fyd_sn,MIN(fyd_sn,200000*0.002*(1-1*(7*K$9-3*$E147)/(4*$E147))))-fcd_sn*(1-MIN(1,MAX(0,1*(7*K$9-3*$E147)/(4*$E147)))^2)</f>
        <v/>
      </c>
    </row>
    <row r="148">
      <c r="B148" s="55" t="n">
        <v>30</v>
      </c>
      <c r="C148" s="56">
        <f>IF($G147&lt;sn_N,($C147+$D147)/2,$C147)</f>
        <v/>
      </c>
      <c r="D148" s="56">
        <f>IF($G147&lt;sn_N,$D147,($C147+$D147)/2)</f>
        <v/>
      </c>
      <c r="E148" s="57">
        <f>sn_h*(($C148+$D148)/2)</f>
        <v/>
      </c>
      <c r="G148" s="57">
        <f>(fcd_sn*sn_b*$E148*(3/7+4/7*(1-1^2/3))+SUMPRODUCT($J$8:$K$8,$J148:$K148))/1000</f>
        <v/>
      </c>
      <c r="H148" s="57">
        <f>(fcd_sn*sn_b*(3/14*$E148*(sn_h-3/7*$E148)+4/7*$E148*(sn_h/2-3/7*$E148)*(1-1^2/3)-16/49*$E148^2*(1/2-1^2/4))+SUMPRODUCT($J$8:$K$8,$J148:$K148,$J$10:$K$10))/1E6</f>
        <v/>
      </c>
      <c r="J148">
        <f>MAX(-fyd_sn,MIN(fyd_sn,200000*0.002*(1-1*(7*J$9-3*$E148)/(4*$E148))))-fcd_sn*(1-MIN(1,MAX(0,1*(7*J$9-3*$E148)/(4*$E148)))^2)</f>
        <v/>
      </c>
      <c r="K148">
        <f>MAX(-fyd_sn,MIN(fyd_sn,200000*0.002*(1-1*(7*K$9-3*$E148)/(4*$E148))))-fcd_sn*(1-MIN(1,MAX(0,1*(7*K$9-3*$E148)/(4*$E148)))^2)</f>
        <v/>
      </c>
    </row>
    <row r="149">
      <c r="B149" s="55" t="n">
        <v>31</v>
      </c>
      <c r="C149" s="56">
        <f>IF($G148&lt;sn_N,($C148+$D148)/2,$C148)</f>
        <v/>
      </c>
      <c r="D149" s="56">
        <f>IF($G148&lt;sn_N,$D148,($C148+$D148)/2)</f>
        <v/>
      </c>
      <c r="E149" s="57">
        <f>sn_h*(($C149+$D149)/2)</f>
        <v/>
      </c>
      <c r="G149" s="57">
        <f>(fcd_sn*sn_b*$E149*(3/7+4/7*(1-1^2/3))+SUMPRODUCT($J$8:$K$8,$J149:$K149))/1000</f>
        <v/>
      </c>
      <c r="H149" s="57">
        <f>(fcd_sn*sn_b*(3/14*$E149*(sn_h-3/7*$E149)+4/7*$E149*(sn_h/2-3/7*$E149)*(1-1^2/3)-16/49*$E149^2*(1/2-1^2/4))+SUMPRODUCT($J$8:$K$8,$J149:$K149,$J$10:$K$10))/1E6</f>
        <v/>
      </c>
      <c r="J149">
        <f>MAX(-fyd_sn,MIN(fyd_sn,200000*0.002*(1-1*(7*J$9-3*$E149)/(4*$E149))))-fcd_sn*(1-MIN(1,MAX(0,1*(7*J$9-3*$E149)/(4*$E149)))^2)</f>
        <v/>
      </c>
      <c r="K149">
        <f>MAX(-fyd_sn,MIN(fyd_sn,200000*0.002*(1-1*(7*K$9-3*$E149)/(4*$E149))))-fcd_sn*(1-MIN(1,MAX(0,1*(7*K$9-3*$E149)/(4*$E149)))^2)</f>
        <v/>
      </c>
    </row>
    <row r="150">
      <c r="B150" s="55" t="n">
        <v>32</v>
      </c>
      <c r="C150" s="56">
        <f>IF($G149&lt;sn_N,($C149+$D149)/2,$C149)</f>
        <v/>
      </c>
      <c r="D150" s="56">
        <f>IF($G149&lt;sn_N,$D149,($C149+$D149)/2)</f>
        <v/>
      </c>
      <c r="E150" s="57">
        <f>sn_h*(($C150+$D150)/2)</f>
        <v/>
      </c>
      <c r="G150" s="57">
        <f>(fcd_sn*sn_b*$E150*(3/7+4/7*(1-1^2/3))+SUMPRODUCT($J$8:$K$8,$J150:$K150))/1000</f>
        <v/>
      </c>
      <c r="H150" s="57">
        <f>(fcd_sn*sn_b*(3/14*$E150*(sn_h-3/7*$E150)+4/7*$E150*(sn_h/2-3/7*$E150)*(1-1^2/3)-16/49*$E150^2*(1/2-1^2/4))+SUMPRODUCT($J$8:$K$8,$J150:$K150,$J$10:$K$10))/1E6</f>
        <v/>
      </c>
      <c r="J150">
        <f>MAX(-fyd_sn,MIN(fyd_sn,200000*0.002*(1-1*(7*J$9-3*$E150)/(4*$E150))))-fcd_sn*(1-MIN(1,MAX(0,1*(7*J$9-3*$E150)/(4*$E150)))^2)</f>
        <v/>
      </c>
      <c r="K150">
        <f>MAX(-fyd_sn,MIN(fyd_sn,200000*0.002*(1-1*(7*K$9-3*$E150)/(4*$E150))))-fcd_sn*(1-MIN(1,MAX(0,1*(7*K$9-3*$E150)/(4*$E150)))^2)</f>
        <v/>
      </c>
    </row>
    <row r="151">
      <c r="B151" s="55" t="n">
        <v>33</v>
      </c>
      <c r="C151" s="56">
        <f>IF($G150&lt;sn_N,($C150+$D150)/2,$C150)</f>
        <v/>
      </c>
      <c r="D151" s="56">
        <f>IF($G150&lt;sn_N,$D150,($C150+$D150)/2)</f>
        <v/>
      </c>
      <c r="E151" s="57">
        <f>sn_h*(($C151+$D151)/2)</f>
        <v/>
      </c>
      <c r="G151" s="57">
        <f>(fcd_sn*sn_b*$E151*(3/7+4/7*(1-1^2/3))+SUMPRODUCT($J$8:$K$8,$J151:$K151))/1000</f>
        <v/>
      </c>
      <c r="H151" s="57">
        <f>(fcd_sn*sn_b*(3/14*$E151*(sn_h-3/7*$E151)+4/7*$E151*(sn_h/2-3/7*$E151)*(1-1^2/3)-16/49*$E151^2*(1/2-1^2/4))+SUMPRODUCT($J$8:$K$8,$J151:$K151,$J$10:$K$10))/1E6</f>
        <v/>
      </c>
      <c r="J151">
        <f>MAX(-fyd_sn,MIN(fyd_sn,200000*0.002*(1-1*(7*J$9-3*$E151)/(4*$E151))))-fcd_sn*(1-MIN(1,MAX(0,1*(7*J$9-3*$E151)/(4*$E151)))^2)</f>
        <v/>
      </c>
      <c r="K151">
        <f>MAX(-fyd_sn,MIN(fyd_sn,200000*0.002*(1-1*(7*K$9-3*$E151)/(4*$E151))))-fcd_sn*(1-MIN(1,MAX(0,1*(7*K$9-3*$E151)/(4*$E151)))^2)</f>
        <v/>
      </c>
    </row>
    <row r="152">
      <c r="B152" s="55" t="n">
        <v>34</v>
      </c>
      <c r="C152" s="56">
        <f>IF($G151&lt;sn_N,($C151+$D151)/2,$C151)</f>
        <v/>
      </c>
      <c r="D152" s="56">
        <f>IF($G151&lt;sn_N,$D151,($C151+$D151)/2)</f>
        <v/>
      </c>
      <c r="E152" s="57">
        <f>sn_h*(($C152+$D152)/2)</f>
        <v/>
      </c>
      <c r="G152" s="57">
        <f>(fcd_sn*sn_b*$E152*(3/7+4/7*(1-1^2/3))+SUMPRODUCT($J$8:$K$8,$J152:$K152))/1000</f>
        <v/>
      </c>
      <c r="H152" s="57">
        <f>(fcd_sn*sn_b*(3/14*$E152*(sn_h-3/7*$E152)+4/7*$E152*(sn_h/2-3/7*$E152)*(1-1^2/3)-16/49*$E152^2*(1/2-1^2/4))+SUMPRODUCT($J$8:$K$8,$J152:$K152,$J$10:$K$10))/1E6</f>
        <v/>
      </c>
      <c r="J152">
        <f>MAX(-fyd_sn,MIN(fyd_sn,200000*0.002*(1-1*(7*J$9-3*$E152)/(4*$E152))))-fcd_sn*(1-MIN(1,MAX(0,1*(7*J$9-3*$E152)/(4*$E152)))^2)</f>
        <v/>
      </c>
      <c r="K152">
        <f>MAX(-fyd_sn,MIN(fyd_sn,200000*0.002*(1-1*(7*K$9-3*$E152)/(4*$E152))))-fcd_sn*(1-MIN(1,MAX(0,1*(7*K$9-3*$E152)/(4*$E152)))^2)</f>
        <v/>
      </c>
    </row>
    <row r="153">
      <c r="B153" s="55" t="n">
        <v>35</v>
      </c>
      <c r="C153" s="56">
        <f>IF($G152&lt;sn_N,($C152+$D152)/2,$C152)</f>
        <v/>
      </c>
      <c r="D153" s="56">
        <f>IF($G152&lt;sn_N,$D152,($C152+$D152)/2)</f>
        <v/>
      </c>
      <c r="E153" s="57">
        <f>sn_h*(($C153+$D153)/2)</f>
        <v/>
      </c>
      <c r="G153" s="57">
        <f>(fcd_sn*sn_b*$E153*(3/7+4/7*(1-1^2/3))+SUMPRODUCT($J$8:$K$8,$J153:$K153))/1000</f>
        <v/>
      </c>
      <c r="H153" s="57">
        <f>(fcd_sn*sn_b*(3/14*$E153*(sn_h-3/7*$E153)+4/7*$E153*(sn_h/2-3/7*$E153)*(1-1^2/3)-16/49*$E153^2*(1/2-1^2/4))+SUMPRODUCT($J$8:$K$8,$J153:$K153,$J$10:$K$10))/1E6</f>
        <v/>
      </c>
      <c r="J153">
        <f>MAX(-fyd_sn,MIN(fyd_sn,200000*0.002*(1-1*(7*J$9-3*$E153)/(4*$E153))))-fcd_sn*(1-MIN(1,MAX(0,1*(7*J$9-3*$E153)/(4*$E153)))^2)</f>
        <v/>
      </c>
      <c r="K153">
        <f>MAX(-fyd_sn,MIN(fyd_sn,200000*0.002*(1-1*(7*K$9-3*$E153)/(4*$E153))))-fcd_sn*(1-MIN(1,MAX(0,1*(7*K$9-3*$E153)/(4*$E153)))^2)</f>
        <v/>
      </c>
    </row>
    <row r="154">
      <c r="B154" s="55" t="n">
        <v>36</v>
      </c>
      <c r="C154" s="56">
        <f>IF($G153&lt;sn_N,($C153+$D153)/2,$C153)</f>
        <v/>
      </c>
      <c r="D154" s="56">
        <f>IF($G153&lt;sn_N,$D153,($C153+$D153)/2)</f>
        <v/>
      </c>
      <c r="E154" s="57">
        <f>sn_h*(($C154+$D154)/2)</f>
        <v/>
      </c>
      <c r="G154" s="57">
        <f>(fcd_sn*sn_b*$E154*(3/7+4/7*(1-1^2/3))+SUMPRODUCT($J$8:$K$8,$J154:$K154))/1000</f>
        <v/>
      </c>
      <c r="H154" s="57">
        <f>(fcd_sn*sn_b*(3/14*$E154*(sn_h-3/7*$E154)+4/7*$E154*(sn_h/2-3/7*$E154)*(1-1^2/3)-16/49*$E154^2*(1/2-1^2/4))+SUMPRODUCT($J$8:$K$8,$J154:$K154,$J$10:$K$10))/1E6</f>
        <v/>
      </c>
      <c r="J154">
        <f>MAX(-fyd_sn,MIN(fyd_sn,200000*0.002*(1-1*(7*J$9-3*$E154)/(4*$E154))))-fcd_sn*(1-MIN(1,MAX(0,1*(7*J$9-3*$E154)/(4*$E154)))^2)</f>
        <v/>
      </c>
      <c r="K154">
        <f>MAX(-fyd_sn,MIN(fyd_sn,200000*0.002*(1-1*(7*K$9-3*$E154)/(4*$E154))))-fcd_sn*(1-MIN(1,MAX(0,1*(7*K$9-3*$E154)/(4*$E154)))^2)</f>
        <v/>
      </c>
    </row>
    <row r="155">
      <c r="B155" s="55" t="n">
        <v>37</v>
      </c>
      <c r="C155" s="56">
        <f>IF($G154&lt;sn_N,($C154+$D154)/2,$C154)</f>
        <v/>
      </c>
      <c r="D155" s="56">
        <f>IF($G154&lt;sn_N,$D154,($C154+$D154)/2)</f>
        <v/>
      </c>
      <c r="E155" s="57">
        <f>sn_h*(($C155+$D155)/2)</f>
        <v/>
      </c>
      <c r="G155" s="57">
        <f>(fcd_sn*sn_b*$E155*(3/7+4/7*(1-1^2/3))+SUMPRODUCT($J$8:$K$8,$J155:$K155))/1000</f>
        <v/>
      </c>
      <c r="H155" s="57">
        <f>(fcd_sn*sn_b*(3/14*$E155*(sn_h-3/7*$E155)+4/7*$E155*(sn_h/2-3/7*$E155)*(1-1^2/3)-16/49*$E155^2*(1/2-1^2/4))+SUMPRODUCT($J$8:$K$8,$J155:$K155,$J$10:$K$10))/1E6</f>
        <v/>
      </c>
      <c r="J155">
        <f>MAX(-fyd_sn,MIN(fyd_sn,200000*0.002*(1-1*(7*J$9-3*$E155)/(4*$E155))))-fcd_sn*(1-MIN(1,MAX(0,1*(7*J$9-3*$E155)/(4*$E155)))^2)</f>
        <v/>
      </c>
      <c r="K155">
        <f>MAX(-fyd_sn,MIN(fyd_sn,200000*0.002*(1-1*(7*K$9-3*$E155)/(4*$E155))))-fcd_sn*(1-MIN(1,MAX(0,1*(7*K$9-3*$E155)/(4*$E155)))^2)</f>
        <v/>
      </c>
    </row>
    <row r="156">
      <c r="B156" s="55" t="n">
        <v>38</v>
      </c>
      <c r="C156" s="56">
        <f>IF($G155&lt;sn_N,($C155+$D155)/2,$C155)</f>
        <v/>
      </c>
      <c r="D156" s="56">
        <f>IF($G155&lt;sn_N,$D155,($C155+$D155)/2)</f>
        <v/>
      </c>
      <c r="E156" s="57">
        <f>sn_h*(($C156+$D156)/2)</f>
        <v/>
      </c>
      <c r="G156" s="57">
        <f>(fcd_sn*sn_b*$E156*(3/7+4/7*(1-1^2/3))+SUMPRODUCT($J$8:$K$8,$J156:$K156))/1000</f>
        <v/>
      </c>
      <c r="H156" s="57">
        <f>(fcd_sn*sn_b*(3/14*$E156*(sn_h-3/7*$E156)+4/7*$E156*(sn_h/2-3/7*$E156)*(1-1^2/3)-16/49*$E156^2*(1/2-1^2/4))+SUMPRODUCT($J$8:$K$8,$J156:$K156,$J$10:$K$10))/1E6</f>
        <v/>
      </c>
      <c r="J156">
        <f>MAX(-fyd_sn,MIN(fyd_sn,200000*0.002*(1-1*(7*J$9-3*$E156)/(4*$E156))))-fcd_sn*(1-MIN(1,MAX(0,1*(7*J$9-3*$E156)/(4*$E156)))^2)</f>
        <v/>
      </c>
      <c r="K156">
        <f>MAX(-fyd_sn,MIN(fyd_sn,200000*0.002*(1-1*(7*K$9-3*$E156)/(4*$E156))))-fcd_sn*(1-MIN(1,MAX(0,1*(7*K$9-3*$E156)/(4*$E156)))^2)</f>
        <v/>
      </c>
    </row>
    <row r="157">
      <c r="B157" s="55" t="n">
        <v>39</v>
      </c>
      <c r="C157" s="56">
        <f>IF($G156&lt;sn_N,($C156+$D156)/2,$C156)</f>
        <v/>
      </c>
      <c r="D157" s="56">
        <f>IF($G156&lt;sn_N,$D156,($C156+$D156)/2)</f>
        <v/>
      </c>
      <c r="E157" s="57">
        <f>sn_h*(($C157+$D157)/2)</f>
        <v/>
      </c>
      <c r="G157" s="57">
        <f>(fcd_sn*sn_b*$E157*(3/7+4/7*(1-1^2/3))+SUMPRODUCT($J$8:$K$8,$J157:$K157))/1000</f>
        <v/>
      </c>
      <c r="H157" s="57">
        <f>(fcd_sn*sn_b*(3/14*$E157*(sn_h-3/7*$E157)+4/7*$E157*(sn_h/2-3/7*$E157)*(1-1^2/3)-16/49*$E157^2*(1/2-1^2/4))+SUMPRODUCT($J$8:$K$8,$J157:$K157,$J$10:$K$10))/1E6</f>
        <v/>
      </c>
      <c r="J157">
        <f>MAX(-fyd_sn,MIN(fyd_sn,200000*0.002*(1-1*(7*J$9-3*$E157)/(4*$E157))))-fcd_sn*(1-MIN(1,MAX(0,1*(7*J$9-3*$E157)/(4*$E157)))^2)</f>
        <v/>
      </c>
      <c r="K157">
        <f>MAX(-fyd_sn,MIN(fyd_sn,200000*0.002*(1-1*(7*K$9-3*$E157)/(4*$E157))))-fcd_sn*(1-MIN(1,MAX(0,1*(7*K$9-3*$E157)/(4*$E157)))^2)</f>
        <v/>
      </c>
    </row>
    <row r="158">
      <c r="B158" s="55" t="n">
        <v>40</v>
      </c>
      <c r="C158" s="56">
        <f>IF($G157&lt;sn_N,($C157+$D157)/2,$C157)</f>
        <v/>
      </c>
      <c r="D158" s="56">
        <f>IF($G157&lt;sn_N,$D157,($C157+$D157)/2)</f>
        <v/>
      </c>
      <c r="E158" s="57">
        <f>sn_h*(($C158+$D158)/2)</f>
        <v/>
      </c>
      <c r="G158" s="57">
        <f>(fcd_sn*sn_b*$E158*(3/7+4/7*(1-1^2/3))+SUMPRODUCT($J$8:$K$8,$J158:$K158))/1000</f>
        <v/>
      </c>
      <c r="H158" s="57">
        <f>(fcd_sn*sn_b*(3/14*$E158*(sn_h-3/7*$E158)+4/7*$E158*(sn_h/2-3/7*$E158)*(1-1^2/3)-16/49*$E158^2*(1/2-1^2/4))+SUMPRODUCT($J$8:$K$8,$J158:$K158,$J$10:$K$10))/1E6</f>
        <v/>
      </c>
      <c r="J158">
        <f>MAX(-fyd_sn,MIN(fyd_sn,200000*0.002*(1-1*(7*J$9-3*$E158)/(4*$E158))))-fcd_sn*(1-MIN(1,MAX(0,1*(7*J$9-3*$E158)/(4*$E158)))^2)</f>
        <v/>
      </c>
      <c r="K158">
        <f>MAX(-fyd_sn,MIN(fyd_sn,200000*0.002*(1-1*(7*K$9-3*$E158)/(4*$E158))))-fcd_sn*(1-MIN(1,MAX(0,1*(7*K$9-3*$E158)/(4*$E158)))^2)</f>
        <v/>
      </c>
    </row>
    <row r="159">
      <c r="B159" s="55" t="n">
        <v>41</v>
      </c>
      <c r="C159" s="56">
        <f>IF($G158&lt;sn_N,($C158+$D158)/2,$C158)</f>
        <v/>
      </c>
      <c r="D159" s="56">
        <f>IF($G158&lt;sn_N,$D158,($C158+$D158)/2)</f>
        <v/>
      </c>
      <c r="E159" s="57">
        <f>sn_h*(($C159+$D159)/2)</f>
        <v/>
      </c>
      <c r="G159" s="57">
        <f>(fcd_sn*sn_b*$E159*(3/7+4/7*(1-1^2/3))+SUMPRODUCT($J$8:$K$8,$J159:$K159))/1000</f>
        <v/>
      </c>
      <c r="H159" s="57">
        <f>(fcd_sn*sn_b*(3/14*$E159*(sn_h-3/7*$E159)+4/7*$E159*(sn_h/2-3/7*$E159)*(1-1^2/3)-16/49*$E159^2*(1/2-1^2/4))+SUMPRODUCT($J$8:$K$8,$J159:$K159,$J$10:$K$10))/1E6</f>
        <v/>
      </c>
      <c r="J159">
        <f>MAX(-fyd_sn,MIN(fyd_sn,200000*0.002*(1-1*(7*J$9-3*$E159)/(4*$E159))))-fcd_sn*(1-MIN(1,MAX(0,1*(7*J$9-3*$E159)/(4*$E159)))^2)</f>
        <v/>
      </c>
      <c r="K159">
        <f>MAX(-fyd_sn,MIN(fyd_sn,200000*0.002*(1-1*(7*K$9-3*$E159)/(4*$E159))))-fcd_sn*(1-MIN(1,MAX(0,1*(7*K$9-3*$E159)/(4*$E159)))^2)</f>
        <v/>
      </c>
    </row>
    <row r="160">
      <c r="B160" s="55" t="n">
        <v>42</v>
      </c>
      <c r="C160" s="56">
        <f>IF($G159&lt;sn_N,($C159+$D159)/2,$C159)</f>
        <v/>
      </c>
      <c r="D160" s="56">
        <f>IF($G159&lt;sn_N,$D159,($C159+$D159)/2)</f>
        <v/>
      </c>
      <c r="E160" s="57">
        <f>sn_h*(($C160+$D160)/2)</f>
        <v/>
      </c>
      <c r="G160" s="57">
        <f>(fcd_sn*sn_b*$E160*(3/7+4/7*(1-1^2/3))+SUMPRODUCT($J$8:$K$8,$J160:$K160))/1000</f>
        <v/>
      </c>
      <c r="H160" s="57">
        <f>(fcd_sn*sn_b*(3/14*$E160*(sn_h-3/7*$E160)+4/7*$E160*(sn_h/2-3/7*$E160)*(1-1^2/3)-16/49*$E160^2*(1/2-1^2/4))+SUMPRODUCT($J$8:$K$8,$J160:$K160,$J$10:$K$10))/1E6</f>
        <v/>
      </c>
      <c r="J160">
        <f>MAX(-fyd_sn,MIN(fyd_sn,200000*0.002*(1-1*(7*J$9-3*$E160)/(4*$E160))))-fcd_sn*(1-MIN(1,MAX(0,1*(7*J$9-3*$E160)/(4*$E160)))^2)</f>
        <v/>
      </c>
      <c r="K160">
        <f>MAX(-fyd_sn,MIN(fyd_sn,200000*0.002*(1-1*(7*K$9-3*$E160)/(4*$E160))))-fcd_sn*(1-MIN(1,MAX(0,1*(7*K$9-3*$E160)/(4*$E160)))^2)</f>
        <v/>
      </c>
    </row>
    <row r="161">
      <c r="B161" s="55" t="n">
        <v>43</v>
      </c>
      <c r="C161" s="56">
        <f>IF($G160&lt;sn_N,($C160+$D160)/2,$C160)</f>
        <v/>
      </c>
      <c r="D161" s="56">
        <f>IF($G160&lt;sn_N,$D160,($C160+$D160)/2)</f>
        <v/>
      </c>
      <c r="E161" s="57">
        <f>sn_h*(($C161+$D161)/2)</f>
        <v/>
      </c>
      <c r="G161" s="57">
        <f>(fcd_sn*sn_b*$E161*(3/7+4/7*(1-1^2/3))+SUMPRODUCT($J$8:$K$8,$J161:$K161))/1000</f>
        <v/>
      </c>
      <c r="H161" s="57">
        <f>(fcd_sn*sn_b*(3/14*$E161*(sn_h-3/7*$E161)+4/7*$E161*(sn_h/2-3/7*$E161)*(1-1^2/3)-16/49*$E161^2*(1/2-1^2/4))+SUMPRODUCT($J$8:$K$8,$J161:$K161,$J$10:$K$10))/1E6</f>
        <v/>
      </c>
      <c r="J161">
        <f>MAX(-fyd_sn,MIN(fyd_sn,200000*0.002*(1-1*(7*J$9-3*$E161)/(4*$E161))))-fcd_sn*(1-MIN(1,MAX(0,1*(7*J$9-3*$E161)/(4*$E161)))^2)</f>
        <v/>
      </c>
      <c r="K161">
        <f>MAX(-fyd_sn,MIN(fyd_sn,200000*0.002*(1-1*(7*K$9-3*$E161)/(4*$E161))))-fcd_sn*(1-MIN(1,MAX(0,1*(7*K$9-3*$E161)/(4*$E161)))^2)</f>
        <v/>
      </c>
    </row>
    <row r="162">
      <c r="B162" s="55" t="n">
        <v>44</v>
      </c>
      <c r="C162" s="56">
        <f>IF($G161&lt;sn_N,($C161+$D161)/2,$C161)</f>
        <v/>
      </c>
      <c r="D162" s="56">
        <f>IF($G161&lt;sn_N,$D161,($C161+$D161)/2)</f>
        <v/>
      </c>
      <c r="E162" s="57">
        <f>sn_h*(($C162+$D162)/2)</f>
        <v/>
      </c>
      <c r="G162" s="57">
        <f>(fcd_sn*sn_b*$E162*(3/7+4/7*(1-1^2/3))+SUMPRODUCT($J$8:$K$8,$J162:$K162))/1000</f>
        <v/>
      </c>
      <c r="H162" s="57">
        <f>(fcd_sn*sn_b*(3/14*$E162*(sn_h-3/7*$E162)+4/7*$E162*(sn_h/2-3/7*$E162)*(1-1^2/3)-16/49*$E162^2*(1/2-1^2/4))+SUMPRODUCT($J$8:$K$8,$J162:$K162,$J$10:$K$10))/1E6</f>
        <v/>
      </c>
      <c r="J162">
        <f>MAX(-fyd_sn,MIN(fyd_sn,200000*0.002*(1-1*(7*J$9-3*$E162)/(4*$E162))))-fcd_sn*(1-MIN(1,MAX(0,1*(7*J$9-3*$E162)/(4*$E162)))^2)</f>
        <v/>
      </c>
      <c r="K162">
        <f>MAX(-fyd_sn,MIN(fyd_sn,200000*0.002*(1-1*(7*K$9-3*$E162)/(4*$E162))))-fcd_sn*(1-MIN(1,MAX(0,1*(7*K$9-3*$E162)/(4*$E162)))^2)</f>
        <v/>
      </c>
    </row>
    <row r="163">
      <c r="B163" s="55" t="n">
        <v>45</v>
      </c>
      <c r="C163" s="56">
        <f>IF($G162&lt;sn_N,($C162+$D162)/2,$C162)</f>
        <v/>
      </c>
      <c r="D163" s="56">
        <f>IF($G162&lt;sn_N,$D162,($C162+$D162)/2)</f>
        <v/>
      </c>
      <c r="E163" s="57">
        <f>sn_h*(($C163+$D163)/2)</f>
        <v/>
      </c>
      <c r="G163" s="57">
        <f>(fcd_sn*sn_b*$E163*(3/7+4/7*(1-1^2/3))+SUMPRODUCT($J$8:$K$8,$J163:$K163))/1000</f>
        <v/>
      </c>
      <c r="H163" s="57">
        <f>(fcd_sn*sn_b*(3/14*$E163*(sn_h-3/7*$E163)+4/7*$E163*(sn_h/2-3/7*$E163)*(1-1^2/3)-16/49*$E163^2*(1/2-1^2/4))+SUMPRODUCT($J$8:$K$8,$J163:$K163,$J$10:$K$10))/1E6</f>
        <v/>
      </c>
      <c r="J163">
        <f>MAX(-fyd_sn,MIN(fyd_sn,200000*0.002*(1-1*(7*J$9-3*$E163)/(4*$E163))))-fcd_sn*(1-MIN(1,MAX(0,1*(7*J$9-3*$E163)/(4*$E163)))^2)</f>
        <v/>
      </c>
      <c r="K163">
        <f>MAX(-fyd_sn,MIN(fyd_sn,200000*0.002*(1-1*(7*K$9-3*$E163)/(4*$E163))))-fcd_sn*(1-MIN(1,MAX(0,1*(7*K$9-3*$E163)/(4*$E163)))^2)</f>
        <v/>
      </c>
    </row>
    <row r="164">
      <c r="B164" s="55" t="n">
        <v>46</v>
      </c>
      <c r="C164" s="56">
        <f>IF($G163&lt;sn_N,($C163+$D163)/2,$C163)</f>
        <v/>
      </c>
      <c r="D164" s="56">
        <f>IF($G163&lt;sn_N,$D163,($C163+$D163)/2)</f>
        <v/>
      </c>
      <c r="E164" s="57">
        <f>sn_h*(($C164+$D164)/2)</f>
        <v/>
      </c>
      <c r="G164" s="57">
        <f>(fcd_sn*sn_b*$E164*(3/7+4/7*(1-1^2/3))+SUMPRODUCT($J$8:$K$8,$J164:$K164))/1000</f>
        <v/>
      </c>
      <c r="H164" s="57">
        <f>(fcd_sn*sn_b*(3/14*$E164*(sn_h-3/7*$E164)+4/7*$E164*(sn_h/2-3/7*$E164)*(1-1^2/3)-16/49*$E164^2*(1/2-1^2/4))+SUMPRODUCT($J$8:$K$8,$J164:$K164,$J$10:$K$10))/1E6</f>
        <v/>
      </c>
      <c r="J164">
        <f>MAX(-fyd_sn,MIN(fyd_sn,200000*0.002*(1-1*(7*J$9-3*$E164)/(4*$E164))))-fcd_sn*(1-MIN(1,MAX(0,1*(7*J$9-3*$E164)/(4*$E164)))^2)</f>
        <v/>
      </c>
      <c r="K164">
        <f>MAX(-fyd_sn,MIN(fyd_sn,200000*0.002*(1-1*(7*K$9-3*$E164)/(4*$E164))))-fcd_sn*(1-MIN(1,MAX(0,1*(7*K$9-3*$E164)/(4*$E164)))^2)</f>
        <v/>
      </c>
    </row>
    <row r="165">
      <c r="B165" s="55" t="n">
        <v>47</v>
      </c>
      <c r="C165" s="56">
        <f>IF($G164&lt;sn_N,($C164+$D164)/2,$C164)</f>
        <v/>
      </c>
      <c r="D165" s="56">
        <f>IF($G164&lt;sn_N,$D164,($C164+$D164)/2)</f>
        <v/>
      </c>
      <c r="E165" s="57">
        <f>sn_h*(($C165+$D165)/2)</f>
        <v/>
      </c>
      <c r="G165" s="57">
        <f>(fcd_sn*sn_b*$E165*(3/7+4/7*(1-1^2/3))+SUMPRODUCT($J$8:$K$8,$J165:$K165))/1000</f>
        <v/>
      </c>
      <c r="H165" s="57">
        <f>(fcd_sn*sn_b*(3/14*$E165*(sn_h-3/7*$E165)+4/7*$E165*(sn_h/2-3/7*$E165)*(1-1^2/3)-16/49*$E165^2*(1/2-1^2/4))+SUMPRODUCT($J$8:$K$8,$J165:$K165,$J$10:$K$10))/1E6</f>
        <v/>
      </c>
      <c r="J165">
        <f>MAX(-fyd_sn,MIN(fyd_sn,200000*0.002*(1-1*(7*J$9-3*$E165)/(4*$E165))))-fcd_sn*(1-MIN(1,MAX(0,1*(7*J$9-3*$E165)/(4*$E165)))^2)</f>
        <v/>
      </c>
      <c r="K165">
        <f>MAX(-fyd_sn,MIN(fyd_sn,200000*0.002*(1-1*(7*K$9-3*$E165)/(4*$E165))))-fcd_sn*(1-MIN(1,MAX(0,1*(7*K$9-3*$E165)/(4*$E165)))^2)</f>
        <v/>
      </c>
    </row>
    <row r="166">
      <c r="B166" s="55" t="n">
        <v>48</v>
      </c>
      <c r="C166" s="56">
        <f>IF($G165&lt;sn_N,($C165+$D165)/2,$C165)</f>
        <v/>
      </c>
      <c r="D166" s="56">
        <f>IF($G165&lt;sn_N,$D165,($C165+$D165)/2)</f>
        <v/>
      </c>
      <c r="E166" s="57">
        <f>sn_h*(($C166+$D166)/2)</f>
        <v/>
      </c>
      <c r="G166" s="57">
        <f>(fcd_sn*sn_b*$E166*(3/7+4/7*(1-1^2/3))+SUMPRODUCT($J$8:$K$8,$J166:$K166))/1000</f>
        <v/>
      </c>
      <c r="H166" s="57">
        <f>(fcd_sn*sn_b*(3/14*$E166*(sn_h-3/7*$E166)+4/7*$E166*(sn_h/2-3/7*$E166)*(1-1^2/3)-16/49*$E166^2*(1/2-1^2/4))+SUMPRODUCT($J$8:$K$8,$J166:$K166,$J$10:$K$10))/1E6</f>
        <v/>
      </c>
      <c r="J166">
        <f>MAX(-fyd_sn,MIN(fyd_sn,200000*0.002*(1-1*(7*J$9-3*$E166)/(4*$E166))))-fcd_sn*(1-MIN(1,MAX(0,1*(7*J$9-3*$E166)/(4*$E166)))^2)</f>
        <v/>
      </c>
      <c r="K166">
        <f>MAX(-fyd_sn,MIN(fyd_sn,200000*0.002*(1-1*(7*K$9-3*$E166)/(4*$E166))))-fcd_sn*(1-MIN(1,MAX(0,1*(7*K$9-3*$E166)/(4*$E166)))^2)</f>
        <v/>
      </c>
    </row>
    <row r="167">
      <c r="B167" s="55" t="n">
        <v>49</v>
      </c>
      <c r="C167" s="56">
        <f>IF($G166&lt;sn_N,($C166+$D166)/2,$C166)</f>
        <v/>
      </c>
      <c r="D167" s="56">
        <f>IF($G166&lt;sn_N,$D166,($C166+$D166)/2)</f>
        <v/>
      </c>
      <c r="E167" s="57">
        <f>sn_h*(($C167+$D167)/2)</f>
        <v/>
      </c>
      <c r="G167" s="57">
        <f>(fcd_sn*sn_b*$E167*(3/7+4/7*(1-1^2/3))+SUMPRODUCT($J$8:$K$8,$J167:$K167))/1000</f>
        <v/>
      </c>
      <c r="H167" s="57">
        <f>(fcd_sn*sn_b*(3/14*$E167*(sn_h-3/7*$E167)+4/7*$E167*(sn_h/2-3/7*$E167)*(1-1^2/3)-16/49*$E167^2*(1/2-1^2/4))+SUMPRODUCT($J$8:$K$8,$J167:$K167,$J$10:$K$10))/1E6</f>
        <v/>
      </c>
      <c r="J167">
        <f>MAX(-fyd_sn,MIN(fyd_sn,200000*0.002*(1-1*(7*J$9-3*$E167)/(4*$E167))))-fcd_sn*(1-MIN(1,MAX(0,1*(7*J$9-3*$E167)/(4*$E167)))^2)</f>
        <v/>
      </c>
      <c r="K167">
        <f>MAX(-fyd_sn,MIN(fyd_sn,200000*0.002*(1-1*(7*K$9-3*$E167)/(4*$E167))))-fcd_sn*(1-MIN(1,MAX(0,1*(7*K$9-3*$E167)/(4*$E167)))^2)</f>
        <v/>
      </c>
    </row>
    <row r="168">
      <c r="B168" s="55" t="n">
        <v>50</v>
      </c>
      <c r="C168" s="56">
        <f>IF($G167&lt;sn_N,($C167+$D167)/2,$C167)</f>
        <v/>
      </c>
      <c r="D168" s="56">
        <f>IF($G167&lt;sn_N,$D167,($C167+$D167)/2)</f>
        <v/>
      </c>
      <c r="E168" s="57">
        <f>sn_h*(($C168+$D168)/2)</f>
        <v/>
      </c>
      <c r="G168" s="57">
        <f>(fcd_sn*sn_b*$E168*(3/7+4/7*(1-1^2/3))+SUMPRODUCT($J$8:$K$8,$J168:$K168))/1000</f>
        <v/>
      </c>
      <c r="H168" s="57">
        <f>(fcd_sn*sn_b*(3/14*$E168*(sn_h-3/7*$E168)+4/7*$E168*(sn_h/2-3/7*$E168)*(1-1^2/3)-16/49*$E168^2*(1/2-1^2/4))+SUMPRODUCT($J$8:$K$8,$J168:$K168,$J$10:$K$10))/1E6</f>
        <v/>
      </c>
      <c r="J168">
        <f>MAX(-fyd_sn,MIN(fyd_sn,200000*0.002*(1-1*(7*J$9-3*$E168)/(4*$E168))))-fcd_sn*(1-MIN(1,MAX(0,1*(7*J$9-3*$E168)/(4*$E168)))^2)</f>
        <v/>
      </c>
      <c r="K168">
        <f>MAX(-fyd_sn,MIN(fyd_sn,200000*0.002*(1-1*(7*K$9-3*$E168)/(4*$E168))))-fcd_sn*(1-MIN(1,MAX(0,1*(7*K$9-3*$E168)/(4*$E168)))^2)</f>
        <v/>
      </c>
    </row>
    <row r="169">
      <c r="B169" s="55" t="n">
        <v>51</v>
      </c>
      <c r="C169" s="56">
        <f>IF($G168&lt;sn_N,($C168+$D168)/2,$C168)</f>
        <v/>
      </c>
      <c r="D169" s="56">
        <f>IF($G168&lt;sn_N,$D168,($C168+$D168)/2)</f>
        <v/>
      </c>
      <c r="E169" s="57">
        <f>sn_h*(($C169+$D169)/2)</f>
        <v/>
      </c>
      <c r="G169" s="57">
        <f>(fcd_sn*sn_b*$E169*(3/7+4/7*(1-1^2/3))+SUMPRODUCT($J$8:$K$8,$J169:$K169))/1000</f>
        <v/>
      </c>
      <c r="H169" s="57">
        <f>(fcd_sn*sn_b*(3/14*$E169*(sn_h-3/7*$E169)+4/7*$E169*(sn_h/2-3/7*$E169)*(1-1^2/3)-16/49*$E169^2*(1/2-1^2/4))+SUMPRODUCT($J$8:$K$8,$J169:$K169,$J$10:$K$10))/1E6</f>
        <v/>
      </c>
      <c r="J169">
        <f>MAX(-fyd_sn,MIN(fyd_sn,200000*0.002*(1-1*(7*J$9-3*$E169)/(4*$E169))))-fcd_sn*(1-MIN(1,MAX(0,1*(7*J$9-3*$E169)/(4*$E169)))^2)</f>
        <v/>
      </c>
      <c r="K169">
        <f>MAX(-fyd_sn,MIN(fyd_sn,200000*0.002*(1-1*(7*K$9-3*$E169)/(4*$E169))))-fcd_sn*(1-MIN(1,MAX(0,1*(7*K$9-3*$E169)/(4*$E169)))^2)</f>
        <v/>
      </c>
    </row>
    <row r="170">
      <c r="B170" s="55" t="n">
        <v>52</v>
      </c>
      <c r="C170" s="56">
        <f>IF($G169&lt;sn_N,($C169+$D169)/2,$C169)</f>
        <v/>
      </c>
      <c r="D170" s="56">
        <f>IF($G169&lt;sn_N,$D169,($C169+$D169)/2)</f>
        <v/>
      </c>
      <c r="E170" s="57">
        <f>sn_h*(($C170+$D170)/2)</f>
        <v/>
      </c>
      <c r="G170" s="57">
        <f>(fcd_sn*sn_b*$E170*(3/7+4/7*(1-1^2/3))+SUMPRODUCT($J$8:$K$8,$J170:$K170))/1000</f>
        <v/>
      </c>
      <c r="H170" s="57">
        <f>(fcd_sn*sn_b*(3/14*$E170*(sn_h-3/7*$E170)+4/7*$E170*(sn_h/2-3/7*$E170)*(1-1^2/3)-16/49*$E170^2*(1/2-1^2/4))+SUMPRODUCT($J$8:$K$8,$J170:$K170,$J$10:$K$10))/1E6</f>
        <v/>
      </c>
      <c r="J170">
        <f>MAX(-fyd_sn,MIN(fyd_sn,200000*0.002*(1-1*(7*J$9-3*$E170)/(4*$E170))))-fcd_sn*(1-MIN(1,MAX(0,1*(7*J$9-3*$E170)/(4*$E170)))^2)</f>
        <v/>
      </c>
      <c r="K170">
        <f>MAX(-fyd_sn,MIN(fyd_sn,200000*0.002*(1-1*(7*K$9-3*$E170)/(4*$E170))))-fcd_sn*(1-MIN(1,MAX(0,1*(7*K$9-3*$E170)/(4*$E170)))^2)</f>
        <v/>
      </c>
    </row>
    <row r="171">
      <c r="B171" s="55" t="n">
        <v>53</v>
      </c>
      <c r="C171" s="56">
        <f>IF($G170&lt;sn_N,($C170+$D170)/2,$C170)</f>
        <v/>
      </c>
      <c r="D171" s="56">
        <f>IF($G170&lt;sn_N,$D170,($C170+$D170)/2)</f>
        <v/>
      </c>
      <c r="E171" s="57">
        <f>sn_h*(($C171+$D171)/2)</f>
        <v/>
      </c>
      <c r="G171" s="57">
        <f>(fcd_sn*sn_b*$E171*(3/7+4/7*(1-1^2/3))+SUMPRODUCT($J$8:$K$8,$J171:$K171))/1000</f>
        <v/>
      </c>
      <c r="H171" s="57">
        <f>(fcd_sn*sn_b*(3/14*$E171*(sn_h-3/7*$E171)+4/7*$E171*(sn_h/2-3/7*$E171)*(1-1^2/3)-16/49*$E171^2*(1/2-1^2/4))+SUMPRODUCT($J$8:$K$8,$J171:$K171,$J$10:$K$10))/1E6</f>
        <v/>
      </c>
      <c r="J171">
        <f>MAX(-fyd_sn,MIN(fyd_sn,200000*0.002*(1-1*(7*J$9-3*$E171)/(4*$E171))))-fcd_sn*(1-MIN(1,MAX(0,1*(7*J$9-3*$E171)/(4*$E171)))^2)</f>
        <v/>
      </c>
      <c r="K171">
        <f>MAX(-fyd_sn,MIN(fyd_sn,200000*0.002*(1-1*(7*K$9-3*$E171)/(4*$E171))))-fcd_sn*(1-MIN(1,MAX(0,1*(7*K$9-3*$E171)/(4*$E171)))^2)</f>
        <v/>
      </c>
    </row>
    <row r="172">
      <c r="B172" s="55" t="n">
        <v>54</v>
      </c>
      <c r="C172" s="56">
        <f>IF($G171&lt;sn_N,($C171+$D171)/2,$C171)</f>
        <v/>
      </c>
      <c r="D172" s="56">
        <f>IF($G171&lt;sn_N,$D171,($C171+$D171)/2)</f>
        <v/>
      </c>
      <c r="E172" s="57">
        <f>sn_h*(($C172+$D172)/2)</f>
        <v/>
      </c>
      <c r="G172" s="57">
        <f>(fcd_sn*sn_b*$E172*(3/7+4/7*(1-1^2/3))+SUMPRODUCT($J$8:$K$8,$J172:$K172))/1000</f>
        <v/>
      </c>
      <c r="H172" s="57">
        <f>(fcd_sn*sn_b*(3/14*$E172*(sn_h-3/7*$E172)+4/7*$E172*(sn_h/2-3/7*$E172)*(1-1^2/3)-16/49*$E172^2*(1/2-1^2/4))+SUMPRODUCT($J$8:$K$8,$J172:$K172,$J$10:$K$10))/1E6</f>
        <v/>
      </c>
      <c r="J172">
        <f>MAX(-fyd_sn,MIN(fyd_sn,200000*0.002*(1-1*(7*J$9-3*$E172)/(4*$E172))))-fcd_sn*(1-MIN(1,MAX(0,1*(7*J$9-3*$E172)/(4*$E172)))^2)</f>
        <v/>
      </c>
      <c r="K172">
        <f>MAX(-fyd_sn,MIN(fyd_sn,200000*0.002*(1-1*(7*K$9-3*$E172)/(4*$E172))))-fcd_sn*(1-MIN(1,MAX(0,1*(7*K$9-3*$E172)/(4*$E172)))^2)</f>
        <v/>
      </c>
    </row>
    <row r="173">
      <c r="B173" s="55" t="n">
        <v>55</v>
      </c>
      <c r="C173" s="56">
        <f>IF($G172&lt;sn_N,($C172+$D172)/2,$C172)</f>
        <v/>
      </c>
      <c r="D173" s="56">
        <f>IF($G172&lt;sn_N,$D172,($C172+$D172)/2)</f>
        <v/>
      </c>
      <c r="E173" s="57">
        <f>sn_h*(($C173+$D173)/2)</f>
        <v/>
      </c>
      <c r="G173" s="57">
        <f>(fcd_sn*sn_b*$E173*(3/7+4/7*(1-1^2/3))+SUMPRODUCT($J$8:$K$8,$J173:$K173))/1000</f>
        <v/>
      </c>
      <c r="H173" s="57">
        <f>(fcd_sn*sn_b*(3/14*$E173*(sn_h-3/7*$E173)+4/7*$E173*(sn_h/2-3/7*$E173)*(1-1^2/3)-16/49*$E173^2*(1/2-1^2/4))+SUMPRODUCT($J$8:$K$8,$J173:$K173,$J$10:$K$10))/1E6</f>
        <v/>
      </c>
      <c r="J173">
        <f>MAX(-fyd_sn,MIN(fyd_sn,200000*0.002*(1-1*(7*J$9-3*$E173)/(4*$E173))))-fcd_sn*(1-MIN(1,MAX(0,1*(7*J$9-3*$E173)/(4*$E173)))^2)</f>
        <v/>
      </c>
      <c r="K173">
        <f>MAX(-fyd_sn,MIN(fyd_sn,200000*0.002*(1-1*(7*K$9-3*$E173)/(4*$E173))))-fcd_sn*(1-MIN(1,MAX(0,1*(7*K$9-3*$E173)/(4*$E173)))^2)</f>
        <v/>
      </c>
    </row>
    <row r="174">
      <c r="B174" s="55" t="n">
        <v>56</v>
      </c>
      <c r="C174" s="56">
        <f>IF($G173&lt;sn_N,($C173+$D173)/2,$C173)</f>
        <v/>
      </c>
      <c r="D174" s="56">
        <f>IF($G173&lt;sn_N,$D173,($C173+$D173)/2)</f>
        <v/>
      </c>
      <c r="E174" s="57">
        <f>sn_h*(($C174+$D174)/2)</f>
        <v/>
      </c>
      <c r="G174" s="57">
        <f>(fcd_sn*sn_b*$E174*(3/7+4/7*(1-1^2/3))+SUMPRODUCT($J$8:$K$8,$J174:$K174))/1000</f>
        <v/>
      </c>
      <c r="H174" s="57">
        <f>(fcd_sn*sn_b*(3/14*$E174*(sn_h-3/7*$E174)+4/7*$E174*(sn_h/2-3/7*$E174)*(1-1^2/3)-16/49*$E174^2*(1/2-1^2/4))+SUMPRODUCT($J$8:$K$8,$J174:$K174,$J$10:$K$10))/1E6</f>
        <v/>
      </c>
      <c r="J174">
        <f>MAX(-fyd_sn,MIN(fyd_sn,200000*0.002*(1-1*(7*J$9-3*$E174)/(4*$E174))))-fcd_sn*(1-MIN(1,MAX(0,1*(7*J$9-3*$E174)/(4*$E174)))^2)</f>
        <v/>
      </c>
      <c r="K174">
        <f>MAX(-fyd_sn,MIN(fyd_sn,200000*0.002*(1-1*(7*K$9-3*$E174)/(4*$E174))))-fcd_sn*(1-MIN(1,MAX(0,1*(7*K$9-3*$E174)/(4*$E174)))^2)</f>
        <v/>
      </c>
    </row>
    <row r="175">
      <c r="B175" s="55" t="n">
        <v>57</v>
      </c>
      <c r="C175" s="56">
        <f>IF($G174&lt;sn_N,($C174+$D174)/2,$C174)</f>
        <v/>
      </c>
      <c r="D175" s="56">
        <f>IF($G174&lt;sn_N,$D174,($C174+$D174)/2)</f>
        <v/>
      </c>
      <c r="E175" s="57">
        <f>sn_h*(($C175+$D175)/2)</f>
        <v/>
      </c>
      <c r="G175" s="57">
        <f>(fcd_sn*sn_b*$E175*(3/7+4/7*(1-1^2/3))+SUMPRODUCT($J$8:$K$8,$J175:$K175))/1000</f>
        <v/>
      </c>
      <c r="H175" s="57">
        <f>(fcd_sn*sn_b*(3/14*$E175*(sn_h-3/7*$E175)+4/7*$E175*(sn_h/2-3/7*$E175)*(1-1^2/3)-16/49*$E175^2*(1/2-1^2/4))+SUMPRODUCT($J$8:$K$8,$J175:$K175,$J$10:$K$10))/1E6</f>
        <v/>
      </c>
      <c r="J175">
        <f>MAX(-fyd_sn,MIN(fyd_sn,200000*0.002*(1-1*(7*J$9-3*$E175)/(4*$E175))))-fcd_sn*(1-MIN(1,MAX(0,1*(7*J$9-3*$E175)/(4*$E175)))^2)</f>
        <v/>
      </c>
      <c r="K175">
        <f>MAX(-fyd_sn,MIN(fyd_sn,200000*0.002*(1-1*(7*K$9-3*$E175)/(4*$E175))))-fcd_sn*(1-MIN(1,MAX(0,1*(7*K$9-3*$E175)/(4*$E175)))^2)</f>
        <v/>
      </c>
    </row>
    <row r="176">
      <c r="B176" s="55" t="n">
        <v>58</v>
      </c>
      <c r="C176" s="56">
        <f>IF($G175&lt;sn_N,($C175+$D175)/2,$C175)</f>
        <v/>
      </c>
      <c r="D176" s="56">
        <f>IF($G175&lt;sn_N,$D175,($C175+$D175)/2)</f>
        <v/>
      </c>
      <c r="E176" s="57">
        <f>sn_h*(($C176+$D176)/2)</f>
        <v/>
      </c>
      <c r="G176" s="57">
        <f>(fcd_sn*sn_b*$E176*(3/7+4/7*(1-1^2/3))+SUMPRODUCT($J$8:$K$8,$J176:$K176))/1000</f>
        <v/>
      </c>
      <c r="H176" s="57">
        <f>(fcd_sn*sn_b*(3/14*$E176*(sn_h-3/7*$E176)+4/7*$E176*(sn_h/2-3/7*$E176)*(1-1^2/3)-16/49*$E176^2*(1/2-1^2/4))+SUMPRODUCT($J$8:$K$8,$J176:$K176,$J$10:$K$10))/1E6</f>
        <v/>
      </c>
      <c r="J176">
        <f>MAX(-fyd_sn,MIN(fyd_sn,200000*0.002*(1-1*(7*J$9-3*$E176)/(4*$E176))))-fcd_sn*(1-MIN(1,MAX(0,1*(7*J$9-3*$E176)/(4*$E176)))^2)</f>
        <v/>
      </c>
      <c r="K176">
        <f>MAX(-fyd_sn,MIN(fyd_sn,200000*0.002*(1-1*(7*K$9-3*$E176)/(4*$E176))))-fcd_sn*(1-MIN(1,MAX(0,1*(7*K$9-3*$E176)/(4*$E176)))^2)</f>
        <v/>
      </c>
    </row>
    <row r="177">
      <c r="B177" s="55" t="n">
        <v>59</v>
      </c>
      <c r="C177" s="56">
        <f>IF($G176&lt;sn_N,($C176+$D176)/2,$C176)</f>
        <v/>
      </c>
      <c r="D177" s="56">
        <f>IF($G176&lt;sn_N,$D176,($C176+$D176)/2)</f>
        <v/>
      </c>
      <c r="E177" s="57">
        <f>sn_h*(($C177+$D177)/2)</f>
        <v/>
      </c>
      <c r="G177" s="57">
        <f>(fcd_sn*sn_b*$E177*(3/7+4/7*(1-1^2/3))+SUMPRODUCT($J$8:$K$8,$J177:$K177))/1000</f>
        <v/>
      </c>
      <c r="H177" s="57">
        <f>(fcd_sn*sn_b*(3/14*$E177*(sn_h-3/7*$E177)+4/7*$E177*(sn_h/2-3/7*$E177)*(1-1^2/3)-16/49*$E177^2*(1/2-1^2/4))+SUMPRODUCT($J$8:$K$8,$J177:$K177,$J$10:$K$10))/1E6</f>
        <v/>
      </c>
      <c r="J177">
        <f>MAX(-fyd_sn,MIN(fyd_sn,200000*0.002*(1-1*(7*J$9-3*$E177)/(4*$E177))))-fcd_sn*(1-MIN(1,MAX(0,1*(7*J$9-3*$E177)/(4*$E177)))^2)</f>
        <v/>
      </c>
      <c r="K177">
        <f>MAX(-fyd_sn,MIN(fyd_sn,200000*0.002*(1-1*(7*K$9-3*$E177)/(4*$E177))))-fcd_sn*(1-MIN(1,MAX(0,1*(7*K$9-3*$E177)/(4*$E177)))^2)</f>
        <v/>
      </c>
    </row>
    <row r="178">
      <c r="B178" s="55" t="n">
        <v>60</v>
      </c>
      <c r="C178" s="56">
        <f>IF($G177&lt;sn_N,($C177+$D177)/2,$C177)</f>
        <v/>
      </c>
      <c r="D178" s="56">
        <f>IF($G177&lt;sn_N,$D177,($C177+$D177)/2)</f>
        <v/>
      </c>
      <c r="E178" s="57">
        <f>sn_h*(($C178+$D178)/2)</f>
        <v/>
      </c>
      <c r="G178" s="57">
        <f>(fcd_sn*sn_b*$E178*(3/7+4/7*(1-1^2/3))+SUMPRODUCT($J$8:$K$8,$J178:$K178))/1000</f>
        <v/>
      </c>
      <c r="H178" s="57">
        <f>(fcd_sn*sn_b*(3/14*$E178*(sn_h-3/7*$E178)+4/7*$E178*(sn_h/2-3/7*$E178)*(1-1^2/3)-16/49*$E178^2*(1/2-1^2/4))+SUMPRODUCT($J$8:$K$8,$J178:$K178,$J$10:$K$10))/1E6</f>
        <v/>
      </c>
      <c r="J178">
        <f>MAX(-fyd_sn,MIN(fyd_sn,200000*0.002*(1-1*(7*J$9-3*$E178)/(4*$E178))))-fcd_sn*(1-MIN(1,MAX(0,1*(7*J$9-3*$E178)/(4*$E178)))^2)</f>
        <v/>
      </c>
      <c r="K178">
        <f>MAX(-fyd_sn,MIN(fyd_sn,200000*0.002*(1-1*(7*K$9-3*$E178)/(4*$E178))))-fcd_sn*(1-MIN(1,MAX(0,1*(7*K$9-3*$E178)/(4*$E178)))^2)</f>
        <v/>
      </c>
    </row>
    <row r="179" ht="52" customHeight="1">
      <c r="B179" s="47" t="inlineStr">
        <is>
          <t>Whole section compressed (x ≥ h): with unequal layers N need not rise with x. 1. scan t = 1 (x = h) to 0 (uniform strain) in 200 steps; 2. golden section over the two steps around the largest sampled N, its maximum inserted into the scan, every sample kept; 3. every step where N passes NEd brackets a root; the brackets of the largest and the smallest interpolated moment are solved by bisection on N itself. M signed: sagging +.</t>
        </is>
      </c>
    </row>
    <row r="181">
      <c r="B181" s="54" t="inlineStr">
        <is>
          <t>Top face compressed, x ≥ h  ·  1. scan</t>
        </is>
      </c>
    </row>
    <row r="182">
      <c r="B182" s="48" t="inlineStr">
        <is>
          <t>k</t>
        </is>
      </c>
      <c r="C182" s="48" t="inlineStr">
        <is>
          <t>t</t>
        </is>
      </c>
      <c r="D182" s="48" t="inlineStr">
        <is>
          <t>x (mm)</t>
        </is>
      </c>
      <c r="E182" s="48" t="inlineStr">
        <is>
          <t>N (kN)</t>
        </is>
      </c>
      <c r="F182" s="48" t="inlineStr">
        <is>
          <t>M signed</t>
        </is>
      </c>
    </row>
    <row r="183">
      <c r="B183" s="55" t="n">
        <v>0</v>
      </c>
      <c r="C183" s="58">
        <f>1-0/200</f>
        <v/>
      </c>
      <c r="D183" s="59">
        <f>IF($C183&gt;=1,sn_h,3/7*sn_h+4/7*sn_h/MAX($C183,1E-12))</f>
        <v/>
      </c>
      <c r="E183" s="57">
        <f>(fcd_sn*sn_b*sn_h*(3/7+4/7*(1-$C183^2/3))+SUMPRODUCT($J$5:$K$5,$J183:$K183))/1000</f>
        <v/>
      </c>
      <c r="F183" s="57">
        <f>((fcd_sn*sn_b*(3/14*sn_h*(sn_h-3/7*sn_h)+4/7*sn_h*(sn_h/2-3/7*sn_h)*(1-$C183^2/3)-16/49*sn_h^2*(1/2-$C183^2/4))+SUMPRODUCT($J$5:$K$5,$J183:$K183,$J$7:$K$7))/1E6)</f>
        <v/>
      </c>
      <c r="J183">
        <f>MAX(-fyd_sn,MIN(fyd_sn,200000*0.002*(1-$C183*(7*J$6-3*sn_h)/(4*sn_h))))-fcd_sn*(1-MIN(1,MAX(0,$C183*(7*J$6-3*sn_h)/(4*sn_h)))^2)</f>
        <v/>
      </c>
      <c r="K183">
        <f>MAX(-fyd_sn,MIN(fyd_sn,200000*0.002*(1-$C183*(7*K$6-3*sn_h)/(4*sn_h))))-fcd_sn*(1-MIN(1,MAX(0,$C183*(7*K$6-3*sn_h)/(4*sn_h)))^2)</f>
        <v/>
      </c>
    </row>
    <row r="184">
      <c r="B184" s="55" t="n">
        <v>1</v>
      </c>
      <c r="C184" s="58">
        <f>1-1/200</f>
        <v/>
      </c>
      <c r="D184" s="59">
        <f>IF($C184&gt;=1,sn_h,3/7*sn_h+4/7*sn_h/MAX($C184,1E-12))</f>
        <v/>
      </c>
      <c r="E184" s="57">
        <f>(fcd_sn*sn_b*sn_h*(3/7+4/7*(1-$C184^2/3))+SUMPRODUCT($J$5:$K$5,$J184:$K184))/1000</f>
        <v/>
      </c>
      <c r="F184" s="57">
        <f>((fcd_sn*sn_b*(3/14*sn_h*(sn_h-3/7*sn_h)+4/7*sn_h*(sn_h/2-3/7*sn_h)*(1-$C184^2/3)-16/49*sn_h^2*(1/2-$C184^2/4))+SUMPRODUCT($J$5:$K$5,$J184:$K184,$J$7:$K$7))/1E6)</f>
        <v/>
      </c>
      <c r="J184">
        <f>MAX(-fyd_sn,MIN(fyd_sn,200000*0.002*(1-$C184*(7*J$6-3*sn_h)/(4*sn_h))))-fcd_sn*(1-MIN(1,MAX(0,$C184*(7*J$6-3*sn_h)/(4*sn_h)))^2)</f>
        <v/>
      </c>
      <c r="K184">
        <f>MAX(-fyd_sn,MIN(fyd_sn,200000*0.002*(1-$C184*(7*K$6-3*sn_h)/(4*sn_h))))-fcd_sn*(1-MIN(1,MAX(0,$C184*(7*K$6-3*sn_h)/(4*sn_h)))^2)</f>
        <v/>
      </c>
    </row>
    <row r="185">
      <c r="B185" s="55" t="n">
        <v>2</v>
      </c>
      <c r="C185" s="58">
        <f>1-2/200</f>
        <v/>
      </c>
      <c r="D185" s="59">
        <f>IF($C185&gt;=1,sn_h,3/7*sn_h+4/7*sn_h/MAX($C185,1E-12))</f>
        <v/>
      </c>
      <c r="E185" s="57">
        <f>(fcd_sn*sn_b*sn_h*(3/7+4/7*(1-$C185^2/3))+SUMPRODUCT($J$5:$K$5,$J185:$K185))/1000</f>
        <v/>
      </c>
      <c r="F185" s="57">
        <f>((fcd_sn*sn_b*(3/14*sn_h*(sn_h-3/7*sn_h)+4/7*sn_h*(sn_h/2-3/7*sn_h)*(1-$C185^2/3)-16/49*sn_h^2*(1/2-$C185^2/4))+SUMPRODUCT($J$5:$K$5,$J185:$K185,$J$7:$K$7))/1E6)</f>
        <v/>
      </c>
      <c r="J185">
        <f>MAX(-fyd_sn,MIN(fyd_sn,200000*0.002*(1-$C185*(7*J$6-3*sn_h)/(4*sn_h))))-fcd_sn*(1-MIN(1,MAX(0,$C185*(7*J$6-3*sn_h)/(4*sn_h)))^2)</f>
        <v/>
      </c>
      <c r="K185">
        <f>MAX(-fyd_sn,MIN(fyd_sn,200000*0.002*(1-$C185*(7*K$6-3*sn_h)/(4*sn_h))))-fcd_sn*(1-MIN(1,MAX(0,$C185*(7*K$6-3*sn_h)/(4*sn_h)))^2)</f>
        <v/>
      </c>
    </row>
    <row r="186">
      <c r="B186" s="55" t="n">
        <v>3</v>
      </c>
      <c r="C186" s="58">
        <f>1-3/200</f>
        <v/>
      </c>
      <c r="D186" s="59">
        <f>IF($C186&gt;=1,sn_h,3/7*sn_h+4/7*sn_h/MAX($C186,1E-12))</f>
        <v/>
      </c>
      <c r="E186" s="57">
        <f>(fcd_sn*sn_b*sn_h*(3/7+4/7*(1-$C186^2/3))+SUMPRODUCT($J$5:$K$5,$J186:$K186))/1000</f>
        <v/>
      </c>
      <c r="F186" s="57">
        <f>((fcd_sn*sn_b*(3/14*sn_h*(sn_h-3/7*sn_h)+4/7*sn_h*(sn_h/2-3/7*sn_h)*(1-$C186^2/3)-16/49*sn_h^2*(1/2-$C186^2/4))+SUMPRODUCT($J$5:$K$5,$J186:$K186,$J$7:$K$7))/1E6)</f>
        <v/>
      </c>
      <c r="J186">
        <f>MAX(-fyd_sn,MIN(fyd_sn,200000*0.002*(1-$C186*(7*J$6-3*sn_h)/(4*sn_h))))-fcd_sn*(1-MIN(1,MAX(0,$C186*(7*J$6-3*sn_h)/(4*sn_h)))^2)</f>
        <v/>
      </c>
      <c r="K186">
        <f>MAX(-fyd_sn,MIN(fyd_sn,200000*0.002*(1-$C186*(7*K$6-3*sn_h)/(4*sn_h))))-fcd_sn*(1-MIN(1,MAX(0,$C186*(7*K$6-3*sn_h)/(4*sn_h)))^2)</f>
        <v/>
      </c>
    </row>
    <row r="187">
      <c r="B187" s="55" t="n">
        <v>4</v>
      </c>
      <c r="C187" s="58">
        <f>1-4/200</f>
        <v/>
      </c>
      <c r="D187" s="59">
        <f>IF($C187&gt;=1,sn_h,3/7*sn_h+4/7*sn_h/MAX($C187,1E-12))</f>
        <v/>
      </c>
      <c r="E187" s="57">
        <f>(fcd_sn*sn_b*sn_h*(3/7+4/7*(1-$C187^2/3))+SUMPRODUCT($J$5:$K$5,$J187:$K187))/1000</f>
        <v/>
      </c>
      <c r="F187" s="57">
        <f>((fcd_sn*sn_b*(3/14*sn_h*(sn_h-3/7*sn_h)+4/7*sn_h*(sn_h/2-3/7*sn_h)*(1-$C187^2/3)-16/49*sn_h^2*(1/2-$C187^2/4))+SUMPRODUCT($J$5:$K$5,$J187:$K187,$J$7:$K$7))/1E6)</f>
        <v/>
      </c>
      <c r="J187">
        <f>MAX(-fyd_sn,MIN(fyd_sn,200000*0.002*(1-$C187*(7*J$6-3*sn_h)/(4*sn_h))))-fcd_sn*(1-MIN(1,MAX(0,$C187*(7*J$6-3*sn_h)/(4*sn_h)))^2)</f>
        <v/>
      </c>
      <c r="K187">
        <f>MAX(-fyd_sn,MIN(fyd_sn,200000*0.002*(1-$C187*(7*K$6-3*sn_h)/(4*sn_h))))-fcd_sn*(1-MIN(1,MAX(0,$C187*(7*K$6-3*sn_h)/(4*sn_h)))^2)</f>
        <v/>
      </c>
    </row>
    <row r="188">
      <c r="B188" s="55" t="n">
        <v>5</v>
      </c>
      <c r="C188" s="58">
        <f>1-5/200</f>
        <v/>
      </c>
      <c r="D188" s="59">
        <f>IF($C188&gt;=1,sn_h,3/7*sn_h+4/7*sn_h/MAX($C188,1E-12))</f>
        <v/>
      </c>
      <c r="E188" s="57">
        <f>(fcd_sn*sn_b*sn_h*(3/7+4/7*(1-$C188^2/3))+SUMPRODUCT($J$5:$K$5,$J188:$K188))/1000</f>
        <v/>
      </c>
      <c r="F188" s="57">
        <f>((fcd_sn*sn_b*(3/14*sn_h*(sn_h-3/7*sn_h)+4/7*sn_h*(sn_h/2-3/7*sn_h)*(1-$C188^2/3)-16/49*sn_h^2*(1/2-$C188^2/4))+SUMPRODUCT($J$5:$K$5,$J188:$K188,$J$7:$K$7))/1E6)</f>
        <v/>
      </c>
      <c r="J188">
        <f>MAX(-fyd_sn,MIN(fyd_sn,200000*0.002*(1-$C188*(7*J$6-3*sn_h)/(4*sn_h))))-fcd_sn*(1-MIN(1,MAX(0,$C188*(7*J$6-3*sn_h)/(4*sn_h)))^2)</f>
        <v/>
      </c>
      <c r="K188">
        <f>MAX(-fyd_sn,MIN(fyd_sn,200000*0.002*(1-$C188*(7*K$6-3*sn_h)/(4*sn_h))))-fcd_sn*(1-MIN(1,MAX(0,$C188*(7*K$6-3*sn_h)/(4*sn_h)))^2)</f>
        <v/>
      </c>
    </row>
    <row r="189">
      <c r="B189" s="55" t="n">
        <v>6</v>
      </c>
      <c r="C189" s="58">
        <f>1-6/200</f>
        <v/>
      </c>
      <c r="D189" s="59">
        <f>IF($C189&gt;=1,sn_h,3/7*sn_h+4/7*sn_h/MAX($C189,1E-12))</f>
        <v/>
      </c>
      <c r="E189" s="57">
        <f>(fcd_sn*sn_b*sn_h*(3/7+4/7*(1-$C189^2/3))+SUMPRODUCT($J$5:$K$5,$J189:$K189))/1000</f>
        <v/>
      </c>
      <c r="F189" s="57">
        <f>((fcd_sn*sn_b*(3/14*sn_h*(sn_h-3/7*sn_h)+4/7*sn_h*(sn_h/2-3/7*sn_h)*(1-$C189^2/3)-16/49*sn_h^2*(1/2-$C189^2/4))+SUMPRODUCT($J$5:$K$5,$J189:$K189,$J$7:$K$7))/1E6)</f>
        <v/>
      </c>
      <c r="J189">
        <f>MAX(-fyd_sn,MIN(fyd_sn,200000*0.002*(1-$C189*(7*J$6-3*sn_h)/(4*sn_h))))-fcd_sn*(1-MIN(1,MAX(0,$C189*(7*J$6-3*sn_h)/(4*sn_h)))^2)</f>
        <v/>
      </c>
      <c r="K189">
        <f>MAX(-fyd_sn,MIN(fyd_sn,200000*0.002*(1-$C189*(7*K$6-3*sn_h)/(4*sn_h))))-fcd_sn*(1-MIN(1,MAX(0,$C189*(7*K$6-3*sn_h)/(4*sn_h)))^2)</f>
        <v/>
      </c>
    </row>
    <row r="190">
      <c r="B190" s="55" t="n">
        <v>7</v>
      </c>
      <c r="C190" s="58">
        <f>1-7/200</f>
        <v/>
      </c>
      <c r="D190" s="59">
        <f>IF($C190&gt;=1,sn_h,3/7*sn_h+4/7*sn_h/MAX($C190,1E-12))</f>
        <v/>
      </c>
      <c r="E190" s="57">
        <f>(fcd_sn*sn_b*sn_h*(3/7+4/7*(1-$C190^2/3))+SUMPRODUCT($J$5:$K$5,$J190:$K190))/1000</f>
        <v/>
      </c>
      <c r="F190" s="57">
        <f>((fcd_sn*sn_b*(3/14*sn_h*(sn_h-3/7*sn_h)+4/7*sn_h*(sn_h/2-3/7*sn_h)*(1-$C190^2/3)-16/49*sn_h^2*(1/2-$C190^2/4))+SUMPRODUCT($J$5:$K$5,$J190:$K190,$J$7:$K$7))/1E6)</f>
        <v/>
      </c>
      <c r="J190">
        <f>MAX(-fyd_sn,MIN(fyd_sn,200000*0.002*(1-$C190*(7*J$6-3*sn_h)/(4*sn_h))))-fcd_sn*(1-MIN(1,MAX(0,$C190*(7*J$6-3*sn_h)/(4*sn_h)))^2)</f>
        <v/>
      </c>
      <c r="K190">
        <f>MAX(-fyd_sn,MIN(fyd_sn,200000*0.002*(1-$C190*(7*K$6-3*sn_h)/(4*sn_h))))-fcd_sn*(1-MIN(1,MAX(0,$C190*(7*K$6-3*sn_h)/(4*sn_h)))^2)</f>
        <v/>
      </c>
    </row>
    <row r="191">
      <c r="B191" s="55" t="n">
        <v>8</v>
      </c>
      <c r="C191" s="58">
        <f>1-8/200</f>
        <v/>
      </c>
      <c r="D191" s="59">
        <f>IF($C191&gt;=1,sn_h,3/7*sn_h+4/7*sn_h/MAX($C191,1E-12))</f>
        <v/>
      </c>
      <c r="E191" s="57">
        <f>(fcd_sn*sn_b*sn_h*(3/7+4/7*(1-$C191^2/3))+SUMPRODUCT($J$5:$K$5,$J191:$K191))/1000</f>
        <v/>
      </c>
      <c r="F191" s="57">
        <f>((fcd_sn*sn_b*(3/14*sn_h*(sn_h-3/7*sn_h)+4/7*sn_h*(sn_h/2-3/7*sn_h)*(1-$C191^2/3)-16/49*sn_h^2*(1/2-$C191^2/4))+SUMPRODUCT($J$5:$K$5,$J191:$K191,$J$7:$K$7))/1E6)</f>
        <v/>
      </c>
      <c r="J191">
        <f>MAX(-fyd_sn,MIN(fyd_sn,200000*0.002*(1-$C191*(7*J$6-3*sn_h)/(4*sn_h))))-fcd_sn*(1-MIN(1,MAX(0,$C191*(7*J$6-3*sn_h)/(4*sn_h)))^2)</f>
        <v/>
      </c>
      <c r="K191">
        <f>MAX(-fyd_sn,MIN(fyd_sn,200000*0.002*(1-$C191*(7*K$6-3*sn_h)/(4*sn_h))))-fcd_sn*(1-MIN(1,MAX(0,$C191*(7*K$6-3*sn_h)/(4*sn_h)))^2)</f>
        <v/>
      </c>
    </row>
    <row r="192">
      <c r="B192" s="55" t="n">
        <v>9</v>
      </c>
      <c r="C192" s="58">
        <f>1-9/200</f>
        <v/>
      </c>
      <c r="D192" s="59">
        <f>IF($C192&gt;=1,sn_h,3/7*sn_h+4/7*sn_h/MAX($C192,1E-12))</f>
        <v/>
      </c>
      <c r="E192" s="57">
        <f>(fcd_sn*sn_b*sn_h*(3/7+4/7*(1-$C192^2/3))+SUMPRODUCT($J$5:$K$5,$J192:$K192))/1000</f>
        <v/>
      </c>
      <c r="F192" s="57">
        <f>((fcd_sn*sn_b*(3/14*sn_h*(sn_h-3/7*sn_h)+4/7*sn_h*(sn_h/2-3/7*sn_h)*(1-$C192^2/3)-16/49*sn_h^2*(1/2-$C192^2/4))+SUMPRODUCT($J$5:$K$5,$J192:$K192,$J$7:$K$7))/1E6)</f>
        <v/>
      </c>
      <c r="J192">
        <f>MAX(-fyd_sn,MIN(fyd_sn,200000*0.002*(1-$C192*(7*J$6-3*sn_h)/(4*sn_h))))-fcd_sn*(1-MIN(1,MAX(0,$C192*(7*J$6-3*sn_h)/(4*sn_h)))^2)</f>
        <v/>
      </c>
      <c r="K192">
        <f>MAX(-fyd_sn,MIN(fyd_sn,200000*0.002*(1-$C192*(7*K$6-3*sn_h)/(4*sn_h))))-fcd_sn*(1-MIN(1,MAX(0,$C192*(7*K$6-3*sn_h)/(4*sn_h)))^2)</f>
        <v/>
      </c>
    </row>
    <row r="193">
      <c r="B193" s="55" t="n">
        <v>10</v>
      </c>
      <c r="C193" s="58">
        <f>1-10/200</f>
        <v/>
      </c>
      <c r="D193" s="59">
        <f>IF($C193&gt;=1,sn_h,3/7*sn_h+4/7*sn_h/MAX($C193,1E-12))</f>
        <v/>
      </c>
      <c r="E193" s="57">
        <f>(fcd_sn*sn_b*sn_h*(3/7+4/7*(1-$C193^2/3))+SUMPRODUCT($J$5:$K$5,$J193:$K193))/1000</f>
        <v/>
      </c>
      <c r="F193" s="57">
        <f>((fcd_sn*sn_b*(3/14*sn_h*(sn_h-3/7*sn_h)+4/7*sn_h*(sn_h/2-3/7*sn_h)*(1-$C193^2/3)-16/49*sn_h^2*(1/2-$C193^2/4))+SUMPRODUCT($J$5:$K$5,$J193:$K193,$J$7:$K$7))/1E6)</f>
        <v/>
      </c>
      <c r="J193">
        <f>MAX(-fyd_sn,MIN(fyd_sn,200000*0.002*(1-$C193*(7*J$6-3*sn_h)/(4*sn_h))))-fcd_sn*(1-MIN(1,MAX(0,$C193*(7*J$6-3*sn_h)/(4*sn_h)))^2)</f>
        <v/>
      </c>
      <c r="K193">
        <f>MAX(-fyd_sn,MIN(fyd_sn,200000*0.002*(1-$C193*(7*K$6-3*sn_h)/(4*sn_h))))-fcd_sn*(1-MIN(1,MAX(0,$C193*(7*K$6-3*sn_h)/(4*sn_h)))^2)</f>
        <v/>
      </c>
    </row>
    <row r="194">
      <c r="B194" s="55" t="n">
        <v>11</v>
      </c>
      <c r="C194" s="58">
        <f>1-11/200</f>
        <v/>
      </c>
      <c r="D194" s="59">
        <f>IF($C194&gt;=1,sn_h,3/7*sn_h+4/7*sn_h/MAX($C194,1E-12))</f>
        <v/>
      </c>
      <c r="E194" s="57">
        <f>(fcd_sn*sn_b*sn_h*(3/7+4/7*(1-$C194^2/3))+SUMPRODUCT($J$5:$K$5,$J194:$K194))/1000</f>
        <v/>
      </c>
      <c r="F194" s="57">
        <f>((fcd_sn*sn_b*(3/14*sn_h*(sn_h-3/7*sn_h)+4/7*sn_h*(sn_h/2-3/7*sn_h)*(1-$C194^2/3)-16/49*sn_h^2*(1/2-$C194^2/4))+SUMPRODUCT($J$5:$K$5,$J194:$K194,$J$7:$K$7))/1E6)</f>
        <v/>
      </c>
      <c r="J194">
        <f>MAX(-fyd_sn,MIN(fyd_sn,200000*0.002*(1-$C194*(7*J$6-3*sn_h)/(4*sn_h))))-fcd_sn*(1-MIN(1,MAX(0,$C194*(7*J$6-3*sn_h)/(4*sn_h)))^2)</f>
        <v/>
      </c>
      <c r="K194">
        <f>MAX(-fyd_sn,MIN(fyd_sn,200000*0.002*(1-$C194*(7*K$6-3*sn_h)/(4*sn_h))))-fcd_sn*(1-MIN(1,MAX(0,$C194*(7*K$6-3*sn_h)/(4*sn_h)))^2)</f>
        <v/>
      </c>
    </row>
    <row r="195">
      <c r="B195" s="55" t="n">
        <v>12</v>
      </c>
      <c r="C195" s="58">
        <f>1-12/200</f>
        <v/>
      </c>
      <c r="D195" s="59">
        <f>IF($C195&gt;=1,sn_h,3/7*sn_h+4/7*sn_h/MAX($C195,1E-12))</f>
        <v/>
      </c>
      <c r="E195" s="57">
        <f>(fcd_sn*sn_b*sn_h*(3/7+4/7*(1-$C195^2/3))+SUMPRODUCT($J$5:$K$5,$J195:$K195))/1000</f>
        <v/>
      </c>
      <c r="F195" s="57">
        <f>((fcd_sn*sn_b*(3/14*sn_h*(sn_h-3/7*sn_h)+4/7*sn_h*(sn_h/2-3/7*sn_h)*(1-$C195^2/3)-16/49*sn_h^2*(1/2-$C195^2/4))+SUMPRODUCT($J$5:$K$5,$J195:$K195,$J$7:$K$7))/1E6)</f>
        <v/>
      </c>
      <c r="J195">
        <f>MAX(-fyd_sn,MIN(fyd_sn,200000*0.002*(1-$C195*(7*J$6-3*sn_h)/(4*sn_h))))-fcd_sn*(1-MIN(1,MAX(0,$C195*(7*J$6-3*sn_h)/(4*sn_h)))^2)</f>
        <v/>
      </c>
      <c r="K195">
        <f>MAX(-fyd_sn,MIN(fyd_sn,200000*0.002*(1-$C195*(7*K$6-3*sn_h)/(4*sn_h))))-fcd_sn*(1-MIN(1,MAX(0,$C195*(7*K$6-3*sn_h)/(4*sn_h)))^2)</f>
        <v/>
      </c>
    </row>
    <row r="196">
      <c r="B196" s="55" t="n">
        <v>13</v>
      </c>
      <c r="C196" s="58">
        <f>1-13/200</f>
        <v/>
      </c>
      <c r="D196" s="59">
        <f>IF($C196&gt;=1,sn_h,3/7*sn_h+4/7*sn_h/MAX($C196,1E-12))</f>
        <v/>
      </c>
      <c r="E196" s="57">
        <f>(fcd_sn*sn_b*sn_h*(3/7+4/7*(1-$C196^2/3))+SUMPRODUCT($J$5:$K$5,$J196:$K196))/1000</f>
        <v/>
      </c>
      <c r="F196" s="57">
        <f>((fcd_sn*sn_b*(3/14*sn_h*(sn_h-3/7*sn_h)+4/7*sn_h*(sn_h/2-3/7*sn_h)*(1-$C196^2/3)-16/49*sn_h^2*(1/2-$C196^2/4))+SUMPRODUCT($J$5:$K$5,$J196:$K196,$J$7:$K$7))/1E6)</f>
        <v/>
      </c>
      <c r="J196">
        <f>MAX(-fyd_sn,MIN(fyd_sn,200000*0.002*(1-$C196*(7*J$6-3*sn_h)/(4*sn_h))))-fcd_sn*(1-MIN(1,MAX(0,$C196*(7*J$6-3*sn_h)/(4*sn_h)))^2)</f>
        <v/>
      </c>
      <c r="K196">
        <f>MAX(-fyd_sn,MIN(fyd_sn,200000*0.002*(1-$C196*(7*K$6-3*sn_h)/(4*sn_h))))-fcd_sn*(1-MIN(1,MAX(0,$C196*(7*K$6-3*sn_h)/(4*sn_h)))^2)</f>
        <v/>
      </c>
    </row>
    <row r="197">
      <c r="B197" s="55" t="n">
        <v>14</v>
      </c>
      <c r="C197" s="58">
        <f>1-14/200</f>
        <v/>
      </c>
      <c r="D197" s="59">
        <f>IF($C197&gt;=1,sn_h,3/7*sn_h+4/7*sn_h/MAX($C197,1E-12))</f>
        <v/>
      </c>
      <c r="E197" s="57">
        <f>(fcd_sn*sn_b*sn_h*(3/7+4/7*(1-$C197^2/3))+SUMPRODUCT($J$5:$K$5,$J197:$K197))/1000</f>
        <v/>
      </c>
      <c r="F197" s="57">
        <f>((fcd_sn*sn_b*(3/14*sn_h*(sn_h-3/7*sn_h)+4/7*sn_h*(sn_h/2-3/7*sn_h)*(1-$C197^2/3)-16/49*sn_h^2*(1/2-$C197^2/4))+SUMPRODUCT($J$5:$K$5,$J197:$K197,$J$7:$K$7))/1E6)</f>
        <v/>
      </c>
      <c r="J197">
        <f>MAX(-fyd_sn,MIN(fyd_sn,200000*0.002*(1-$C197*(7*J$6-3*sn_h)/(4*sn_h))))-fcd_sn*(1-MIN(1,MAX(0,$C197*(7*J$6-3*sn_h)/(4*sn_h)))^2)</f>
        <v/>
      </c>
      <c r="K197">
        <f>MAX(-fyd_sn,MIN(fyd_sn,200000*0.002*(1-$C197*(7*K$6-3*sn_h)/(4*sn_h))))-fcd_sn*(1-MIN(1,MAX(0,$C197*(7*K$6-3*sn_h)/(4*sn_h)))^2)</f>
        <v/>
      </c>
    </row>
    <row r="198">
      <c r="B198" s="55" t="n">
        <v>15</v>
      </c>
      <c r="C198" s="58">
        <f>1-15/200</f>
        <v/>
      </c>
      <c r="D198" s="59">
        <f>IF($C198&gt;=1,sn_h,3/7*sn_h+4/7*sn_h/MAX($C198,1E-12))</f>
        <v/>
      </c>
      <c r="E198" s="57">
        <f>(fcd_sn*sn_b*sn_h*(3/7+4/7*(1-$C198^2/3))+SUMPRODUCT($J$5:$K$5,$J198:$K198))/1000</f>
        <v/>
      </c>
      <c r="F198" s="57">
        <f>((fcd_sn*sn_b*(3/14*sn_h*(sn_h-3/7*sn_h)+4/7*sn_h*(sn_h/2-3/7*sn_h)*(1-$C198^2/3)-16/49*sn_h^2*(1/2-$C198^2/4))+SUMPRODUCT($J$5:$K$5,$J198:$K198,$J$7:$K$7))/1E6)</f>
        <v/>
      </c>
      <c r="J198">
        <f>MAX(-fyd_sn,MIN(fyd_sn,200000*0.002*(1-$C198*(7*J$6-3*sn_h)/(4*sn_h))))-fcd_sn*(1-MIN(1,MAX(0,$C198*(7*J$6-3*sn_h)/(4*sn_h)))^2)</f>
        <v/>
      </c>
      <c r="K198">
        <f>MAX(-fyd_sn,MIN(fyd_sn,200000*0.002*(1-$C198*(7*K$6-3*sn_h)/(4*sn_h))))-fcd_sn*(1-MIN(1,MAX(0,$C198*(7*K$6-3*sn_h)/(4*sn_h)))^2)</f>
        <v/>
      </c>
    </row>
    <row r="199">
      <c r="B199" s="55" t="n">
        <v>16</v>
      </c>
      <c r="C199" s="58">
        <f>1-16/200</f>
        <v/>
      </c>
      <c r="D199" s="59">
        <f>IF($C199&gt;=1,sn_h,3/7*sn_h+4/7*sn_h/MAX($C199,1E-12))</f>
        <v/>
      </c>
      <c r="E199" s="57">
        <f>(fcd_sn*sn_b*sn_h*(3/7+4/7*(1-$C199^2/3))+SUMPRODUCT($J$5:$K$5,$J199:$K199))/1000</f>
        <v/>
      </c>
      <c r="F199" s="57">
        <f>((fcd_sn*sn_b*(3/14*sn_h*(sn_h-3/7*sn_h)+4/7*sn_h*(sn_h/2-3/7*sn_h)*(1-$C199^2/3)-16/49*sn_h^2*(1/2-$C199^2/4))+SUMPRODUCT($J$5:$K$5,$J199:$K199,$J$7:$K$7))/1E6)</f>
        <v/>
      </c>
      <c r="J199">
        <f>MAX(-fyd_sn,MIN(fyd_sn,200000*0.002*(1-$C199*(7*J$6-3*sn_h)/(4*sn_h))))-fcd_sn*(1-MIN(1,MAX(0,$C199*(7*J$6-3*sn_h)/(4*sn_h)))^2)</f>
        <v/>
      </c>
      <c r="K199">
        <f>MAX(-fyd_sn,MIN(fyd_sn,200000*0.002*(1-$C199*(7*K$6-3*sn_h)/(4*sn_h))))-fcd_sn*(1-MIN(1,MAX(0,$C199*(7*K$6-3*sn_h)/(4*sn_h)))^2)</f>
        <v/>
      </c>
    </row>
    <row r="200">
      <c r="B200" s="55" t="n">
        <v>17</v>
      </c>
      <c r="C200" s="58">
        <f>1-17/200</f>
        <v/>
      </c>
      <c r="D200" s="59">
        <f>IF($C200&gt;=1,sn_h,3/7*sn_h+4/7*sn_h/MAX($C200,1E-12))</f>
        <v/>
      </c>
      <c r="E200" s="57">
        <f>(fcd_sn*sn_b*sn_h*(3/7+4/7*(1-$C200^2/3))+SUMPRODUCT($J$5:$K$5,$J200:$K200))/1000</f>
        <v/>
      </c>
      <c r="F200" s="57">
        <f>((fcd_sn*sn_b*(3/14*sn_h*(sn_h-3/7*sn_h)+4/7*sn_h*(sn_h/2-3/7*sn_h)*(1-$C200^2/3)-16/49*sn_h^2*(1/2-$C200^2/4))+SUMPRODUCT($J$5:$K$5,$J200:$K200,$J$7:$K$7))/1E6)</f>
        <v/>
      </c>
      <c r="J200">
        <f>MAX(-fyd_sn,MIN(fyd_sn,200000*0.002*(1-$C200*(7*J$6-3*sn_h)/(4*sn_h))))-fcd_sn*(1-MIN(1,MAX(0,$C200*(7*J$6-3*sn_h)/(4*sn_h)))^2)</f>
        <v/>
      </c>
      <c r="K200">
        <f>MAX(-fyd_sn,MIN(fyd_sn,200000*0.002*(1-$C200*(7*K$6-3*sn_h)/(4*sn_h))))-fcd_sn*(1-MIN(1,MAX(0,$C200*(7*K$6-3*sn_h)/(4*sn_h)))^2)</f>
        <v/>
      </c>
    </row>
    <row r="201">
      <c r="B201" s="55" t="n">
        <v>18</v>
      </c>
      <c r="C201" s="58">
        <f>1-18/200</f>
        <v/>
      </c>
      <c r="D201" s="59">
        <f>IF($C201&gt;=1,sn_h,3/7*sn_h+4/7*sn_h/MAX($C201,1E-12))</f>
        <v/>
      </c>
      <c r="E201" s="57">
        <f>(fcd_sn*sn_b*sn_h*(3/7+4/7*(1-$C201^2/3))+SUMPRODUCT($J$5:$K$5,$J201:$K201))/1000</f>
        <v/>
      </c>
      <c r="F201" s="57">
        <f>((fcd_sn*sn_b*(3/14*sn_h*(sn_h-3/7*sn_h)+4/7*sn_h*(sn_h/2-3/7*sn_h)*(1-$C201^2/3)-16/49*sn_h^2*(1/2-$C201^2/4))+SUMPRODUCT($J$5:$K$5,$J201:$K201,$J$7:$K$7))/1E6)</f>
        <v/>
      </c>
      <c r="J201">
        <f>MAX(-fyd_sn,MIN(fyd_sn,200000*0.002*(1-$C201*(7*J$6-3*sn_h)/(4*sn_h))))-fcd_sn*(1-MIN(1,MAX(0,$C201*(7*J$6-3*sn_h)/(4*sn_h)))^2)</f>
        <v/>
      </c>
      <c r="K201">
        <f>MAX(-fyd_sn,MIN(fyd_sn,200000*0.002*(1-$C201*(7*K$6-3*sn_h)/(4*sn_h))))-fcd_sn*(1-MIN(1,MAX(0,$C201*(7*K$6-3*sn_h)/(4*sn_h)))^2)</f>
        <v/>
      </c>
    </row>
    <row r="202">
      <c r="B202" s="55" t="n">
        <v>19</v>
      </c>
      <c r="C202" s="58">
        <f>1-19/200</f>
        <v/>
      </c>
      <c r="D202" s="59">
        <f>IF($C202&gt;=1,sn_h,3/7*sn_h+4/7*sn_h/MAX($C202,1E-12))</f>
        <v/>
      </c>
      <c r="E202" s="57">
        <f>(fcd_sn*sn_b*sn_h*(3/7+4/7*(1-$C202^2/3))+SUMPRODUCT($J$5:$K$5,$J202:$K202))/1000</f>
        <v/>
      </c>
      <c r="F202" s="57">
        <f>((fcd_sn*sn_b*(3/14*sn_h*(sn_h-3/7*sn_h)+4/7*sn_h*(sn_h/2-3/7*sn_h)*(1-$C202^2/3)-16/49*sn_h^2*(1/2-$C202^2/4))+SUMPRODUCT($J$5:$K$5,$J202:$K202,$J$7:$K$7))/1E6)</f>
        <v/>
      </c>
      <c r="J202">
        <f>MAX(-fyd_sn,MIN(fyd_sn,200000*0.002*(1-$C202*(7*J$6-3*sn_h)/(4*sn_h))))-fcd_sn*(1-MIN(1,MAX(0,$C202*(7*J$6-3*sn_h)/(4*sn_h)))^2)</f>
        <v/>
      </c>
      <c r="K202">
        <f>MAX(-fyd_sn,MIN(fyd_sn,200000*0.002*(1-$C202*(7*K$6-3*sn_h)/(4*sn_h))))-fcd_sn*(1-MIN(1,MAX(0,$C202*(7*K$6-3*sn_h)/(4*sn_h)))^2)</f>
        <v/>
      </c>
    </row>
    <row r="203">
      <c r="B203" s="55" t="n">
        <v>20</v>
      </c>
      <c r="C203" s="58">
        <f>1-20/200</f>
        <v/>
      </c>
      <c r="D203" s="59">
        <f>IF($C203&gt;=1,sn_h,3/7*sn_h+4/7*sn_h/MAX($C203,1E-12))</f>
        <v/>
      </c>
      <c r="E203" s="57">
        <f>(fcd_sn*sn_b*sn_h*(3/7+4/7*(1-$C203^2/3))+SUMPRODUCT($J$5:$K$5,$J203:$K203))/1000</f>
        <v/>
      </c>
      <c r="F203" s="57">
        <f>((fcd_sn*sn_b*(3/14*sn_h*(sn_h-3/7*sn_h)+4/7*sn_h*(sn_h/2-3/7*sn_h)*(1-$C203^2/3)-16/49*sn_h^2*(1/2-$C203^2/4))+SUMPRODUCT($J$5:$K$5,$J203:$K203,$J$7:$K$7))/1E6)</f>
        <v/>
      </c>
      <c r="J203">
        <f>MAX(-fyd_sn,MIN(fyd_sn,200000*0.002*(1-$C203*(7*J$6-3*sn_h)/(4*sn_h))))-fcd_sn*(1-MIN(1,MAX(0,$C203*(7*J$6-3*sn_h)/(4*sn_h)))^2)</f>
        <v/>
      </c>
      <c r="K203">
        <f>MAX(-fyd_sn,MIN(fyd_sn,200000*0.002*(1-$C203*(7*K$6-3*sn_h)/(4*sn_h))))-fcd_sn*(1-MIN(1,MAX(0,$C203*(7*K$6-3*sn_h)/(4*sn_h)))^2)</f>
        <v/>
      </c>
    </row>
    <row r="204">
      <c r="B204" s="55" t="n">
        <v>21</v>
      </c>
      <c r="C204" s="58">
        <f>1-21/200</f>
        <v/>
      </c>
      <c r="D204" s="59">
        <f>IF($C204&gt;=1,sn_h,3/7*sn_h+4/7*sn_h/MAX($C204,1E-12))</f>
        <v/>
      </c>
      <c r="E204" s="57">
        <f>(fcd_sn*sn_b*sn_h*(3/7+4/7*(1-$C204^2/3))+SUMPRODUCT($J$5:$K$5,$J204:$K204))/1000</f>
        <v/>
      </c>
      <c r="F204" s="57">
        <f>((fcd_sn*sn_b*(3/14*sn_h*(sn_h-3/7*sn_h)+4/7*sn_h*(sn_h/2-3/7*sn_h)*(1-$C204^2/3)-16/49*sn_h^2*(1/2-$C204^2/4))+SUMPRODUCT($J$5:$K$5,$J204:$K204,$J$7:$K$7))/1E6)</f>
        <v/>
      </c>
      <c r="J204">
        <f>MAX(-fyd_sn,MIN(fyd_sn,200000*0.002*(1-$C204*(7*J$6-3*sn_h)/(4*sn_h))))-fcd_sn*(1-MIN(1,MAX(0,$C204*(7*J$6-3*sn_h)/(4*sn_h)))^2)</f>
        <v/>
      </c>
      <c r="K204">
        <f>MAX(-fyd_sn,MIN(fyd_sn,200000*0.002*(1-$C204*(7*K$6-3*sn_h)/(4*sn_h))))-fcd_sn*(1-MIN(1,MAX(0,$C204*(7*K$6-3*sn_h)/(4*sn_h)))^2)</f>
        <v/>
      </c>
    </row>
    <row r="205">
      <c r="B205" s="55" t="n">
        <v>22</v>
      </c>
      <c r="C205" s="58">
        <f>1-22/200</f>
        <v/>
      </c>
      <c r="D205" s="59">
        <f>IF($C205&gt;=1,sn_h,3/7*sn_h+4/7*sn_h/MAX($C205,1E-12))</f>
        <v/>
      </c>
      <c r="E205" s="57">
        <f>(fcd_sn*sn_b*sn_h*(3/7+4/7*(1-$C205^2/3))+SUMPRODUCT($J$5:$K$5,$J205:$K205))/1000</f>
        <v/>
      </c>
      <c r="F205" s="57">
        <f>((fcd_sn*sn_b*(3/14*sn_h*(sn_h-3/7*sn_h)+4/7*sn_h*(sn_h/2-3/7*sn_h)*(1-$C205^2/3)-16/49*sn_h^2*(1/2-$C205^2/4))+SUMPRODUCT($J$5:$K$5,$J205:$K205,$J$7:$K$7))/1E6)</f>
        <v/>
      </c>
      <c r="J205">
        <f>MAX(-fyd_sn,MIN(fyd_sn,200000*0.002*(1-$C205*(7*J$6-3*sn_h)/(4*sn_h))))-fcd_sn*(1-MIN(1,MAX(0,$C205*(7*J$6-3*sn_h)/(4*sn_h)))^2)</f>
        <v/>
      </c>
      <c r="K205">
        <f>MAX(-fyd_sn,MIN(fyd_sn,200000*0.002*(1-$C205*(7*K$6-3*sn_h)/(4*sn_h))))-fcd_sn*(1-MIN(1,MAX(0,$C205*(7*K$6-3*sn_h)/(4*sn_h)))^2)</f>
        <v/>
      </c>
    </row>
    <row r="206">
      <c r="B206" s="55" t="n">
        <v>23</v>
      </c>
      <c r="C206" s="58">
        <f>1-23/200</f>
        <v/>
      </c>
      <c r="D206" s="59">
        <f>IF($C206&gt;=1,sn_h,3/7*sn_h+4/7*sn_h/MAX($C206,1E-12))</f>
        <v/>
      </c>
      <c r="E206" s="57">
        <f>(fcd_sn*sn_b*sn_h*(3/7+4/7*(1-$C206^2/3))+SUMPRODUCT($J$5:$K$5,$J206:$K206))/1000</f>
        <v/>
      </c>
      <c r="F206" s="57">
        <f>((fcd_sn*sn_b*(3/14*sn_h*(sn_h-3/7*sn_h)+4/7*sn_h*(sn_h/2-3/7*sn_h)*(1-$C206^2/3)-16/49*sn_h^2*(1/2-$C206^2/4))+SUMPRODUCT($J$5:$K$5,$J206:$K206,$J$7:$K$7))/1E6)</f>
        <v/>
      </c>
      <c r="J206">
        <f>MAX(-fyd_sn,MIN(fyd_sn,200000*0.002*(1-$C206*(7*J$6-3*sn_h)/(4*sn_h))))-fcd_sn*(1-MIN(1,MAX(0,$C206*(7*J$6-3*sn_h)/(4*sn_h)))^2)</f>
        <v/>
      </c>
      <c r="K206">
        <f>MAX(-fyd_sn,MIN(fyd_sn,200000*0.002*(1-$C206*(7*K$6-3*sn_h)/(4*sn_h))))-fcd_sn*(1-MIN(1,MAX(0,$C206*(7*K$6-3*sn_h)/(4*sn_h)))^2)</f>
        <v/>
      </c>
    </row>
    <row r="207">
      <c r="B207" s="55" t="n">
        <v>24</v>
      </c>
      <c r="C207" s="58">
        <f>1-24/200</f>
        <v/>
      </c>
      <c r="D207" s="59">
        <f>IF($C207&gt;=1,sn_h,3/7*sn_h+4/7*sn_h/MAX($C207,1E-12))</f>
        <v/>
      </c>
      <c r="E207" s="57">
        <f>(fcd_sn*sn_b*sn_h*(3/7+4/7*(1-$C207^2/3))+SUMPRODUCT($J$5:$K$5,$J207:$K207))/1000</f>
        <v/>
      </c>
      <c r="F207" s="57">
        <f>((fcd_sn*sn_b*(3/14*sn_h*(sn_h-3/7*sn_h)+4/7*sn_h*(sn_h/2-3/7*sn_h)*(1-$C207^2/3)-16/49*sn_h^2*(1/2-$C207^2/4))+SUMPRODUCT($J$5:$K$5,$J207:$K207,$J$7:$K$7))/1E6)</f>
        <v/>
      </c>
      <c r="J207">
        <f>MAX(-fyd_sn,MIN(fyd_sn,200000*0.002*(1-$C207*(7*J$6-3*sn_h)/(4*sn_h))))-fcd_sn*(1-MIN(1,MAX(0,$C207*(7*J$6-3*sn_h)/(4*sn_h)))^2)</f>
        <v/>
      </c>
      <c r="K207">
        <f>MAX(-fyd_sn,MIN(fyd_sn,200000*0.002*(1-$C207*(7*K$6-3*sn_h)/(4*sn_h))))-fcd_sn*(1-MIN(1,MAX(0,$C207*(7*K$6-3*sn_h)/(4*sn_h)))^2)</f>
        <v/>
      </c>
    </row>
    <row r="208">
      <c r="B208" s="55" t="n">
        <v>25</v>
      </c>
      <c r="C208" s="58">
        <f>1-25/200</f>
        <v/>
      </c>
      <c r="D208" s="59">
        <f>IF($C208&gt;=1,sn_h,3/7*sn_h+4/7*sn_h/MAX($C208,1E-12))</f>
        <v/>
      </c>
      <c r="E208" s="57">
        <f>(fcd_sn*sn_b*sn_h*(3/7+4/7*(1-$C208^2/3))+SUMPRODUCT($J$5:$K$5,$J208:$K208))/1000</f>
        <v/>
      </c>
      <c r="F208" s="57">
        <f>((fcd_sn*sn_b*(3/14*sn_h*(sn_h-3/7*sn_h)+4/7*sn_h*(sn_h/2-3/7*sn_h)*(1-$C208^2/3)-16/49*sn_h^2*(1/2-$C208^2/4))+SUMPRODUCT($J$5:$K$5,$J208:$K208,$J$7:$K$7))/1E6)</f>
        <v/>
      </c>
      <c r="J208">
        <f>MAX(-fyd_sn,MIN(fyd_sn,200000*0.002*(1-$C208*(7*J$6-3*sn_h)/(4*sn_h))))-fcd_sn*(1-MIN(1,MAX(0,$C208*(7*J$6-3*sn_h)/(4*sn_h)))^2)</f>
        <v/>
      </c>
      <c r="K208">
        <f>MAX(-fyd_sn,MIN(fyd_sn,200000*0.002*(1-$C208*(7*K$6-3*sn_h)/(4*sn_h))))-fcd_sn*(1-MIN(1,MAX(0,$C208*(7*K$6-3*sn_h)/(4*sn_h)))^2)</f>
        <v/>
      </c>
    </row>
    <row r="209">
      <c r="B209" s="55" t="n">
        <v>26</v>
      </c>
      <c r="C209" s="58">
        <f>1-26/200</f>
        <v/>
      </c>
      <c r="D209" s="59">
        <f>IF($C209&gt;=1,sn_h,3/7*sn_h+4/7*sn_h/MAX($C209,1E-12))</f>
        <v/>
      </c>
      <c r="E209" s="57">
        <f>(fcd_sn*sn_b*sn_h*(3/7+4/7*(1-$C209^2/3))+SUMPRODUCT($J$5:$K$5,$J209:$K209))/1000</f>
        <v/>
      </c>
      <c r="F209" s="57">
        <f>((fcd_sn*sn_b*(3/14*sn_h*(sn_h-3/7*sn_h)+4/7*sn_h*(sn_h/2-3/7*sn_h)*(1-$C209^2/3)-16/49*sn_h^2*(1/2-$C209^2/4))+SUMPRODUCT($J$5:$K$5,$J209:$K209,$J$7:$K$7))/1E6)</f>
        <v/>
      </c>
      <c r="J209">
        <f>MAX(-fyd_sn,MIN(fyd_sn,200000*0.002*(1-$C209*(7*J$6-3*sn_h)/(4*sn_h))))-fcd_sn*(1-MIN(1,MAX(0,$C209*(7*J$6-3*sn_h)/(4*sn_h)))^2)</f>
        <v/>
      </c>
      <c r="K209">
        <f>MAX(-fyd_sn,MIN(fyd_sn,200000*0.002*(1-$C209*(7*K$6-3*sn_h)/(4*sn_h))))-fcd_sn*(1-MIN(1,MAX(0,$C209*(7*K$6-3*sn_h)/(4*sn_h)))^2)</f>
        <v/>
      </c>
    </row>
    <row r="210">
      <c r="B210" s="55" t="n">
        <v>27</v>
      </c>
      <c r="C210" s="58">
        <f>1-27/200</f>
        <v/>
      </c>
      <c r="D210" s="59">
        <f>IF($C210&gt;=1,sn_h,3/7*sn_h+4/7*sn_h/MAX($C210,1E-12))</f>
        <v/>
      </c>
      <c r="E210" s="57">
        <f>(fcd_sn*sn_b*sn_h*(3/7+4/7*(1-$C210^2/3))+SUMPRODUCT($J$5:$K$5,$J210:$K210))/1000</f>
        <v/>
      </c>
      <c r="F210" s="57">
        <f>((fcd_sn*sn_b*(3/14*sn_h*(sn_h-3/7*sn_h)+4/7*sn_h*(sn_h/2-3/7*sn_h)*(1-$C210^2/3)-16/49*sn_h^2*(1/2-$C210^2/4))+SUMPRODUCT($J$5:$K$5,$J210:$K210,$J$7:$K$7))/1E6)</f>
        <v/>
      </c>
      <c r="J210">
        <f>MAX(-fyd_sn,MIN(fyd_sn,200000*0.002*(1-$C210*(7*J$6-3*sn_h)/(4*sn_h))))-fcd_sn*(1-MIN(1,MAX(0,$C210*(7*J$6-3*sn_h)/(4*sn_h)))^2)</f>
        <v/>
      </c>
      <c r="K210">
        <f>MAX(-fyd_sn,MIN(fyd_sn,200000*0.002*(1-$C210*(7*K$6-3*sn_h)/(4*sn_h))))-fcd_sn*(1-MIN(1,MAX(0,$C210*(7*K$6-3*sn_h)/(4*sn_h)))^2)</f>
        <v/>
      </c>
    </row>
    <row r="211">
      <c r="B211" s="55" t="n">
        <v>28</v>
      </c>
      <c r="C211" s="58">
        <f>1-28/200</f>
        <v/>
      </c>
      <c r="D211" s="59">
        <f>IF($C211&gt;=1,sn_h,3/7*sn_h+4/7*sn_h/MAX($C211,1E-12))</f>
        <v/>
      </c>
      <c r="E211" s="57">
        <f>(fcd_sn*sn_b*sn_h*(3/7+4/7*(1-$C211^2/3))+SUMPRODUCT($J$5:$K$5,$J211:$K211))/1000</f>
        <v/>
      </c>
      <c r="F211" s="57">
        <f>((fcd_sn*sn_b*(3/14*sn_h*(sn_h-3/7*sn_h)+4/7*sn_h*(sn_h/2-3/7*sn_h)*(1-$C211^2/3)-16/49*sn_h^2*(1/2-$C211^2/4))+SUMPRODUCT($J$5:$K$5,$J211:$K211,$J$7:$K$7))/1E6)</f>
        <v/>
      </c>
      <c r="J211">
        <f>MAX(-fyd_sn,MIN(fyd_sn,200000*0.002*(1-$C211*(7*J$6-3*sn_h)/(4*sn_h))))-fcd_sn*(1-MIN(1,MAX(0,$C211*(7*J$6-3*sn_h)/(4*sn_h)))^2)</f>
        <v/>
      </c>
      <c r="K211">
        <f>MAX(-fyd_sn,MIN(fyd_sn,200000*0.002*(1-$C211*(7*K$6-3*sn_h)/(4*sn_h))))-fcd_sn*(1-MIN(1,MAX(0,$C211*(7*K$6-3*sn_h)/(4*sn_h)))^2)</f>
        <v/>
      </c>
    </row>
    <row r="212">
      <c r="B212" s="55" t="n">
        <v>29</v>
      </c>
      <c r="C212" s="58">
        <f>1-29/200</f>
        <v/>
      </c>
      <c r="D212" s="59">
        <f>IF($C212&gt;=1,sn_h,3/7*sn_h+4/7*sn_h/MAX($C212,1E-12))</f>
        <v/>
      </c>
      <c r="E212" s="57">
        <f>(fcd_sn*sn_b*sn_h*(3/7+4/7*(1-$C212^2/3))+SUMPRODUCT($J$5:$K$5,$J212:$K212))/1000</f>
        <v/>
      </c>
      <c r="F212" s="57">
        <f>((fcd_sn*sn_b*(3/14*sn_h*(sn_h-3/7*sn_h)+4/7*sn_h*(sn_h/2-3/7*sn_h)*(1-$C212^2/3)-16/49*sn_h^2*(1/2-$C212^2/4))+SUMPRODUCT($J$5:$K$5,$J212:$K212,$J$7:$K$7))/1E6)</f>
        <v/>
      </c>
      <c r="J212">
        <f>MAX(-fyd_sn,MIN(fyd_sn,200000*0.002*(1-$C212*(7*J$6-3*sn_h)/(4*sn_h))))-fcd_sn*(1-MIN(1,MAX(0,$C212*(7*J$6-3*sn_h)/(4*sn_h)))^2)</f>
        <v/>
      </c>
      <c r="K212">
        <f>MAX(-fyd_sn,MIN(fyd_sn,200000*0.002*(1-$C212*(7*K$6-3*sn_h)/(4*sn_h))))-fcd_sn*(1-MIN(1,MAX(0,$C212*(7*K$6-3*sn_h)/(4*sn_h)))^2)</f>
        <v/>
      </c>
    </row>
    <row r="213">
      <c r="B213" s="55" t="n">
        <v>30</v>
      </c>
      <c r="C213" s="58">
        <f>1-30/200</f>
        <v/>
      </c>
      <c r="D213" s="59">
        <f>IF($C213&gt;=1,sn_h,3/7*sn_h+4/7*sn_h/MAX($C213,1E-12))</f>
        <v/>
      </c>
      <c r="E213" s="57">
        <f>(fcd_sn*sn_b*sn_h*(3/7+4/7*(1-$C213^2/3))+SUMPRODUCT($J$5:$K$5,$J213:$K213))/1000</f>
        <v/>
      </c>
      <c r="F213" s="57">
        <f>((fcd_sn*sn_b*(3/14*sn_h*(sn_h-3/7*sn_h)+4/7*sn_h*(sn_h/2-3/7*sn_h)*(1-$C213^2/3)-16/49*sn_h^2*(1/2-$C213^2/4))+SUMPRODUCT($J$5:$K$5,$J213:$K213,$J$7:$K$7))/1E6)</f>
        <v/>
      </c>
      <c r="J213">
        <f>MAX(-fyd_sn,MIN(fyd_sn,200000*0.002*(1-$C213*(7*J$6-3*sn_h)/(4*sn_h))))-fcd_sn*(1-MIN(1,MAX(0,$C213*(7*J$6-3*sn_h)/(4*sn_h)))^2)</f>
        <v/>
      </c>
      <c r="K213">
        <f>MAX(-fyd_sn,MIN(fyd_sn,200000*0.002*(1-$C213*(7*K$6-3*sn_h)/(4*sn_h))))-fcd_sn*(1-MIN(1,MAX(0,$C213*(7*K$6-3*sn_h)/(4*sn_h)))^2)</f>
        <v/>
      </c>
    </row>
    <row r="214">
      <c r="B214" s="55" t="n">
        <v>31</v>
      </c>
      <c r="C214" s="58">
        <f>1-31/200</f>
        <v/>
      </c>
      <c r="D214" s="59">
        <f>IF($C214&gt;=1,sn_h,3/7*sn_h+4/7*sn_h/MAX($C214,1E-12))</f>
        <v/>
      </c>
      <c r="E214" s="57">
        <f>(fcd_sn*sn_b*sn_h*(3/7+4/7*(1-$C214^2/3))+SUMPRODUCT($J$5:$K$5,$J214:$K214))/1000</f>
        <v/>
      </c>
      <c r="F214" s="57">
        <f>((fcd_sn*sn_b*(3/14*sn_h*(sn_h-3/7*sn_h)+4/7*sn_h*(sn_h/2-3/7*sn_h)*(1-$C214^2/3)-16/49*sn_h^2*(1/2-$C214^2/4))+SUMPRODUCT($J$5:$K$5,$J214:$K214,$J$7:$K$7))/1E6)</f>
        <v/>
      </c>
      <c r="J214">
        <f>MAX(-fyd_sn,MIN(fyd_sn,200000*0.002*(1-$C214*(7*J$6-3*sn_h)/(4*sn_h))))-fcd_sn*(1-MIN(1,MAX(0,$C214*(7*J$6-3*sn_h)/(4*sn_h)))^2)</f>
        <v/>
      </c>
      <c r="K214">
        <f>MAX(-fyd_sn,MIN(fyd_sn,200000*0.002*(1-$C214*(7*K$6-3*sn_h)/(4*sn_h))))-fcd_sn*(1-MIN(1,MAX(0,$C214*(7*K$6-3*sn_h)/(4*sn_h)))^2)</f>
        <v/>
      </c>
    </row>
    <row r="215">
      <c r="B215" s="55" t="n">
        <v>32</v>
      </c>
      <c r="C215" s="58">
        <f>1-32/200</f>
        <v/>
      </c>
      <c r="D215" s="59">
        <f>IF($C215&gt;=1,sn_h,3/7*sn_h+4/7*sn_h/MAX($C215,1E-12))</f>
        <v/>
      </c>
      <c r="E215" s="57">
        <f>(fcd_sn*sn_b*sn_h*(3/7+4/7*(1-$C215^2/3))+SUMPRODUCT($J$5:$K$5,$J215:$K215))/1000</f>
        <v/>
      </c>
      <c r="F215" s="57">
        <f>((fcd_sn*sn_b*(3/14*sn_h*(sn_h-3/7*sn_h)+4/7*sn_h*(sn_h/2-3/7*sn_h)*(1-$C215^2/3)-16/49*sn_h^2*(1/2-$C215^2/4))+SUMPRODUCT($J$5:$K$5,$J215:$K215,$J$7:$K$7))/1E6)</f>
        <v/>
      </c>
      <c r="J215">
        <f>MAX(-fyd_sn,MIN(fyd_sn,200000*0.002*(1-$C215*(7*J$6-3*sn_h)/(4*sn_h))))-fcd_sn*(1-MIN(1,MAX(0,$C215*(7*J$6-3*sn_h)/(4*sn_h)))^2)</f>
        <v/>
      </c>
      <c r="K215">
        <f>MAX(-fyd_sn,MIN(fyd_sn,200000*0.002*(1-$C215*(7*K$6-3*sn_h)/(4*sn_h))))-fcd_sn*(1-MIN(1,MAX(0,$C215*(7*K$6-3*sn_h)/(4*sn_h)))^2)</f>
        <v/>
      </c>
    </row>
    <row r="216">
      <c r="B216" s="55" t="n">
        <v>33</v>
      </c>
      <c r="C216" s="58">
        <f>1-33/200</f>
        <v/>
      </c>
      <c r="D216" s="59">
        <f>IF($C216&gt;=1,sn_h,3/7*sn_h+4/7*sn_h/MAX($C216,1E-12))</f>
        <v/>
      </c>
      <c r="E216" s="57">
        <f>(fcd_sn*sn_b*sn_h*(3/7+4/7*(1-$C216^2/3))+SUMPRODUCT($J$5:$K$5,$J216:$K216))/1000</f>
        <v/>
      </c>
      <c r="F216" s="57">
        <f>((fcd_sn*sn_b*(3/14*sn_h*(sn_h-3/7*sn_h)+4/7*sn_h*(sn_h/2-3/7*sn_h)*(1-$C216^2/3)-16/49*sn_h^2*(1/2-$C216^2/4))+SUMPRODUCT($J$5:$K$5,$J216:$K216,$J$7:$K$7))/1E6)</f>
        <v/>
      </c>
      <c r="J216">
        <f>MAX(-fyd_sn,MIN(fyd_sn,200000*0.002*(1-$C216*(7*J$6-3*sn_h)/(4*sn_h))))-fcd_sn*(1-MIN(1,MAX(0,$C216*(7*J$6-3*sn_h)/(4*sn_h)))^2)</f>
        <v/>
      </c>
      <c r="K216">
        <f>MAX(-fyd_sn,MIN(fyd_sn,200000*0.002*(1-$C216*(7*K$6-3*sn_h)/(4*sn_h))))-fcd_sn*(1-MIN(1,MAX(0,$C216*(7*K$6-3*sn_h)/(4*sn_h)))^2)</f>
        <v/>
      </c>
    </row>
    <row r="217">
      <c r="B217" s="55" t="n">
        <v>34</v>
      </c>
      <c r="C217" s="58">
        <f>1-34/200</f>
        <v/>
      </c>
      <c r="D217" s="59">
        <f>IF($C217&gt;=1,sn_h,3/7*sn_h+4/7*sn_h/MAX($C217,1E-12))</f>
        <v/>
      </c>
      <c r="E217" s="57">
        <f>(fcd_sn*sn_b*sn_h*(3/7+4/7*(1-$C217^2/3))+SUMPRODUCT($J$5:$K$5,$J217:$K217))/1000</f>
        <v/>
      </c>
      <c r="F217" s="57">
        <f>((fcd_sn*sn_b*(3/14*sn_h*(sn_h-3/7*sn_h)+4/7*sn_h*(sn_h/2-3/7*sn_h)*(1-$C217^2/3)-16/49*sn_h^2*(1/2-$C217^2/4))+SUMPRODUCT($J$5:$K$5,$J217:$K217,$J$7:$K$7))/1E6)</f>
        <v/>
      </c>
      <c r="J217">
        <f>MAX(-fyd_sn,MIN(fyd_sn,200000*0.002*(1-$C217*(7*J$6-3*sn_h)/(4*sn_h))))-fcd_sn*(1-MIN(1,MAX(0,$C217*(7*J$6-3*sn_h)/(4*sn_h)))^2)</f>
        <v/>
      </c>
      <c r="K217">
        <f>MAX(-fyd_sn,MIN(fyd_sn,200000*0.002*(1-$C217*(7*K$6-3*sn_h)/(4*sn_h))))-fcd_sn*(1-MIN(1,MAX(0,$C217*(7*K$6-3*sn_h)/(4*sn_h)))^2)</f>
        <v/>
      </c>
    </row>
    <row r="218">
      <c r="B218" s="55" t="n">
        <v>35</v>
      </c>
      <c r="C218" s="58">
        <f>1-35/200</f>
        <v/>
      </c>
      <c r="D218" s="59">
        <f>IF($C218&gt;=1,sn_h,3/7*sn_h+4/7*sn_h/MAX($C218,1E-12))</f>
        <v/>
      </c>
      <c r="E218" s="57">
        <f>(fcd_sn*sn_b*sn_h*(3/7+4/7*(1-$C218^2/3))+SUMPRODUCT($J$5:$K$5,$J218:$K218))/1000</f>
        <v/>
      </c>
      <c r="F218" s="57">
        <f>((fcd_sn*sn_b*(3/14*sn_h*(sn_h-3/7*sn_h)+4/7*sn_h*(sn_h/2-3/7*sn_h)*(1-$C218^2/3)-16/49*sn_h^2*(1/2-$C218^2/4))+SUMPRODUCT($J$5:$K$5,$J218:$K218,$J$7:$K$7))/1E6)</f>
        <v/>
      </c>
      <c r="J218">
        <f>MAX(-fyd_sn,MIN(fyd_sn,200000*0.002*(1-$C218*(7*J$6-3*sn_h)/(4*sn_h))))-fcd_sn*(1-MIN(1,MAX(0,$C218*(7*J$6-3*sn_h)/(4*sn_h)))^2)</f>
        <v/>
      </c>
      <c r="K218">
        <f>MAX(-fyd_sn,MIN(fyd_sn,200000*0.002*(1-$C218*(7*K$6-3*sn_h)/(4*sn_h))))-fcd_sn*(1-MIN(1,MAX(0,$C218*(7*K$6-3*sn_h)/(4*sn_h)))^2)</f>
        <v/>
      </c>
    </row>
    <row r="219">
      <c r="B219" s="55" t="n">
        <v>36</v>
      </c>
      <c r="C219" s="58">
        <f>1-36/200</f>
        <v/>
      </c>
      <c r="D219" s="59">
        <f>IF($C219&gt;=1,sn_h,3/7*sn_h+4/7*sn_h/MAX($C219,1E-12))</f>
        <v/>
      </c>
      <c r="E219" s="57">
        <f>(fcd_sn*sn_b*sn_h*(3/7+4/7*(1-$C219^2/3))+SUMPRODUCT($J$5:$K$5,$J219:$K219))/1000</f>
        <v/>
      </c>
      <c r="F219" s="57">
        <f>((fcd_sn*sn_b*(3/14*sn_h*(sn_h-3/7*sn_h)+4/7*sn_h*(sn_h/2-3/7*sn_h)*(1-$C219^2/3)-16/49*sn_h^2*(1/2-$C219^2/4))+SUMPRODUCT($J$5:$K$5,$J219:$K219,$J$7:$K$7))/1E6)</f>
        <v/>
      </c>
      <c r="J219">
        <f>MAX(-fyd_sn,MIN(fyd_sn,200000*0.002*(1-$C219*(7*J$6-3*sn_h)/(4*sn_h))))-fcd_sn*(1-MIN(1,MAX(0,$C219*(7*J$6-3*sn_h)/(4*sn_h)))^2)</f>
        <v/>
      </c>
      <c r="K219">
        <f>MAX(-fyd_sn,MIN(fyd_sn,200000*0.002*(1-$C219*(7*K$6-3*sn_h)/(4*sn_h))))-fcd_sn*(1-MIN(1,MAX(0,$C219*(7*K$6-3*sn_h)/(4*sn_h)))^2)</f>
        <v/>
      </c>
    </row>
    <row r="220">
      <c r="B220" s="55" t="n">
        <v>37</v>
      </c>
      <c r="C220" s="58">
        <f>1-37/200</f>
        <v/>
      </c>
      <c r="D220" s="59">
        <f>IF($C220&gt;=1,sn_h,3/7*sn_h+4/7*sn_h/MAX($C220,1E-12))</f>
        <v/>
      </c>
      <c r="E220" s="57">
        <f>(fcd_sn*sn_b*sn_h*(3/7+4/7*(1-$C220^2/3))+SUMPRODUCT($J$5:$K$5,$J220:$K220))/1000</f>
        <v/>
      </c>
      <c r="F220" s="57">
        <f>((fcd_sn*sn_b*(3/14*sn_h*(sn_h-3/7*sn_h)+4/7*sn_h*(sn_h/2-3/7*sn_h)*(1-$C220^2/3)-16/49*sn_h^2*(1/2-$C220^2/4))+SUMPRODUCT($J$5:$K$5,$J220:$K220,$J$7:$K$7))/1E6)</f>
        <v/>
      </c>
      <c r="J220">
        <f>MAX(-fyd_sn,MIN(fyd_sn,200000*0.002*(1-$C220*(7*J$6-3*sn_h)/(4*sn_h))))-fcd_sn*(1-MIN(1,MAX(0,$C220*(7*J$6-3*sn_h)/(4*sn_h)))^2)</f>
        <v/>
      </c>
      <c r="K220">
        <f>MAX(-fyd_sn,MIN(fyd_sn,200000*0.002*(1-$C220*(7*K$6-3*sn_h)/(4*sn_h))))-fcd_sn*(1-MIN(1,MAX(0,$C220*(7*K$6-3*sn_h)/(4*sn_h)))^2)</f>
        <v/>
      </c>
    </row>
    <row r="221">
      <c r="B221" s="55" t="n">
        <v>38</v>
      </c>
      <c r="C221" s="58">
        <f>1-38/200</f>
        <v/>
      </c>
      <c r="D221" s="59">
        <f>IF($C221&gt;=1,sn_h,3/7*sn_h+4/7*sn_h/MAX($C221,1E-12))</f>
        <v/>
      </c>
      <c r="E221" s="57">
        <f>(fcd_sn*sn_b*sn_h*(3/7+4/7*(1-$C221^2/3))+SUMPRODUCT($J$5:$K$5,$J221:$K221))/1000</f>
        <v/>
      </c>
      <c r="F221" s="57">
        <f>((fcd_sn*sn_b*(3/14*sn_h*(sn_h-3/7*sn_h)+4/7*sn_h*(sn_h/2-3/7*sn_h)*(1-$C221^2/3)-16/49*sn_h^2*(1/2-$C221^2/4))+SUMPRODUCT($J$5:$K$5,$J221:$K221,$J$7:$K$7))/1E6)</f>
        <v/>
      </c>
      <c r="J221">
        <f>MAX(-fyd_sn,MIN(fyd_sn,200000*0.002*(1-$C221*(7*J$6-3*sn_h)/(4*sn_h))))-fcd_sn*(1-MIN(1,MAX(0,$C221*(7*J$6-3*sn_h)/(4*sn_h)))^2)</f>
        <v/>
      </c>
      <c r="K221">
        <f>MAX(-fyd_sn,MIN(fyd_sn,200000*0.002*(1-$C221*(7*K$6-3*sn_h)/(4*sn_h))))-fcd_sn*(1-MIN(1,MAX(0,$C221*(7*K$6-3*sn_h)/(4*sn_h)))^2)</f>
        <v/>
      </c>
    </row>
    <row r="222">
      <c r="B222" s="55" t="n">
        <v>39</v>
      </c>
      <c r="C222" s="58">
        <f>1-39/200</f>
        <v/>
      </c>
      <c r="D222" s="59">
        <f>IF($C222&gt;=1,sn_h,3/7*sn_h+4/7*sn_h/MAX($C222,1E-12))</f>
        <v/>
      </c>
      <c r="E222" s="57">
        <f>(fcd_sn*sn_b*sn_h*(3/7+4/7*(1-$C222^2/3))+SUMPRODUCT($J$5:$K$5,$J222:$K222))/1000</f>
        <v/>
      </c>
      <c r="F222" s="57">
        <f>((fcd_sn*sn_b*(3/14*sn_h*(sn_h-3/7*sn_h)+4/7*sn_h*(sn_h/2-3/7*sn_h)*(1-$C222^2/3)-16/49*sn_h^2*(1/2-$C222^2/4))+SUMPRODUCT($J$5:$K$5,$J222:$K222,$J$7:$K$7))/1E6)</f>
        <v/>
      </c>
      <c r="J222">
        <f>MAX(-fyd_sn,MIN(fyd_sn,200000*0.002*(1-$C222*(7*J$6-3*sn_h)/(4*sn_h))))-fcd_sn*(1-MIN(1,MAX(0,$C222*(7*J$6-3*sn_h)/(4*sn_h)))^2)</f>
        <v/>
      </c>
      <c r="K222">
        <f>MAX(-fyd_sn,MIN(fyd_sn,200000*0.002*(1-$C222*(7*K$6-3*sn_h)/(4*sn_h))))-fcd_sn*(1-MIN(1,MAX(0,$C222*(7*K$6-3*sn_h)/(4*sn_h)))^2)</f>
        <v/>
      </c>
    </row>
    <row r="223">
      <c r="B223" s="55" t="n">
        <v>40</v>
      </c>
      <c r="C223" s="58">
        <f>1-40/200</f>
        <v/>
      </c>
      <c r="D223" s="59">
        <f>IF($C223&gt;=1,sn_h,3/7*sn_h+4/7*sn_h/MAX($C223,1E-12))</f>
        <v/>
      </c>
      <c r="E223" s="57">
        <f>(fcd_sn*sn_b*sn_h*(3/7+4/7*(1-$C223^2/3))+SUMPRODUCT($J$5:$K$5,$J223:$K223))/1000</f>
        <v/>
      </c>
      <c r="F223" s="57">
        <f>((fcd_sn*sn_b*(3/14*sn_h*(sn_h-3/7*sn_h)+4/7*sn_h*(sn_h/2-3/7*sn_h)*(1-$C223^2/3)-16/49*sn_h^2*(1/2-$C223^2/4))+SUMPRODUCT($J$5:$K$5,$J223:$K223,$J$7:$K$7))/1E6)</f>
        <v/>
      </c>
      <c r="J223">
        <f>MAX(-fyd_sn,MIN(fyd_sn,200000*0.002*(1-$C223*(7*J$6-3*sn_h)/(4*sn_h))))-fcd_sn*(1-MIN(1,MAX(0,$C223*(7*J$6-3*sn_h)/(4*sn_h)))^2)</f>
        <v/>
      </c>
      <c r="K223">
        <f>MAX(-fyd_sn,MIN(fyd_sn,200000*0.002*(1-$C223*(7*K$6-3*sn_h)/(4*sn_h))))-fcd_sn*(1-MIN(1,MAX(0,$C223*(7*K$6-3*sn_h)/(4*sn_h)))^2)</f>
        <v/>
      </c>
    </row>
    <row r="224">
      <c r="B224" s="55" t="n">
        <v>41</v>
      </c>
      <c r="C224" s="58">
        <f>1-41/200</f>
        <v/>
      </c>
      <c r="D224" s="59">
        <f>IF($C224&gt;=1,sn_h,3/7*sn_h+4/7*sn_h/MAX($C224,1E-12))</f>
        <v/>
      </c>
      <c r="E224" s="57">
        <f>(fcd_sn*sn_b*sn_h*(3/7+4/7*(1-$C224^2/3))+SUMPRODUCT($J$5:$K$5,$J224:$K224))/1000</f>
        <v/>
      </c>
      <c r="F224" s="57">
        <f>((fcd_sn*sn_b*(3/14*sn_h*(sn_h-3/7*sn_h)+4/7*sn_h*(sn_h/2-3/7*sn_h)*(1-$C224^2/3)-16/49*sn_h^2*(1/2-$C224^2/4))+SUMPRODUCT($J$5:$K$5,$J224:$K224,$J$7:$K$7))/1E6)</f>
        <v/>
      </c>
      <c r="J224">
        <f>MAX(-fyd_sn,MIN(fyd_sn,200000*0.002*(1-$C224*(7*J$6-3*sn_h)/(4*sn_h))))-fcd_sn*(1-MIN(1,MAX(0,$C224*(7*J$6-3*sn_h)/(4*sn_h)))^2)</f>
        <v/>
      </c>
      <c r="K224">
        <f>MAX(-fyd_sn,MIN(fyd_sn,200000*0.002*(1-$C224*(7*K$6-3*sn_h)/(4*sn_h))))-fcd_sn*(1-MIN(1,MAX(0,$C224*(7*K$6-3*sn_h)/(4*sn_h)))^2)</f>
        <v/>
      </c>
    </row>
    <row r="225">
      <c r="B225" s="55" t="n">
        <v>42</v>
      </c>
      <c r="C225" s="58">
        <f>1-42/200</f>
        <v/>
      </c>
      <c r="D225" s="59">
        <f>IF($C225&gt;=1,sn_h,3/7*sn_h+4/7*sn_h/MAX($C225,1E-12))</f>
        <v/>
      </c>
      <c r="E225" s="57">
        <f>(fcd_sn*sn_b*sn_h*(3/7+4/7*(1-$C225^2/3))+SUMPRODUCT($J$5:$K$5,$J225:$K225))/1000</f>
        <v/>
      </c>
      <c r="F225" s="57">
        <f>((fcd_sn*sn_b*(3/14*sn_h*(sn_h-3/7*sn_h)+4/7*sn_h*(sn_h/2-3/7*sn_h)*(1-$C225^2/3)-16/49*sn_h^2*(1/2-$C225^2/4))+SUMPRODUCT($J$5:$K$5,$J225:$K225,$J$7:$K$7))/1E6)</f>
        <v/>
      </c>
      <c r="J225">
        <f>MAX(-fyd_sn,MIN(fyd_sn,200000*0.002*(1-$C225*(7*J$6-3*sn_h)/(4*sn_h))))-fcd_sn*(1-MIN(1,MAX(0,$C225*(7*J$6-3*sn_h)/(4*sn_h)))^2)</f>
        <v/>
      </c>
      <c r="K225">
        <f>MAX(-fyd_sn,MIN(fyd_sn,200000*0.002*(1-$C225*(7*K$6-3*sn_h)/(4*sn_h))))-fcd_sn*(1-MIN(1,MAX(0,$C225*(7*K$6-3*sn_h)/(4*sn_h)))^2)</f>
        <v/>
      </c>
    </row>
    <row r="226">
      <c r="B226" s="55" t="n">
        <v>43</v>
      </c>
      <c r="C226" s="58">
        <f>1-43/200</f>
        <v/>
      </c>
      <c r="D226" s="59">
        <f>IF($C226&gt;=1,sn_h,3/7*sn_h+4/7*sn_h/MAX($C226,1E-12))</f>
        <v/>
      </c>
      <c r="E226" s="57">
        <f>(fcd_sn*sn_b*sn_h*(3/7+4/7*(1-$C226^2/3))+SUMPRODUCT($J$5:$K$5,$J226:$K226))/1000</f>
        <v/>
      </c>
      <c r="F226" s="57">
        <f>((fcd_sn*sn_b*(3/14*sn_h*(sn_h-3/7*sn_h)+4/7*sn_h*(sn_h/2-3/7*sn_h)*(1-$C226^2/3)-16/49*sn_h^2*(1/2-$C226^2/4))+SUMPRODUCT($J$5:$K$5,$J226:$K226,$J$7:$K$7))/1E6)</f>
        <v/>
      </c>
      <c r="J226">
        <f>MAX(-fyd_sn,MIN(fyd_sn,200000*0.002*(1-$C226*(7*J$6-3*sn_h)/(4*sn_h))))-fcd_sn*(1-MIN(1,MAX(0,$C226*(7*J$6-3*sn_h)/(4*sn_h)))^2)</f>
        <v/>
      </c>
      <c r="K226">
        <f>MAX(-fyd_sn,MIN(fyd_sn,200000*0.002*(1-$C226*(7*K$6-3*sn_h)/(4*sn_h))))-fcd_sn*(1-MIN(1,MAX(0,$C226*(7*K$6-3*sn_h)/(4*sn_h)))^2)</f>
        <v/>
      </c>
    </row>
    <row r="227">
      <c r="B227" s="55" t="n">
        <v>44</v>
      </c>
      <c r="C227" s="58">
        <f>1-44/200</f>
        <v/>
      </c>
      <c r="D227" s="59">
        <f>IF($C227&gt;=1,sn_h,3/7*sn_h+4/7*sn_h/MAX($C227,1E-12))</f>
        <v/>
      </c>
      <c r="E227" s="57">
        <f>(fcd_sn*sn_b*sn_h*(3/7+4/7*(1-$C227^2/3))+SUMPRODUCT($J$5:$K$5,$J227:$K227))/1000</f>
        <v/>
      </c>
      <c r="F227" s="57">
        <f>((fcd_sn*sn_b*(3/14*sn_h*(sn_h-3/7*sn_h)+4/7*sn_h*(sn_h/2-3/7*sn_h)*(1-$C227^2/3)-16/49*sn_h^2*(1/2-$C227^2/4))+SUMPRODUCT($J$5:$K$5,$J227:$K227,$J$7:$K$7))/1E6)</f>
        <v/>
      </c>
      <c r="J227">
        <f>MAX(-fyd_sn,MIN(fyd_sn,200000*0.002*(1-$C227*(7*J$6-3*sn_h)/(4*sn_h))))-fcd_sn*(1-MIN(1,MAX(0,$C227*(7*J$6-3*sn_h)/(4*sn_h)))^2)</f>
        <v/>
      </c>
      <c r="K227">
        <f>MAX(-fyd_sn,MIN(fyd_sn,200000*0.002*(1-$C227*(7*K$6-3*sn_h)/(4*sn_h))))-fcd_sn*(1-MIN(1,MAX(0,$C227*(7*K$6-3*sn_h)/(4*sn_h)))^2)</f>
        <v/>
      </c>
    </row>
    <row r="228">
      <c r="B228" s="55" t="n">
        <v>45</v>
      </c>
      <c r="C228" s="58">
        <f>1-45/200</f>
        <v/>
      </c>
      <c r="D228" s="59">
        <f>IF($C228&gt;=1,sn_h,3/7*sn_h+4/7*sn_h/MAX($C228,1E-12))</f>
        <v/>
      </c>
      <c r="E228" s="57">
        <f>(fcd_sn*sn_b*sn_h*(3/7+4/7*(1-$C228^2/3))+SUMPRODUCT($J$5:$K$5,$J228:$K228))/1000</f>
        <v/>
      </c>
      <c r="F228" s="57">
        <f>((fcd_sn*sn_b*(3/14*sn_h*(sn_h-3/7*sn_h)+4/7*sn_h*(sn_h/2-3/7*sn_h)*(1-$C228^2/3)-16/49*sn_h^2*(1/2-$C228^2/4))+SUMPRODUCT($J$5:$K$5,$J228:$K228,$J$7:$K$7))/1E6)</f>
        <v/>
      </c>
      <c r="J228">
        <f>MAX(-fyd_sn,MIN(fyd_sn,200000*0.002*(1-$C228*(7*J$6-3*sn_h)/(4*sn_h))))-fcd_sn*(1-MIN(1,MAX(0,$C228*(7*J$6-3*sn_h)/(4*sn_h)))^2)</f>
        <v/>
      </c>
      <c r="K228">
        <f>MAX(-fyd_sn,MIN(fyd_sn,200000*0.002*(1-$C228*(7*K$6-3*sn_h)/(4*sn_h))))-fcd_sn*(1-MIN(1,MAX(0,$C228*(7*K$6-3*sn_h)/(4*sn_h)))^2)</f>
        <v/>
      </c>
    </row>
    <row r="229">
      <c r="B229" s="55" t="n">
        <v>46</v>
      </c>
      <c r="C229" s="58">
        <f>1-46/200</f>
        <v/>
      </c>
      <c r="D229" s="59">
        <f>IF($C229&gt;=1,sn_h,3/7*sn_h+4/7*sn_h/MAX($C229,1E-12))</f>
        <v/>
      </c>
      <c r="E229" s="57">
        <f>(fcd_sn*sn_b*sn_h*(3/7+4/7*(1-$C229^2/3))+SUMPRODUCT($J$5:$K$5,$J229:$K229))/1000</f>
        <v/>
      </c>
      <c r="F229" s="57">
        <f>((fcd_sn*sn_b*(3/14*sn_h*(sn_h-3/7*sn_h)+4/7*sn_h*(sn_h/2-3/7*sn_h)*(1-$C229^2/3)-16/49*sn_h^2*(1/2-$C229^2/4))+SUMPRODUCT($J$5:$K$5,$J229:$K229,$J$7:$K$7))/1E6)</f>
        <v/>
      </c>
      <c r="J229">
        <f>MAX(-fyd_sn,MIN(fyd_sn,200000*0.002*(1-$C229*(7*J$6-3*sn_h)/(4*sn_h))))-fcd_sn*(1-MIN(1,MAX(0,$C229*(7*J$6-3*sn_h)/(4*sn_h)))^2)</f>
        <v/>
      </c>
      <c r="K229">
        <f>MAX(-fyd_sn,MIN(fyd_sn,200000*0.002*(1-$C229*(7*K$6-3*sn_h)/(4*sn_h))))-fcd_sn*(1-MIN(1,MAX(0,$C229*(7*K$6-3*sn_h)/(4*sn_h)))^2)</f>
        <v/>
      </c>
    </row>
    <row r="230">
      <c r="B230" s="55" t="n">
        <v>47</v>
      </c>
      <c r="C230" s="58">
        <f>1-47/200</f>
        <v/>
      </c>
      <c r="D230" s="59">
        <f>IF($C230&gt;=1,sn_h,3/7*sn_h+4/7*sn_h/MAX($C230,1E-12))</f>
        <v/>
      </c>
      <c r="E230" s="57">
        <f>(fcd_sn*sn_b*sn_h*(3/7+4/7*(1-$C230^2/3))+SUMPRODUCT($J$5:$K$5,$J230:$K230))/1000</f>
        <v/>
      </c>
      <c r="F230" s="57">
        <f>((fcd_sn*sn_b*(3/14*sn_h*(sn_h-3/7*sn_h)+4/7*sn_h*(sn_h/2-3/7*sn_h)*(1-$C230^2/3)-16/49*sn_h^2*(1/2-$C230^2/4))+SUMPRODUCT($J$5:$K$5,$J230:$K230,$J$7:$K$7))/1E6)</f>
        <v/>
      </c>
      <c r="J230">
        <f>MAX(-fyd_sn,MIN(fyd_sn,200000*0.002*(1-$C230*(7*J$6-3*sn_h)/(4*sn_h))))-fcd_sn*(1-MIN(1,MAX(0,$C230*(7*J$6-3*sn_h)/(4*sn_h)))^2)</f>
        <v/>
      </c>
      <c r="K230">
        <f>MAX(-fyd_sn,MIN(fyd_sn,200000*0.002*(1-$C230*(7*K$6-3*sn_h)/(4*sn_h))))-fcd_sn*(1-MIN(1,MAX(0,$C230*(7*K$6-3*sn_h)/(4*sn_h)))^2)</f>
        <v/>
      </c>
    </row>
    <row r="231">
      <c r="B231" s="55" t="n">
        <v>48</v>
      </c>
      <c r="C231" s="58">
        <f>1-48/200</f>
        <v/>
      </c>
      <c r="D231" s="59">
        <f>IF($C231&gt;=1,sn_h,3/7*sn_h+4/7*sn_h/MAX($C231,1E-12))</f>
        <v/>
      </c>
      <c r="E231" s="57">
        <f>(fcd_sn*sn_b*sn_h*(3/7+4/7*(1-$C231^2/3))+SUMPRODUCT($J$5:$K$5,$J231:$K231))/1000</f>
        <v/>
      </c>
      <c r="F231" s="57">
        <f>((fcd_sn*sn_b*(3/14*sn_h*(sn_h-3/7*sn_h)+4/7*sn_h*(sn_h/2-3/7*sn_h)*(1-$C231^2/3)-16/49*sn_h^2*(1/2-$C231^2/4))+SUMPRODUCT($J$5:$K$5,$J231:$K231,$J$7:$K$7))/1E6)</f>
        <v/>
      </c>
      <c r="J231">
        <f>MAX(-fyd_sn,MIN(fyd_sn,200000*0.002*(1-$C231*(7*J$6-3*sn_h)/(4*sn_h))))-fcd_sn*(1-MIN(1,MAX(0,$C231*(7*J$6-3*sn_h)/(4*sn_h)))^2)</f>
        <v/>
      </c>
      <c r="K231">
        <f>MAX(-fyd_sn,MIN(fyd_sn,200000*0.002*(1-$C231*(7*K$6-3*sn_h)/(4*sn_h))))-fcd_sn*(1-MIN(1,MAX(0,$C231*(7*K$6-3*sn_h)/(4*sn_h)))^2)</f>
        <v/>
      </c>
    </row>
    <row r="232">
      <c r="B232" s="55" t="n">
        <v>49</v>
      </c>
      <c r="C232" s="58">
        <f>1-49/200</f>
        <v/>
      </c>
      <c r="D232" s="59">
        <f>IF($C232&gt;=1,sn_h,3/7*sn_h+4/7*sn_h/MAX($C232,1E-12))</f>
        <v/>
      </c>
      <c r="E232" s="57">
        <f>(fcd_sn*sn_b*sn_h*(3/7+4/7*(1-$C232^2/3))+SUMPRODUCT($J$5:$K$5,$J232:$K232))/1000</f>
        <v/>
      </c>
      <c r="F232" s="57">
        <f>((fcd_sn*sn_b*(3/14*sn_h*(sn_h-3/7*sn_h)+4/7*sn_h*(sn_h/2-3/7*sn_h)*(1-$C232^2/3)-16/49*sn_h^2*(1/2-$C232^2/4))+SUMPRODUCT($J$5:$K$5,$J232:$K232,$J$7:$K$7))/1E6)</f>
        <v/>
      </c>
      <c r="J232">
        <f>MAX(-fyd_sn,MIN(fyd_sn,200000*0.002*(1-$C232*(7*J$6-3*sn_h)/(4*sn_h))))-fcd_sn*(1-MIN(1,MAX(0,$C232*(7*J$6-3*sn_h)/(4*sn_h)))^2)</f>
        <v/>
      </c>
      <c r="K232">
        <f>MAX(-fyd_sn,MIN(fyd_sn,200000*0.002*(1-$C232*(7*K$6-3*sn_h)/(4*sn_h))))-fcd_sn*(1-MIN(1,MAX(0,$C232*(7*K$6-3*sn_h)/(4*sn_h)))^2)</f>
        <v/>
      </c>
    </row>
    <row r="233">
      <c r="B233" s="55" t="n">
        <v>50</v>
      </c>
      <c r="C233" s="58">
        <f>1-50/200</f>
        <v/>
      </c>
      <c r="D233" s="59">
        <f>IF($C233&gt;=1,sn_h,3/7*sn_h+4/7*sn_h/MAX($C233,1E-12))</f>
        <v/>
      </c>
      <c r="E233" s="57">
        <f>(fcd_sn*sn_b*sn_h*(3/7+4/7*(1-$C233^2/3))+SUMPRODUCT($J$5:$K$5,$J233:$K233))/1000</f>
        <v/>
      </c>
      <c r="F233" s="57">
        <f>((fcd_sn*sn_b*(3/14*sn_h*(sn_h-3/7*sn_h)+4/7*sn_h*(sn_h/2-3/7*sn_h)*(1-$C233^2/3)-16/49*sn_h^2*(1/2-$C233^2/4))+SUMPRODUCT($J$5:$K$5,$J233:$K233,$J$7:$K$7))/1E6)</f>
        <v/>
      </c>
      <c r="J233">
        <f>MAX(-fyd_sn,MIN(fyd_sn,200000*0.002*(1-$C233*(7*J$6-3*sn_h)/(4*sn_h))))-fcd_sn*(1-MIN(1,MAX(0,$C233*(7*J$6-3*sn_h)/(4*sn_h)))^2)</f>
        <v/>
      </c>
      <c r="K233">
        <f>MAX(-fyd_sn,MIN(fyd_sn,200000*0.002*(1-$C233*(7*K$6-3*sn_h)/(4*sn_h))))-fcd_sn*(1-MIN(1,MAX(0,$C233*(7*K$6-3*sn_h)/(4*sn_h)))^2)</f>
        <v/>
      </c>
    </row>
    <row r="234">
      <c r="B234" s="55" t="n">
        <v>51</v>
      </c>
      <c r="C234" s="58">
        <f>1-51/200</f>
        <v/>
      </c>
      <c r="D234" s="59">
        <f>IF($C234&gt;=1,sn_h,3/7*sn_h+4/7*sn_h/MAX($C234,1E-12))</f>
        <v/>
      </c>
      <c r="E234" s="57">
        <f>(fcd_sn*sn_b*sn_h*(3/7+4/7*(1-$C234^2/3))+SUMPRODUCT($J$5:$K$5,$J234:$K234))/1000</f>
        <v/>
      </c>
      <c r="F234" s="57">
        <f>((fcd_sn*sn_b*(3/14*sn_h*(sn_h-3/7*sn_h)+4/7*sn_h*(sn_h/2-3/7*sn_h)*(1-$C234^2/3)-16/49*sn_h^2*(1/2-$C234^2/4))+SUMPRODUCT($J$5:$K$5,$J234:$K234,$J$7:$K$7))/1E6)</f>
        <v/>
      </c>
      <c r="J234">
        <f>MAX(-fyd_sn,MIN(fyd_sn,200000*0.002*(1-$C234*(7*J$6-3*sn_h)/(4*sn_h))))-fcd_sn*(1-MIN(1,MAX(0,$C234*(7*J$6-3*sn_h)/(4*sn_h)))^2)</f>
        <v/>
      </c>
      <c r="K234">
        <f>MAX(-fyd_sn,MIN(fyd_sn,200000*0.002*(1-$C234*(7*K$6-3*sn_h)/(4*sn_h))))-fcd_sn*(1-MIN(1,MAX(0,$C234*(7*K$6-3*sn_h)/(4*sn_h)))^2)</f>
        <v/>
      </c>
    </row>
    <row r="235">
      <c r="B235" s="55" t="n">
        <v>52</v>
      </c>
      <c r="C235" s="58">
        <f>1-52/200</f>
        <v/>
      </c>
      <c r="D235" s="59">
        <f>IF($C235&gt;=1,sn_h,3/7*sn_h+4/7*sn_h/MAX($C235,1E-12))</f>
        <v/>
      </c>
      <c r="E235" s="57">
        <f>(fcd_sn*sn_b*sn_h*(3/7+4/7*(1-$C235^2/3))+SUMPRODUCT($J$5:$K$5,$J235:$K235))/1000</f>
        <v/>
      </c>
      <c r="F235" s="57">
        <f>((fcd_sn*sn_b*(3/14*sn_h*(sn_h-3/7*sn_h)+4/7*sn_h*(sn_h/2-3/7*sn_h)*(1-$C235^2/3)-16/49*sn_h^2*(1/2-$C235^2/4))+SUMPRODUCT($J$5:$K$5,$J235:$K235,$J$7:$K$7))/1E6)</f>
        <v/>
      </c>
      <c r="J235">
        <f>MAX(-fyd_sn,MIN(fyd_sn,200000*0.002*(1-$C235*(7*J$6-3*sn_h)/(4*sn_h))))-fcd_sn*(1-MIN(1,MAX(0,$C235*(7*J$6-3*sn_h)/(4*sn_h)))^2)</f>
        <v/>
      </c>
      <c r="K235">
        <f>MAX(-fyd_sn,MIN(fyd_sn,200000*0.002*(1-$C235*(7*K$6-3*sn_h)/(4*sn_h))))-fcd_sn*(1-MIN(1,MAX(0,$C235*(7*K$6-3*sn_h)/(4*sn_h)))^2)</f>
        <v/>
      </c>
    </row>
    <row r="236">
      <c r="B236" s="55" t="n">
        <v>53</v>
      </c>
      <c r="C236" s="58">
        <f>1-53/200</f>
        <v/>
      </c>
      <c r="D236" s="59">
        <f>IF($C236&gt;=1,sn_h,3/7*sn_h+4/7*sn_h/MAX($C236,1E-12))</f>
        <v/>
      </c>
      <c r="E236" s="57">
        <f>(fcd_sn*sn_b*sn_h*(3/7+4/7*(1-$C236^2/3))+SUMPRODUCT($J$5:$K$5,$J236:$K236))/1000</f>
        <v/>
      </c>
      <c r="F236" s="57">
        <f>((fcd_sn*sn_b*(3/14*sn_h*(sn_h-3/7*sn_h)+4/7*sn_h*(sn_h/2-3/7*sn_h)*(1-$C236^2/3)-16/49*sn_h^2*(1/2-$C236^2/4))+SUMPRODUCT($J$5:$K$5,$J236:$K236,$J$7:$K$7))/1E6)</f>
        <v/>
      </c>
      <c r="J236">
        <f>MAX(-fyd_sn,MIN(fyd_sn,200000*0.002*(1-$C236*(7*J$6-3*sn_h)/(4*sn_h))))-fcd_sn*(1-MIN(1,MAX(0,$C236*(7*J$6-3*sn_h)/(4*sn_h)))^2)</f>
        <v/>
      </c>
      <c r="K236">
        <f>MAX(-fyd_sn,MIN(fyd_sn,200000*0.002*(1-$C236*(7*K$6-3*sn_h)/(4*sn_h))))-fcd_sn*(1-MIN(1,MAX(0,$C236*(7*K$6-3*sn_h)/(4*sn_h)))^2)</f>
        <v/>
      </c>
    </row>
    <row r="237">
      <c r="B237" s="55" t="n">
        <v>54</v>
      </c>
      <c r="C237" s="58">
        <f>1-54/200</f>
        <v/>
      </c>
      <c r="D237" s="59">
        <f>IF($C237&gt;=1,sn_h,3/7*sn_h+4/7*sn_h/MAX($C237,1E-12))</f>
        <v/>
      </c>
      <c r="E237" s="57">
        <f>(fcd_sn*sn_b*sn_h*(3/7+4/7*(1-$C237^2/3))+SUMPRODUCT($J$5:$K$5,$J237:$K237))/1000</f>
        <v/>
      </c>
      <c r="F237" s="57">
        <f>((fcd_sn*sn_b*(3/14*sn_h*(sn_h-3/7*sn_h)+4/7*sn_h*(sn_h/2-3/7*sn_h)*(1-$C237^2/3)-16/49*sn_h^2*(1/2-$C237^2/4))+SUMPRODUCT($J$5:$K$5,$J237:$K237,$J$7:$K$7))/1E6)</f>
        <v/>
      </c>
      <c r="J237">
        <f>MAX(-fyd_sn,MIN(fyd_sn,200000*0.002*(1-$C237*(7*J$6-3*sn_h)/(4*sn_h))))-fcd_sn*(1-MIN(1,MAX(0,$C237*(7*J$6-3*sn_h)/(4*sn_h)))^2)</f>
        <v/>
      </c>
      <c r="K237">
        <f>MAX(-fyd_sn,MIN(fyd_sn,200000*0.002*(1-$C237*(7*K$6-3*sn_h)/(4*sn_h))))-fcd_sn*(1-MIN(1,MAX(0,$C237*(7*K$6-3*sn_h)/(4*sn_h)))^2)</f>
        <v/>
      </c>
    </row>
    <row r="238">
      <c r="B238" s="55" t="n">
        <v>55</v>
      </c>
      <c r="C238" s="58">
        <f>1-55/200</f>
        <v/>
      </c>
      <c r="D238" s="59">
        <f>IF($C238&gt;=1,sn_h,3/7*sn_h+4/7*sn_h/MAX($C238,1E-12))</f>
        <v/>
      </c>
      <c r="E238" s="57">
        <f>(fcd_sn*sn_b*sn_h*(3/7+4/7*(1-$C238^2/3))+SUMPRODUCT($J$5:$K$5,$J238:$K238))/1000</f>
        <v/>
      </c>
      <c r="F238" s="57">
        <f>((fcd_sn*sn_b*(3/14*sn_h*(sn_h-3/7*sn_h)+4/7*sn_h*(sn_h/2-3/7*sn_h)*(1-$C238^2/3)-16/49*sn_h^2*(1/2-$C238^2/4))+SUMPRODUCT($J$5:$K$5,$J238:$K238,$J$7:$K$7))/1E6)</f>
        <v/>
      </c>
      <c r="J238">
        <f>MAX(-fyd_sn,MIN(fyd_sn,200000*0.002*(1-$C238*(7*J$6-3*sn_h)/(4*sn_h))))-fcd_sn*(1-MIN(1,MAX(0,$C238*(7*J$6-3*sn_h)/(4*sn_h)))^2)</f>
        <v/>
      </c>
      <c r="K238">
        <f>MAX(-fyd_sn,MIN(fyd_sn,200000*0.002*(1-$C238*(7*K$6-3*sn_h)/(4*sn_h))))-fcd_sn*(1-MIN(1,MAX(0,$C238*(7*K$6-3*sn_h)/(4*sn_h)))^2)</f>
        <v/>
      </c>
    </row>
    <row r="239">
      <c r="B239" s="55" t="n">
        <v>56</v>
      </c>
      <c r="C239" s="58">
        <f>1-56/200</f>
        <v/>
      </c>
      <c r="D239" s="59">
        <f>IF($C239&gt;=1,sn_h,3/7*sn_h+4/7*sn_h/MAX($C239,1E-12))</f>
        <v/>
      </c>
      <c r="E239" s="57">
        <f>(fcd_sn*sn_b*sn_h*(3/7+4/7*(1-$C239^2/3))+SUMPRODUCT($J$5:$K$5,$J239:$K239))/1000</f>
        <v/>
      </c>
      <c r="F239" s="57">
        <f>((fcd_sn*sn_b*(3/14*sn_h*(sn_h-3/7*sn_h)+4/7*sn_h*(sn_h/2-3/7*sn_h)*(1-$C239^2/3)-16/49*sn_h^2*(1/2-$C239^2/4))+SUMPRODUCT($J$5:$K$5,$J239:$K239,$J$7:$K$7))/1E6)</f>
        <v/>
      </c>
      <c r="J239">
        <f>MAX(-fyd_sn,MIN(fyd_sn,200000*0.002*(1-$C239*(7*J$6-3*sn_h)/(4*sn_h))))-fcd_sn*(1-MIN(1,MAX(0,$C239*(7*J$6-3*sn_h)/(4*sn_h)))^2)</f>
        <v/>
      </c>
      <c r="K239">
        <f>MAX(-fyd_sn,MIN(fyd_sn,200000*0.002*(1-$C239*(7*K$6-3*sn_h)/(4*sn_h))))-fcd_sn*(1-MIN(1,MAX(0,$C239*(7*K$6-3*sn_h)/(4*sn_h)))^2)</f>
        <v/>
      </c>
    </row>
    <row r="240">
      <c r="B240" s="55" t="n">
        <v>57</v>
      </c>
      <c r="C240" s="58">
        <f>1-57/200</f>
        <v/>
      </c>
      <c r="D240" s="59">
        <f>IF($C240&gt;=1,sn_h,3/7*sn_h+4/7*sn_h/MAX($C240,1E-12))</f>
        <v/>
      </c>
      <c r="E240" s="57">
        <f>(fcd_sn*sn_b*sn_h*(3/7+4/7*(1-$C240^2/3))+SUMPRODUCT($J$5:$K$5,$J240:$K240))/1000</f>
        <v/>
      </c>
      <c r="F240" s="57">
        <f>((fcd_sn*sn_b*(3/14*sn_h*(sn_h-3/7*sn_h)+4/7*sn_h*(sn_h/2-3/7*sn_h)*(1-$C240^2/3)-16/49*sn_h^2*(1/2-$C240^2/4))+SUMPRODUCT($J$5:$K$5,$J240:$K240,$J$7:$K$7))/1E6)</f>
        <v/>
      </c>
      <c r="J240">
        <f>MAX(-fyd_sn,MIN(fyd_sn,200000*0.002*(1-$C240*(7*J$6-3*sn_h)/(4*sn_h))))-fcd_sn*(1-MIN(1,MAX(0,$C240*(7*J$6-3*sn_h)/(4*sn_h)))^2)</f>
        <v/>
      </c>
      <c r="K240">
        <f>MAX(-fyd_sn,MIN(fyd_sn,200000*0.002*(1-$C240*(7*K$6-3*sn_h)/(4*sn_h))))-fcd_sn*(1-MIN(1,MAX(0,$C240*(7*K$6-3*sn_h)/(4*sn_h)))^2)</f>
        <v/>
      </c>
    </row>
    <row r="241">
      <c r="B241" s="55" t="n">
        <v>58</v>
      </c>
      <c r="C241" s="58">
        <f>1-58/200</f>
        <v/>
      </c>
      <c r="D241" s="59">
        <f>IF($C241&gt;=1,sn_h,3/7*sn_h+4/7*sn_h/MAX($C241,1E-12))</f>
        <v/>
      </c>
      <c r="E241" s="57">
        <f>(fcd_sn*sn_b*sn_h*(3/7+4/7*(1-$C241^2/3))+SUMPRODUCT($J$5:$K$5,$J241:$K241))/1000</f>
        <v/>
      </c>
      <c r="F241" s="57">
        <f>((fcd_sn*sn_b*(3/14*sn_h*(sn_h-3/7*sn_h)+4/7*sn_h*(sn_h/2-3/7*sn_h)*(1-$C241^2/3)-16/49*sn_h^2*(1/2-$C241^2/4))+SUMPRODUCT($J$5:$K$5,$J241:$K241,$J$7:$K$7))/1E6)</f>
        <v/>
      </c>
      <c r="J241">
        <f>MAX(-fyd_sn,MIN(fyd_sn,200000*0.002*(1-$C241*(7*J$6-3*sn_h)/(4*sn_h))))-fcd_sn*(1-MIN(1,MAX(0,$C241*(7*J$6-3*sn_h)/(4*sn_h)))^2)</f>
        <v/>
      </c>
      <c r="K241">
        <f>MAX(-fyd_sn,MIN(fyd_sn,200000*0.002*(1-$C241*(7*K$6-3*sn_h)/(4*sn_h))))-fcd_sn*(1-MIN(1,MAX(0,$C241*(7*K$6-3*sn_h)/(4*sn_h)))^2)</f>
        <v/>
      </c>
    </row>
    <row r="242">
      <c r="B242" s="55" t="n">
        <v>59</v>
      </c>
      <c r="C242" s="58">
        <f>1-59/200</f>
        <v/>
      </c>
      <c r="D242" s="59">
        <f>IF($C242&gt;=1,sn_h,3/7*sn_h+4/7*sn_h/MAX($C242,1E-12))</f>
        <v/>
      </c>
      <c r="E242" s="57">
        <f>(fcd_sn*sn_b*sn_h*(3/7+4/7*(1-$C242^2/3))+SUMPRODUCT($J$5:$K$5,$J242:$K242))/1000</f>
        <v/>
      </c>
      <c r="F242" s="57">
        <f>((fcd_sn*sn_b*(3/14*sn_h*(sn_h-3/7*sn_h)+4/7*sn_h*(sn_h/2-3/7*sn_h)*(1-$C242^2/3)-16/49*sn_h^2*(1/2-$C242^2/4))+SUMPRODUCT($J$5:$K$5,$J242:$K242,$J$7:$K$7))/1E6)</f>
        <v/>
      </c>
      <c r="J242">
        <f>MAX(-fyd_sn,MIN(fyd_sn,200000*0.002*(1-$C242*(7*J$6-3*sn_h)/(4*sn_h))))-fcd_sn*(1-MIN(1,MAX(0,$C242*(7*J$6-3*sn_h)/(4*sn_h)))^2)</f>
        <v/>
      </c>
      <c r="K242">
        <f>MAX(-fyd_sn,MIN(fyd_sn,200000*0.002*(1-$C242*(7*K$6-3*sn_h)/(4*sn_h))))-fcd_sn*(1-MIN(1,MAX(0,$C242*(7*K$6-3*sn_h)/(4*sn_h)))^2)</f>
        <v/>
      </c>
    </row>
    <row r="243">
      <c r="B243" s="55" t="n">
        <v>60</v>
      </c>
      <c r="C243" s="58">
        <f>1-60/200</f>
        <v/>
      </c>
      <c r="D243" s="59">
        <f>IF($C243&gt;=1,sn_h,3/7*sn_h+4/7*sn_h/MAX($C243,1E-12))</f>
        <v/>
      </c>
      <c r="E243" s="57">
        <f>(fcd_sn*sn_b*sn_h*(3/7+4/7*(1-$C243^2/3))+SUMPRODUCT($J$5:$K$5,$J243:$K243))/1000</f>
        <v/>
      </c>
      <c r="F243" s="57">
        <f>((fcd_sn*sn_b*(3/14*sn_h*(sn_h-3/7*sn_h)+4/7*sn_h*(sn_h/2-3/7*sn_h)*(1-$C243^2/3)-16/49*sn_h^2*(1/2-$C243^2/4))+SUMPRODUCT($J$5:$K$5,$J243:$K243,$J$7:$K$7))/1E6)</f>
        <v/>
      </c>
      <c r="J243">
        <f>MAX(-fyd_sn,MIN(fyd_sn,200000*0.002*(1-$C243*(7*J$6-3*sn_h)/(4*sn_h))))-fcd_sn*(1-MIN(1,MAX(0,$C243*(7*J$6-3*sn_h)/(4*sn_h)))^2)</f>
        <v/>
      </c>
      <c r="K243">
        <f>MAX(-fyd_sn,MIN(fyd_sn,200000*0.002*(1-$C243*(7*K$6-3*sn_h)/(4*sn_h))))-fcd_sn*(1-MIN(1,MAX(0,$C243*(7*K$6-3*sn_h)/(4*sn_h)))^2)</f>
        <v/>
      </c>
    </row>
    <row r="244">
      <c r="B244" s="55" t="n">
        <v>61</v>
      </c>
      <c r="C244" s="58">
        <f>1-61/200</f>
        <v/>
      </c>
      <c r="D244" s="59">
        <f>IF($C244&gt;=1,sn_h,3/7*sn_h+4/7*sn_h/MAX($C244,1E-12))</f>
        <v/>
      </c>
      <c r="E244" s="57">
        <f>(fcd_sn*sn_b*sn_h*(3/7+4/7*(1-$C244^2/3))+SUMPRODUCT($J$5:$K$5,$J244:$K244))/1000</f>
        <v/>
      </c>
      <c r="F244" s="57">
        <f>((fcd_sn*sn_b*(3/14*sn_h*(sn_h-3/7*sn_h)+4/7*sn_h*(sn_h/2-3/7*sn_h)*(1-$C244^2/3)-16/49*sn_h^2*(1/2-$C244^2/4))+SUMPRODUCT($J$5:$K$5,$J244:$K244,$J$7:$K$7))/1E6)</f>
        <v/>
      </c>
      <c r="J244">
        <f>MAX(-fyd_sn,MIN(fyd_sn,200000*0.002*(1-$C244*(7*J$6-3*sn_h)/(4*sn_h))))-fcd_sn*(1-MIN(1,MAX(0,$C244*(7*J$6-3*sn_h)/(4*sn_h)))^2)</f>
        <v/>
      </c>
      <c r="K244">
        <f>MAX(-fyd_sn,MIN(fyd_sn,200000*0.002*(1-$C244*(7*K$6-3*sn_h)/(4*sn_h))))-fcd_sn*(1-MIN(1,MAX(0,$C244*(7*K$6-3*sn_h)/(4*sn_h)))^2)</f>
        <v/>
      </c>
    </row>
    <row r="245">
      <c r="B245" s="55" t="n">
        <v>62</v>
      </c>
      <c r="C245" s="58">
        <f>1-62/200</f>
        <v/>
      </c>
      <c r="D245" s="59">
        <f>IF($C245&gt;=1,sn_h,3/7*sn_h+4/7*sn_h/MAX($C245,1E-12))</f>
        <v/>
      </c>
      <c r="E245" s="57">
        <f>(fcd_sn*sn_b*sn_h*(3/7+4/7*(1-$C245^2/3))+SUMPRODUCT($J$5:$K$5,$J245:$K245))/1000</f>
        <v/>
      </c>
      <c r="F245" s="57">
        <f>((fcd_sn*sn_b*(3/14*sn_h*(sn_h-3/7*sn_h)+4/7*sn_h*(sn_h/2-3/7*sn_h)*(1-$C245^2/3)-16/49*sn_h^2*(1/2-$C245^2/4))+SUMPRODUCT($J$5:$K$5,$J245:$K245,$J$7:$K$7))/1E6)</f>
        <v/>
      </c>
      <c r="J245">
        <f>MAX(-fyd_sn,MIN(fyd_sn,200000*0.002*(1-$C245*(7*J$6-3*sn_h)/(4*sn_h))))-fcd_sn*(1-MIN(1,MAX(0,$C245*(7*J$6-3*sn_h)/(4*sn_h)))^2)</f>
        <v/>
      </c>
      <c r="K245">
        <f>MAX(-fyd_sn,MIN(fyd_sn,200000*0.002*(1-$C245*(7*K$6-3*sn_h)/(4*sn_h))))-fcd_sn*(1-MIN(1,MAX(0,$C245*(7*K$6-3*sn_h)/(4*sn_h)))^2)</f>
        <v/>
      </c>
    </row>
    <row r="246">
      <c r="B246" s="55" t="n">
        <v>63</v>
      </c>
      <c r="C246" s="58">
        <f>1-63/200</f>
        <v/>
      </c>
      <c r="D246" s="59">
        <f>IF($C246&gt;=1,sn_h,3/7*sn_h+4/7*sn_h/MAX($C246,1E-12))</f>
        <v/>
      </c>
      <c r="E246" s="57">
        <f>(fcd_sn*sn_b*sn_h*(3/7+4/7*(1-$C246^2/3))+SUMPRODUCT($J$5:$K$5,$J246:$K246))/1000</f>
        <v/>
      </c>
      <c r="F246" s="57">
        <f>((fcd_sn*sn_b*(3/14*sn_h*(sn_h-3/7*sn_h)+4/7*sn_h*(sn_h/2-3/7*sn_h)*(1-$C246^2/3)-16/49*sn_h^2*(1/2-$C246^2/4))+SUMPRODUCT($J$5:$K$5,$J246:$K246,$J$7:$K$7))/1E6)</f>
        <v/>
      </c>
      <c r="J246">
        <f>MAX(-fyd_sn,MIN(fyd_sn,200000*0.002*(1-$C246*(7*J$6-3*sn_h)/(4*sn_h))))-fcd_sn*(1-MIN(1,MAX(0,$C246*(7*J$6-3*sn_h)/(4*sn_h)))^2)</f>
        <v/>
      </c>
      <c r="K246">
        <f>MAX(-fyd_sn,MIN(fyd_sn,200000*0.002*(1-$C246*(7*K$6-3*sn_h)/(4*sn_h))))-fcd_sn*(1-MIN(1,MAX(0,$C246*(7*K$6-3*sn_h)/(4*sn_h)))^2)</f>
        <v/>
      </c>
    </row>
    <row r="247">
      <c r="B247" s="55" t="n">
        <v>64</v>
      </c>
      <c r="C247" s="58">
        <f>1-64/200</f>
        <v/>
      </c>
      <c r="D247" s="59">
        <f>IF($C247&gt;=1,sn_h,3/7*sn_h+4/7*sn_h/MAX($C247,1E-12))</f>
        <v/>
      </c>
      <c r="E247" s="57">
        <f>(fcd_sn*sn_b*sn_h*(3/7+4/7*(1-$C247^2/3))+SUMPRODUCT($J$5:$K$5,$J247:$K247))/1000</f>
        <v/>
      </c>
      <c r="F247" s="57">
        <f>((fcd_sn*sn_b*(3/14*sn_h*(sn_h-3/7*sn_h)+4/7*sn_h*(sn_h/2-3/7*sn_h)*(1-$C247^2/3)-16/49*sn_h^2*(1/2-$C247^2/4))+SUMPRODUCT($J$5:$K$5,$J247:$K247,$J$7:$K$7))/1E6)</f>
        <v/>
      </c>
      <c r="J247">
        <f>MAX(-fyd_sn,MIN(fyd_sn,200000*0.002*(1-$C247*(7*J$6-3*sn_h)/(4*sn_h))))-fcd_sn*(1-MIN(1,MAX(0,$C247*(7*J$6-3*sn_h)/(4*sn_h)))^2)</f>
        <v/>
      </c>
      <c r="K247">
        <f>MAX(-fyd_sn,MIN(fyd_sn,200000*0.002*(1-$C247*(7*K$6-3*sn_h)/(4*sn_h))))-fcd_sn*(1-MIN(1,MAX(0,$C247*(7*K$6-3*sn_h)/(4*sn_h)))^2)</f>
        <v/>
      </c>
    </row>
    <row r="248">
      <c r="B248" s="55" t="n">
        <v>65</v>
      </c>
      <c r="C248" s="58">
        <f>1-65/200</f>
        <v/>
      </c>
      <c r="D248" s="59">
        <f>IF($C248&gt;=1,sn_h,3/7*sn_h+4/7*sn_h/MAX($C248,1E-12))</f>
        <v/>
      </c>
      <c r="E248" s="57">
        <f>(fcd_sn*sn_b*sn_h*(3/7+4/7*(1-$C248^2/3))+SUMPRODUCT($J$5:$K$5,$J248:$K248))/1000</f>
        <v/>
      </c>
      <c r="F248" s="57">
        <f>((fcd_sn*sn_b*(3/14*sn_h*(sn_h-3/7*sn_h)+4/7*sn_h*(sn_h/2-3/7*sn_h)*(1-$C248^2/3)-16/49*sn_h^2*(1/2-$C248^2/4))+SUMPRODUCT($J$5:$K$5,$J248:$K248,$J$7:$K$7))/1E6)</f>
        <v/>
      </c>
      <c r="J248">
        <f>MAX(-fyd_sn,MIN(fyd_sn,200000*0.002*(1-$C248*(7*J$6-3*sn_h)/(4*sn_h))))-fcd_sn*(1-MIN(1,MAX(0,$C248*(7*J$6-3*sn_h)/(4*sn_h)))^2)</f>
        <v/>
      </c>
      <c r="K248">
        <f>MAX(-fyd_sn,MIN(fyd_sn,200000*0.002*(1-$C248*(7*K$6-3*sn_h)/(4*sn_h))))-fcd_sn*(1-MIN(1,MAX(0,$C248*(7*K$6-3*sn_h)/(4*sn_h)))^2)</f>
        <v/>
      </c>
    </row>
    <row r="249">
      <c r="B249" s="55" t="n">
        <v>66</v>
      </c>
      <c r="C249" s="58">
        <f>1-66/200</f>
        <v/>
      </c>
      <c r="D249" s="59">
        <f>IF($C249&gt;=1,sn_h,3/7*sn_h+4/7*sn_h/MAX($C249,1E-12))</f>
        <v/>
      </c>
      <c r="E249" s="57">
        <f>(fcd_sn*sn_b*sn_h*(3/7+4/7*(1-$C249^2/3))+SUMPRODUCT($J$5:$K$5,$J249:$K249))/1000</f>
        <v/>
      </c>
      <c r="F249" s="57">
        <f>((fcd_sn*sn_b*(3/14*sn_h*(sn_h-3/7*sn_h)+4/7*sn_h*(sn_h/2-3/7*sn_h)*(1-$C249^2/3)-16/49*sn_h^2*(1/2-$C249^2/4))+SUMPRODUCT($J$5:$K$5,$J249:$K249,$J$7:$K$7))/1E6)</f>
        <v/>
      </c>
      <c r="J249">
        <f>MAX(-fyd_sn,MIN(fyd_sn,200000*0.002*(1-$C249*(7*J$6-3*sn_h)/(4*sn_h))))-fcd_sn*(1-MIN(1,MAX(0,$C249*(7*J$6-3*sn_h)/(4*sn_h)))^2)</f>
        <v/>
      </c>
      <c r="K249">
        <f>MAX(-fyd_sn,MIN(fyd_sn,200000*0.002*(1-$C249*(7*K$6-3*sn_h)/(4*sn_h))))-fcd_sn*(1-MIN(1,MAX(0,$C249*(7*K$6-3*sn_h)/(4*sn_h)))^2)</f>
        <v/>
      </c>
    </row>
    <row r="250">
      <c r="B250" s="55" t="n">
        <v>67</v>
      </c>
      <c r="C250" s="58">
        <f>1-67/200</f>
        <v/>
      </c>
      <c r="D250" s="59">
        <f>IF($C250&gt;=1,sn_h,3/7*sn_h+4/7*sn_h/MAX($C250,1E-12))</f>
        <v/>
      </c>
      <c r="E250" s="57">
        <f>(fcd_sn*sn_b*sn_h*(3/7+4/7*(1-$C250^2/3))+SUMPRODUCT($J$5:$K$5,$J250:$K250))/1000</f>
        <v/>
      </c>
      <c r="F250" s="57">
        <f>((fcd_sn*sn_b*(3/14*sn_h*(sn_h-3/7*sn_h)+4/7*sn_h*(sn_h/2-3/7*sn_h)*(1-$C250^2/3)-16/49*sn_h^2*(1/2-$C250^2/4))+SUMPRODUCT($J$5:$K$5,$J250:$K250,$J$7:$K$7))/1E6)</f>
        <v/>
      </c>
      <c r="J250">
        <f>MAX(-fyd_sn,MIN(fyd_sn,200000*0.002*(1-$C250*(7*J$6-3*sn_h)/(4*sn_h))))-fcd_sn*(1-MIN(1,MAX(0,$C250*(7*J$6-3*sn_h)/(4*sn_h)))^2)</f>
        <v/>
      </c>
      <c r="K250">
        <f>MAX(-fyd_sn,MIN(fyd_sn,200000*0.002*(1-$C250*(7*K$6-3*sn_h)/(4*sn_h))))-fcd_sn*(1-MIN(1,MAX(0,$C250*(7*K$6-3*sn_h)/(4*sn_h)))^2)</f>
        <v/>
      </c>
    </row>
    <row r="251">
      <c r="B251" s="55" t="n">
        <v>68</v>
      </c>
      <c r="C251" s="58">
        <f>1-68/200</f>
        <v/>
      </c>
      <c r="D251" s="59">
        <f>IF($C251&gt;=1,sn_h,3/7*sn_h+4/7*sn_h/MAX($C251,1E-12))</f>
        <v/>
      </c>
      <c r="E251" s="57">
        <f>(fcd_sn*sn_b*sn_h*(3/7+4/7*(1-$C251^2/3))+SUMPRODUCT($J$5:$K$5,$J251:$K251))/1000</f>
        <v/>
      </c>
      <c r="F251" s="57">
        <f>((fcd_sn*sn_b*(3/14*sn_h*(sn_h-3/7*sn_h)+4/7*sn_h*(sn_h/2-3/7*sn_h)*(1-$C251^2/3)-16/49*sn_h^2*(1/2-$C251^2/4))+SUMPRODUCT($J$5:$K$5,$J251:$K251,$J$7:$K$7))/1E6)</f>
        <v/>
      </c>
      <c r="J251">
        <f>MAX(-fyd_sn,MIN(fyd_sn,200000*0.002*(1-$C251*(7*J$6-3*sn_h)/(4*sn_h))))-fcd_sn*(1-MIN(1,MAX(0,$C251*(7*J$6-3*sn_h)/(4*sn_h)))^2)</f>
        <v/>
      </c>
      <c r="K251">
        <f>MAX(-fyd_sn,MIN(fyd_sn,200000*0.002*(1-$C251*(7*K$6-3*sn_h)/(4*sn_h))))-fcd_sn*(1-MIN(1,MAX(0,$C251*(7*K$6-3*sn_h)/(4*sn_h)))^2)</f>
        <v/>
      </c>
    </row>
    <row r="252">
      <c r="B252" s="55" t="n">
        <v>69</v>
      </c>
      <c r="C252" s="58">
        <f>1-69/200</f>
        <v/>
      </c>
      <c r="D252" s="59">
        <f>IF($C252&gt;=1,sn_h,3/7*sn_h+4/7*sn_h/MAX($C252,1E-12))</f>
        <v/>
      </c>
      <c r="E252" s="57">
        <f>(fcd_sn*sn_b*sn_h*(3/7+4/7*(1-$C252^2/3))+SUMPRODUCT($J$5:$K$5,$J252:$K252))/1000</f>
        <v/>
      </c>
      <c r="F252" s="57">
        <f>((fcd_sn*sn_b*(3/14*sn_h*(sn_h-3/7*sn_h)+4/7*sn_h*(sn_h/2-3/7*sn_h)*(1-$C252^2/3)-16/49*sn_h^2*(1/2-$C252^2/4))+SUMPRODUCT($J$5:$K$5,$J252:$K252,$J$7:$K$7))/1E6)</f>
        <v/>
      </c>
      <c r="J252">
        <f>MAX(-fyd_sn,MIN(fyd_sn,200000*0.002*(1-$C252*(7*J$6-3*sn_h)/(4*sn_h))))-fcd_sn*(1-MIN(1,MAX(0,$C252*(7*J$6-3*sn_h)/(4*sn_h)))^2)</f>
        <v/>
      </c>
      <c r="K252">
        <f>MAX(-fyd_sn,MIN(fyd_sn,200000*0.002*(1-$C252*(7*K$6-3*sn_h)/(4*sn_h))))-fcd_sn*(1-MIN(1,MAX(0,$C252*(7*K$6-3*sn_h)/(4*sn_h)))^2)</f>
        <v/>
      </c>
    </row>
    <row r="253">
      <c r="B253" s="55" t="n">
        <v>70</v>
      </c>
      <c r="C253" s="58">
        <f>1-70/200</f>
        <v/>
      </c>
      <c r="D253" s="59">
        <f>IF($C253&gt;=1,sn_h,3/7*sn_h+4/7*sn_h/MAX($C253,1E-12))</f>
        <v/>
      </c>
      <c r="E253" s="57">
        <f>(fcd_sn*sn_b*sn_h*(3/7+4/7*(1-$C253^2/3))+SUMPRODUCT($J$5:$K$5,$J253:$K253))/1000</f>
        <v/>
      </c>
      <c r="F253" s="57">
        <f>((fcd_sn*sn_b*(3/14*sn_h*(sn_h-3/7*sn_h)+4/7*sn_h*(sn_h/2-3/7*sn_h)*(1-$C253^2/3)-16/49*sn_h^2*(1/2-$C253^2/4))+SUMPRODUCT($J$5:$K$5,$J253:$K253,$J$7:$K$7))/1E6)</f>
        <v/>
      </c>
      <c r="J253">
        <f>MAX(-fyd_sn,MIN(fyd_sn,200000*0.002*(1-$C253*(7*J$6-3*sn_h)/(4*sn_h))))-fcd_sn*(1-MIN(1,MAX(0,$C253*(7*J$6-3*sn_h)/(4*sn_h)))^2)</f>
        <v/>
      </c>
      <c r="K253">
        <f>MAX(-fyd_sn,MIN(fyd_sn,200000*0.002*(1-$C253*(7*K$6-3*sn_h)/(4*sn_h))))-fcd_sn*(1-MIN(1,MAX(0,$C253*(7*K$6-3*sn_h)/(4*sn_h)))^2)</f>
        <v/>
      </c>
    </row>
    <row r="254">
      <c r="B254" s="55" t="n">
        <v>71</v>
      </c>
      <c r="C254" s="58">
        <f>1-71/200</f>
        <v/>
      </c>
      <c r="D254" s="59">
        <f>IF($C254&gt;=1,sn_h,3/7*sn_h+4/7*sn_h/MAX($C254,1E-12))</f>
        <v/>
      </c>
      <c r="E254" s="57">
        <f>(fcd_sn*sn_b*sn_h*(3/7+4/7*(1-$C254^2/3))+SUMPRODUCT($J$5:$K$5,$J254:$K254))/1000</f>
        <v/>
      </c>
      <c r="F254" s="57">
        <f>((fcd_sn*sn_b*(3/14*sn_h*(sn_h-3/7*sn_h)+4/7*sn_h*(sn_h/2-3/7*sn_h)*(1-$C254^2/3)-16/49*sn_h^2*(1/2-$C254^2/4))+SUMPRODUCT($J$5:$K$5,$J254:$K254,$J$7:$K$7))/1E6)</f>
        <v/>
      </c>
      <c r="J254">
        <f>MAX(-fyd_sn,MIN(fyd_sn,200000*0.002*(1-$C254*(7*J$6-3*sn_h)/(4*sn_h))))-fcd_sn*(1-MIN(1,MAX(0,$C254*(7*J$6-3*sn_h)/(4*sn_h)))^2)</f>
        <v/>
      </c>
      <c r="K254">
        <f>MAX(-fyd_sn,MIN(fyd_sn,200000*0.002*(1-$C254*(7*K$6-3*sn_h)/(4*sn_h))))-fcd_sn*(1-MIN(1,MAX(0,$C254*(7*K$6-3*sn_h)/(4*sn_h)))^2)</f>
        <v/>
      </c>
    </row>
    <row r="255">
      <c r="B255" s="55" t="n">
        <v>72</v>
      </c>
      <c r="C255" s="58">
        <f>1-72/200</f>
        <v/>
      </c>
      <c r="D255" s="59">
        <f>IF($C255&gt;=1,sn_h,3/7*sn_h+4/7*sn_h/MAX($C255,1E-12))</f>
        <v/>
      </c>
      <c r="E255" s="57">
        <f>(fcd_sn*sn_b*sn_h*(3/7+4/7*(1-$C255^2/3))+SUMPRODUCT($J$5:$K$5,$J255:$K255))/1000</f>
        <v/>
      </c>
      <c r="F255" s="57">
        <f>((fcd_sn*sn_b*(3/14*sn_h*(sn_h-3/7*sn_h)+4/7*sn_h*(sn_h/2-3/7*sn_h)*(1-$C255^2/3)-16/49*sn_h^2*(1/2-$C255^2/4))+SUMPRODUCT($J$5:$K$5,$J255:$K255,$J$7:$K$7))/1E6)</f>
        <v/>
      </c>
      <c r="J255">
        <f>MAX(-fyd_sn,MIN(fyd_sn,200000*0.002*(1-$C255*(7*J$6-3*sn_h)/(4*sn_h))))-fcd_sn*(1-MIN(1,MAX(0,$C255*(7*J$6-3*sn_h)/(4*sn_h)))^2)</f>
        <v/>
      </c>
      <c r="K255">
        <f>MAX(-fyd_sn,MIN(fyd_sn,200000*0.002*(1-$C255*(7*K$6-3*sn_h)/(4*sn_h))))-fcd_sn*(1-MIN(1,MAX(0,$C255*(7*K$6-3*sn_h)/(4*sn_h)))^2)</f>
        <v/>
      </c>
    </row>
    <row r="256">
      <c r="B256" s="55" t="n">
        <v>73</v>
      </c>
      <c r="C256" s="58">
        <f>1-73/200</f>
        <v/>
      </c>
      <c r="D256" s="59">
        <f>IF($C256&gt;=1,sn_h,3/7*sn_h+4/7*sn_h/MAX($C256,1E-12))</f>
        <v/>
      </c>
      <c r="E256" s="57">
        <f>(fcd_sn*sn_b*sn_h*(3/7+4/7*(1-$C256^2/3))+SUMPRODUCT($J$5:$K$5,$J256:$K256))/1000</f>
        <v/>
      </c>
      <c r="F256" s="57">
        <f>((fcd_sn*sn_b*(3/14*sn_h*(sn_h-3/7*sn_h)+4/7*sn_h*(sn_h/2-3/7*sn_h)*(1-$C256^2/3)-16/49*sn_h^2*(1/2-$C256^2/4))+SUMPRODUCT($J$5:$K$5,$J256:$K256,$J$7:$K$7))/1E6)</f>
        <v/>
      </c>
      <c r="J256">
        <f>MAX(-fyd_sn,MIN(fyd_sn,200000*0.002*(1-$C256*(7*J$6-3*sn_h)/(4*sn_h))))-fcd_sn*(1-MIN(1,MAX(0,$C256*(7*J$6-3*sn_h)/(4*sn_h)))^2)</f>
        <v/>
      </c>
      <c r="K256">
        <f>MAX(-fyd_sn,MIN(fyd_sn,200000*0.002*(1-$C256*(7*K$6-3*sn_h)/(4*sn_h))))-fcd_sn*(1-MIN(1,MAX(0,$C256*(7*K$6-3*sn_h)/(4*sn_h)))^2)</f>
        <v/>
      </c>
    </row>
    <row r="257">
      <c r="B257" s="55" t="n">
        <v>74</v>
      </c>
      <c r="C257" s="58">
        <f>1-74/200</f>
        <v/>
      </c>
      <c r="D257" s="59">
        <f>IF($C257&gt;=1,sn_h,3/7*sn_h+4/7*sn_h/MAX($C257,1E-12))</f>
        <v/>
      </c>
      <c r="E257" s="57">
        <f>(fcd_sn*sn_b*sn_h*(3/7+4/7*(1-$C257^2/3))+SUMPRODUCT($J$5:$K$5,$J257:$K257))/1000</f>
        <v/>
      </c>
      <c r="F257" s="57">
        <f>((fcd_sn*sn_b*(3/14*sn_h*(sn_h-3/7*sn_h)+4/7*sn_h*(sn_h/2-3/7*sn_h)*(1-$C257^2/3)-16/49*sn_h^2*(1/2-$C257^2/4))+SUMPRODUCT($J$5:$K$5,$J257:$K257,$J$7:$K$7))/1E6)</f>
        <v/>
      </c>
      <c r="J257">
        <f>MAX(-fyd_sn,MIN(fyd_sn,200000*0.002*(1-$C257*(7*J$6-3*sn_h)/(4*sn_h))))-fcd_sn*(1-MIN(1,MAX(0,$C257*(7*J$6-3*sn_h)/(4*sn_h)))^2)</f>
        <v/>
      </c>
      <c r="K257">
        <f>MAX(-fyd_sn,MIN(fyd_sn,200000*0.002*(1-$C257*(7*K$6-3*sn_h)/(4*sn_h))))-fcd_sn*(1-MIN(1,MAX(0,$C257*(7*K$6-3*sn_h)/(4*sn_h)))^2)</f>
        <v/>
      </c>
    </row>
    <row r="258">
      <c r="B258" s="55" t="n">
        <v>75</v>
      </c>
      <c r="C258" s="58">
        <f>1-75/200</f>
        <v/>
      </c>
      <c r="D258" s="59">
        <f>IF($C258&gt;=1,sn_h,3/7*sn_h+4/7*sn_h/MAX($C258,1E-12))</f>
        <v/>
      </c>
      <c r="E258" s="57">
        <f>(fcd_sn*sn_b*sn_h*(3/7+4/7*(1-$C258^2/3))+SUMPRODUCT($J$5:$K$5,$J258:$K258))/1000</f>
        <v/>
      </c>
      <c r="F258" s="57">
        <f>((fcd_sn*sn_b*(3/14*sn_h*(sn_h-3/7*sn_h)+4/7*sn_h*(sn_h/2-3/7*sn_h)*(1-$C258^2/3)-16/49*sn_h^2*(1/2-$C258^2/4))+SUMPRODUCT($J$5:$K$5,$J258:$K258,$J$7:$K$7))/1E6)</f>
        <v/>
      </c>
      <c r="J258">
        <f>MAX(-fyd_sn,MIN(fyd_sn,200000*0.002*(1-$C258*(7*J$6-3*sn_h)/(4*sn_h))))-fcd_sn*(1-MIN(1,MAX(0,$C258*(7*J$6-3*sn_h)/(4*sn_h)))^2)</f>
        <v/>
      </c>
      <c r="K258">
        <f>MAX(-fyd_sn,MIN(fyd_sn,200000*0.002*(1-$C258*(7*K$6-3*sn_h)/(4*sn_h))))-fcd_sn*(1-MIN(1,MAX(0,$C258*(7*K$6-3*sn_h)/(4*sn_h)))^2)</f>
        <v/>
      </c>
    </row>
    <row r="259">
      <c r="B259" s="55" t="n">
        <v>76</v>
      </c>
      <c r="C259" s="58">
        <f>1-76/200</f>
        <v/>
      </c>
      <c r="D259" s="59">
        <f>IF($C259&gt;=1,sn_h,3/7*sn_h+4/7*sn_h/MAX($C259,1E-12))</f>
        <v/>
      </c>
      <c r="E259" s="57">
        <f>(fcd_sn*sn_b*sn_h*(3/7+4/7*(1-$C259^2/3))+SUMPRODUCT($J$5:$K$5,$J259:$K259))/1000</f>
        <v/>
      </c>
      <c r="F259" s="57">
        <f>((fcd_sn*sn_b*(3/14*sn_h*(sn_h-3/7*sn_h)+4/7*sn_h*(sn_h/2-3/7*sn_h)*(1-$C259^2/3)-16/49*sn_h^2*(1/2-$C259^2/4))+SUMPRODUCT($J$5:$K$5,$J259:$K259,$J$7:$K$7))/1E6)</f>
        <v/>
      </c>
      <c r="J259">
        <f>MAX(-fyd_sn,MIN(fyd_sn,200000*0.002*(1-$C259*(7*J$6-3*sn_h)/(4*sn_h))))-fcd_sn*(1-MIN(1,MAX(0,$C259*(7*J$6-3*sn_h)/(4*sn_h)))^2)</f>
        <v/>
      </c>
      <c r="K259">
        <f>MAX(-fyd_sn,MIN(fyd_sn,200000*0.002*(1-$C259*(7*K$6-3*sn_h)/(4*sn_h))))-fcd_sn*(1-MIN(1,MAX(0,$C259*(7*K$6-3*sn_h)/(4*sn_h)))^2)</f>
        <v/>
      </c>
    </row>
    <row r="260">
      <c r="B260" s="55" t="n">
        <v>77</v>
      </c>
      <c r="C260" s="58">
        <f>1-77/200</f>
        <v/>
      </c>
      <c r="D260" s="59">
        <f>IF($C260&gt;=1,sn_h,3/7*sn_h+4/7*sn_h/MAX($C260,1E-12))</f>
        <v/>
      </c>
      <c r="E260" s="57">
        <f>(fcd_sn*sn_b*sn_h*(3/7+4/7*(1-$C260^2/3))+SUMPRODUCT($J$5:$K$5,$J260:$K260))/1000</f>
        <v/>
      </c>
      <c r="F260" s="57">
        <f>((fcd_sn*sn_b*(3/14*sn_h*(sn_h-3/7*sn_h)+4/7*sn_h*(sn_h/2-3/7*sn_h)*(1-$C260^2/3)-16/49*sn_h^2*(1/2-$C260^2/4))+SUMPRODUCT($J$5:$K$5,$J260:$K260,$J$7:$K$7))/1E6)</f>
        <v/>
      </c>
      <c r="J260">
        <f>MAX(-fyd_sn,MIN(fyd_sn,200000*0.002*(1-$C260*(7*J$6-3*sn_h)/(4*sn_h))))-fcd_sn*(1-MIN(1,MAX(0,$C260*(7*J$6-3*sn_h)/(4*sn_h)))^2)</f>
        <v/>
      </c>
      <c r="K260">
        <f>MAX(-fyd_sn,MIN(fyd_sn,200000*0.002*(1-$C260*(7*K$6-3*sn_h)/(4*sn_h))))-fcd_sn*(1-MIN(1,MAX(0,$C260*(7*K$6-3*sn_h)/(4*sn_h)))^2)</f>
        <v/>
      </c>
    </row>
    <row r="261">
      <c r="B261" s="55" t="n">
        <v>78</v>
      </c>
      <c r="C261" s="58">
        <f>1-78/200</f>
        <v/>
      </c>
      <c r="D261" s="59">
        <f>IF($C261&gt;=1,sn_h,3/7*sn_h+4/7*sn_h/MAX($C261,1E-12))</f>
        <v/>
      </c>
      <c r="E261" s="57">
        <f>(fcd_sn*sn_b*sn_h*(3/7+4/7*(1-$C261^2/3))+SUMPRODUCT($J$5:$K$5,$J261:$K261))/1000</f>
        <v/>
      </c>
      <c r="F261" s="57">
        <f>((fcd_sn*sn_b*(3/14*sn_h*(sn_h-3/7*sn_h)+4/7*sn_h*(sn_h/2-3/7*sn_h)*(1-$C261^2/3)-16/49*sn_h^2*(1/2-$C261^2/4))+SUMPRODUCT($J$5:$K$5,$J261:$K261,$J$7:$K$7))/1E6)</f>
        <v/>
      </c>
      <c r="J261">
        <f>MAX(-fyd_sn,MIN(fyd_sn,200000*0.002*(1-$C261*(7*J$6-3*sn_h)/(4*sn_h))))-fcd_sn*(1-MIN(1,MAX(0,$C261*(7*J$6-3*sn_h)/(4*sn_h)))^2)</f>
        <v/>
      </c>
      <c r="K261">
        <f>MAX(-fyd_sn,MIN(fyd_sn,200000*0.002*(1-$C261*(7*K$6-3*sn_h)/(4*sn_h))))-fcd_sn*(1-MIN(1,MAX(0,$C261*(7*K$6-3*sn_h)/(4*sn_h)))^2)</f>
        <v/>
      </c>
    </row>
    <row r="262">
      <c r="B262" s="55" t="n">
        <v>79</v>
      </c>
      <c r="C262" s="58">
        <f>1-79/200</f>
        <v/>
      </c>
      <c r="D262" s="59">
        <f>IF($C262&gt;=1,sn_h,3/7*sn_h+4/7*sn_h/MAX($C262,1E-12))</f>
        <v/>
      </c>
      <c r="E262" s="57">
        <f>(fcd_sn*sn_b*sn_h*(3/7+4/7*(1-$C262^2/3))+SUMPRODUCT($J$5:$K$5,$J262:$K262))/1000</f>
        <v/>
      </c>
      <c r="F262" s="57">
        <f>((fcd_sn*sn_b*(3/14*sn_h*(sn_h-3/7*sn_h)+4/7*sn_h*(sn_h/2-3/7*sn_h)*(1-$C262^2/3)-16/49*sn_h^2*(1/2-$C262^2/4))+SUMPRODUCT($J$5:$K$5,$J262:$K262,$J$7:$K$7))/1E6)</f>
        <v/>
      </c>
      <c r="J262">
        <f>MAX(-fyd_sn,MIN(fyd_sn,200000*0.002*(1-$C262*(7*J$6-3*sn_h)/(4*sn_h))))-fcd_sn*(1-MIN(1,MAX(0,$C262*(7*J$6-3*sn_h)/(4*sn_h)))^2)</f>
        <v/>
      </c>
      <c r="K262">
        <f>MAX(-fyd_sn,MIN(fyd_sn,200000*0.002*(1-$C262*(7*K$6-3*sn_h)/(4*sn_h))))-fcd_sn*(1-MIN(1,MAX(0,$C262*(7*K$6-3*sn_h)/(4*sn_h)))^2)</f>
        <v/>
      </c>
    </row>
    <row r="263">
      <c r="B263" s="55" t="n">
        <v>80</v>
      </c>
      <c r="C263" s="58">
        <f>1-80/200</f>
        <v/>
      </c>
      <c r="D263" s="59">
        <f>IF($C263&gt;=1,sn_h,3/7*sn_h+4/7*sn_h/MAX($C263,1E-12))</f>
        <v/>
      </c>
      <c r="E263" s="57">
        <f>(fcd_sn*sn_b*sn_h*(3/7+4/7*(1-$C263^2/3))+SUMPRODUCT($J$5:$K$5,$J263:$K263))/1000</f>
        <v/>
      </c>
      <c r="F263" s="57">
        <f>((fcd_sn*sn_b*(3/14*sn_h*(sn_h-3/7*sn_h)+4/7*sn_h*(sn_h/2-3/7*sn_h)*(1-$C263^2/3)-16/49*sn_h^2*(1/2-$C263^2/4))+SUMPRODUCT($J$5:$K$5,$J263:$K263,$J$7:$K$7))/1E6)</f>
        <v/>
      </c>
      <c r="J263">
        <f>MAX(-fyd_sn,MIN(fyd_sn,200000*0.002*(1-$C263*(7*J$6-3*sn_h)/(4*sn_h))))-fcd_sn*(1-MIN(1,MAX(0,$C263*(7*J$6-3*sn_h)/(4*sn_h)))^2)</f>
        <v/>
      </c>
      <c r="K263">
        <f>MAX(-fyd_sn,MIN(fyd_sn,200000*0.002*(1-$C263*(7*K$6-3*sn_h)/(4*sn_h))))-fcd_sn*(1-MIN(1,MAX(0,$C263*(7*K$6-3*sn_h)/(4*sn_h)))^2)</f>
        <v/>
      </c>
    </row>
    <row r="264">
      <c r="B264" s="55" t="n">
        <v>81</v>
      </c>
      <c r="C264" s="58">
        <f>1-81/200</f>
        <v/>
      </c>
      <c r="D264" s="59">
        <f>IF($C264&gt;=1,sn_h,3/7*sn_h+4/7*sn_h/MAX($C264,1E-12))</f>
        <v/>
      </c>
      <c r="E264" s="57">
        <f>(fcd_sn*sn_b*sn_h*(3/7+4/7*(1-$C264^2/3))+SUMPRODUCT($J$5:$K$5,$J264:$K264))/1000</f>
        <v/>
      </c>
      <c r="F264" s="57">
        <f>((fcd_sn*sn_b*(3/14*sn_h*(sn_h-3/7*sn_h)+4/7*sn_h*(sn_h/2-3/7*sn_h)*(1-$C264^2/3)-16/49*sn_h^2*(1/2-$C264^2/4))+SUMPRODUCT($J$5:$K$5,$J264:$K264,$J$7:$K$7))/1E6)</f>
        <v/>
      </c>
      <c r="J264">
        <f>MAX(-fyd_sn,MIN(fyd_sn,200000*0.002*(1-$C264*(7*J$6-3*sn_h)/(4*sn_h))))-fcd_sn*(1-MIN(1,MAX(0,$C264*(7*J$6-3*sn_h)/(4*sn_h)))^2)</f>
        <v/>
      </c>
      <c r="K264">
        <f>MAX(-fyd_sn,MIN(fyd_sn,200000*0.002*(1-$C264*(7*K$6-3*sn_h)/(4*sn_h))))-fcd_sn*(1-MIN(1,MAX(0,$C264*(7*K$6-3*sn_h)/(4*sn_h)))^2)</f>
        <v/>
      </c>
    </row>
    <row r="265">
      <c r="B265" s="55" t="n">
        <v>82</v>
      </c>
      <c r="C265" s="58">
        <f>1-82/200</f>
        <v/>
      </c>
      <c r="D265" s="59">
        <f>IF($C265&gt;=1,sn_h,3/7*sn_h+4/7*sn_h/MAX($C265,1E-12))</f>
        <v/>
      </c>
      <c r="E265" s="57">
        <f>(fcd_sn*sn_b*sn_h*(3/7+4/7*(1-$C265^2/3))+SUMPRODUCT($J$5:$K$5,$J265:$K265))/1000</f>
        <v/>
      </c>
      <c r="F265" s="57">
        <f>((fcd_sn*sn_b*(3/14*sn_h*(sn_h-3/7*sn_h)+4/7*sn_h*(sn_h/2-3/7*sn_h)*(1-$C265^2/3)-16/49*sn_h^2*(1/2-$C265^2/4))+SUMPRODUCT($J$5:$K$5,$J265:$K265,$J$7:$K$7))/1E6)</f>
        <v/>
      </c>
      <c r="J265">
        <f>MAX(-fyd_sn,MIN(fyd_sn,200000*0.002*(1-$C265*(7*J$6-3*sn_h)/(4*sn_h))))-fcd_sn*(1-MIN(1,MAX(0,$C265*(7*J$6-3*sn_h)/(4*sn_h)))^2)</f>
        <v/>
      </c>
      <c r="K265">
        <f>MAX(-fyd_sn,MIN(fyd_sn,200000*0.002*(1-$C265*(7*K$6-3*sn_h)/(4*sn_h))))-fcd_sn*(1-MIN(1,MAX(0,$C265*(7*K$6-3*sn_h)/(4*sn_h)))^2)</f>
        <v/>
      </c>
    </row>
    <row r="266">
      <c r="B266" s="55" t="n">
        <v>83</v>
      </c>
      <c r="C266" s="58">
        <f>1-83/200</f>
        <v/>
      </c>
      <c r="D266" s="59">
        <f>IF($C266&gt;=1,sn_h,3/7*sn_h+4/7*sn_h/MAX($C266,1E-12))</f>
        <v/>
      </c>
      <c r="E266" s="57">
        <f>(fcd_sn*sn_b*sn_h*(3/7+4/7*(1-$C266^2/3))+SUMPRODUCT($J$5:$K$5,$J266:$K266))/1000</f>
        <v/>
      </c>
      <c r="F266" s="57">
        <f>((fcd_sn*sn_b*(3/14*sn_h*(sn_h-3/7*sn_h)+4/7*sn_h*(sn_h/2-3/7*sn_h)*(1-$C266^2/3)-16/49*sn_h^2*(1/2-$C266^2/4))+SUMPRODUCT($J$5:$K$5,$J266:$K266,$J$7:$K$7))/1E6)</f>
        <v/>
      </c>
      <c r="J266">
        <f>MAX(-fyd_sn,MIN(fyd_sn,200000*0.002*(1-$C266*(7*J$6-3*sn_h)/(4*sn_h))))-fcd_sn*(1-MIN(1,MAX(0,$C266*(7*J$6-3*sn_h)/(4*sn_h)))^2)</f>
        <v/>
      </c>
      <c r="K266">
        <f>MAX(-fyd_sn,MIN(fyd_sn,200000*0.002*(1-$C266*(7*K$6-3*sn_h)/(4*sn_h))))-fcd_sn*(1-MIN(1,MAX(0,$C266*(7*K$6-3*sn_h)/(4*sn_h)))^2)</f>
        <v/>
      </c>
    </row>
    <row r="267">
      <c r="B267" s="55" t="n">
        <v>84</v>
      </c>
      <c r="C267" s="58">
        <f>1-84/200</f>
        <v/>
      </c>
      <c r="D267" s="59">
        <f>IF($C267&gt;=1,sn_h,3/7*sn_h+4/7*sn_h/MAX($C267,1E-12))</f>
        <v/>
      </c>
      <c r="E267" s="57">
        <f>(fcd_sn*sn_b*sn_h*(3/7+4/7*(1-$C267^2/3))+SUMPRODUCT($J$5:$K$5,$J267:$K267))/1000</f>
        <v/>
      </c>
      <c r="F267" s="57">
        <f>((fcd_sn*sn_b*(3/14*sn_h*(sn_h-3/7*sn_h)+4/7*sn_h*(sn_h/2-3/7*sn_h)*(1-$C267^2/3)-16/49*sn_h^2*(1/2-$C267^2/4))+SUMPRODUCT($J$5:$K$5,$J267:$K267,$J$7:$K$7))/1E6)</f>
        <v/>
      </c>
      <c r="J267">
        <f>MAX(-fyd_sn,MIN(fyd_sn,200000*0.002*(1-$C267*(7*J$6-3*sn_h)/(4*sn_h))))-fcd_sn*(1-MIN(1,MAX(0,$C267*(7*J$6-3*sn_h)/(4*sn_h)))^2)</f>
        <v/>
      </c>
      <c r="K267">
        <f>MAX(-fyd_sn,MIN(fyd_sn,200000*0.002*(1-$C267*(7*K$6-3*sn_h)/(4*sn_h))))-fcd_sn*(1-MIN(1,MAX(0,$C267*(7*K$6-3*sn_h)/(4*sn_h)))^2)</f>
        <v/>
      </c>
    </row>
    <row r="268">
      <c r="B268" s="55" t="n">
        <v>85</v>
      </c>
      <c r="C268" s="58">
        <f>1-85/200</f>
        <v/>
      </c>
      <c r="D268" s="59">
        <f>IF($C268&gt;=1,sn_h,3/7*sn_h+4/7*sn_h/MAX($C268,1E-12))</f>
        <v/>
      </c>
      <c r="E268" s="57">
        <f>(fcd_sn*sn_b*sn_h*(3/7+4/7*(1-$C268^2/3))+SUMPRODUCT($J$5:$K$5,$J268:$K268))/1000</f>
        <v/>
      </c>
      <c r="F268" s="57">
        <f>((fcd_sn*sn_b*(3/14*sn_h*(sn_h-3/7*sn_h)+4/7*sn_h*(sn_h/2-3/7*sn_h)*(1-$C268^2/3)-16/49*sn_h^2*(1/2-$C268^2/4))+SUMPRODUCT($J$5:$K$5,$J268:$K268,$J$7:$K$7))/1E6)</f>
        <v/>
      </c>
      <c r="J268">
        <f>MAX(-fyd_sn,MIN(fyd_sn,200000*0.002*(1-$C268*(7*J$6-3*sn_h)/(4*sn_h))))-fcd_sn*(1-MIN(1,MAX(0,$C268*(7*J$6-3*sn_h)/(4*sn_h)))^2)</f>
        <v/>
      </c>
      <c r="K268">
        <f>MAX(-fyd_sn,MIN(fyd_sn,200000*0.002*(1-$C268*(7*K$6-3*sn_h)/(4*sn_h))))-fcd_sn*(1-MIN(1,MAX(0,$C268*(7*K$6-3*sn_h)/(4*sn_h)))^2)</f>
        <v/>
      </c>
    </row>
    <row r="269">
      <c r="B269" s="55" t="n">
        <v>86</v>
      </c>
      <c r="C269" s="58">
        <f>1-86/200</f>
        <v/>
      </c>
      <c r="D269" s="59">
        <f>IF($C269&gt;=1,sn_h,3/7*sn_h+4/7*sn_h/MAX($C269,1E-12))</f>
        <v/>
      </c>
      <c r="E269" s="57">
        <f>(fcd_sn*sn_b*sn_h*(3/7+4/7*(1-$C269^2/3))+SUMPRODUCT($J$5:$K$5,$J269:$K269))/1000</f>
        <v/>
      </c>
      <c r="F269" s="57">
        <f>((fcd_sn*sn_b*(3/14*sn_h*(sn_h-3/7*sn_h)+4/7*sn_h*(sn_h/2-3/7*sn_h)*(1-$C269^2/3)-16/49*sn_h^2*(1/2-$C269^2/4))+SUMPRODUCT($J$5:$K$5,$J269:$K269,$J$7:$K$7))/1E6)</f>
        <v/>
      </c>
      <c r="J269">
        <f>MAX(-fyd_sn,MIN(fyd_sn,200000*0.002*(1-$C269*(7*J$6-3*sn_h)/(4*sn_h))))-fcd_sn*(1-MIN(1,MAX(0,$C269*(7*J$6-3*sn_h)/(4*sn_h)))^2)</f>
        <v/>
      </c>
      <c r="K269">
        <f>MAX(-fyd_sn,MIN(fyd_sn,200000*0.002*(1-$C269*(7*K$6-3*sn_h)/(4*sn_h))))-fcd_sn*(1-MIN(1,MAX(0,$C269*(7*K$6-3*sn_h)/(4*sn_h)))^2)</f>
        <v/>
      </c>
    </row>
    <row r="270">
      <c r="B270" s="55" t="n">
        <v>87</v>
      </c>
      <c r="C270" s="58">
        <f>1-87/200</f>
        <v/>
      </c>
      <c r="D270" s="59">
        <f>IF($C270&gt;=1,sn_h,3/7*sn_h+4/7*sn_h/MAX($C270,1E-12))</f>
        <v/>
      </c>
      <c r="E270" s="57">
        <f>(fcd_sn*sn_b*sn_h*(3/7+4/7*(1-$C270^2/3))+SUMPRODUCT($J$5:$K$5,$J270:$K270))/1000</f>
        <v/>
      </c>
      <c r="F270" s="57">
        <f>((fcd_sn*sn_b*(3/14*sn_h*(sn_h-3/7*sn_h)+4/7*sn_h*(sn_h/2-3/7*sn_h)*(1-$C270^2/3)-16/49*sn_h^2*(1/2-$C270^2/4))+SUMPRODUCT($J$5:$K$5,$J270:$K270,$J$7:$K$7))/1E6)</f>
        <v/>
      </c>
      <c r="J270">
        <f>MAX(-fyd_sn,MIN(fyd_sn,200000*0.002*(1-$C270*(7*J$6-3*sn_h)/(4*sn_h))))-fcd_sn*(1-MIN(1,MAX(0,$C270*(7*J$6-3*sn_h)/(4*sn_h)))^2)</f>
        <v/>
      </c>
      <c r="K270">
        <f>MAX(-fyd_sn,MIN(fyd_sn,200000*0.002*(1-$C270*(7*K$6-3*sn_h)/(4*sn_h))))-fcd_sn*(1-MIN(1,MAX(0,$C270*(7*K$6-3*sn_h)/(4*sn_h)))^2)</f>
        <v/>
      </c>
    </row>
    <row r="271">
      <c r="B271" s="55" t="n">
        <v>88</v>
      </c>
      <c r="C271" s="58">
        <f>1-88/200</f>
        <v/>
      </c>
      <c r="D271" s="59">
        <f>IF($C271&gt;=1,sn_h,3/7*sn_h+4/7*sn_h/MAX($C271,1E-12))</f>
        <v/>
      </c>
      <c r="E271" s="57">
        <f>(fcd_sn*sn_b*sn_h*(3/7+4/7*(1-$C271^2/3))+SUMPRODUCT($J$5:$K$5,$J271:$K271))/1000</f>
        <v/>
      </c>
      <c r="F271" s="57">
        <f>((fcd_sn*sn_b*(3/14*sn_h*(sn_h-3/7*sn_h)+4/7*sn_h*(sn_h/2-3/7*sn_h)*(1-$C271^2/3)-16/49*sn_h^2*(1/2-$C271^2/4))+SUMPRODUCT($J$5:$K$5,$J271:$K271,$J$7:$K$7))/1E6)</f>
        <v/>
      </c>
      <c r="J271">
        <f>MAX(-fyd_sn,MIN(fyd_sn,200000*0.002*(1-$C271*(7*J$6-3*sn_h)/(4*sn_h))))-fcd_sn*(1-MIN(1,MAX(0,$C271*(7*J$6-3*sn_h)/(4*sn_h)))^2)</f>
        <v/>
      </c>
      <c r="K271">
        <f>MAX(-fyd_sn,MIN(fyd_sn,200000*0.002*(1-$C271*(7*K$6-3*sn_h)/(4*sn_h))))-fcd_sn*(1-MIN(1,MAX(0,$C271*(7*K$6-3*sn_h)/(4*sn_h)))^2)</f>
        <v/>
      </c>
    </row>
    <row r="272">
      <c r="B272" s="55" t="n">
        <v>89</v>
      </c>
      <c r="C272" s="58">
        <f>1-89/200</f>
        <v/>
      </c>
      <c r="D272" s="59">
        <f>IF($C272&gt;=1,sn_h,3/7*sn_h+4/7*sn_h/MAX($C272,1E-12))</f>
        <v/>
      </c>
      <c r="E272" s="57">
        <f>(fcd_sn*sn_b*sn_h*(3/7+4/7*(1-$C272^2/3))+SUMPRODUCT($J$5:$K$5,$J272:$K272))/1000</f>
        <v/>
      </c>
      <c r="F272" s="57">
        <f>((fcd_sn*sn_b*(3/14*sn_h*(sn_h-3/7*sn_h)+4/7*sn_h*(sn_h/2-3/7*sn_h)*(1-$C272^2/3)-16/49*sn_h^2*(1/2-$C272^2/4))+SUMPRODUCT($J$5:$K$5,$J272:$K272,$J$7:$K$7))/1E6)</f>
        <v/>
      </c>
      <c r="J272">
        <f>MAX(-fyd_sn,MIN(fyd_sn,200000*0.002*(1-$C272*(7*J$6-3*sn_h)/(4*sn_h))))-fcd_sn*(1-MIN(1,MAX(0,$C272*(7*J$6-3*sn_h)/(4*sn_h)))^2)</f>
        <v/>
      </c>
      <c r="K272">
        <f>MAX(-fyd_sn,MIN(fyd_sn,200000*0.002*(1-$C272*(7*K$6-3*sn_h)/(4*sn_h))))-fcd_sn*(1-MIN(1,MAX(0,$C272*(7*K$6-3*sn_h)/(4*sn_h)))^2)</f>
        <v/>
      </c>
    </row>
    <row r="273">
      <c r="B273" s="55" t="n">
        <v>90</v>
      </c>
      <c r="C273" s="58">
        <f>1-90/200</f>
        <v/>
      </c>
      <c r="D273" s="59">
        <f>IF($C273&gt;=1,sn_h,3/7*sn_h+4/7*sn_h/MAX($C273,1E-12))</f>
        <v/>
      </c>
      <c r="E273" s="57">
        <f>(fcd_sn*sn_b*sn_h*(3/7+4/7*(1-$C273^2/3))+SUMPRODUCT($J$5:$K$5,$J273:$K273))/1000</f>
        <v/>
      </c>
      <c r="F273" s="57">
        <f>((fcd_sn*sn_b*(3/14*sn_h*(sn_h-3/7*sn_h)+4/7*sn_h*(sn_h/2-3/7*sn_h)*(1-$C273^2/3)-16/49*sn_h^2*(1/2-$C273^2/4))+SUMPRODUCT($J$5:$K$5,$J273:$K273,$J$7:$K$7))/1E6)</f>
        <v/>
      </c>
      <c r="J273">
        <f>MAX(-fyd_sn,MIN(fyd_sn,200000*0.002*(1-$C273*(7*J$6-3*sn_h)/(4*sn_h))))-fcd_sn*(1-MIN(1,MAX(0,$C273*(7*J$6-3*sn_h)/(4*sn_h)))^2)</f>
        <v/>
      </c>
      <c r="K273">
        <f>MAX(-fyd_sn,MIN(fyd_sn,200000*0.002*(1-$C273*(7*K$6-3*sn_h)/(4*sn_h))))-fcd_sn*(1-MIN(1,MAX(0,$C273*(7*K$6-3*sn_h)/(4*sn_h)))^2)</f>
        <v/>
      </c>
    </row>
    <row r="274">
      <c r="B274" s="55" t="n">
        <v>91</v>
      </c>
      <c r="C274" s="58">
        <f>1-91/200</f>
        <v/>
      </c>
      <c r="D274" s="59">
        <f>IF($C274&gt;=1,sn_h,3/7*sn_h+4/7*sn_h/MAX($C274,1E-12))</f>
        <v/>
      </c>
      <c r="E274" s="57">
        <f>(fcd_sn*sn_b*sn_h*(3/7+4/7*(1-$C274^2/3))+SUMPRODUCT($J$5:$K$5,$J274:$K274))/1000</f>
        <v/>
      </c>
      <c r="F274" s="57">
        <f>((fcd_sn*sn_b*(3/14*sn_h*(sn_h-3/7*sn_h)+4/7*sn_h*(sn_h/2-3/7*sn_h)*(1-$C274^2/3)-16/49*sn_h^2*(1/2-$C274^2/4))+SUMPRODUCT($J$5:$K$5,$J274:$K274,$J$7:$K$7))/1E6)</f>
        <v/>
      </c>
      <c r="J274">
        <f>MAX(-fyd_sn,MIN(fyd_sn,200000*0.002*(1-$C274*(7*J$6-3*sn_h)/(4*sn_h))))-fcd_sn*(1-MIN(1,MAX(0,$C274*(7*J$6-3*sn_h)/(4*sn_h)))^2)</f>
        <v/>
      </c>
      <c r="K274">
        <f>MAX(-fyd_sn,MIN(fyd_sn,200000*0.002*(1-$C274*(7*K$6-3*sn_h)/(4*sn_h))))-fcd_sn*(1-MIN(1,MAX(0,$C274*(7*K$6-3*sn_h)/(4*sn_h)))^2)</f>
        <v/>
      </c>
    </row>
    <row r="275">
      <c r="B275" s="55" t="n">
        <v>92</v>
      </c>
      <c r="C275" s="58">
        <f>1-92/200</f>
        <v/>
      </c>
      <c r="D275" s="59">
        <f>IF($C275&gt;=1,sn_h,3/7*sn_h+4/7*sn_h/MAX($C275,1E-12))</f>
        <v/>
      </c>
      <c r="E275" s="57">
        <f>(fcd_sn*sn_b*sn_h*(3/7+4/7*(1-$C275^2/3))+SUMPRODUCT($J$5:$K$5,$J275:$K275))/1000</f>
        <v/>
      </c>
      <c r="F275" s="57">
        <f>((fcd_sn*sn_b*(3/14*sn_h*(sn_h-3/7*sn_h)+4/7*sn_h*(sn_h/2-3/7*sn_h)*(1-$C275^2/3)-16/49*sn_h^2*(1/2-$C275^2/4))+SUMPRODUCT($J$5:$K$5,$J275:$K275,$J$7:$K$7))/1E6)</f>
        <v/>
      </c>
      <c r="J275">
        <f>MAX(-fyd_sn,MIN(fyd_sn,200000*0.002*(1-$C275*(7*J$6-3*sn_h)/(4*sn_h))))-fcd_sn*(1-MIN(1,MAX(0,$C275*(7*J$6-3*sn_h)/(4*sn_h)))^2)</f>
        <v/>
      </c>
      <c r="K275">
        <f>MAX(-fyd_sn,MIN(fyd_sn,200000*0.002*(1-$C275*(7*K$6-3*sn_h)/(4*sn_h))))-fcd_sn*(1-MIN(1,MAX(0,$C275*(7*K$6-3*sn_h)/(4*sn_h)))^2)</f>
        <v/>
      </c>
    </row>
    <row r="276">
      <c r="B276" s="55" t="n">
        <v>93</v>
      </c>
      <c r="C276" s="58">
        <f>1-93/200</f>
        <v/>
      </c>
      <c r="D276" s="59">
        <f>IF($C276&gt;=1,sn_h,3/7*sn_h+4/7*sn_h/MAX($C276,1E-12))</f>
        <v/>
      </c>
      <c r="E276" s="57">
        <f>(fcd_sn*sn_b*sn_h*(3/7+4/7*(1-$C276^2/3))+SUMPRODUCT($J$5:$K$5,$J276:$K276))/1000</f>
        <v/>
      </c>
      <c r="F276" s="57">
        <f>((fcd_sn*sn_b*(3/14*sn_h*(sn_h-3/7*sn_h)+4/7*sn_h*(sn_h/2-3/7*sn_h)*(1-$C276^2/3)-16/49*sn_h^2*(1/2-$C276^2/4))+SUMPRODUCT($J$5:$K$5,$J276:$K276,$J$7:$K$7))/1E6)</f>
        <v/>
      </c>
      <c r="J276">
        <f>MAX(-fyd_sn,MIN(fyd_sn,200000*0.002*(1-$C276*(7*J$6-3*sn_h)/(4*sn_h))))-fcd_sn*(1-MIN(1,MAX(0,$C276*(7*J$6-3*sn_h)/(4*sn_h)))^2)</f>
        <v/>
      </c>
      <c r="K276">
        <f>MAX(-fyd_sn,MIN(fyd_sn,200000*0.002*(1-$C276*(7*K$6-3*sn_h)/(4*sn_h))))-fcd_sn*(1-MIN(1,MAX(0,$C276*(7*K$6-3*sn_h)/(4*sn_h)))^2)</f>
        <v/>
      </c>
    </row>
    <row r="277">
      <c r="B277" s="55" t="n">
        <v>94</v>
      </c>
      <c r="C277" s="58">
        <f>1-94/200</f>
        <v/>
      </c>
      <c r="D277" s="59">
        <f>IF($C277&gt;=1,sn_h,3/7*sn_h+4/7*sn_h/MAX($C277,1E-12))</f>
        <v/>
      </c>
      <c r="E277" s="57">
        <f>(fcd_sn*sn_b*sn_h*(3/7+4/7*(1-$C277^2/3))+SUMPRODUCT($J$5:$K$5,$J277:$K277))/1000</f>
        <v/>
      </c>
      <c r="F277" s="57">
        <f>((fcd_sn*sn_b*(3/14*sn_h*(sn_h-3/7*sn_h)+4/7*sn_h*(sn_h/2-3/7*sn_h)*(1-$C277^2/3)-16/49*sn_h^2*(1/2-$C277^2/4))+SUMPRODUCT($J$5:$K$5,$J277:$K277,$J$7:$K$7))/1E6)</f>
        <v/>
      </c>
      <c r="J277">
        <f>MAX(-fyd_sn,MIN(fyd_sn,200000*0.002*(1-$C277*(7*J$6-3*sn_h)/(4*sn_h))))-fcd_sn*(1-MIN(1,MAX(0,$C277*(7*J$6-3*sn_h)/(4*sn_h)))^2)</f>
        <v/>
      </c>
      <c r="K277">
        <f>MAX(-fyd_sn,MIN(fyd_sn,200000*0.002*(1-$C277*(7*K$6-3*sn_h)/(4*sn_h))))-fcd_sn*(1-MIN(1,MAX(0,$C277*(7*K$6-3*sn_h)/(4*sn_h)))^2)</f>
        <v/>
      </c>
    </row>
    <row r="278">
      <c r="B278" s="55" t="n">
        <v>95</v>
      </c>
      <c r="C278" s="58">
        <f>1-95/200</f>
        <v/>
      </c>
      <c r="D278" s="59">
        <f>IF($C278&gt;=1,sn_h,3/7*sn_h+4/7*sn_h/MAX($C278,1E-12))</f>
        <v/>
      </c>
      <c r="E278" s="57">
        <f>(fcd_sn*sn_b*sn_h*(3/7+4/7*(1-$C278^2/3))+SUMPRODUCT($J$5:$K$5,$J278:$K278))/1000</f>
        <v/>
      </c>
      <c r="F278" s="57">
        <f>((fcd_sn*sn_b*(3/14*sn_h*(sn_h-3/7*sn_h)+4/7*sn_h*(sn_h/2-3/7*sn_h)*(1-$C278^2/3)-16/49*sn_h^2*(1/2-$C278^2/4))+SUMPRODUCT($J$5:$K$5,$J278:$K278,$J$7:$K$7))/1E6)</f>
        <v/>
      </c>
      <c r="J278">
        <f>MAX(-fyd_sn,MIN(fyd_sn,200000*0.002*(1-$C278*(7*J$6-3*sn_h)/(4*sn_h))))-fcd_sn*(1-MIN(1,MAX(0,$C278*(7*J$6-3*sn_h)/(4*sn_h)))^2)</f>
        <v/>
      </c>
      <c r="K278">
        <f>MAX(-fyd_sn,MIN(fyd_sn,200000*0.002*(1-$C278*(7*K$6-3*sn_h)/(4*sn_h))))-fcd_sn*(1-MIN(1,MAX(0,$C278*(7*K$6-3*sn_h)/(4*sn_h)))^2)</f>
        <v/>
      </c>
    </row>
    <row r="279">
      <c r="B279" s="55" t="n">
        <v>96</v>
      </c>
      <c r="C279" s="58">
        <f>1-96/200</f>
        <v/>
      </c>
      <c r="D279" s="59">
        <f>IF($C279&gt;=1,sn_h,3/7*sn_h+4/7*sn_h/MAX($C279,1E-12))</f>
        <v/>
      </c>
      <c r="E279" s="57">
        <f>(fcd_sn*sn_b*sn_h*(3/7+4/7*(1-$C279^2/3))+SUMPRODUCT($J$5:$K$5,$J279:$K279))/1000</f>
        <v/>
      </c>
      <c r="F279" s="57">
        <f>((fcd_sn*sn_b*(3/14*sn_h*(sn_h-3/7*sn_h)+4/7*sn_h*(sn_h/2-3/7*sn_h)*(1-$C279^2/3)-16/49*sn_h^2*(1/2-$C279^2/4))+SUMPRODUCT($J$5:$K$5,$J279:$K279,$J$7:$K$7))/1E6)</f>
        <v/>
      </c>
      <c r="J279">
        <f>MAX(-fyd_sn,MIN(fyd_sn,200000*0.002*(1-$C279*(7*J$6-3*sn_h)/(4*sn_h))))-fcd_sn*(1-MIN(1,MAX(0,$C279*(7*J$6-3*sn_h)/(4*sn_h)))^2)</f>
        <v/>
      </c>
      <c r="K279">
        <f>MAX(-fyd_sn,MIN(fyd_sn,200000*0.002*(1-$C279*(7*K$6-3*sn_h)/(4*sn_h))))-fcd_sn*(1-MIN(1,MAX(0,$C279*(7*K$6-3*sn_h)/(4*sn_h)))^2)</f>
        <v/>
      </c>
    </row>
    <row r="280">
      <c r="B280" s="55" t="n">
        <v>97</v>
      </c>
      <c r="C280" s="58">
        <f>1-97/200</f>
        <v/>
      </c>
      <c r="D280" s="59">
        <f>IF($C280&gt;=1,sn_h,3/7*sn_h+4/7*sn_h/MAX($C280,1E-12))</f>
        <v/>
      </c>
      <c r="E280" s="57">
        <f>(fcd_sn*sn_b*sn_h*(3/7+4/7*(1-$C280^2/3))+SUMPRODUCT($J$5:$K$5,$J280:$K280))/1000</f>
        <v/>
      </c>
      <c r="F280" s="57">
        <f>((fcd_sn*sn_b*(3/14*sn_h*(sn_h-3/7*sn_h)+4/7*sn_h*(sn_h/2-3/7*sn_h)*(1-$C280^2/3)-16/49*sn_h^2*(1/2-$C280^2/4))+SUMPRODUCT($J$5:$K$5,$J280:$K280,$J$7:$K$7))/1E6)</f>
        <v/>
      </c>
      <c r="J280">
        <f>MAX(-fyd_sn,MIN(fyd_sn,200000*0.002*(1-$C280*(7*J$6-3*sn_h)/(4*sn_h))))-fcd_sn*(1-MIN(1,MAX(0,$C280*(7*J$6-3*sn_h)/(4*sn_h)))^2)</f>
        <v/>
      </c>
      <c r="K280">
        <f>MAX(-fyd_sn,MIN(fyd_sn,200000*0.002*(1-$C280*(7*K$6-3*sn_h)/(4*sn_h))))-fcd_sn*(1-MIN(1,MAX(0,$C280*(7*K$6-3*sn_h)/(4*sn_h)))^2)</f>
        <v/>
      </c>
    </row>
    <row r="281">
      <c r="B281" s="55" t="n">
        <v>98</v>
      </c>
      <c r="C281" s="58">
        <f>1-98/200</f>
        <v/>
      </c>
      <c r="D281" s="59">
        <f>IF($C281&gt;=1,sn_h,3/7*sn_h+4/7*sn_h/MAX($C281,1E-12))</f>
        <v/>
      </c>
      <c r="E281" s="57">
        <f>(fcd_sn*sn_b*sn_h*(3/7+4/7*(1-$C281^2/3))+SUMPRODUCT($J$5:$K$5,$J281:$K281))/1000</f>
        <v/>
      </c>
      <c r="F281" s="57">
        <f>((fcd_sn*sn_b*(3/14*sn_h*(sn_h-3/7*sn_h)+4/7*sn_h*(sn_h/2-3/7*sn_h)*(1-$C281^2/3)-16/49*sn_h^2*(1/2-$C281^2/4))+SUMPRODUCT($J$5:$K$5,$J281:$K281,$J$7:$K$7))/1E6)</f>
        <v/>
      </c>
      <c r="J281">
        <f>MAX(-fyd_sn,MIN(fyd_sn,200000*0.002*(1-$C281*(7*J$6-3*sn_h)/(4*sn_h))))-fcd_sn*(1-MIN(1,MAX(0,$C281*(7*J$6-3*sn_h)/(4*sn_h)))^2)</f>
        <v/>
      </c>
      <c r="K281">
        <f>MAX(-fyd_sn,MIN(fyd_sn,200000*0.002*(1-$C281*(7*K$6-3*sn_h)/(4*sn_h))))-fcd_sn*(1-MIN(1,MAX(0,$C281*(7*K$6-3*sn_h)/(4*sn_h)))^2)</f>
        <v/>
      </c>
    </row>
    <row r="282">
      <c r="B282" s="55" t="n">
        <v>99</v>
      </c>
      <c r="C282" s="58">
        <f>1-99/200</f>
        <v/>
      </c>
      <c r="D282" s="59">
        <f>IF($C282&gt;=1,sn_h,3/7*sn_h+4/7*sn_h/MAX($C282,1E-12))</f>
        <v/>
      </c>
      <c r="E282" s="57">
        <f>(fcd_sn*sn_b*sn_h*(3/7+4/7*(1-$C282^2/3))+SUMPRODUCT($J$5:$K$5,$J282:$K282))/1000</f>
        <v/>
      </c>
      <c r="F282" s="57">
        <f>((fcd_sn*sn_b*(3/14*sn_h*(sn_h-3/7*sn_h)+4/7*sn_h*(sn_h/2-3/7*sn_h)*(1-$C282^2/3)-16/49*sn_h^2*(1/2-$C282^2/4))+SUMPRODUCT($J$5:$K$5,$J282:$K282,$J$7:$K$7))/1E6)</f>
        <v/>
      </c>
      <c r="J282">
        <f>MAX(-fyd_sn,MIN(fyd_sn,200000*0.002*(1-$C282*(7*J$6-3*sn_h)/(4*sn_h))))-fcd_sn*(1-MIN(1,MAX(0,$C282*(7*J$6-3*sn_h)/(4*sn_h)))^2)</f>
        <v/>
      </c>
      <c r="K282">
        <f>MAX(-fyd_sn,MIN(fyd_sn,200000*0.002*(1-$C282*(7*K$6-3*sn_h)/(4*sn_h))))-fcd_sn*(1-MIN(1,MAX(0,$C282*(7*K$6-3*sn_h)/(4*sn_h)))^2)</f>
        <v/>
      </c>
    </row>
    <row r="283">
      <c r="B283" s="55" t="n">
        <v>100</v>
      </c>
      <c r="C283" s="58">
        <f>1-100/200</f>
        <v/>
      </c>
      <c r="D283" s="59">
        <f>IF($C283&gt;=1,sn_h,3/7*sn_h+4/7*sn_h/MAX($C283,1E-12))</f>
        <v/>
      </c>
      <c r="E283" s="57">
        <f>(fcd_sn*sn_b*sn_h*(3/7+4/7*(1-$C283^2/3))+SUMPRODUCT($J$5:$K$5,$J283:$K283))/1000</f>
        <v/>
      </c>
      <c r="F283" s="57">
        <f>((fcd_sn*sn_b*(3/14*sn_h*(sn_h-3/7*sn_h)+4/7*sn_h*(sn_h/2-3/7*sn_h)*(1-$C283^2/3)-16/49*sn_h^2*(1/2-$C283^2/4))+SUMPRODUCT($J$5:$K$5,$J283:$K283,$J$7:$K$7))/1E6)</f>
        <v/>
      </c>
      <c r="J283">
        <f>MAX(-fyd_sn,MIN(fyd_sn,200000*0.002*(1-$C283*(7*J$6-3*sn_h)/(4*sn_h))))-fcd_sn*(1-MIN(1,MAX(0,$C283*(7*J$6-3*sn_h)/(4*sn_h)))^2)</f>
        <v/>
      </c>
      <c r="K283">
        <f>MAX(-fyd_sn,MIN(fyd_sn,200000*0.002*(1-$C283*(7*K$6-3*sn_h)/(4*sn_h))))-fcd_sn*(1-MIN(1,MAX(0,$C283*(7*K$6-3*sn_h)/(4*sn_h)))^2)</f>
        <v/>
      </c>
    </row>
    <row r="284">
      <c r="B284" s="55" t="n">
        <v>101</v>
      </c>
      <c r="C284" s="58">
        <f>1-101/200</f>
        <v/>
      </c>
      <c r="D284" s="59">
        <f>IF($C284&gt;=1,sn_h,3/7*sn_h+4/7*sn_h/MAX($C284,1E-12))</f>
        <v/>
      </c>
      <c r="E284" s="57">
        <f>(fcd_sn*sn_b*sn_h*(3/7+4/7*(1-$C284^2/3))+SUMPRODUCT($J$5:$K$5,$J284:$K284))/1000</f>
        <v/>
      </c>
      <c r="F284" s="57">
        <f>((fcd_sn*sn_b*(3/14*sn_h*(sn_h-3/7*sn_h)+4/7*sn_h*(sn_h/2-3/7*sn_h)*(1-$C284^2/3)-16/49*sn_h^2*(1/2-$C284^2/4))+SUMPRODUCT($J$5:$K$5,$J284:$K284,$J$7:$K$7))/1E6)</f>
        <v/>
      </c>
      <c r="J284">
        <f>MAX(-fyd_sn,MIN(fyd_sn,200000*0.002*(1-$C284*(7*J$6-3*sn_h)/(4*sn_h))))-fcd_sn*(1-MIN(1,MAX(0,$C284*(7*J$6-3*sn_h)/(4*sn_h)))^2)</f>
        <v/>
      </c>
      <c r="K284">
        <f>MAX(-fyd_sn,MIN(fyd_sn,200000*0.002*(1-$C284*(7*K$6-3*sn_h)/(4*sn_h))))-fcd_sn*(1-MIN(1,MAX(0,$C284*(7*K$6-3*sn_h)/(4*sn_h)))^2)</f>
        <v/>
      </c>
    </row>
    <row r="285">
      <c r="B285" s="55" t="n">
        <v>102</v>
      </c>
      <c r="C285" s="58">
        <f>1-102/200</f>
        <v/>
      </c>
      <c r="D285" s="59">
        <f>IF($C285&gt;=1,sn_h,3/7*sn_h+4/7*sn_h/MAX($C285,1E-12))</f>
        <v/>
      </c>
      <c r="E285" s="57">
        <f>(fcd_sn*sn_b*sn_h*(3/7+4/7*(1-$C285^2/3))+SUMPRODUCT($J$5:$K$5,$J285:$K285))/1000</f>
        <v/>
      </c>
      <c r="F285" s="57">
        <f>((fcd_sn*sn_b*(3/14*sn_h*(sn_h-3/7*sn_h)+4/7*sn_h*(sn_h/2-3/7*sn_h)*(1-$C285^2/3)-16/49*sn_h^2*(1/2-$C285^2/4))+SUMPRODUCT($J$5:$K$5,$J285:$K285,$J$7:$K$7))/1E6)</f>
        <v/>
      </c>
      <c r="J285">
        <f>MAX(-fyd_sn,MIN(fyd_sn,200000*0.002*(1-$C285*(7*J$6-3*sn_h)/(4*sn_h))))-fcd_sn*(1-MIN(1,MAX(0,$C285*(7*J$6-3*sn_h)/(4*sn_h)))^2)</f>
        <v/>
      </c>
      <c r="K285">
        <f>MAX(-fyd_sn,MIN(fyd_sn,200000*0.002*(1-$C285*(7*K$6-3*sn_h)/(4*sn_h))))-fcd_sn*(1-MIN(1,MAX(0,$C285*(7*K$6-3*sn_h)/(4*sn_h)))^2)</f>
        <v/>
      </c>
    </row>
    <row r="286">
      <c r="B286" s="55" t="n">
        <v>103</v>
      </c>
      <c r="C286" s="58">
        <f>1-103/200</f>
        <v/>
      </c>
      <c r="D286" s="59">
        <f>IF($C286&gt;=1,sn_h,3/7*sn_h+4/7*sn_h/MAX($C286,1E-12))</f>
        <v/>
      </c>
      <c r="E286" s="57">
        <f>(fcd_sn*sn_b*sn_h*(3/7+4/7*(1-$C286^2/3))+SUMPRODUCT($J$5:$K$5,$J286:$K286))/1000</f>
        <v/>
      </c>
      <c r="F286" s="57">
        <f>((fcd_sn*sn_b*(3/14*sn_h*(sn_h-3/7*sn_h)+4/7*sn_h*(sn_h/2-3/7*sn_h)*(1-$C286^2/3)-16/49*sn_h^2*(1/2-$C286^2/4))+SUMPRODUCT($J$5:$K$5,$J286:$K286,$J$7:$K$7))/1E6)</f>
        <v/>
      </c>
      <c r="J286">
        <f>MAX(-fyd_sn,MIN(fyd_sn,200000*0.002*(1-$C286*(7*J$6-3*sn_h)/(4*sn_h))))-fcd_sn*(1-MIN(1,MAX(0,$C286*(7*J$6-3*sn_h)/(4*sn_h)))^2)</f>
        <v/>
      </c>
      <c r="K286">
        <f>MAX(-fyd_sn,MIN(fyd_sn,200000*0.002*(1-$C286*(7*K$6-3*sn_h)/(4*sn_h))))-fcd_sn*(1-MIN(1,MAX(0,$C286*(7*K$6-3*sn_h)/(4*sn_h)))^2)</f>
        <v/>
      </c>
    </row>
    <row r="287">
      <c r="B287" s="55" t="n">
        <v>104</v>
      </c>
      <c r="C287" s="58">
        <f>1-104/200</f>
        <v/>
      </c>
      <c r="D287" s="59">
        <f>IF($C287&gt;=1,sn_h,3/7*sn_h+4/7*sn_h/MAX($C287,1E-12))</f>
        <v/>
      </c>
      <c r="E287" s="57">
        <f>(fcd_sn*sn_b*sn_h*(3/7+4/7*(1-$C287^2/3))+SUMPRODUCT($J$5:$K$5,$J287:$K287))/1000</f>
        <v/>
      </c>
      <c r="F287" s="57">
        <f>((fcd_sn*sn_b*(3/14*sn_h*(sn_h-3/7*sn_h)+4/7*sn_h*(sn_h/2-3/7*sn_h)*(1-$C287^2/3)-16/49*sn_h^2*(1/2-$C287^2/4))+SUMPRODUCT($J$5:$K$5,$J287:$K287,$J$7:$K$7))/1E6)</f>
        <v/>
      </c>
      <c r="J287">
        <f>MAX(-fyd_sn,MIN(fyd_sn,200000*0.002*(1-$C287*(7*J$6-3*sn_h)/(4*sn_h))))-fcd_sn*(1-MIN(1,MAX(0,$C287*(7*J$6-3*sn_h)/(4*sn_h)))^2)</f>
        <v/>
      </c>
      <c r="K287">
        <f>MAX(-fyd_sn,MIN(fyd_sn,200000*0.002*(1-$C287*(7*K$6-3*sn_h)/(4*sn_h))))-fcd_sn*(1-MIN(1,MAX(0,$C287*(7*K$6-3*sn_h)/(4*sn_h)))^2)</f>
        <v/>
      </c>
    </row>
    <row r="288">
      <c r="B288" s="55" t="n">
        <v>105</v>
      </c>
      <c r="C288" s="58">
        <f>1-105/200</f>
        <v/>
      </c>
      <c r="D288" s="59">
        <f>IF($C288&gt;=1,sn_h,3/7*sn_h+4/7*sn_h/MAX($C288,1E-12))</f>
        <v/>
      </c>
      <c r="E288" s="57">
        <f>(fcd_sn*sn_b*sn_h*(3/7+4/7*(1-$C288^2/3))+SUMPRODUCT($J$5:$K$5,$J288:$K288))/1000</f>
        <v/>
      </c>
      <c r="F288" s="57">
        <f>((fcd_sn*sn_b*(3/14*sn_h*(sn_h-3/7*sn_h)+4/7*sn_h*(sn_h/2-3/7*sn_h)*(1-$C288^2/3)-16/49*sn_h^2*(1/2-$C288^2/4))+SUMPRODUCT($J$5:$K$5,$J288:$K288,$J$7:$K$7))/1E6)</f>
        <v/>
      </c>
      <c r="J288">
        <f>MAX(-fyd_sn,MIN(fyd_sn,200000*0.002*(1-$C288*(7*J$6-3*sn_h)/(4*sn_h))))-fcd_sn*(1-MIN(1,MAX(0,$C288*(7*J$6-3*sn_h)/(4*sn_h)))^2)</f>
        <v/>
      </c>
      <c r="K288">
        <f>MAX(-fyd_sn,MIN(fyd_sn,200000*0.002*(1-$C288*(7*K$6-3*sn_h)/(4*sn_h))))-fcd_sn*(1-MIN(1,MAX(0,$C288*(7*K$6-3*sn_h)/(4*sn_h)))^2)</f>
        <v/>
      </c>
    </row>
    <row r="289">
      <c r="B289" s="55" t="n">
        <v>106</v>
      </c>
      <c r="C289" s="58">
        <f>1-106/200</f>
        <v/>
      </c>
      <c r="D289" s="59">
        <f>IF($C289&gt;=1,sn_h,3/7*sn_h+4/7*sn_h/MAX($C289,1E-12))</f>
        <v/>
      </c>
      <c r="E289" s="57">
        <f>(fcd_sn*sn_b*sn_h*(3/7+4/7*(1-$C289^2/3))+SUMPRODUCT($J$5:$K$5,$J289:$K289))/1000</f>
        <v/>
      </c>
      <c r="F289" s="57">
        <f>((fcd_sn*sn_b*(3/14*sn_h*(sn_h-3/7*sn_h)+4/7*sn_h*(sn_h/2-3/7*sn_h)*(1-$C289^2/3)-16/49*sn_h^2*(1/2-$C289^2/4))+SUMPRODUCT($J$5:$K$5,$J289:$K289,$J$7:$K$7))/1E6)</f>
        <v/>
      </c>
      <c r="J289">
        <f>MAX(-fyd_sn,MIN(fyd_sn,200000*0.002*(1-$C289*(7*J$6-3*sn_h)/(4*sn_h))))-fcd_sn*(1-MIN(1,MAX(0,$C289*(7*J$6-3*sn_h)/(4*sn_h)))^2)</f>
        <v/>
      </c>
      <c r="K289">
        <f>MAX(-fyd_sn,MIN(fyd_sn,200000*0.002*(1-$C289*(7*K$6-3*sn_h)/(4*sn_h))))-fcd_sn*(1-MIN(1,MAX(0,$C289*(7*K$6-3*sn_h)/(4*sn_h)))^2)</f>
        <v/>
      </c>
    </row>
    <row r="290">
      <c r="B290" s="55" t="n">
        <v>107</v>
      </c>
      <c r="C290" s="58">
        <f>1-107/200</f>
        <v/>
      </c>
      <c r="D290" s="59">
        <f>IF($C290&gt;=1,sn_h,3/7*sn_h+4/7*sn_h/MAX($C290,1E-12))</f>
        <v/>
      </c>
      <c r="E290" s="57">
        <f>(fcd_sn*sn_b*sn_h*(3/7+4/7*(1-$C290^2/3))+SUMPRODUCT($J$5:$K$5,$J290:$K290))/1000</f>
        <v/>
      </c>
      <c r="F290" s="57">
        <f>((fcd_sn*sn_b*(3/14*sn_h*(sn_h-3/7*sn_h)+4/7*sn_h*(sn_h/2-3/7*sn_h)*(1-$C290^2/3)-16/49*sn_h^2*(1/2-$C290^2/4))+SUMPRODUCT($J$5:$K$5,$J290:$K290,$J$7:$K$7))/1E6)</f>
        <v/>
      </c>
      <c r="J290">
        <f>MAX(-fyd_sn,MIN(fyd_sn,200000*0.002*(1-$C290*(7*J$6-3*sn_h)/(4*sn_h))))-fcd_sn*(1-MIN(1,MAX(0,$C290*(7*J$6-3*sn_h)/(4*sn_h)))^2)</f>
        <v/>
      </c>
      <c r="K290">
        <f>MAX(-fyd_sn,MIN(fyd_sn,200000*0.002*(1-$C290*(7*K$6-3*sn_h)/(4*sn_h))))-fcd_sn*(1-MIN(1,MAX(0,$C290*(7*K$6-3*sn_h)/(4*sn_h)))^2)</f>
        <v/>
      </c>
    </row>
    <row r="291">
      <c r="B291" s="55" t="n">
        <v>108</v>
      </c>
      <c r="C291" s="58">
        <f>1-108/200</f>
        <v/>
      </c>
      <c r="D291" s="59">
        <f>IF($C291&gt;=1,sn_h,3/7*sn_h+4/7*sn_h/MAX($C291,1E-12))</f>
        <v/>
      </c>
      <c r="E291" s="57">
        <f>(fcd_sn*sn_b*sn_h*(3/7+4/7*(1-$C291^2/3))+SUMPRODUCT($J$5:$K$5,$J291:$K291))/1000</f>
        <v/>
      </c>
      <c r="F291" s="57">
        <f>((fcd_sn*sn_b*(3/14*sn_h*(sn_h-3/7*sn_h)+4/7*sn_h*(sn_h/2-3/7*sn_h)*(1-$C291^2/3)-16/49*sn_h^2*(1/2-$C291^2/4))+SUMPRODUCT($J$5:$K$5,$J291:$K291,$J$7:$K$7))/1E6)</f>
        <v/>
      </c>
      <c r="J291">
        <f>MAX(-fyd_sn,MIN(fyd_sn,200000*0.002*(1-$C291*(7*J$6-3*sn_h)/(4*sn_h))))-fcd_sn*(1-MIN(1,MAX(0,$C291*(7*J$6-3*sn_h)/(4*sn_h)))^2)</f>
        <v/>
      </c>
      <c r="K291">
        <f>MAX(-fyd_sn,MIN(fyd_sn,200000*0.002*(1-$C291*(7*K$6-3*sn_h)/(4*sn_h))))-fcd_sn*(1-MIN(1,MAX(0,$C291*(7*K$6-3*sn_h)/(4*sn_h)))^2)</f>
        <v/>
      </c>
    </row>
    <row r="292">
      <c r="B292" s="55" t="n">
        <v>109</v>
      </c>
      <c r="C292" s="58">
        <f>1-109/200</f>
        <v/>
      </c>
      <c r="D292" s="59">
        <f>IF($C292&gt;=1,sn_h,3/7*sn_h+4/7*sn_h/MAX($C292,1E-12))</f>
        <v/>
      </c>
      <c r="E292" s="57">
        <f>(fcd_sn*sn_b*sn_h*(3/7+4/7*(1-$C292^2/3))+SUMPRODUCT($J$5:$K$5,$J292:$K292))/1000</f>
        <v/>
      </c>
      <c r="F292" s="57">
        <f>((fcd_sn*sn_b*(3/14*sn_h*(sn_h-3/7*sn_h)+4/7*sn_h*(sn_h/2-3/7*sn_h)*(1-$C292^2/3)-16/49*sn_h^2*(1/2-$C292^2/4))+SUMPRODUCT($J$5:$K$5,$J292:$K292,$J$7:$K$7))/1E6)</f>
        <v/>
      </c>
      <c r="J292">
        <f>MAX(-fyd_sn,MIN(fyd_sn,200000*0.002*(1-$C292*(7*J$6-3*sn_h)/(4*sn_h))))-fcd_sn*(1-MIN(1,MAX(0,$C292*(7*J$6-3*sn_h)/(4*sn_h)))^2)</f>
        <v/>
      </c>
      <c r="K292">
        <f>MAX(-fyd_sn,MIN(fyd_sn,200000*0.002*(1-$C292*(7*K$6-3*sn_h)/(4*sn_h))))-fcd_sn*(1-MIN(1,MAX(0,$C292*(7*K$6-3*sn_h)/(4*sn_h)))^2)</f>
        <v/>
      </c>
    </row>
    <row r="293">
      <c r="B293" s="55" t="n">
        <v>110</v>
      </c>
      <c r="C293" s="58">
        <f>1-110/200</f>
        <v/>
      </c>
      <c r="D293" s="59">
        <f>IF($C293&gt;=1,sn_h,3/7*sn_h+4/7*sn_h/MAX($C293,1E-12))</f>
        <v/>
      </c>
      <c r="E293" s="57">
        <f>(fcd_sn*sn_b*sn_h*(3/7+4/7*(1-$C293^2/3))+SUMPRODUCT($J$5:$K$5,$J293:$K293))/1000</f>
        <v/>
      </c>
      <c r="F293" s="57">
        <f>((fcd_sn*sn_b*(3/14*sn_h*(sn_h-3/7*sn_h)+4/7*sn_h*(sn_h/2-3/7*sn_h)*(1-$C293^2/3)-16/49*sn_h^2*(1/2-$C293^2/4))+SUMPRODUCT($J$5:$K$5,$J293:$K293,$J$7:$K$7))/1E6)</f>
        <v/>
      </c>
      <c r="J293">
        <f>MAX(-fyd_sn,MIN(fyd_sn,200000*0.002*(1-$C293*(7*J$6-3*sn_h)/(4*sn_h))))-fcd_sn*(1-MIN(1,MAX(0,$C293*(7*J$6-3*sn_h)/(4*sn_h)))^2)</f>
        <v/>
      </c>
      <c r="K293">
        <f>MAX(-fyd_sn,MIN(fyd_sn,200000*0.002*(1-$C293*(7*K$6-3*sn_h)/(4*sn_h))))-fcd_sn*(1-MIN(1,MAX(0,$C293*(7*K$6-3*sn_h)/(4*sn_h)))^2)</f>
        <v/>
      </c>
    </row>
    <row r="294">
      <c r="B294" s="55" t="n">
        <v>111</v>
      </c>
      <c r="C294" s="58">
        <f>1-111/200</f>
        <v/>
      </c>
      <c r="D294" s="59">
        <f>IF($C294&gt;=1,sn_h,3/7*sn_h+4/7*sn_h/MAX($C294,1E-12))</f>
        <v/>
      </c>
      <c r="E294" s="57">
        <f>(fcd_sn*sn_b*sn_h*(3/7+4/7*(1-$C294^2/3))+SUMPRODUCT($J$5:$K$5,$J294:$K294))/1000</f>
        <v/>
      </c>
      <c r="F294" s="57">
        <f>((fcd_sn*sn_b*(3/14*sn_h*(sn_h-3/7*sn_h)+4/7*sn_h*(sn_h/2-3/7*sn_h)*(1-$C294^2/3)-16/49*sn_h^2*(1/2-$C294^2/4))+SUMPRODUCT($J$5:$K$5,$J294:$K294,$J$7:$K$7))/1E6)</f>
        <v/>
      </c>
      <c r="J294">
        <f>MAX(-fyd_sn,MIN(fyd_sn,200000*0.002*(1-$C294*(7*J$6-3*sn_h)/(4*sn_h))))-fcd_sn*(1-MIN(1,MAX(0,$C294*(7*J$6-3*sn_h)/(4*sn_h)))^2)</f>
        <v/>
      </c>
      <c r="K294">
        <f>MAX(-fyd_sn,MIN(fyd_sn,200000*0.002*(1-$C294*(7*K$6-3*sn_h)/(4*sn_h))))-fcd_sn*(1-MIN(1,MAX(0,$C294*(7*K$6-3*sn_h)/(4*sn_h)))^2)</f>
        <v/>
      </c>
    </row>
    <row r="295">
      <c r="B295" s="55" t="n">
        <v>112</v>
      </c>
      <c r="C295" s="58">
        <f>1-112/200</f>
        <v/>
      </c>
      <c r="D295" s="59">
        <f>IF($C295&gt;=1,sn_h,3/7*sn_h+4/7*sn_h/MAX($C295,1E-12))</f>
        <v/>
      </c>
      <c r="E295" s="57">
        <f>(fcd_sn*sn_b*sn_h*(3/7+4/7*(1-$C295^2/3))+SUMPRODUCT($J$5:$K$5,$J295:$K295))/1000</f>
        <v/>
      </c>
      <c r="F295" s="57">
        <f>((fcd_sn*sn_b*(3/14*sn_h*(sn_h-3/7*sn_h)+4/7*sn_h*(sn_h/2-3/7*sn_h)*(1-$C295^2/3)-16/49*sn_h^2*(1/2-$C295^2/4))+SUMPRODUCT($J$5:$K$5,$J295:$K295,$J$7:$K$7))/1E6)</f>
        <v/>
      </c>
      <c r="J295">
        <f>MAX(-fyd_sn,MIN(fyd_sn,200000*0.002*(1-$C295*(7*J$6-3*sn_h)/(4*sn_h))))-fcd_sn*(1-MIN(1,MAX(0,$C295*(7*J$6-3*sn_h)/(4*sn_h)))^2)</f>
        <v/>
      </c>
      <c r="K295">
        <f>MAX(-fyd_sn,MIN(fyd_sn,200000*0.002*(1-$C295*(7*K$6-3*sn_h)/(4*sn_h))))-fcd_sn*(1-MIN(1,MAX(0,$C295*(7*K$6-3*sn_h)/(4*sn_h)))^2)</f>
        <v/>
      </c>
    </row>
    <row r="296">
      <c r="B296" s="55" t="n">
        <v>113</v>
      </c>
      <c r="C296" s="58">
        <f>1-113/200</f>
        <v/>
      </c>
      <c r="D296" s="59">
        <f>IF($C296&gt;=1,sn_h,3/7*sn_h+4/7*sn_h/MAX($C296,1E-12))</f>
        <v/>
      </c>
      <c r="E296" s="57">
        <f>(fcd_sn*sn_b*sn_h*(3/7+4/7*(1-$C296^2/3))+SUMPRODUCT($J$5:$K$5,$J296:$K296))/1000</f>
        <v/>
      </c>
      <c r="F296" s="57">
        <f>((fcd_sn*sn_b*(3/14*sn_h*(sn_h-3/7*sn_h)+4/7*sn_h*(sn_h/2-3/7*sn_h)*(1-$C296^2/3)-16/49*sn_h^2*(1/2-$C296^2/4))+SUMPRODUCT($J$5:$K$5,$J296:$K296,$J$7:$K$7))/1E6)</f>
        <v/>
      </c>
      <c r="J296">
        <f>MAX(-fyd_sn,MIN(fyd_sn,200000*0.002*(1-$C296*(7*J$6-3*sn_h)/(4*sn_h))))-fcd_sn*(1-MIN(1,MAX(0,$C296*(7*J$6-3*sn_h)/(4*sn_h)))^2)</f>
        <v/>
      </c>
      <c r="K296">
        <f>MAX(-fyd_sn,MIN(fyd_sn,200000*0.002*(1-$C296*(7*K$6-3*sn_h)/(4*sn_h))))-fcd_sn*(1-MIN(1,MAX(0,$C296*(7*K$6-3*sn_h)/(4*sn_h)))^2)</f>
        <v/>
      </c>
    </row>
    <row r="297">
      <c r="B297" s="55" t="n">
        <v>114</v>
      </c>
      <c r="C297" s="58">
        <f>1-114/200</f>
        <v/>
      </c>
      <c r="D297" s="59">
        <f>IF($C297&gt;=1,sn_h,3/7*sn_h+4/7*sn_h/MAX($C297,1E-12))</f>
        <v/>
      </c>
      <c r="E297" s="57">
        <f>(fcd_sn*sn_b*sn_h*(3/7+4/7*(1-$C297^2/3))+SUMPRODUCT($J$5:$K$5,$J297:$K297))/1000</f>
        <v/>
      </c>
      <c r="F297" s="57">
        <f>((fcd_sn*sn_b*(3/14*sn_h*(sn_h-3/7*sn_h)+4/7*sn_h*(sn_h/2-3/7*sn_h)*(1-$C297^2/3)-16/49*sn_h^2*(1/2-$C297^2/4))+SUMPRODUCT($J$5:$K$5,$J297:$K297,$J$7:$K$7))/1E6)</f>
        <v/>
      </c>
      <c r="J297">
        <f>MAX(-fyd_sn,MIN(fyd_sn,200000*0.002*(1-$C297*(7*J$6-3*sn_h)/(4*sn_h))))-fcd_sn*(1-MIN(1,MAX(0,$C297*(7*J$6-3*sn_h)/(4*sn_h)))^2)</f>
        <v/>
      </c>
      <c r="K297">
        <f>MAX(-fyd_sn,MIN(fyd_sn,200000*0.002*(1-$C297*(7*K$6-3*sn_h)/(4*sn_h))))-fcd_sn*(1-MIN(1,MAX(0,$C297*(7*K$6-3*sn_h)/(4*sn_h)))^2)</f>
        <v/>
      </c>
    </row>
    <row r="298">
      <c r="B298" s="55" t="n">
        <v>115</v>
      </c>
      <c r="C298" s="58">
        <f>1-115/200</f>
        <v/>
      </c>
      <c r="D298" s="59">
        <f>IF($C298&gt;=1,sn_h,3/7*sn_h+4/7*sn_h/MAX($C298,1E-12))</f>
        <v/>
      </c>
      <c r="E298" s="57">
        <f>(fcd_sn*sn_b*sn_h*(3/7+4/7*(1-$C298^2/3))+SUMPRODUCT($J$5:$K$5,$J298:$K298))/1000</f>
        <v/>
      </c>
      <c r="F298" s="57">
        <f>((fcd_sn*sn_b*(3/14*sn_h*(sn_h-3/7*sn_h)+4/7*sn_h*(sn_h/2-3/7*sn_h)*(1-$C298^2/3)-16/49*sn_h^2*(1/2-$C298^2/4))+SUMPRODUCT($J$5:$K$5,$J298:$K298,$J$7:$K$7))/1E6)</f>
        <v/>
      </c>
      <c r="J298">
        <f>MAX(-fyd_sn,MIN(fyd_sn,200000*0.002*(1-$C298*(7*J$6-3*sn_h)/(4*sn_h))))-fcd_sn*(1-MIN(1,MAX(0,$C298*(7*J$6-3*sn_h)/(4*sn_h)))^2)</f>
        <v/>
      </c>
      <c r="K298">
        <f>MAX(-fyd_sn,MIN(fyd_sn,200000*0.002*(1-$C298*(7*K$6-3*sn_h)/(4*sn_h))))-fcd_sn*(1-MIN(1,MAX(0,$C298*(7*K$6-3*sn_h)/(4*sn_h)))^2)</f>
        <v/>
      </c>
    </row>
    <row r="299">
      <c r="B299" s="55" t="n">
        <v>116</v>
      </c>
      <c r="C299" s="58">
        <f>1-116/200</f>
        <v/>
      </c>
      <c r="D299" s="59">
        <f>IF($C299&gt;=1,sn_h,3/7*sn_h+4/7*sn_h/MAX($C299,1E-12))</f>
        <v/>
      </c>
      <c r="E299" s="57">
        <f>(fcd_sn*sn_b*sn_h*(3/7+4/7*(1-$C299^2/3))+SUMPRODUCT($J$5:$K$5,$J299:$K299))/1000</f>
        <v/>
      </c>
      <c r="F299" s="57">
        <f>((fcd_sn*sn_b*(3/14*sn_h*(sn_h-3/7*sn_h)+4/7*sn_h*(sn_h/2-3/7*sn_h)*(1-$C299^2/3)-16/49*sn_h^2*(1/2-$C299^2/4))+SUMPRODUCT($J$5:$K$5,$J299:$K299,$J$7:$K$7))/1E6)</f>
        <v/>
      </c>
      <c r="J299">
        <f>MAX(-fyd_sn,MIN(fyd_sn,200000*0.002*(1-$C299*(7*J$6-3*sn_h)/(4*sn_h))))-fcd_sn*(1-MIN(1,MAX(0,$C299*(7*J$6-3*sn_h)/(4*sn_h)))^2)</f>
        <v/>
      </c>
      <c r="K299">
        <f>MAX(-fyd_sn,MIN(fyd_sn,200000*0.002*(1-$C299*(7*K$6-3*sn_h)/(4*sn_h))))-fcd_sn*(1-MIN(1,MAX(0,$C299*(7*K$6-3*sn_h)/(4*sn_h)))^2)</f>
        <v/>
      </c>
    </row>
    <row r="300">
      <c r="B300" s="55" t="n">
        <v>117</v>
      </c>
      <c r="C300" s="58">
        <f>1-117/200</f>
        <v/>
      </c>
      <c r="D300" s="59">
        <f>IF($C300&gt;=1,sn_h,3/7*sn_h+4/7*sn_h/MAX($C300,1E-12))</f>
        <v/>
      </c>
      <c r="E300" s="57">
        <f>(fcd_sn*sn_b*sn_h*(3/7+4/7*(1-$C300^2/3))+SUMPRODUCT($J$5:$K$5,$J300:$K300))/1000</f>
        <v/>
      </c>
      <c r="F300" s="57">
        <f>((fcd_sn*sn_b*(3/14*sn_h*(sn_h-3/7*sn_h)+4/7*sn_h*(sn_h/2-3/7*sn_h)*(1-$C300^2/3)-16/49*sn_h^2*(1/2-$C300^2/4))+SUMPRODUCT($J$5:$K$5,$J300:$K300,$J$7:$K$7))/1E6)</f>
        <v/>
      </c>
      <c r="J300">
        <f>MAX(-fyd_sn,MIN(fyd_sn,200000*0.002*(1-$C300*(7*J$6-3*sn_h)/(4*sn_h))))-fcd_sn*(1-MIN(1,MAX(0,$C300*(7*J$6-3*sn_h)/(4*sn_h)))^2)</f>
        <v/>
      </c>
      <c r="K300">
        <f>MAX(-fyd_sn,MIN(fyd_sn,200000*0.002*(1-$C300*(7*K$6-3*sn_h)/(4*sn_h))))-fcd_sn*(1-MIN(1,MAX(0,$C300*(7*K$6-3*sn_h)/(4*sn_h)))^2)</f>
        <v/>
      </c>
    </row>
    <row r="301">
      <c r="B301" s="55" t="n">
        <v>118</v>
      </c>
      <c r="C301" s="58">
        <f>1-118/200</f>
        <v/>
      </c>
      <c r="D301" s="59">
        <f>IF($C301&gt;=1,sn_h,3/7*sn_h+4/7*sn_h/MAX($C301,1E-12))</f>
        <v/>
      </c>
      <c r="E301" s="57">
        <f>(fcd_sn*sn_b*sn_h*(3/7+4/7*(1-$C301^2/3))+SUMPRODUCT($J$5:$K$5,$J301:$K301))/1000</f>
        <v/>
      </c>
      <c r="F301" s="57">
        <f>((fcd_sn*sn_b*(3/14*sn_h*(sn_h-3/7*sn_h)+4/7*sn_h*(sn_h/2-3/7*sn_h)*(1-$C301^2/3)-16/49*sn_h^2*(1/2-$C301^2/4))+SUMPRODUCT($J$5:$K$5,$J301:$K301,$J$7:$K$7))/1E6)</f>
        <v/>
      </c>
      <c r="J301">
        <f>MAX(-fyd_sn,MIN(fyd_sn,200000*0.002*(1-$C301*(7*J$6-3*sn_h)/(4*sn_h))))-fcd_sn*(1-MIN(1,MAX(0,$C301*(7*J$6-3*sn_h)/(4*sn_h)))^2)</f>
        <v/>
      </c>
      <c r="K301">
        <f>MAX(-fyd_sn,MIN(fyd_sn,200000*0.002*(1-$C301*(7*K$6-3*sn_h)/(4*sn_h))))-fcd_sn*(1-MIN(1,MAX(0,$C301*(7*K$6-3*sn_h)/(4*sn_h)))^2)</f>
        <v/>
      </c>
    </row>
    <row r="302">
      <c r="B302" s="55" t="n">
        <v>119</v>
      </c>
      <c r="C302" s="58">
        <f>1-119/200</f>
        <v/>
      </c>
      <c r="D302" s="59">
        <f>IF($C302&gt;=1,sn_h,3/7*sn_h+4/7*sn_h/MAX($C302,1E-12))</f>
        <v/>
      </c>
      <c r="E302" s="57">
        <f>(fcd_sn*sn_b*sn_h*(3/7+4/7*(1-$C302^2/3))+SUMPRODUCT($J$5:$K$5,$J302:$K302))/1000</f>
        <v/>
      </c>
      <c r="F302" s="57">
        <f>((fcd_sn*sn_b*(3/14*sn_h*(sn_h-3/7*sn_h)+4/7*sn_h*(sn_h/2-3/7*sn_h)*(1-$C302^2/3)-16/49*sn_h^2*(1/2-$C302^2/4))+SUMPRODUCT($J$5:$K$5,$J302:$K302,$J$7:$K$7))/1E6)</f>
        <v/>
      </c>
      <c r="J302">
        <f>MAX(-fyd_sn,MIN(fyd_sn,200000*0.002*(1-$C302*(7*J$6-3*sn_h)/(4*sn_h))))-fcd_sn*(1-MIN(1,MAX(0,$C302*(7*J$6-3*sn_h)/(4*sn_h)))^2)</f>
        <v/>
      </c>
      <c r="K302">
        <f>MAX(-fyd_sn,MIN(fyd_sn,200000*0.002*(1-$C302*(7*K$6-3*sn_h)/(4*sn_h))))-fcd_sn*(1-MIN(1,MAX(0,$C302*(7*K$6-3*sn_h)/(4*sn_h)))^2)</f>
        <v/>
      </c>
    </row>
    <row r="303">
      <c r="B303" s="55" t="n">
        <v>120</v>
      </c>
      <c r="C303" s="58">
        <f>1-120/200</f>
        <v/>
      </c>
      <c r="D303" s="59">
        <f>IF($C303&gt;=1,sn_h,3/7*sn_h+4/7*sn_h/MAX($C303,1E-12))</f>
        <v/>
      </c>
      <c r="E303" s="57">
        <f>(fcd_sn*sn_b*sn_h*(3/7+4/7*(1-$C303^2/3))+SUMPRODUCT($J$5:$K$5,$J303:$K303))/1000</f>
        <v/>
      </c>
      <c r="F303" s="57">
        <f>((fcd_sn*sn_b*(3/14*sn_h*(sn_h-3/7*sn_h)+4/7*sn_h*(sn_h/2-3/7*sn_h)*(1-$C303^2/3)-16/49*sn_h^2*(1/2-$C303^2/4))+SUMPRODUCT($J$5:$K$5,$J303:$K303,$J$7:$K$7))/1E6)</f>
        <v/>
      </c>
      <c r="J303">
        <f>MAX(-fyd_sn,MIN(fyd_sn,200000*0.002*(1-$C303*(7*J$6-3*sn_h)/(4*sn_h))))-fcd_sn*(1-MIN(1,MAX(0,$C303*(7*J$6-3*sn_h)/(4*sn_h)))^2)</f>
        <v/>
      </c>
      <c r="K303">
        <f>MAX(-fyd_sn,MIN(fyd_sn,200000*0.002*(1-$C303*(7*K$6-3*sn_h)/(4*sn_h))))-fcd_sn*(1-MIN(1,MAX(0,$C303*(7*K$6-3*sn_h)/(4*sn_h)))^2)</f>
        <v/>
      </c>
    </row>
    <row r="304">
      <c r="B304" s="55" t="n">
        <v>121</v>
      </c>
      <c r="C304" s="58">
        <f>1-121/200</f>
        <v/>
      </c>
      <c r="D304" s="59">
        <f>IF($C304&gt;=1,sn_h,3/7*sn_h+4/7*sn_h/MAX($C304,1E-12))</f>
        <v/>
      </c>
      <c r="E304" s="57">
        <f>(fcd_sn*sn_b*sn_h*(3/7+4/7*(1-$C304^2/3))+SUMPRODUCT($J$5:$K$5,$J304:$K304))/1000</f>
        <v/>
      </c>
      <c r="F304" s="57">
        <f>((fcd_sn*sn_b*(3/14*sn_h*(sn_h-3/7*sn_h)+4/7*sn_h*(sn_h/2-3/7*sn_h)*(1-$C304^2/3)-16/49*sn_h^2*(1/2-$C304^2/4))+SUMPRODUCT($J$5:$K$5,$J304:$K304,$J$7:$K$7))/1E6)</f>
        <v/>
      </c>
      <c r="J304">
        <f>MAX(-fyd_sn,MIN(fyd_sn,200000*0.002*(1-$C304*(7*J$6-3*sn_h)/(4*sn_h))))-fcd_sn*(1-MIN(1,MAX(0,$C304*(7*J$6-3*sn_h)/(4*sn_h)))^2)</f>
        <v/>
      </c>
      <c r="K304">
        <f>MAX(-fyd_sn,MIN(fyd_sn,200000*0.002*(1-$C304*(7*K$6-3*sn_h)/(4*sn_h))))-fcd_sn*(1-MIN(1,MAX(0,$C304*(7*K$6-3*sn_h)/(4*sn_h)))^2)</f>
        <v/>
      </c>
    </row>
    <row r="305">
      <c r="B305" s="55" t="n">
        <v>122</v>
      </c>
      <c r="C305" s="58">
        <f>1-122/200</f>
        <v/>
      </c>
      <c r="D305" s="59">
        <f>IF($C305&gt;=1,sn_h,3/7*sn_h+4/7*sn_h/MAX($C305,1E-12))</f>
        <v/>
      </c>
      <c r="E305" s="57">
        <f>(fcd_sn*sn_b*sn_h*(3/7+4/7*(1-$C305^2/3))+SUMPRODUCT($J$5:$K$5,$J305:$K305))/1000</f>
        <v/>
      </c>
      <c r="F305" s="57">
        <f>((fcd_sn*sn_b*(3/14*sn_h*(sn_h-3/7*sn_h)+4/7*sn_h*(sn_h/2-3/7*sn_h)*(1-$C305^2/3)-16/49*sn_h^2*(1/2-$C305^2/4))+SUMPRODUCT($J$5:$K$5,$J305:$K305,$J$7:$K$7))/1E6)</f>
        <v/>
      </c>
      <c r="J305">
        <f>MAX(-fyd_sn,MIN(fyd_sn,200000*0.002*(1-$C305*(7*J$6-3*sn_h)/(4*sn_h))))-fcd_sn*(1-MIN(1,MAX(0,$C305*(7*J$6-3*sn_h)/(4*sn_h)))^2)</f>
        <v/>
      </c>
      <c r="K305">
        <f>MAX(-fyd_sn,MIN(fyd_sn,200000*0.002*(1-$C305*(7*K$6-3*sn_h)/(4*sn_h))))-fcd_sn*(1-MIN(1,MAX(0,$C305*(7*K$6-3*sn_h)/(4*sn_h)))^2)</f>
        <v/>
      </c>
    </row>
    <row r="306">
      <c r="B306" s="55" t="n">
        <v>123</v>
      </c>
      <c r="C306" s="58">
        <f>1-123/200</f>
        <v/>
      </c>
      <c r="D306" s="59">
        <f>IF($C306&gt;=1,sn_h,3/7*sn_h+4/7*sn_h/MAX($C306,1E-12))</f>
        <v/>
      </c>
      <c r="E306" s="57">
        <f>(fcd_sn*sn_b*sn_h*(3/7+4/7*(1-$C306^2/3))+SUMPRODUCT($J$5:$K$5,$J306:$K306))/1000</f>
        <v/>
      </c>
      <c r="F306" s="57">
        <f>((fcd_sn*sn_b*(3/14*sn_h*(sn_h-3/7*sn_h)+4/7*sn_h*(sn_h/2-3/7*sn_h)*(1-$C306^2/3)-16/49*sn_h^2*(1/2-$C306^2/4))+SUMPRODUCT($J$5:$K$5,$J306:$K306,$J$7:$K$7))/1E6)</f>
        <v/>
      </c>
      <c r="J306">
        <f>MAX(-fyd_sn,MIN(fyd_sn,200000*0.002*(1-$C306*(7*J$6-3*sn_h)/(4*sn_h))))-fcd_sn*(1-MIN(1,MAX(0,$C306*(7*J$6-3*sn_h)/(4*sn_h)))^2)</f>
        <v/>
      </c>
      <c r="K306">
        <f>MAX(-fyd_sn,MIN(fyd_sn,200000*0.002*(1-$C306*(7*K$6-3*sn_h)/(4*sn_h))))-fcd_sn*(1-MIN(1,MAX(0,$C306*(7*K$6-3*sn_h)/(4*sn_h)))^2)</f>
        <v/>
      </c>
    </row>
    <row r="307">
      <c r="B307" s="55" t="n">
        <v>124</v>
      </c>
      <c r="C307" s="58">
        <f>1-124/200</f>
        <v/>
      </c>
      <c r="D307" s="59">
        <f>IF($C307&gt;=1,sn_h,3/7*sn_h+4/7*sn_h/MAX($C307,1E-12))</f>
        <v/>
      </c>
      <c r="E307" s="57">
        <f>(fcd_sn*sn_b*sn_h*(3/7+4/7*(1-$C307^2/3))+SUMPRODUCT($J$5:$K$5,$J307:$K307))/1000</f>
        <v/>
      </c>
      <c r="F307" s="57">
        <f>((fcd_sn*sn_b*(3/14*sn_h*(sn_h-3/7*sn_h)+4/7*sn_h*(sn_h/2-3/7*sn_h)*(1-$C307^2/3)-16/49*sn_h^2*(1/2-$C307^2/4))+SUMPRODUCT($J$5:$K$5,$J307:$K307,$J$7:$K$7))/1E6)</f>
        <v/>
      </c>
      <c r="J307">
        <f>MAX(-fyd_sn,MIN(fyd_sn,200000*0.002*(1-$C307*(7*J$6-3*sn_h)/(4*sn_h))))-fcd_sn*(1-MIN(1,MAX(0,$C307*(7*J$6-3*sn_h)/(4*sn_h)))^2)</f>
        <v/>
      </c>
      <c r="K307">
        <f>MAX(-fyd_sn,MIN(fyd_sn,200000*0.002*(1-$C307*(7*K$6-3*sn_h)/(4*sn_h))))-fcd_sn*(1-MIN(1,MAX(0,$C307*(7*K$6-3*sn_h)/(4*sn_h)))^2)</f>
        <v/>
      </c>
    </row>
    <row r="308">
      <c r="B308" s="55" t="n">
        <v>125</v>
      </c>
      <c r="C308" s="58">
        <f>1-125/200</f>
        <v/>
      </c>
      <c r="D308" s="59">
        <f>IF($C308&gt;=1,sn_h,3/7*sn_h+4/7*sn_h/MAX($C308,1E-12))</f>
        <v/>
      </c>
      <c r="E308" s="57">
        <f>(fcd_sn*sn_b*sn_h*(3/7+4/7*(1-$C308^2/3))+SUMPRODUCT($J$5:$K$5,$J308:$K308))/1000</f>
        <v/>
      </c>
      <c r="F308" s="57">
        <f>((fcd_sn*sn_b*(3/14*sn_h*(sn_h-3/7*sn_h)+4/7*sn_h*(sn_h/2-3/7*sn_h)*(1-$C308^2/3)-16/49*sn_h^2*(1/2-$C308^2/4))+SUMPRODUCT($J$5:$K$5,$J308:$K308,$J$7:$K$7))/1E6)</f>
        <v/>
      </c>
      <c r="J308">
        <f>MAX(-fyd_sn,MIN(fyd_sn,200000*0.002*(1-$C308*(7*J$6-3*sn_h)/(4*sn_h))))-fcd_sn*(1-MIN(1,MAX(0,$C308*(7*J$6-3*sn_h)/(4*sn_h)))^2)</f>
        <v/>
      </c>
      <c r="K308">
        <f>MAX(-fyd_sn,MIN(fyd_sn,200000*0.002*(1-$C308*(7*K$6-3*sn_h)/(4*sn_h))))-fcd_sn*(1-MIN(1,MAX(0,$C308*(7*K$6-3*sn_h)/(4*sn_h)))^2)</f>
        <v/>
      </c>
    </row>
    <row r="309">
      <c r="B309" s="55" t="n">
        <v>126</v>
      </c>
      <c r="C309" s="58">
        <f>1-126/200</f>
        <v/>
      </c>
      <c r="D309" s="59">
        <f>IF($C309&gt;=1,sn_h,3/7*sn_h+4/7*sn_h/MAX($C309,1E-12))</f>
        <v/>
      </c>
      <c r="E309" s="57">
        <f>(fcd_sn*sn_b*sn_h*(3/7+4/7*(1-$C309^2/3))+SUMPRODUCT($J$5:$K$5,$J309:$K309))/1000</f>
        <v/>
      </c>
      <c r="F309" s="57">
        <f>((fcd_sn*sn_b*(3/14*sn_h*(sn_h-3/7*sn_h)+4/7*sn_h*(sn_h/2-3/7*sn_h)*(1-$C309^2/3)-16/49*sn_h^2*(1/2-$C309^2/4))+SUMPRODUCT($J$5:$K$5,$J309:$K309,$J$7:$K$7))/1E6)</f>
        <v/>
      </c>
      <c r="J309">
        <f>MAX(-fyd_sn,MIN(fyd_sn,200000*0.002*(1-$C309*(7*J$6-3*sn_h)/(4*sn_h))))-fcd_sn*(1-MIN(1,MAX(0,$C309*(7*J$6-3*sn_h)/(4*sn_h)))^2)</f>
        <v/>
      </c>
      <c r="K309">
        <f>MAX(-fyd_sn,MIN(fyd_sn,200000*0.002*(1-$C309*(7*K$6-3*sn_h)/(4*sn_h))))-fcd_sn*(1-MIN(1,MAX(0,$C309*(7*K$6-3*sn_h)/(4*sn_h)))^2)</f>
        <v/>
      </c>
    </row>
    <row r="310">
      <c r="B310" s="55" t="n">
        <v>127</v>
      </c>
      <c r="C310" s="58">
        <f>1-127/200</f>
        <v/>
      </c>
      <c r="D310" s="59">
        <f>IF($C310&gt;=1,sn_h,3/7*sn_h+4/7*sn_h/MAX($C310,1E-12))</f>
        <v/>
      </c>
      <c r="E310" s="57">
        <f>(fcd_sn*sn_b*sn_h*(3/7+4/7*(1-$C310^2/3))+SUMPRODUCT($J$5:$K$5,$J310:$K310))/1000</f>
        <v/>
      </c>
      <c r="F310" s="57">
        <f>((fcd_sn*sn_b*(3/14*sn_h*(sn_h-3/7*sn_h)+4/7*sn_h*(sn_h/2-3/7*sn_h)*(1-$C310^2/3)-16/49*sn_h^2*(1/2-$C310^2/4))+SUMPRODUCT($J$5:$K$5,$J310:$K310,$J$7:$K$7))/1E6)</f>
        <v/>
      </c>
      <c r="J310">
        <f>MAX(-fyd_sn,MIN(fyd_sn,200000*0.002*(1-$C310*(7*J$6-3*sn_h)/(4*sn_h))))-fcd_sn*(1-MIN(1,MAX(0,$C310*(7*J$6-3*sn_h)/(4*sn_h)))^2)</f>
        <v/>
      </c>
      <c r="K310">
        <f>MAX(-fyd_sn,MIN(fyd_sn,200000*0.002*(1-$C310*(7*K$6-3*sn_h)/(4*sn_h))))-fcd_sn*(1-MIN(1,MAX(0,$C310*(7*K$6-3*sn_h)/(4*sn_h)))^2)</f>
        <v/>
      </c>
    </row>
    <row r="311">
      <c r="B311" s="55" t="n">
        <v>128</v>
      </c>
      <c r="C311" s="58">
        <f>1-128/200</f>
        <v/>
      </c>
      <c r="D311" s="59">
        <f>IF($C311&gt;=1,sn_h,3/7*sn_h+4/7*sn_h/MAX($C311,1E-12))</f>
        <v/>
      </c>
      <c r="E311" s="57">
        <f>(fcd_sn*sn_b*sn_h*(3/7+4/7*(1-$C311^2/3))+SUMPRODUCT($J$5:$K$5,$J311:$K311))/1000</f>
        <v/>
      </c>
      <c r="F311" s="57">
        <f>((fcd_sn*sn_b*(3/14*sn_h*(sn_h-3/7*sn_h)+4/7*sn_h*(sn_h/2-3/7*sn_h)*(1-$C311^2/3)-16/49*sn_h^2*(1/2-$C311^2/4))+SUMPRODUCT($J$5:$K$5,$J311:$K311,$J$7:$K$7))/1E6)</f>
        <v/>
      </c>
      <c r="J311">
        <f>MAX(-fyd_sn,MIN(fyd_sn,200000*0.002*(1-$C311*(7*J$6-3*sn_h)/(4*sn_h))))-fcd_sn*(1-MIN(1,MAX(0,$C311*(7*J$6-3*sn_h)/(4*sn_h)))^2)</f>
        <v/>
      </c>
      <c r="K311">
        <f>MAX(-fyd_sn,MIN(fyd_sn,200000*0.002*(1-$C311*(7*K$6-3*sn_h)/(4*sn_h))))-fcd_sn*(1-MIN(1,MAX(0,$C311*(7*K$6-3*sn_h)/(4*sn_h)))^2)</f>
        <v/>
      </c>
    </row>
    <row r="312">
      <c r="B312" s="55" t="n">
        <v>129</v>
      </c>
      <c r="C312" s="58">
        <f>1-129/200</f>
        <v/>
      </c>
      <c r="D312" s="59">
        <f>IF($C312&gt;=1,sn_h,3/7*sn_h+4/7*sn_h/MAX($C312,1E-12))</f>
        <v/>
      </c>
      <c r="E312" s="57">
        <f>(fcd_sn*sn_b*sn_h*(3/7+4/7*(1-$C312^2/3))+SUMPRODUCT($J$5:$K$5,$J312:$K312))/1000</f>
        <v/>
      </c>
      <c r="F312" s="57">
        <f>((fcd_sn*sn_b*(3/14*sn_h*(sn_h-3/7*sn_h)+4/7*sn_h*(sn_h/2-3/7*sn_h)*(1-$C312^2/3)-16/49*sn_h^2*(1/2-$C312^2/4))+SUMPRODUCT($J$5:$K$5,$J312:$K312,$J$7:$K$7))/1E6)</f>
        <v/>
      </c>
      <c r="J312">
        <f>MAX(-fyd_sn,MIN(fyd_sn,200000*0.002*(1-$C312*(7*J$6-3*sn_h)/(4*sn_h))))-fcd_sn*(1-MIN(1,MAX(0,$C312*(7*J$6-3*sn_h)/(4*sn_h)))^2)</f>
        <v/>
      </c>
      <c r="K312">
        <f>MAX(-fyd_sn,MIN(fyd_sn,200000*0.002*(1-$C312*(7*K$6-3*sn_h)/(4*sn_h))))-fcd_sn*(1-MIN(1,MAX(0,$C312*(7*K$6-3*sn_h)/(4*sn_h)))^2)</f>
        <v/>
      </c>
    </row>
    <row r="313">
      <c r="B313" s="55" t="n">
        <v>130</v>
      </c>
      <c r="C313" s="58">
        <f>1-130/200</f>
        <v/>
      </c>
      <c r="D313" s="59">
        <f>IF($C313&gt;=1,sn_h,3/7*sn_h+4/7*sn_h/MAX($C313,1E-12))</f>
        <v/>
      </c>
      <c r="E313" s="57">
        <f>(fcd_sn*sn_b*sn_h*(3/7+4/7*(1-$C313^2/3))+SUMPRODUCT($J$5:$K$5,$J313:$K313))/1000</f>
        <v/>
      </c>
      <c r="F313" s="57">
        <f>((fcd_sn*sn_b*(3/14*sn_h*(sn_h-3/7*sn_h)+4/7*sn_h*(sn_h/2-3/7*sn_h)*(1-$C313^2/3)-16/49*sn_h^2*(1/2-$C313^2/4))+SUMPRODUCT($J$5:$K$5,$J313:$K313,$J$7:$K$7))/1E6)</f>
        <v/>
      </c>
      <c r="J313">
        <f>MAX(-fyd_sn,MIN(fyd_sn,200000*0.002*(1-$C313*(7*J$6-3*sn_h)/(4*sn_h))))-fcd_sn*(1-MIN(1,MAX(0,$C313*(7*J$6-3*sn_h)/(4*sn_h)))^2)</f>
        <v/>
      </c>
      <c r="K313">
        <f>MAX(-fyd_sn,MIN(fyd_sn,200000*0.002*(1-$C313*(7*K$6-3*sn_h)/(4*sn_h))))-fcd_sn*(1-MIN(1,MAX(0,$C313*(7*K$6-3*sn_h)/(4*sn_h)))^2)</f>
        <v/>
      </c>
    </row>
    <row r="314">
      <c r="B314" s="55" t="n">
        <v>131</v>
      </c>
      <c r="C314" s="58">
        <f>1-131/200</f>
        <v/>
      </c>
      <c r="D314" s="59">
        <f>IF($C314&gt;=1,sn_h,3/7*sn_h+4/7*sn_h/MAX($C314,1E-12))</f>
        <v/>
      </c>
      <c r="E314" s="57">
        <f>(fcd_sn*sn_b*sn_h*(3/7+4/7*(1-$C314^2/3))+SUMPRODUCT($J$5:$K$5,$J314:$K314))/1000</f>
        <v/>
      </c>
      <c r="F314" s="57">
        <f>((fcd_sn*sn_b*(3/14*sn_h*(sn_h-3/7*sn_h)+4/7*sn_h*(sn_h/2-3/7*sn_h)*(1-$C314^2/3)-16/49*sn_h^2*(1/2-$C314^2/4))+SUMPRODUCT($J$5:$K$5,$J314:$K314,$J$7:$K$7))/1E6)</f>
        <v/>
      </c>
      <c r="J314">
        <f>MAX(-fyd_sn,MIN(fyd_sn,200000*0.002*(1-$C314*(7*J$6-3*sn_h)/(4*sn_h))))-fcd_sn*(1-MIN(1,MAX(0,$C314*(7*J$6-3*sn_h)/(4*sn_h)))^2)</f>
        <v/>
      </c>
      <c r="K314">
        <f>MAX(-fyd_sn,MIN(fyd_sn,200000*0.002*(1-$C314*(7*K$6-3*sn_h)/(4*sn_h))))-fcd_sn*(1-MIN(1,MAX(0,$C314*(7*K$6-3*sn_h)/(4*sn_h)))^2)</f>
        <v/>
      </c>
    </row>
    <row r="315">
      <c r="B315" s="55" t="n">
        <v>132</v>
      </c>
      <c r="C315" s="58">
        <f>1-132/200</f>
        <v/>
      </c>
      <c r="D315" s="59">
        <f>IF($C315&gt;=1,sn_h,3/7*sn_h+4/7*sn_h/MAX($C315,1E-12))</f>
        <v/>
      </c>
      <c r="E315" s="57">
        <f>(fcd_sn*sn_b*sn_h*(3/7+4/7*(1-$C315^2/3))+SUMPRODUCT($J$5:$K$5,$J315:$K315))/1000</f>
        <v/>
      </c>
      <c r="F315" s="57">
        <f>((fcd_sn*sn_b*(3/14*sn_h*(sn_h-3/7*sn_h)+4/7*sn_h*(sn_h/2-3/7*sn_h)*(1-$C315^2/3)-16/49*sn_h^2*(1/2-$C315^2/4))+SUMPRODUCT($J$5:$K$5,$J315:$K315,$J$7:$K$7))/1E6)</f>
        <v/>
      </c>
      <c r="J315">
        <f>MAX(-fyd_sn,MIN(fyd_sn,200000*0.002*(1-$C315*(7*J$6-3*sn_h)/(4*sn_h))))-fcd_sn*(1-MIN(1,MAX(0,$C315*(7*J$6-3*sn_h)/(4*sn_h)))^2)</f>
        <v/>
      </c>
      <c r="K315">
        <f>MAX(-fyd_sn,MIN(fyd_sn,200000*0.002*(1-$C315*(7*K$6-3*sn_h)/(4*sn_h))))-fcd_sn*(1-MIN(1,MAX(0,$C315*(7*K$6-3*sn_h)/(4*sn_h)))^2)</f>
        <v/>
      </c>
    </row>
    <row r="316">
      <c r="B316" s="55" t="n">
        <v>133</v>
      </c>
      <c r="C316" s="58">
        <f>1-133/200</f>
        <v/>
      </c>
      <c r="D316" s="59">
        <f>IF($C316&gt;=1,sn_h,3/7*sn_h+4/7*sn_h/MAX($C316,1E-12))</f>
        <v/>
      </c>
      <c r="E316" s="57">
        <f>(fcd_sn*sn_b*sn_h*(3/7+4/7*(1-$C316^2/3))+SUMPRODUCT($J$5:$K$5,$J316:$K316))/1000</f>
        <v/>
      </c>
      <c r="F316" s="57">
        <f>((fcd_sn*sn_b*(3/14*sn_h*(sn_h-3/7*sn_h)+4/7*sn_h*(sn_h/2-3/7*sn_h)*(1-$C316^2/3)-16/49*sn_h^2*(1/2-$C316^2/4))+SUMPRODUCT($J$5:$K$5,$J316:$K316,$J$7:$K$7))/1E6)</f>
        <v/>
      </c>
      <c r="J316">
        <f>MAX(-fyd_sn,MIN(fyd_sn,200000*0.002*(1-$C316*(7*J$6-3*sn_h)/(4*sn_h))))-fcd_sn*(1-MIN(1,MAX(0,$C316*(7*J$6-3*sn_h)/(4*sn_h)))^2)</f>
        <v/>
      </c>
      <c r="K316">
        <f>MAX(-fyd_sn,MIN(fyd_sn,200000*0.002*(1-$C316*(7*K$6-3*sn_h)/(4*sn_h))))-fcd_sn*(1-MIN(1,MAX(0,$C316*(7*K$6-3*sn_h)/(4*sn_h)))^2)</f>
        <v/>
      </c>
    </row>
    <row r="317">
      <c r="B317" s="55" t="n">
        <v>134</v>
      </c>
      <c r="C317" s="58">
        <f>1-134/200</f>
        <v/>
      </c>
      <c r="D317" s="59">
        <f>IF($C317&gt;=1,sn_h,3/7*sn_h+4/7*sn_h/MAX($C317,1E-12))</f>
        <v/>
      </c>
      <c r="E317" s="57">
        <f>(fcd_sn*sn_b*sn_h*(3/7+4/7*(1-$C317^2/3))+SUMPRODUCT($J$5:$K$5,$J317:$K317))/1000</f>
        <v/>
      </c>
      <c r="F317" s="57">
        <f>((fcd_sn*sn_b*(3/14*sn_h*(sn_h-3/7*sn_h)+4/7*sn_h*(sn_h/2-3/7*sn_h)*(1-$C317^2/3)-16/49*sn_h^2*(1/2-$C317^2/4))+SUMPRODUCT($J$5:$K$5,$J317:$K317,$J$7:$K$7))/1E6)</f>
        <v/>
      </c>
      <c r="J317">
        <f>MAX(-fyd_sn,MIN(fyd_sn,200000*0.002*(1-$C317*(7*J$6-3*sn_h)/(4*sn_h))))-fcd_sn*(1-MIN(1,MAX(0,$C317*(7*J$6-3*sn_h)/(4*sn_h)))^2)</f>
        <v/>
      </c>
      <c r="K317">
        <f>MAX(-fyd_sn,MIN(fyd_sn,200000*0.002*(1-$C317*(7*K$6-3*sn_h)/(4*sn_h))))-fcd_sn*(1-MIN(1,MAX(0,$C317*(7*K$6-3*sn_h)/(4*sn_h)))^2)</f>
        <v/>
      </c>
    </row>
    <row r="318">
      <c r="B318" s="55" t="n">
        <v>135</v>
      </c>
      <c r="C318" s="58">
        <f>1-135/200</f>
        <v/>
      </c>
      <c r="D318" s="59">
        <f>IF($C318&gt;=1,sn_h,3/7*sn_h+4/7*sn_h/MAX($C318,1E-12))</f>
        <v/>
      </c>
      <c r="E318" s="57">
        <f>(fcd_sn*sn_b*sn_h*(3/7+4/7*(1-$C318^2/3))+SUMPRODUCT($J$5:$K$5,$J318:$K318))/1000</f>
        <v/>
      </c>
      <c r="F318" s="57">
        <f>((fcd_sn*sn_b*(3/14*sn_h*(sn_h-3/7*sn_h)+4/7*sn_h*(sn_h/2-3/7*sn_h)*(1-$C318^2/3)-16/49*sn_h^2*(1/2-$C318^2/4))+SUMPRODUCT($J$5:$K$5,$J318:$K318,$J$7:$K$7))/1E6)</f>
        <v/>
      </c>
      <c r="J318">
        <f>MAX(-fyd_sn,MIN(fyd_sn,200000*0.002*(1-$C318*(7*J$6-3*sn_h)/(4*sn_h))))-fcd_sn*(1-MIN(1,MAX(0,$C318*(7*J$6-3*sn_h)/(4*sn_h)))^2)</f>
        <v/>
      </c>
      <c r="K318">
        <f>MAX(-fyd_sn,MIN(fyd_sn,200000*0.002*(1-$C318*(7*K$6-3*sn_h)/(4*sn_h))))-fcd_sn*(1-MIN(1,MAX(0,$C318*(7*K$6-3*sn_h)/(4*sn_h)))^2)</f>
        <v/>
      </c>
    </row>
    <row r="319">
      <c r="B319" s="55" t="n">
        <v>136</v>
      </c>
      <c r="C319" s="58">
        <f>1-136/200</f>
        <v/>
      </c>
      <c r="D319" s="59">
        <f>IF($C319&gt;=1,sn_h,3/7*sn_h+4/7*sn_h/MAX($C319,1E-12))</f>
        <v/>
      </c>
      <c r="E319" s="57">
        <f>(fcd_sn*sn_b*sn_h*(3/7+4/7*(1-$C319^2/3))+SUMPRODUCT($J$5:$K$5,$J319:$K319))/1000</f>
        <v/>
      </c>
      <c r="F319" s="57">
        <f>((fcd_sn*sn_b*(3/14*sn_h*(sn_h-3/7*sn_h)+4/7*sn_h*(sn_h/2-3/7*sn_h)*(1-$C319^2/3)-16/49*sn_h^2*(1/2-$C319^2/4))+SUMPRODUCT($J$5:$K$5,$J319:$K319,$J$7:$K$7))/1E6)</f>
        <v/>
      </c>
      <c r="J319">
        <f>MAX(-fyd_sn,MIN(fyd_sn,200000*0.002*(1-$C319*(7*J$6-3*sn_h)/(4*sn_h))))-fcd_sn*(1-MIN(1,MAX(0,$C319*(7*J$6-3*sn_h)/(4*sn_h)))^2)</f>
        <v/>
      </c>
      <c r="K319">
        <f>MAX(-fyd_sn,MIN(fyd_sn,200000*0.002*(1-$C319*(7*K$6-3*sn_h)/(4*sn_h))))-fcd_sn*(1-MIN(1,MAX(0,$C319*(7*K$6-3*sn_h)/(4*sn_h)))^2)</f>
        <v/>
      </c>
    </row>
    <row r="320">
      <c r="B320" s="55" t="n">
        <v>137</v>
      </c>
      <c r="C320" s="58">
        <f>1-137/200</f>
        <v/>
      </c>
      <c r="D320" s="59">
        <f>IF($C320&gt;=1,sn_h,3/7*sn_h+4/7*sn_h/MAX($C320,1E-12))</f>
        <v/>
      </c>
      <c r="E320" s="57">
        <f>(fcd_sn*sn_b*sn_h*(3/7+4/7*(1-$C320^2/3))+SUMPRODUCT($J$5:$K$5,$J320:$K320))/1000</f>
        <v/>
      </c>
      <c r="F320" s="57">
        <f>((fcd_sn*sn_b*(3/14*sn_h*(sn_h-3/7*sn_h)+4/7*sn_h*(sn_h/2-3/7*sn_h)*(1-$C320^2/3)-16/49*sn_h^2*(1/2-$C320^2/4))+SUMPRODUCT($J$5:$K$5,$J320:$K320,$J$7:$K$7))/1E6)</f>
        <v/>
      </c>
      <c r="J320">
        <f>MAX(-fyd_sn,MIN(fyd_sn,200000*0.002*(1-$C320*(7*J$6-3*sn_h)/(4*sn_h))))-fcd_sn*(1-MIN(1,MAX(0,$C320*(7*J$6-3*sn_h)/(4*sn_h)))^2)</f>
        <v/>
      </c>
      <c r="K320">
        <f>MAX(-fyd_sn,MIN(fyd_sn,200000*0.002*(1-$C320*(7*K$6-3*sn_h)/(4*sn_h))))-fcd_sn*(1-MIN(1,MAX(0,$C320*(7*K$6-3*sn_h)/(4*sn_h)))^2)</f>
        <v/>
      </c>
    </row>
    <row r="321">
      <c r="B321" s="55" t="n">
        <v>138</v>
      </c>
      <c r="C321" s="58">
        <f>1-138/200</f>
        <v/>
      </c>
      <c r="D321" s="59">
        <f>IF($C321&gt;=1,sn_h,3/7*sn_h+4/7*sn_h/MAX($C321,1E-12))</f>
        <v/>
      </c>
      <c r="E321" s="57">
        <f>(fcd_sn*sn_b*sn_h*(3/7+4/7*(1-$C321^2/3))+SUMPRODUCT($J$5:$K$5,$J321:$K321))/1000</f>
        <v/>
      </c>
      <c r="F321" s="57">
        <f>((fcd_sn*sn_b*(3/14*sn_h*(sn_h-3/7*sn_h)+4/7*sn_h*(sn_h/2-3/7*sn_h)*(1-$C321^2/3)-16/49*sn_h^2*(1/2-$C321^2/4))+SUMPRODUCT($J$5:$K$5,$J321:$K321,$J$7:$K$7))/1E6)</f>
        <v/>
      </c>
      <c r="J321">
        <f>MAX(-fyd_sn,MIN(fyd_sn,200000*0.002*(1-$C321*(7*J$6-3*sn_h)/(4*sn_h))))-fcd_sn*(1-MIN(1,MAX(0,$C321*(7*J$6-3*sn_h)/(4*sn_h)))^2)</f>
        <v/>
      </c>
      <c r="K321">
        <f>MAX(-fyd_sn,MIN(fyd_sn,200000*0.002*(1-$C321*(7*K$6-3*sn_h)/(4*sn_h))))-fcd_sn*(1-MIN(1,MAX(0,$C321*(7*K$6-3*sn_h)/(4*sn_h)))^2)</f>
        <v/>
      </c>
    </row>
    <row r="322">
      <c r="B322" s="55" t="n">
        <v>139</v>
      </c>
      <c r="C322" s="58">
        <f>1-139/200</f>
        <v/>
      </c>
      <c r="D322" s="59">
        <f>IF($C322&gt;=1,sn_h,3/7*sn_h+4/7*sn_h/MAX($C322,1E-12))</f>
        <v/>
      </c>
      <c r="E322" s="57">
        <f>(fcd_sn*sn_b*sn_h*(3/7+4/7*(1-$C322^2/3))+SUMPRODUCT($J$5:$K$5,$J322:$K322))/1000</f>
        <v/>
      </c>
      <c r="F322" s="57">
        <f>((fcd_sn*sn_b*(3/14*sn_h*(sn_h-3/7*sn_h)+4/7*sn_h*(sn_h/2-3/7*sn_h)*(1-$C322^2/3)-16/49*sn_h^2*(1/2-$C322^2/4))+SUMPRODUCT($J$5:$K$5,$J322:$K322,$J$7:$K$7))/1E6)</f>
        <v/>
      </c>
      <c r="J322">
        <f>MAX(-fyd_sn,MIN(fyd_sn,200000*0.002*(1-$C322*(7*J$6-3*sn_h)/(4*sn_h))))-fcd_sn*(1-MIN(1,MAX(0,$C322*(7*J$6-3*sn_h)/(4*sn_h)))^2)</f>
        <v/>
      </c>
      <c r="K322">
        <f>MAX(-fyd_sn,MIN(fyd_sn,200000*0.002*(1-$C322*(7*K$6-3*sn_h)/(4*sn_h))))-fcd_sn*(1-MIN(1,MAX(0,$C322*(7*K$6-3*sn_h)/(4*sn_h)))^2)</f>
        <v/>
      </c>
    </row>
    <row r="323">
      <c r="B323" s="55" t="n">
        <v>140</v>
      </c>
      <c r="C323" s="58">
        <f>1-140/200</f>
        <v/>
      </c>
      <c r="D323" s="59">
        <f>IF($C323&gt;=1,sn_h,3/7*sn_h+4/7*sn_h/MAX($C323,1E-12))</f>
        <v/>
      </c>
      <c r="E323" s="57">
        <f>(fcd_sn*sn_b*sn_h*(3/7+4/7*(1-$C323^2/3))+SUMPRODUCT($J$5:$K$5,$J323:$K323))/1000</f>
        <v/>
      </c>
      <c r="F323" s="57">
        <f>((fcd_sn*sn_b*(3/14*sn_h*(sn_h-3/7*sn_h)+4/7*sn_h*(sn_h/2-3/7*sn_h)*(1-$C323^2/3)-16/49*sn_h^2*(1/2-$C323^2/4))+SUMPRODUCT($J$5:$K$5,$J323:$K323,$J$7:$K$7))/1E6)</f>
        <v/>
      </c>
      <c r="J323">
        <f>MAX(-fyd_sn,MIN(fyd_sn,200000*0.002*(1-$C323*(7*J$6-3*sn_h)/(4*sn_h))))-fcd_sn*(1-MIN(1,MAX(0,$C323*(7*J$6-3*sn_h)/(4*sn_h)))^2)</f>
        <v/>
      </c>
      <c r="K323">
        <f>MAX(-fyd_sn,MIN(fyd_sn,200000*0.002*(1-$C323*(7*K$6-3*sn_h)/(4*sn_h))))-fcd_sn*(1-MIN(1,MAX(0,$C323*(7*K$6-3*sn_h)/(4*sn_h)))^2)</f>
        <v/>
      </c>
    </row>
    <row r="324">
      <c r="B324" s="55" t="n">
        <v>141</v>
      </c>
      <c r="C324" s="58">
        <f>1-141/200</f>
        <v/>
      </c>
      <c r="D324" s="59">
        <f>IF($C324&gt;=1,sn_h,3/7*sn_h+4/7*sn_h/MAX($C324,1E-12))</f>
        <v/>
      </c>
      <c r="E324" s="57">
        <f>(fcd_sn*sn_b*sn_h*(3/7+4/7*(1-$C324^2/3))+SUMPRODUCT($J$5:$K$5,$J324:$K324))/1000</f>
        <v/>
      </c>
      <c r="F324" s="57">
        <f>((fcd_sn*sn_b*(3/14*sn_h*(sn_h-3/7*sn_h)+4/7*sn_h*(sn_h/2-3/7*sn_h)*(1-$C324^2/3)-16/49*sn_h^2*(1/2-$C324^2/4))+SUMPRODUCT($J$5:$K$5,$J324:$K324,$J$7:$K$7))/1E6)</f>
        <v/>
      </c>
      <c r="J324">
        <f>MAX(-fyd_sn,MIN(fyd_sn,200000*0.002*(1-$C324*(7*J$6-3*sn_h)/(4*sn_h))))-fcd_sn*(1-MIN(1,MAX(0,$C324*(7*J$6-3*sn_h)/(4*sn_h)))^2)</f>
        <v/>
      </c>
      <c r="K324">
        <f>MAX(-fyd_sn,MIN(fyd_sn,200000*0.002*(1-$C324*(7*K$6-3*sn_h)/(4*sn_h))))-fcd_sn*(1-MIN(1,MAX(0,$C324*(7*K$6-3*sn_h)/(4*sn_h)))^2)</f>
        <v/>
      </c>
    </row>
    <row r="325">
      <c r="B325" s="55" t="n">
        <v>142</v>
      </c>
      <c r="C325" s="58">
        <f>1-142/200</f>
        <v/>
      </c>
      <c r="D325" s="59">
        <f>IF($C325&gt;=1,sn_h,3/7*sn_h+4/7*sn_h/MAX($C325,1E-12))</f>
        <v/>
      </c>
      <c r="E325" s="57">
        <f>(fcd_sn*sn_b*sn_h*(3/7+4/7*(1-$C325^2/3))+SUMPRODUCT($J$5:$K$5,$J325:$K325))/1000</f>
        <v/>
      </c>
      <c r="F325" s="57">
        <f>((fcd_sn*sn_b*(3/14*sn_h*(sn_h-3/7*sn_h)+4/7*sn_h*(sn_h/2-3/7*sn_h)*(1-$C325^2/3)-16/49*sn_h^2*(1/2-$C325^2/4))+SUMPRODUCT($J$5:$K$5,$J325:$K325,$J$7:$K$7))/1E6)</f>
        <v/>
      </c>
      <c r="J325">
        <f>MAX(-fyd_sn,MIN(fyd_sn,200000*0.002*(1-$C325*(7*J$6-3*sn_h)/(4*sn_h))))-fcd_sn*(1-MIN(1,MAX(0,$C325*(7*J$6-3*sn_h)/(4*sn_h)))^2)</f>
        <v/>
      </c>
      <c r="K325">
        <f>MAX(-fyd_sn,MIN(fyd_sn,200000*0.002*(1-$C325*(7*K$6-3*sn_h)/(4*sn_h))))-fcd_sn*(1-MIN(1,MAX(0,$C325*(7*K$6-3*sn_h)/(4*sn_h)))^2)</f>
        <v/>
      </c>
    </row>
    <row r="326">
      <c r="B326" s="55" t="n">
        <v>143</v>
      </c>
      <c r="C326" s="58">
        <f>1-143/200</f>
        <v/>
      </c>
      <c r="D326" s="59">
        <f>IF($C326&gt;=1,sn_h,3/7*sn_h+4/7*sn_h/MAX($C326,1E-12))</f>
        <v/>
      </c>
      <c r="E326" s="57">
        <f>(fcd_sn*sn_b*sn_h*(3/7+4/7*(1-$C326^2/3))+SUMPRODUCT($J$5:$K$5,$J326:$K326))/1000</f>
        <v/>
      </c>
      <c r="F326" s="57">
        <f>((fcd_sn*sn_b*(3/14*sn_h*(sn_h-3/7*sn_h)+4/7*sn_h*(sn_h/2-3/7*sn_h)*(1-$C326^2/3)-16/49*sn_h^2*(1/2-$C326^2/4))+SUMPRODUCT($J$5:$K$5,$J326:$K326,$J$7:$K$7))/1E6)</f>
        <v/>
      </c>
      <c r="J326">
        <f>MAX(-fyd_sn,MIN(fyd_sn,200000*0.002*(1-$C326*(7*J$6-3*sn_h)/(4*sn_h))))-fcd_sn*(1-MIN(1,MAX(0,$C326*(7*J$6-3*sn_h)/(4*sn_h)))^2)</f>
        <v/>
      </c>
      <c r="K326">
        <f>MAX(-fyd_sn,MIN(fyd_sn,200000*0.002*(1-$C326*(7*K$6-3*sn_h)/(4*sn_h))))-fcd_sn*(1-MIN(1,MAX(0,$C326*(7*K$6-3*sn_h)/(4*sn_h)))^2)</f>
        <v/>
      </c>
    </row>
    <row r="327">
      <c r="B327" s="55" t="n">
        <v>144</v>
      </c>
      <c r="C327" s="58">
        <f>1-144/200</f>
        <v/>
      </c>
      <c r="D327" s="59">
        <f>IF($C327&gt;=1,sn_h,3/7*sn_h+4/7*sn_h/MAX($C327,1E-12))</f>
        <v/>
      </c>
      <c r="E327" s="57">
        <f>(fcd_sn*sn_b*sn_h*(3/7+4/7*(1-$C327^2/3))+SUMPRODUCT($J$5:$K$5,$J327:$K327))/1000</f>
        <v/>
      </c>
      <c r="F327" s="57">
        <f>((fcd_sn*sn_b*(3/14*sn_h*(sn_h-3/7*sn_h)+4/7*sn_h*(sn_h/2-3/7*sn_h)*(1-$C327^2/3)-16/49*sn_h^2*(1/2-$C327^2/4))+SUMPRODUCT($J$5:$K$5,$J327:$K327,$J$7:$K$7))/1E6)</f>
        <v/>
      </c>
      <c r="J327">
        <f>MAX(-fyd_sn,MIN(fyd_sn,200000*0.002*(1-$C327*(7*J$6-3*sn_h)/(4*sn_h))))-fcd_sn*(1-MIN(1,MAX(0,$C327*(7*J$6-3*sn_h)/(4*sn_h)))^2)</f>
        <v/>
      </c>
      <c r="K327">
        <f>MAX(-fyd_sn,MIN(fyd_sn,200000*0.002*(1-$C327*(7*K$6-3*sn_h)/(4*sn_h))))-fcd_sn*(1-MIN(1,MAX(0,$C327*(7*K$6-3*sn_h)/(4*sn_h)))^2)</f>
        <v/>
      </c>
    </row>
    <row r="328">
      <c r="B328" s="55" t="n">
        <v>145</v>
      </c>
      <c r="C328" s="58">
        <f>1-145/200</f>
        <v/>
      </c>
      <c r="D328" s="59">
        <f>IF($C328&gt;=1,sn_h,3/7*sn_h+4/7*sn_h/MAX($C328,1E-12))</f>
        <v/>
      </c>
      <c r="E328" s="57">
        <f>(fcd_sn*sn_b*sn_h*(3/7+4/7*(1-$C328^2/3))+SUMPRODUCT($J$5:$K$5,$J328:$K328))/1000</f>
        <v/>
      </c>
      <c r="F328" s="57">
        <f>((fcd_sn*sn_b*(3/14*sn_h*(sn_h-3/7*sn_h)+4/7*sn_h*(sn_h/2-3/7*sn_h)*(1-$C328^2/3)-16/49*sn_h^2*(1/2-$C328^2/4))+SUMPRODUCT($J$5:$K$5,$J328:$K328,$J$7:$K$7))/1E6)</f>
        <v/>
      </c>
      <c r="J328">
        <f>MAX(-fyd_sn,MIN(fyd_sn,200000*0.002*(1-$C328*(7*J$6-3*sn_h)/(4*sn_h))))-fcd_sn*(1-MIN(1,MAX(0,$C328*(7*J$6-3*sn_h)/(4*sn_h)))^2)</f>
        <v/>
      </c>
      <c r="K328">
        <f>MAX(-fyd_sn,MIN(fyd_sn,200000*0.002*(1-$C328*(7*K$6-3*sn_h)/(4*sn_h))))-fcd_sn*(1-MIN(1,MAX(0,$C328*(7*K$6-3*sn_h)/(4*sn_h)))^2)</f>
        <v/>
      </c>
    </row>
    <row r="329">
      <c r="B329" s="55" t="n">
        <v>146</v>
      </c>
      <c r="C329" s="58">
        <f>1-146/200</f>
        <v/>
      </c>
      <c r="D329" s="59">
        <f>IF($C329&gt;=1,sn_h,3/7*sn_h+4/7*sn_h/MAX($C329,1E-12))</f>
        <v/>
      </c>
      <c r="E329" s="57">
        <f>(fcd_sn*sn_b*sn_h*(3/7+4/7*(1-$C329^2/3))+SUMPRODUCT($J$5:$K$5,$J329:$K329))/1000</f>
        <v/>
      </c>
      <c r="F329" s="57">
        <f>((fcd_sn*sn_b*(3/14*sn_h*(sn_h-3/7*sn_h)+4/7*sn_h*(sn_h/2-3/7*sn_h)*(1-$C329^2/3)-16/49*sn_h^2*(1/2-$C329^2/4))+SUMPRODUCT($J$5:$K$5,$J329:$K329,$J$7:$K$7))/1E6)</f>
        <v/>
      </c>
      <c r="J329">
        <f>MAX(-fyd_sn,MIN(fyd_sn,200000*0.002*(1-$C329*(7*J$6-3*sn_h)/(4*sn_h))))-fcd_sn*(1-MIN(1,MAX(0,$C329*(7*J$6-3*sn_h)/(4*sn_h)))^2)</f>
        <v/>
      </c>
      <c r="K329">
        <f>MAX(-fyd_sn,MIN(fyd_sn,200000*0.002*(1-$C329*(7*K$6-3*sn_h)/(4*sn_h))))-fcd_sn*(1-MIN(1,MAX(0,$C329*(7*K$6-3*sn_h)/(4*sn_h)))^2)</f>
        <v/>
      </c>
    </row>
    <row r="330">
      <c r="B330" s="55" t="n">
        <v>147</v>
      </c>
      <c r="C330" s="58">
        <f>1-147/200</f>
        <v/>
      </c>
      <c r="D330" s="59">
        <f>IF($C330&gt;=1,sn_h,3/7*sn_h+4/7*sn_h/MAX($C330,1E-12))</f>
        <v/>
      </c>
      <c r="E330" s="57">
        <f>(fcd_sn*sn_b*sn_h*(3/7+4/7*(1-$C330^2/3))+SUMPRODUCT($J$5:$K$5,$J330:$K330))/1000</f>
        <v/>
      </c>
      <c r="F330" s="57">
        <f>((fcd_sn*sn_b*(3/14*sn_h*(sn_h-3/7*sn_h)+4/7*sn_h*(sn_h/2-3/7*sn_h)*(1-$C330^2/3)-16/49*sn_h^2*(1/2-$C330^2/4))+SUMPRODUCT($J$5:$K$5,$J330:$K330,$J$7:$K$7))/1E6)</f>
        <v/>
      </c>
      <c r="J330">
        <f>MAX(-fyd_sn,MIN(fyd_sn,200000*0.002*(1-$C330*(7*J$6-3*sn_h)/(4*sn_h))))-fcd_sn*(1-MIN(1,MAX(0,$C330*(7*J$6-3*sn_h)/(4*sn_h)))^2)</f>
        <v/>
      </c>
      <c r="K330">
        <f>MAX(-fyd_sn,MIN(fyd_sn,200000*0.002*(1-$C330*(7*K$6-3*sn_h)/(4*sn_h))))-fcd_sn*(1-MIN(1,MAX(0,$C330*(7*K$6-3*sn_h)/(4*sn_h)))^2)</f>
        <v/>
      </c>
    </row>
    <row r="331">
      <c r="B331" s="55" t="n">
        <v>148</v>
      </c>
      <c r="C331" s="58">
        <f>1-148/200</f>
        <v/>
      </c>
      <c r="D331" s="59">
        <f>IF($C331&gt;=1,sn_h,3/7*sn_h+4/7*sn_h/MAX($C331,1E-12))</f>
        <v/>
      </c>
      <c r="E331" s="57">
        <f>(fcd_sn*sn_b*sn_h*(3/7+4/7*(1-$C331^2/3))+SUMPRODUCT($J$5:$K$5,$J331:$K331))/1000</f>
        <v/>
      </c>
      <c r="F331" s="57">
        <f>((fcd_sn*sn_b*(3/14*sn_h*(sn_h-3/7*sn_h)+4/7*sn_h*(sn_h/2-3/7*sn_h)*(1-$C331^2/3)-16/49*sn_h^2*(1/2-$C331^2/4))+SUMPRODUCT($J$5:$K$5,$J331:$K331,$J$7:$K$7))/1E6)</f>
        <v/>
      </c>
      <c r="J331">
        <f>MAX(-fyd_sn,MIN(fyd_sn,200000*0.002*(1-$C331*(7*J$6-3*sn_h)/(4*sn_h))))-fcd_sn*(1-MIN(1,MAX(0,$C331*(7*J$6-3*sn_h)/(4*sn_h)))^2)</f>
        <v/>
      </c>
      <c r="K331">
        <f>MAX(-fyd_sn,MIN(fyd_sn,200000*0.002*(1-$C331*(7*K$6-3*sn_h)/(4*sn_h))))-fcd_sn*(1-MIN(1,MAX(0,$C331*(7*K$6-3*sn_h)/(4*sn_h)))^2)</f>
        <v/>
      </c>
    </row>
    <row r="332">
      <c r="B332" s="55" t="n">
        <v>149</v>
      </c>
      <c r="C332" s="58">
        <f>1-149/200</f>
        <v/>
      </c>
      <c r="D332" s="59">
        <f>IF($C332&gt;=1,sn_h,3/7*sn_h+4/7*sn_h/MAX($C332,1E-12))</f>
        <v/>
      </c>
      <c r="E332" s="57">
        <f>(fcd_sn*sn_b*sn_h*(3/7+4/7*(1-$C332^2/3))+SUMPRODUCT($J$5:$K$5,$J332:$K332))/1000</f>
        <v/>
      </c>
      <c r="F332" s="57">
        <f>((fcd_sn*sn_b*(3/14*sn_h*(sn_h-3/7*sn_h)+4/7*sn_h*(sn_h/2-3/7*sn_h)*(1-$C332^2/3)-16/49*sn_h^2*(1/2-$C332^2/4))+SUMPRODUCT($J$5:$K$5,$J332:$K332,$J$7:$K$7))/1E6)</f>
        <v/>
      </c>
      <c r="J332">
        <f>MAX(-fyd_sn,MIN(fyd_sn,200000*0.002*(1-$C332*(7*J$6-3*sn_h)/(4*sn_h))))-fcd_sn*(1-MIN(1,MAX(0,$C332*(7*J$6-3*sn_h)/(4*sn_h)))^2)</f>
        <v/>
      </c>
      <c r="K332">
        <f>MAX(-fyd_sn,MIN(fyd_sn,200000*0.002*(1-$C332*(7*K$6-3*sn_h)/(4*sn_h))))-fcd_sn*(1-MIN(1,MAX(0,$C332*(7*K$6-3*sn_h)/(4*sn_h)))^2)</f>
        <v/>
      </c>
    </row>
    <row r="333">
      <c r="B333" s="55" t="n">
        <v>150</v>
      </c>
      <c r="C333" s="58">
        <f>1-150/200</f>
        <v/>
      </c>
      <c r="D333" s="59">
        <f>IF($C333&gt;=1,sn_h,3/7*sn_h+4/7*sn_h/MAX($C333,1E-12))</f>
        <v/>
      </c>
      <c r="E333" s="57">
        <f>(fcd_sn*sn_b*sn_h*(3/7+4/7*(1-$C333^2/3))+SUMPRODUCT($J$5:$K$5,$J333:$K333))/1000</f>
        <v/>
      </c>
      <c r="F333" s="57">
        <f>((fcd_sn*sn_b*(3/14*sn_h*(sn_h-3/7*sn_h)+4/7*sn_h*(sn_h/2-3/7*sn_h)*(1-$C333^2/3)-16/49*sn_h^2*(1/2-$C333^2/4))+SUMPRODUCT($J$5:$K$5,$J333:$K333,$J$7:$K$7))/1E6)</f>
        <v/>
      </c>
      <c r="J333">
        <f>MAX(-fyd_sn,MIN(fyd_sn,200000*0.002*(1-$C333*(7*J$6-3*sn_h)/(4*sn_h))))-fcd_sn*(1-MIN(1,MAX(0,$C333*(7*J$6-3*sn_h)/(4*sn_h)))^2)</f>
        <v/>
      </c>
      <c r="K333">
        <f>MAX(-fyd_sn,MIN(fyd_sn,200000*0.002*(1-$C333*(7*K$6-3*sn_h)/(4*sn_h))))-fcd_sn*(1-MIN(1,MAX(0,$C333*(7*K$6-3*sn_h)/(4*sn_h)))^2)</f>
        <v/>
      </c>
    </row>
    <row r="334">
      <c r="B334" s="55" t="n">
        <v>151</v>
      </c>
      <c r="C334" s="58">
        <f>1-151/200</f>
        <v/>
      </c>
      <c r="D334" s="59">
        <f>IF($C334&gt;=1,sn_h,3/7*sn_h+4/7*sn_h/MAX($C334,1E-12))</f>
        <v/>
      </c>
      <c r="E334" s="57">
        <f>(fcd_sn*sn_b*sn_h*(3/7+4/7*(1-$C334^2/3))+SUMPRODUCT($J$5:$K$5,$J334:$K334))/1000</f>
        <v/>
      </c>
      <c r="F334" s="57">
        <f>((fcd_sn*sn_b*(3/14*sn_h*(sn_h-3/7*sn_h)+4/7*sn_h*(sn_h/2-3/7*sn_h)*(1-$C334^2/3)-16/49*sn_h^2*(1/2-$C334^2/4))+SUMPRODUCT($J$5:$K$5,$J334:$K334,$J$7:$K$7))/1E6)</f>
        <v/>
      </c>
      <c r="J334">
        <f>MAX(-fyd_sn,MIN(fyd_sn,200000*0.002*(1-$C334*(7*J$6-3*sn_h)/(4*sn_h))))-fcd_sn*(1-MIN(1,MAX(0,$C334*(7*J$6-3*sn_h)/(4*sn_h)))^2)</f>
        <v/>
      </c>
      <c r="K334">
        <f>MAX(-fyd_sn,MIN(fyd_sn,200000*0.002*(1-$C334*(7*K$6-3*sn_h)/(4*sn_h))))-fcd_sn*(1-MIN(1,MAX(0,$C334*(7*K$6-3*sn_h)/(4*sn_h)))^2)</f>
        <v/>
      </c>
    </row>
    <row r="335">
      <c r="B335" s="55" t="n">
        <v>152</v>
      </c>
      <c r="C335" s="58">
        <f>1-152/200</f>
        <v/>
      </c>
      <c r="D335" s="59">
        <f>IF($C335&gt;=1,sn_h,3/7*sn_h+4/7*sn_h/MAX($C335,1E-12))</f>
        <v/>
      </c>
      <c r="E335" s="57">
        <f>(fcd_sn*sn_b*sn_h*(3/7+4/7*(1-$C335^2/3))+SUMPRODUCT($J$5:$K$5,$J335:$K335))/1000</f>
        <v/>
      </c>
      <c r="F335" s="57">
        <f>((fcd_sn*sn_b*(3/14*sn_h*(sn_h-3/7*sn_h)+4/7*sn_h*(sn_h/2-3/7*sn_h)*(1-$C335^2/3)-16/49*sn_h^2*(1/2-$C335^2/4))+SUMPRODUCT($J$5:$K$5,$J335:$K335,$J$7:$K$7))/1E6)</f>
        <v/>
      </c>
      <c r="J335">
        <f>MAX(-fyd_sn,MIN(fyd_sn,200000*0.002*(1-$C335*(7*J$6-3*sn_h)/(4*sn_h))))-fcd_sn*(1-MIN(1,MAX(0,$C335*(7*J$6-3*sn_h)/(4*sn_h)))^2)</f>
        <v/>
      </c>
      <c r="K335">
        <f>MAX(-fyd_sn,MIN(fyd_sn,200000*0.002*(1-$C335*(7*K$6-3*sn_h)/(4*sn_h))))-fcd_sn*(1-MIN(1,MAX(0,$C335*(7*K$6-3*sn_h)/(4*sn_h)))^2)</f>
        <v/>
      </c>
    </row>
    <row r="336">
      <c r="B336" s="55" t="n">
        <v>153</v>
      </c>
      <c r="C336" s="58">
        <f>1-153/200</f>
        <v/>
      </c>
      <c r="D336" s="59">
        <f>IF($C336&gt;=1,sn_h,3/7*sn_h+4/7*sn_h/MAX($C336,1E-12))</f>
        <v/>
      </c>
      <c r="E336" s="57">
        <f>(fcd_sn*sn_b*sn_h*(3/7+4/7*(1-$C336^2/3))+SUMPRODUCT($J$5:$K$5,$J336:$K336))/1000</f>
        <v/>
      </c>
      <c r="F336" s="57">
        <f>((fcd_sn*sn_b*(3/14*sn_h*(sn_h-3/7*sn_h)+4/7*sn_h*(sn_h/2-3/7*sn_h)*(1-$C336^2/3)-16/49*sn_h^2*(1/2-$C336^2/4))+SUMPRODUCT($J$5:$K$5,$J336:$K336,$J$7:$K$7))/1E6)</f>
        <v/>
      </c>
      <c r="J336">
        <f>MAX(-fyd_sn,MIN(fyd_sn,200000*0.002*(1-$C336*(7*J$6-3*sn_h)/(4*sn_h))))-fcd_sn*(1-MIN(1,MAX(0,$C336*(7*J$6-3*sn_h)/(4*sn_h)))^2)</f>
        <v/>
      </c>
      <c r="K336">
        <f>MAX(-fyd_sn,MIN(fyd_sn,200000*0.002*(1-$C336*(7*K$6-3*sn_h)/(4*sn_h))))-fcd_sn*(1-MIN(1,MAX(0,$C336*(7*K$6-3*sn_h)/(4*sn_h)))^2)</f>
        <v/>
      </c>
    </row>
    <row r="337">
      <c r="B337" s="55" t="n">
        <v>154</v>
      </c>
      <c r="C337" s="58">
        <f>1-154/200</f>
        <v/>
      </c>
      <c r="D337" s="59">
        <f>IF($C337&gt;=1,sn_h,3/7*sn_h+4/7*sn_h/MAX($C337,1E-12))</f>
        <v/>
      </c>
      <c r="E337" s="57">
        <f>(fcd_sn*sn_b*sn_h*(3/7+4/7*(1-$C337^2/3))+SUMPRODUCT($J$5:$K$5,$J337:$K337))/1000</f>
        <v/>
      </c>
      <c r="F337" s="57">
        <f>((fcd_sn*sn_b*(3/14*sn_h*(sn_h-3/7*sn_h)+4/7*sn_h*(sn_h/2-3/7*sn_h)*(1-$C337^2/3)-16/49*sn_h^2*(1/2-$C337^2/4))+SUMPRODUCT($J$5:$K$5,$J337:$K337,$J$7:$K$7))/1E6)</f>
        <v/>
      </c>
      <c r="J337">
        <f>MAX(-fyd_sn,MIN(fyd_sn,200000*0.002*(1-$C337*(7*J$6-3*sn_h)/(4*sn_h))))-fcd_sn*(1-MIN(1,MAX(0,$C337*(7*J$6-3*sn_h)/(4*sn_h)))^2)</f>
        <v/>
      </c>
      <c r="K337">
        <f>MAX(-fyd_sn,MIN(fyd_sn,200000*0.002*(1-$C337*(7*K$6-3*sn_h)/(4*sn_h))))-fcd_sn*(1-MIN(1,MAX(0,$C337*(7*K$6-3*sn_h)/(4*sn_h)))^2)</f>
        <v/>
      </c>
    </row>
    <row r="338">
      <c r="B338" s="55" t="n">
        <v>155</v>
      </c>
      <c r="C338" s="58">
        <f>1-155/200</f>
        <v/>
      </c>
      <c r="D338" s="59">
        <f>IF($C338&gt;=1,sn_h,3/7*sn_h+4/7*sn_h/MAX($C338,1E-12))</f>
        <v/>
      </c>
      <c r="E338" s="57">
        <f>(fcd_sn*sn_b*sn_h*(3/7+4/7*(1-$C338^2/3))+SUMPRODUCT($J$5:$K$5,$J338:$K338))/1000</f>
        <v/>
      </c>
      <c r="F338" s="57">
        <f>((fcd_sn*sn_b*(3/14*sn_h*(sn_h-3/7*sn_h)+4/7*sn_h*(sn_h/2-3/7*sn_h)*(1-$C338^2/3)-16/49*sn_h^2*(1/2-$C338^2/4))+SUMPRODUCT($J$5:$K$5,$J338:$K338,$J$7:$K$7))/1E6)</f>
        <v/>
      </c>
      <c r="J338">
        <f>MAX(-fyd_sn,MIN(fyd_sn,200000*0.002*(1-$C338*(7*J$6-3*sn_h)/(4*sn_h))))-fcd_sn*(1-MIN(1,MAX(0,$C338*(7*J$6-3*sn_h)/(4*sn_h)))^2)</f>
        <v/>
      </c>
      <c r="K338">
        <f>MAX(-fyd_sn,MIN(fyd_sn,200000*0.002*(1-$C338*(7*K$6-3*sn_h)/(4*sn_h))))-fcd_sn*(1-MIN(1,MAX(0,$C338*(7*K$6-3*sn_h)/(4*sn_h)))^2)</f>
        <v/>
      </c>
    </row>
    <row r="339">
      <c r="B339" s="55" t="n">
        <v>156</v>
      </c>
      <c r="C339" s="58">
        <f>1-156/200</f>
        <v/>
      </c>
      <c r="D339" s="59">
        <f>IF($C339&gt;=1,sn_h,3/7*sn_h+4/7*sn_h/MAX($C339,1E-12))</f>
        <v/>
      </c>
      <c r="E339" s="57">
        <f>(fcd_sn*sn_b*sn_h*(3/7+4/7*(1-$C339^2/3))+SUMPRODUCT($J$5:$K$5,$J339:$K339))/1000</f>
        <v/>
      </c>
      <c r="F339" s="57">
        <f>((fcd_sn*sn_b*(3/14*sn_h*(sn_h-3/7*sn_h)+4/7*sn_h*(sn_h/2-3/7*sn_h)*(1-$C339^2/3)-16/49*sn_h^2*(1/2-$C339^2/4))+SUMPRODUCT($J$5:$K$5,$J339:$K339,$J$7:$K$7))/1E6)</f>
        <v/>
      </c>
      <c r="J339">
        <f>MAX(-fyd_sn,MIN(fyd_sn,200000*0.002*(1-$C339*(7*J$6-3*sn_h)/(4*sn_h))))-fcd_sn*(1-MIN(1,MAX(0,$C339*(7*J$6-3*sn_h)/(4*sn_h)))^2)</f>
        <v/>
      </c>
      <c r="K339">
        <f>MAX(-fyd_sn,MIN(fyd_sn,200000*0.002*(1-$C339*(7*K$6-3*sn_h)/(4*sn_h))))-fcd_sn*(1-MIN(1,MAX(0,$C339*(7*K$6-3*sn_h)/(4*sn_h)))^2)</f>
        <v/>
      </c>
    </row>
    <row r="340">
      <c r="B340" s="55" t="n">
        <v>157</v>
      </c>
      <c r="C340" s="58">
        <f>1-157/200</f>
        <v/>
      </c>
      <c r="D340" s="59">
        <f>IF($C340&gt;=1,sn_h,3/7*sn_h+4/7*sn_h/MAX($C340,1E-12))</f>
        <v/>
      </c>
      <c r="E340" s="57">
        <f>(fcd_sn*sn_b*sn_h*(3/7+4/7*(1-$C340^2/3))+SUMPRODUCT($J$5:$K$5,$J340:$K340))/1000</f>
        <v/>
      </c>
      <c r="F340" s="57">
        <f>((fcd_sn*sn_b*(3/14*sn_h*(sn_h-3/7*sn_h)+4/7*sn_h*(sn_h/2-3/7*sn_h)*(1-$C340^2/3)-16/49*sn_h^2*(1/2-$C340^2/4))+SUMPRODUCT($J$5:$K$5,$J340:$K340,$J$7:$K$7))/1E6)</f>
        <v/>
      </c>
      <c r="J340">
        <f>MAX(-fyd_sn,MIN(fyd_sn,200000*0.002*(1-$C340*(7*J$6-3*sn_h)/(4*sn_h))))-fcd_sn*(1-MIN(1,MAX(0,$C340*(7*J$6-3*sn_h)/(4*sn_h)))^2)</f>
        <v/>
      </c>
      <c r="K340">
        <f>MAX(-fyd_sn,MIN(fyd_sn,200000*0.002*(1-$C340*(7*K$6-3*sn_h)/(4*sn_h))))-fcd_sn*(1-MIN(1,MAX(0,$C340*(7*K$6-3*sn_h)/(4*sn_h)))^2)</f>
        <v/>
      </c>
    </row>
    <row r="341">
      <c r="B341" s="55" t="n">
        <v>158</v>
      </c>
      <c r="C341" s="58">
        <f>1-158/200</f>
        <v/>
      </c>
      <c r="D341" s="59">
        <f>IF($C341&gt;=1,sn_h,3/7*sn_h+4/7*sn_h/MAX($C341,1E-12))</f>
        <v/>
      </c>
      <c r="E341" s="57">
        <f>(fcd_sn*sn_b*sn_h*(3/7+4/7*(1-$C341^2/3))+SUMPRODUCT($J$5:$K$5,$J341:$K341))/1000</f>
        <v/>
      </c>
      <c r="F341" s="57">
        <f>((fcd_sn*sn_b*(3/14*sn_h*(sn_h-3/7*sn_h)+4/7*sn_h*(sn_h/2-3/7*sn_h)*(1-$C341^2/3)-16/49*sn_h^2*(1/2-$C341^2/4))+SUMPRODUCT($J$5:$K$5,$J341:$K341,$J$7:$K$7))/1E6)</f>
        <v/>
      </c>
      <c r="J341">
        <f>MAX(-fyd_sn,MIN(fyd_sn,200000*0.002*(1-$C341*(7*J$6-3*sn_h)/(4*sn_h))))-fcd_sn*(1-MIN(1,MAX(0,$C341*(7*J$6-3*sn_h)/(4*sn_h)))^2)</f>
        <v/>
      </c>
      <c r="K341">
        <f>MAX(-fyd_sn,MIN(fyd_sn,200000*0.002*(1-$C341*(7*K$6-3*sn_h)/(4*sn_h))))-fcd_sn*(1-MIN(1,MAX(0,$C341*(7*K$6-3*sn_h)/(4*sn_h)))^2)</f>
        <v/>
      </c>
    </row>
    <row r="342">
      <c r="B342" s="55" t="n">
        <v>159</v>
      </c>
      <c r="C342" s="58">
        <f>1-159/200</f>
        <v/>
      </c>
      <c r="D342" s="59">
        <f>IF($C342&gt;=1,sn_h,3/7*sn_h+4/7*sn_h/MAX($C342,1E-12))</f>
        <v/>
      </c>
      <c r="E342" s="57">
        <f>(fcd_sn*sn_b*sn_h*(3/7+4/7*(1-$C342^2/3))+SUMPRODUCT($J$5:$K$5,$J342:$K342))/1000</f>
        <v/>
      </c>
      <c r="F342" s="57">
        <f>((fcd_sn*sn_b*(3/14*sn_h*(sn_h-3/7*sn_h)+4/7*sn_h*(sn_h/2-3/7*sn_h)*(1-$C342^2/3)-16/49*sn_h^2*(1/2-$C342^2/4))+SUMPRODUCT($J$5:$K$5,$J342:$K342,$J$7:$K$7))/1E6)</f>
        <v/>
      </c>
      <c r="J342">
        <f>MAX(-fyd_sn,MIN(fyd_sn,200000*0.002*(1-$C342*(7*J$6-3*sn_h)/(4*sn_h))))-fcd_sn*(1-MIN(1,MAX(0,$C342*(7*J$6-3*sn_h)/(4*sn_h)))^2)</f>
        <v/>
      </c>
      <c r="K342">
        <f>MAX(-fyd_sn,MIN(fyd_sn,200000*0.002*(1-$C342*(7*K$6-3*sn_h)/(4*sn_h))))-fcd_sn*(1-MIN(1,MAX(0,$C342*(7*K$6-3*sn_h)/(4*sn_h)))^2)</f>
        <v/>
      </c>
    </row>
    <row r="343">
      <c r="B343" s="55" t="n">
        <v>160</v>
      </c>
      <c r="C343" s="58">
        <f>1-160/200</f>
        <v/>
      </c>
      <c r="D343" s="59">
        <f>IF($C343&gt;=1,sn_h,3/7*sn_h+4/7*sn_h/MAX($C343,1E-12))</f>
        <v/>
      </c>
      <c r="E343" s="57">
        <f>(fcd_sn*sn_b*sn_h*(3/7+4/7*(1-$C343^2/3))+SUMPRODUCT($J$5:$K$5,$J343:$K343))/1000</f>
        <v/>
      </c>
      <c r="F343" s="57">
        <f>((fcd_sn*sn_b*(3/14*sn_h*(sn_h-3/7*sn_h)+4/7*sn_h*(sn_h/2-3/7*sn_h)*(1-$C343^2/3)-16/49*sn_h^2*(1/2-$C343^2/4))+SUMPRODUCT($J$5:$K$5,$J343:$K343,$J$7:$K$7))/1E6)</f>
        <v/>
      </c>
      <c r="J343">
        <f>MAX(-fyd_sn,MIN(fyd_sn,200000*0.002*(1-$C343*(7*J$6-3*sn_h)/(4*sn_h))))-fcd_sn*(1-MIN(1,MAX(0,$C343*(7*J$6-3*sn_h)/(4*sn_h)))^2)</f>
        <v/>
      </c>
      <c r="K343">
        <f>MAX(-fyd_sn,MIN(fyd_sn,200000*0.002*(1-$C343*(7*K$6-3*sn_h)/(4*sn_h))))-fcd_sn*(1-MIN(1,MAX(0,$C343*(7*K$6-3*sn_h)/(4*sn_h)))^2)</f>
        <v/>
      </c>
    </row>
    <row r="344">
      <c r="B344" s="55" t="n">
        <v>161</v>
      </c>
      <c r="C344" s="58">
        <f>1-161/200</f>
        <v/>
      </c>
      <c r="D344" s="59">
        <f>IF($C344&gt;=1,sn_h,3/7*sn_h+4/7*sn_h/MAX($C344,1E-12))</f>
        <v/>
      </c>
      <c r="E344" s="57">
        <f>(fcd_sn*sn_b*sn_h*(3/7+4/7*(1-$C344^2/3))+SUMPRODUCT($J$5:$K$5,$J344:$K344))/1000</f>
        <v/>
      </c>
      <c r="F344" s="57">
        <f>((fcd_sn*sn_b*(3/14*sn_h*(sn_h-3/7*sn_h)+4/7*sn_h*(sn_h/2-3/7*sn_h)*(1-$C344^2/3)-16/49*sn_h^2*(1/2-$C344^2/4))+SUMPRODUCT($J$5:$K$5,$J344:$K344,$J$7:$K$7))/1E6)</f>
        <v/>
      </c>
      <c r="J344">
        <f>MAX(-fyd_sn,MIN(fyd_sn,200000*0.002*(1-$C344*(7*J$6-3*sn_h)/(4*sn_h))))-fcd_sn*(1-MIN(1,MAX(0,$C344*(7*J$6-3*sn_h)/(4*sn_h)))^2)</f>
        <v/>
      </c>
      <c r="K344">
        <f>MAX(-fyd_sn,MIN(fyd_sn,200000*0.002*(1-$C344*(7*K$6-3*sn_h)/(4*sn_h))))-fcd_sn*(1-MIN(1,MAX(0,$C344*(7*K$6-3*sn_h)/(4*sn_h)))^2)</f>
        <v/>
      </c>
    </row>
    <row r="345">
      <c r="B345" s="55" t="n">
        <v>162</v>
      </c>
      <c r="C345" s="58">
        <f>1-162/200</f>
        <v/>
      </c>
      <c r="D345" s="59">
        <f>IF($C345&gt;=1,sn_h,3/7*sn_h+4/7*sn_h/MAX($C345,1E-12))</f>
        <v/>
      </c>
      <c r="E345" s="57">
        <f>(fcd_sn*sn_b*sn_h*(3/7+4/7*(1-$C345^2/3))+SUMPRODUCT($J$5:$K$5,$J345:$K345))/1000</f>
        <v/>
      </c>
      <c r="F345" s="57">
        <f>((fcd_sn*sn_b*(3/14*sn_h*(sn_h-3/7*sn_h)+4/7*sn_h*(sn_h/2-3/7*sn_h)*(1-$C345^2/3)-16/49*sn_h^2*(1/2-$C345^2/4))+SUMPRODUCT($J$5:$K$5,$J345:$K345,$J$7:$K$7))/1E6)</f>
        <v/>
      </c>
      <c r="J345">
        <f>MAX(-fyd_sn,MIN(fyd_sn,200000*0.002*(1-$C345*(7*J$6-3*sn_h)/(4*sn_h))))-fcd_sn*(1-MIN(1,MAX(0,$C345*(7*J$6-3*sn_h)/(4*sn_h)))^2)</f>
        <v/>
      </c>
      <c r="K345">
        <f>MAX(-fyd_sn,MIN(fyd_sn,200000*0.002*(1-$C345*(7*K$6-3*sn_h)/(4*sn_h))))-fcd_sn*(1-MIN(1,MAX(0,$C345*(7*K$6-3*sn_h)/(4*sn_h)))^2)</f>
        <v/>
      </c>
    </row>
    <row r="346">
      <c r="B346" s="55" t="n">
        <v>163</v>
      </c>
      <c r="C346" s="58">
        <f>1-163/200</f>
        <v/>
      </c>
      <c r="D346" s="59">
        <f>IF($C346&gt;=1,sn_h,3/7*sn_h+4/7*sn_h/MAX($C346,1E-12))</f>
        <v/>
      </c>
      <c r="E346" s="57">
        <f>(fcd_sn*sn_b*sn_h*(3/7+4/7*(1-$C346^2/3))+SUMPRODUCT($J$5:$K$5,$J346:$K346))/1000</f>
        <v/>
      </c>
      <c r="F346" s="57">
        <f>((fcd_sn*sn_b*(3/14*sn_h*(sn_h-3/7*sn_h)+4/7*sn_h*(sn_h/2-3/7*sn_h)*(1-$C346^2/3)-16/49*sn_h^2*(1/2-$C346^2/4))+SUMPRODUCT($J$5:$K$5,$J346:$K346,$J$7:$K$7))/1E6)</f>
        <v/>
      </c>
      <c r="J346">
        <f>MAX(-fyd_sn,MIN(fyd_sn,200000*0.002*(1-$C346*(7*J$6-3*sn_h)/(4*sn_h))))-fcd_sn*(1-MIN(1,MAX(0,$C346*(7*J$6-3*sn_h)/(4*sn_h)))^2)</f>
        <v/>
      </c>
      <c r="K346">
        <f>MAX(-fyd_sn,MIN(fyd_sn,200000*0.002*(1-$C346*(7*K$6-3*sn_h)/(4*sn_h))))-fcd_sn*(1-MIN(1,MAX(0,$C346*(7*K$6-3*sn_h)/(4*sn_h)))^2)</f>
        <v/>
      </c>
    </row>
    <row r="347">
      <c r="B347" s="55" t="n">
        <v>164</v>
      </c>
      <c r="C347" s="58">
        <f>1-164/200</f>
        <v/>
      </c>
      <c r="D347" s="59">
        <f>IF($C347&gt;=1,sn_h,3/7*sn_h+4/7*sn_h/MAX($C347,1E-12))</f>
        <v/>
      </c>
      <c r="E347" s="57">
        <f>(fcd_sn*sn_b*sn_h*(3/7+4/7*(1-$C347^2/3))+SUMPRODUCT($J$5:$K$5,$J347:$K347))/1000</f>
        <v/>
      </c>
      <c r="F347" s="57">
        <f>((fcd_sn*sn_b*(3/14*sn_h*(sn_h-3/7*sn_h)+4/7*sn_h*(sn_h/2-3/7*sn_h)*(1-$C347^2/3)-16/49*sn_h^2*(1/2-$C347^2/4))+SUMPRODUCT($J$5:$K$5,$J347:$K347,$J$7:$K$7))/1E6)</f>
        <v/>
      </c>
      <c r="J347">
        <f>MAX(-fyd_sn,MIN(fyd_sn,200000*0.002*(1-$C347*(7*J$6-3*sn_h)/(4*sn_h))))-fcd_sn*(1-MIN(1,MAX(0,$C347*(7*J$6-3*sn_h)/(4*sn_h)))^2)</f>
        <v/>
      </c>
      <c r="K347">
        <f>MAX(-fyd_sn,MIN(fyd_sn,200000*0.002*(1-$C347*(7*K$6-3*sn_h)/(4*sn_h))))-fcd_sn*(1-MIN(1,MAX(0,$C347*(7*K$6-3*sn_h)/(4*sn_h)))^2)</f>
        <v/>
      </c>
    </row>
    <row r="348">
      <c r="B348" s="55" t="n">
        <v>165</v>
      </c>
      <c r="C348" s="58">
        <f>1-165/200</f>
        <v/>
      </c>
      <c r="D348" s="59">
        <f>IF($C348&gt;=1,sn_h,3/7*sn_h+4/7*sn_h/MAX($C348,1E-12))</f>
        <v/>
      </c>
      <c r="E348" s="57">
        <f>(fcd_sn*sn_b*sn_h*(3/7+4/7*(1-$C348^2/3))+SUMPRODUCT($J$5:$K$5,$J348:$K348))/1000</f>
        <v/>
      </c>
      <c r="F348" s="57">
        <f>((fcd_sn*sn_b*(3/14*sn_h*(sn_h-3/7*sn_h)+4/7*sn_h*(sn_h/2-3/7*sn_h)*(1-$C348^2/3)-16/49*sn_h^2*(1/2-$C348^2/4))+SUMPRODUCT($J$5:$K$5,$J348:$K348,$J$7:$K$7))/1E6)</f>
        <v/>
      </c>
      <c r="J348">
        <f>MAX(-fyd_sn,MIN(fyd_sn,200000*0.002*(1-$C348*(7*J$6-3*sn_h)/(4*sn_h))))-fcd_sn*(1-MIN(1,MAX(0,$C348*(7*J$6-3*sn_h)/(4*sn_h)))^2)</f>
        <v/>
      </c>
      <c r="K348">
        <f>MAX(-fyd_sn,MIN(fyd_sn,200000*0.002*(1-$C348*(7*K$6-3*sn_h)/(4*sn_h))))-fcd_sn*(1-MIN(1,MAX(0,$C348*(7*K$6-3*sn_h)/(4*sn_h)))^2)</f>
        <v/>
      </c>
    </row>
    <row r="349">
      <c r="B349" s="55" t="n">
        <v>166</v>
      </c>
      <c r="C349" s="58">
        <f>1-166/200</f>
        <v/>
      </c>
      <c r="D349" s="59">
        <f>IF($C349&gt;=1,sn_h,3/7*sn_h+4/7*sn_h/MAX($C349,1E-12))</f>
        <v/>
      </c>
      <c r="E349" s="57">
        <f>(fcd_sn*sn_b*sn_h*(3/7+4/7*(1-$C349^2/3))+SUMPRODUCT($J$5:$K$5,$J349:$K349))/1000</f>
        <v/>
      </c>
      <c r="F349" s="57">
        <f>((fcd_sn*sn_b*(3/14*sn_h*(sn_h-3/7*sn_h)+4/7*sn_h*(sn_h/2-3/7*sn_h)*(1-$C349^2/3)-16/49*sn_h^2*(1/2-$C349^2/4))+SUMPRODUCT($J$5:$K$5,$J349:$K349,$J$7:$K$7))/1E6)</f>
        <v/>
      </c>
      <c r="J349">
        <f>MAX(-fyd_sn,MIN(fyd_sn,200000*0.002*(1-$C349*(7*J$6-3*sn_h)/(4*sn_h))))-fcd_sn*(1-MIN(1,MAX(0,$C349*(7*J$6-3*sn_h)/(4*sn_h)))^2)</f>
        <v/>
      </c>
      <c r="K349">
        <f>MAX(-fyd_sn,MIN(fyd_sn,200000*0.002*(1-$C349*(7*K$6-3*sn_h)/(4*sn_h))))-fcd_sn*(1-MIN(1,MAX(0,$C349*(7*K$6-3*sn_h)/(4*sn_h)))^2)</f>
        <v/>
      </c>
    </row>
    <row r="350">
      <c r="B350" s="55" t="n">
        <v>167</v>
      </c>
      <c r="C350" s="58">
        <f>1-167/200</f>
        <v/>
      </c>
      <c r="D350" s="59">
        <f>IF($C350&gt;=1,sn_h,3/7*sn_h+4/7*sn_h/MAX($C350,1E-12))</f>
        <v/>
      </c>
      <c r="E350" s="57">
        <f>(fcd_sn*sn_b*sn_h*(3/7+4/7*(1-$C350^2/3))+SUMPRODUCT($J$5:$K$5,$J350:$K350))/1000</f>
        <v/>
      </c>
      <c r="F350" s="57">
        <f>((fcd_sn*sn_b*(3/14*sn_h*(sn_h-3/7*sn_h)+4/7*sn_h*(sn_h/2-3/7*sn_h)*(1-$C350^2/3)-16/49*sn_h^2*(1/2-$C350^2/4))+SUMPRODUCT($J$5:$K$5,$J350:$K350,$J$7:$K$7))/1E6)</f>
        <v/>
      </c>
      <c r="J350">
        <f>MAX(-fyd_sn,MIN(fyd_sn,200000*0.002*(1-$C350*(7*J$6-3*sn_h)/(4*sn_h))))-fcd_sn*(1-MIN(1,MAX(0,$C350*(7*J$6-3*sn_h)/(4*sn_h)))^2)</f>
        <v/>
      </c>
      <c r="K350">
        <f>MAX(-fyd_sn,MIN(fyd_sn,200000*0.002*(1-$C350*(7*K$6-3*sn_h)/(4*sn_h))))-fcd_sn*(1-MIN(1,MAX(0,$C350*(7*K$6-3*sn_h)/(4*sn_h)))^2)</f>
        <v/>
      </c>
    </row>
    <row r="351">
      <c r="B351" s="55" t="n">
        <v>168</v>
      </c>
      <c r="C351" s="58">
        <f>1-168/200</f>
        <v/>
      </c>
      <c r="D351" s="59">
        <f>IF($C351&gt;=1,sn_h,3/7*sn_h+4/7*sn_h/MAX($C351,1E-12))</f>
        <v/>
      </c>
      <c r="E351" s="57">
        <f>(fcd_sn*sn_b*sn_h*(3/7+4/7*(1-$C351^2/3))+SUMPRODUCT($J$5:$K$5,$J351:$K351))/1000</f>
        <v/>
      </c>
      <c r="F351" s="57">
        <f>((fcd_sn*sn_b*(3/14*sn_h*(sn_h-3/7*sn_h)+4/7*sn_h*(sn_h/2-3/7*sn_h)*(1-$C351^2/3)-16/49*sn_h^2*(1/2-$C351^2/4))+SUMPRODUCT($J$5:$K$5,$J351:$K351,$J$7:$K$7))/1E6)</f>
        <v/>
      </c>
      <c r="J351">
        <f>MAX(-fyd_sn,MIN(fyd_sn,200000*0.002*(1-$C351*(7*J$6-3*sn_h)/(4*sn_h))))-fcd_sn*(1-MIN(1,MAX(0,$C351*(7*J$6-3*sn_h)/(4*sn_h)))^2)</f>
        <v/>
      </c>
      <c r="K351">
        <f>MAX(-fyd_sn,MIN(fyd_sn,200000*0.002*(1-$C351*(7*K$6-3*sn_h)/(4*sn_h))))-fcd_sn*(1-MIN(1,MAX(0,$C351*(7*K$6-3*sn_h)/(4*sn_h)))^2)</f>
        <v/>
      </c>
    </row>
    <row r="352">
      <c r="B352" s="55" t="n">
        <v>169</v>
      </c>
      <c r="C352" s="58">
        <f>1-169/200</f>
        <v/>
      </c>
      <c r="D352" s="59">
        <f>IF($C352&gt;=1,sn_h,3/7*sn_h+4/7*sn_h/MAX($C352,1E-12))</f>
        <v/>
      </c>
      <c r="E352" s="57">
        <f>(fcd_sn*sn_b*sn_h*(3/7+4/7*(1-$C352^2/3))+SUMPRODUCT($J$5:$K$5,$J352:$K352))/1000</f>
        <v/>
      </c>
      <c r="F352" s="57">
        <f>((fcd_sn*sn_b*(3/14*sn_h*(sn_h-3/7*sn_h)+4/7*sn_h*(sn_h/2-3/7*sn_h)*(1-$C352^2/3)-16/49*sn_h^2*(1/2-$C352^2/4))+SUMPRODUCT($J$5:$K$5,$J352:$K352,$J$7:$K$7))/1E6)</f>
        <v/>
      </c>
      <c r="J352">
        <f>MAX(-fyd_sn,MIN(fyd_sn,200000*0.002*(1-$C352*(7*J$6-3*sn_h)/(4*sn_h))))-fcd_sn*(1-MIN(1,MAX(0,$C352*(7*J$6-3*sn_h)/(4*sn_h)))^2)</f>
        <v/>
      </c>
      <c r="K352">
        <f>MAX(-fyd_sn,MIN(fyd_sn,200000*0.002*(1-$C352*(7*K$6-3*sn_h)/(4*sn_h))))-fcd_sn*(1-MIN(1,MAX(0,$C352*(7*K$6-3*sn_h)/(4*sn_h)))^2)</f>
        <v/>
      </c>
    </row>
    <row r="353">
      <c r="B353" s="55" t="n">
        <v>170</v>
      </c>
      <c r="C353" s="58">
        <f>1-170/200</f>
        <v/>
      </c>
      <c r="D353" s="59">
        <f>IF($C353&gt;=1,sn_h,3/7*sn_h+4/7*sn_h/MAX($C353,1E-12))</f>
        <v/>
      </c>
      <c r="E353" s="57">
        <f>(fcd_sn*sn_b*sn_h*(3/7+4/7*(1-$C353^2/3))+SUMPRODUCT($J$5:$K$5,$J353:$K353))/1000</f>
        <v/>
      </c>
      <c r="F353" s="57">
        <f>((fcd_sn*sn_b*(3/14*sn_h*(sn_h-3/7*sn_h)+4/7*sn_h*(sn_h/2-3/7*sn_h)*(1-$C353^2/3)-16/49*sn_h^2*(1/2-$C353^2/4))+SUMPRODUCT($J$5:$K$5,$J353:$K353,$J$7:$K$7))/1E6)</f>
        <v/>
      </c>
      <c r="J353">
        <f>MAX(-fyd_sn,MIN(fyd_sn,200000*0.002*(1-$C353*(7*J$6-3*sn_h)/(4*sn_h))))-fcd_sn*(1-MIN(1,MAX(0,$C353*(7*J$6-3*sn_h)/(4*sn_h)))^2)</f>
        <v/>
      </c>
      <c r="K353">
        <f>MAX(-fyd_sn,MIN(fyd_sn,200000*0.002*(1-$C353*(7*K$6-3*sn_h)/(4*sn_h))))-fcd_sn*(1-MIN(1,MAX(0,$C353*(7*K$6-3*sn_h)/(4*sn_h)))^2)</f>
        <v/>
      </c>
    </row>
    <row r="354">
      <c r="B354" s="55" t="n">
        <v>171</v>
      </c>
      <c r="C354" s="58">
        <f>1-171/200</f>
        <v/>
      </c>
      <c r="D354" s="59">
        <f>IF($C354&gt;=1,sn_h,3/7*sn_h+4/7*sn_h/MAX($C354,1E-12))</f>
        <v/>
      </c>
      <c r="E354" s="57">
        <f>(fcd_sn*sn_b*sn_h*(3/7+4/7*(1-$C354^2/3))+SUMPRODUCT($J$5:$K$5,$J354:$K354))/1000</f>
        <v/>
      </c>
      <c r="F354" s="57">
        <f>((fcd_sn*sn_b*(3/14*sn_h*(sn_h-3/7*sn_h)+4/7*sn_h*(sn_h/2-3/7*sn_h)*(1-$C354^2/3)-16/49*sn_h^2*(1/2-$C354^2/4))+SUMPRODUCT($J$5:$K$5,$J354:$K354,$J$7:$K$7))/1E6)</f>
        <v/>
      </c>
      <c r="J354">
        <f>MAX(-fyd_sn,MIN(fyd_sn,200000*0.002*(1-$C354*(7*J$6-3*sn_h)/(4*sn_h))))-fcd_sn*(1-MIN(1,MAX(0,$C354*(7*J$6-3*sn_h)/(4*sn_h)))^2)</f>
        <v/>
      </c>
      <c r="K354">
        <f>MAX(-fyd_sn,MIN(fyd_sn,200000*0.002*(1-$C354*(7*K$6-3*sn_h)/(4*sn_h))))-fcd_sn*(1-MIN(1,MAX(0,$C354*(7*K$6-3*sn_h)/(4*sn_h)))^2)</f>
        <v/>
      </c>
    </row>
    <row r="355">
      <c r="B355" s="55" t="n">
        <v>172</v>
      </c>
      <c r="C355" s="58">
        <f>1-172/200</f>
        <v/>
      </c>
      <c r="D355" s="59">
        <f>IF($C355&gt;=1,sn_h,3/7*sn_h+4/7*sn_h/MAX($C355,1E-12))</f>
        <v/>
      </c>
      <c r="E355" s="57">
        <f>(fcd_sn*sn_b*sn_h*(3/7+4/7*(1-$C355^2/3))+SUMPRODUCT($J$5:$K$5,$J355:$K355))/1000</f>
        <v/>
      </c>
      <c r="F355" s="57">
        <f>((fcd_sn*sn_b*(3/14*sn_h*(sn_h-3/7*sn_h)+4/7*sn_h*(sn_h/2-3/7*sn_h)*(1-$C355^2/3)-16/49*sn_h^2*(1/2-$C355^2/4))+SUMPRODUCT($J$5:$K$5,$J355:$K355,$J$7:$K$7))/1E6)</f>
        <v/>
      </c>
      <c r="J355">
        <f>MAX(-fyd_sn,MIN(fyd_sn,200000*0.002*(1-$C355*(7*J$6-3*sn_h)/(4*sn_h))))-fcd_sn*(1-MIN(1,MAX(0,$C355*(7*J$6-3*sn_h)/(4*sn_h)))^2)</f>
        <v/>
      </c>
      <c r="K355">
        <f>MAX(-fyd_sn,MIN(fyd_sn,200000*0.002*(1-$C355*(7*K$6-3*sn_h)/(4*sn_h))))-fcd_sn*(1-MIN(1,MAX(0,$C355*(7*K$6-3*sn_h)/(4*sn_h)))^2)</f>
        <v/>
      </c>
    </row>
    <row r="356">
      <c r="B356" s="55" t="n">
        <v>173</v>
      </c>
      <c r="C356" s="58">
        <f>1-173/200</f>
        <v/>
      </c>
      <c r="D356" s="59">
        <f>IF($C356&gt;=1,sn_h,3/7*sn_h+4/7*sn_h/MAX($C356,1E-12))</f>
        <v/>
      </c>
      <c r="E356" s="57">
        <f>(fcd_sn*sn_b*sn_h*(3/7+4/7*(1-$C356^2/3))+SUMPRODUCT($J$5:$K$5,$J356:$K356))/1000</f>
        <v/>
      </c>
      <c r="F356" s="57">
        <f>((fcd_sn*sn_b*(3/14*sn_h*(sn_h-3/7*sn_h)+4/7*sn_h*(sn_h/2-3/7*sn_h)*(1-$C356^2/3)-16/49*sn_h^2*(1/2-$C356^2/4))+SUMPRODUCT($J$5:$K$5,$J356:$K356,$J$7:$K$7))/1E6)</f>
        <v/>
      </c>
      <c r="J356">
        <f>MAX(-fyd_sn,MIN(fyd_sn,200000*0.002*(1-$C356*(7*J$6-3*sn_h)/(4*sn_h))))-fcd_sn*(1-MIN(1,MAX(0,$C356*(7*J$6-3*sn_h)/(4*sn_h)))^2)</f>
        <v/>
      </c>
      <c r="K356">
        <f>MAX(-fyd_sn,MIN(fyd_sn,200000*0.002*(1-$C356*(7*K$6-3*sn_h)/(4*sn_h))))-fcd_sn*(1-MIN(1,MAX(0,$C356*(7*K$6-3*sn_h)/(4*sn_h)))^2)</f>
        <v/>
      </c>
    </row>
    <row r="357">
      <c r="B357" s="55" t="n">
        <v>174</v>
      </c>
      <c r="C357" s="58">
        <f>1-174/200</f>
        <v/>
      </c>
      <c r="D357" s="59">
        <f>IF($C357&gt;=1,sn_h,3/7*sn_h+4/7*sn_h/MAX($C357,1E-12))</f>
        <v/>
      </c>
      <c r="E357" s="57">
        <f>(fcd_sn*sn_b*sn_h*(3/7+4/7*(1-$C357^2/3))+SUMPRODUCT($J$5:$K$5,$J357:$K357))/1000</f>
        <v/>
      </c>
      <c r="F357" s="57">
        <f>((fcd_sn*sn_b*(3/14*sn_h*(sn_h-3/7*sn_h)+4/7*sn_h*(sn_h/2-3/7*sn_h)*(1-$C357^2/3)-16/49*sn_h^2*(1/2-$C357^2/4))+SUMPRODUCT($J$5:$K$5,$J357:$K357,$J$7:$K$7))/1E6)</f>
        <v/>
      </c>
      <c r="J357">
        <f>MAX(-fyd_sn,MIN(fyd_sn,200000*0.002*(1-$C357*(7*J$6-3*sn_h)/(4*sn_h))))-fcd_sn*(1-MIN(1,MAX(0,$C357*(7*J$6-3*sn_h)/(4*sn_h)))^2)</f>
        <v/>
      </c>
      <c r="K357">
        <f>MAX(-fyd_sn,MIN(fyd_sn,200000*0.002*(1-$C357*(7*K$6-3*sn_h)/(4*sn_h))))-fcd_sn*(1-MIN(1,MAX(0,$C357*(7*K$6-3*sn_h)/(4*sn_h)))^2)</f>
        <v/>
      </c>
    </row>
    <row r="358">
      <c r="B358" s="55" t="n">
        <v>175</v>
      </c>
      <c r="C358" s="58">
        <f>1-175/200</f>
        <v/>
      </c>
      <c r="D358" s="59">
        <f>IF($C358&gt;=1,sn_h,3/7*sn_h+4/7*sn_h/MAX($C358,1E-12))</f>
        <v/>
      </c>
      <c r="E358" s="57">
        <f>(fcd_sn*sn_b*sn_h*(3/7+4/7*(1-$C358^2/3))+SUMPRODUCT($J$5:$K$5,$J358:$K358))/1000</f>
        <v/>
      </c>
      <c r="F358" s="57">
        <f>((fcd_sn*sn_b*(3/14*sn_h*(sn_h-3/7*sn_h)+4/7*sn_h*(sn_h/2-3/7*sn_h)*(1-$C358^2/3)-16/49*sn_h^2*(1/2-$C358^2/4))+SUMPRODUCT($J$5:$K$5,$J358:$K358,$J$7:$K$7))/1E6)</f>
        <v/>
      </c>
      <c r="J358">
        <f>MAX(-fyd_sn,MIN(fyd_sn,200000*0.002*(1-$C358*(7*J$6-3*sn_h)/(4*sn_h))))-fcd_sn*(1-MIN(1,MAX(0,$C358*(7*J$6-3*sn_h)/(4*sn_h)))^2)</f>
        <v/>
      </c>
      <c r="K358">
        <f>MAX(-fyd_sn,MIN(fyd_sn,200000*0.002*(1-$C358*(7*K$6-3*sn_h)/(4*sn_h))))-fcd_sn*(1-MIN(1,MAX(0,$C358*(7*K$6-3*sn_h)/(4*sn_h)))^2)</f>
        <v/>
      </c>
    </row>
    <row r="359">
      <c r="B359" s="55" t="n">
        <v>176</v>
      </c>
      <c r="C359" s="58">
        <f>1-176/200</f>
        <v/>
      </c>
      <c r="D359" s="59">
        <f>IF($C359&gt;=1,sn_h,3/7*sn_h+4/7*sn_h/MAX($C359,1E-12))</f>
        <v/>
      </c>
      <c r="E359" s="57">
        <f>(fcd_sn*sn_b*sn_h*(3/7+4/7*(1-$C359^2/3))+SUMPRODUCT($J$5:$K$5,$J359:$K359))/1000</f>
        <v/>
      </c>
      <c r="F359" s="57">
        <f>((fcd_sn*sn_b*(3/14*sn_h*(sn_h-3/7*sn_h)+4/7*sn_h*(sn_h/2-3/7*sn_h)*(1-$C359^2/3)-16/49*sn_h^2*(1/2-$C359^2/4))+SUMPRODUCT($J$5:$K$5,$J359:$K359,$J$7:$K$7))/1E6)</f>
        <v/>
      </c>
      <c r="J359">
        <f>MAX(-fyd_sn,MIN(fyd_sn,200000*0.002*(1-$C359*(7*J$6-3*sn_h)/(4*sn_h))))-fcd_sn*(1-MIN(1,MAX(0,$C359*(7*J$6-3*sn_h)/(4*sn_h)))^2)</f>
        <v/>
      </c>
      <c r="K359">
        <f>MAX(-fyd_sn,MIN(fyd_sn,200000*0.002*(1-$C359*(7*K$6-3*sn_h)/(4*sn_h))))-fcd_sn*(1-MIN(1,MAX(0,$C359*(7*K$6-3*sn_h)/(4*sn_h)))^2)</f>
        <v/>
      </c>
    </row>
    <row r="360">
      <c r="B360" s="55" t="n">
        <v>177</v>
      </c>
      <c r="C360" s="58">
        <f>1-177/200</f>
        <v/>
      </c>
      <c r="D360" s="59">
        <f>IF($C360&gt;=1,sn_h,3/7*sn_h+4/7*sn_h/MAX($C360,1E-12))</f>
        <v/>
      </c>
      <c r="E360" s="57">
        <f>(fcd_sn*sn_b*sn_h*(3/7+4/7*(1-$C360^2/3))+SUMPRODUCT($J$5:$K$5,$J360:$K360))/1000</f>
        <v/>
      </c>
      <c r="F360" s="57">
        <f>((fcd_sn*sn_b*(3/14*sn_h*(sn_h-3/7*sn_h)+4/7*sn_h*(sn_h/2-3/7*sn_h)*(1-$C360^2/3)-16/49*sn_h^2*(1/2-$C360^2/4))+SUMPRODUCT($J$5:$K$5,$J360:$K360,$J$7:$K$7))/1E6)</f>
        <v/>
      </c>
      <c r="J360">
        <f>MAX(-fyd_sn,MIN(fyd_sn,200000*0.002*(1-$C360*(7*J$6-3*sn_h)/(4*sn_h))))-fcd_sn*(1-MIN(1,MAX(0,$C360*(7*J$6-3*sn_h)/(4*sn_h)))^2)</f>
        <v/>
      </c>
      <c r="K360">
        <f>MAX(-fyd_sn,MIN(fyd_sn,200000*0.002*(1-$C360*(7*K$6-3*sn_h)/(4*sn_h))))-fcd_sn*(1-MIN(1,MAX(0,$C360*(7*K$6-3*sn_h)/(4*sn_h)))^2)</f>
        <v/>
      </c>
    </row>
    <row r="361">
      <c r="B361" s="55" t="n">
        <v>178</v>
      </c>
      <c r="C361" s="58">
        <f>1-178/200</f>
        <v/>
      </c>
      <c r="D361" s="59">
        <f>IF($C361&gt;=1,sn_h,3/7*sn_h+4/7*sn_h/MAX($C361,1E-12))</f>
        <v/>
      </c>
      <c r="E361" s="57">
        <f>(fcd_sn*sn_b*sn_h*(3/7+4/7*(1-$C361^2/3))+SUMPRODUCT($J$5:$K$5,$J361:$K361))/1000</f>
        <v/>
      </c>
      <c r="F361" s="57">
        <f>((fcd_sn*sn_b*(3/14*sn_h*(sn_h-3/7*sn_h)+4/7*sn_h*(sn_h/2-3/7*sn_h)*(1-$C361^2/3)-16/49*sn_h^2*(1/2-$C361^2/4))+SUMPRODUCT($J$5:$K$5,$J361:$K361,$J$7:$K$7))/1E6)</f>
        <v/>
      </c>
      <c r="J361">
        <f>MAX(-fyd_sn,MIN(fyd_sn,200000*0.002*(1-$C361*(7*J$6-3*sn_h)/(4*sn_h))))-fcd_sn*(1-MIN(1,MAX(0,$C361*(7*J$6-3*sn_h)/(4*sn_h)))^2)</f>
        <v/>
      </c>
      <c r="K361">
        <f>MAX(-fyd_sn,MIN(fyd_sn,200000*0.002*(1-$C361*(7*K$6-3*sn_h)/(4*sn_h))))-fcd_sn*(1-MIN(1,MAX(0,$C361*(7*K$6-3*sn_h)/(4*sn_h)))^2)</f>
        <v/>
      </c>
    </row>
    <row r="362">
      <c r="B362" s="55" t="n">
        <v>179</v>
      </c>
      <c r="C362" s="58">
        <f>1-179/200</f>
        <v/>
      </c>
      <c r="D362" s="59">
        <f>IF($C362&gt;=1,sn_h,3/7*sn_h+4/7*sn_h/MAX($C362,1E-12))</f>
        <v/>
      </c>
      <c r="E362" s="57">
        <f>(fcd_sn*sn_b*sn_h*(3/7+4/7*(1-$C362^2/3))+SUMPRODUCT($J$5:$K$5,$J362:$K362))/1000</f>
        <v/>
      </c>
      <c r="F362" s="57">
        <f>((fcd_sn*sn_b*(3/14*sn_h*(sn_h-3/7*sn_h)+4/7*sn_h*(sn_h/2-3/7*sn_h)*(1-$C362^2/3)-16/49*sn_h^2*(1/2-$C362^2/4))+SUMPRODUCT($J$5:$K$5,$J362:$K362,$J$7:$K$7))/1E6)</f>
        <v/>
      </c>
      <c r="J362">
        <f>MAX(-fyd_sn,MIN(fyd_sn,200000*0.002*(1-$C362*(7*J$6-3*sn_h)/(4*sn_h))))-fcd_sn*(1-MIN(1,MAX(0,$C362*(7*J$6-3*sn_h)/(4*sn_h)))^2)</f>
        <v/>
      </c>
      <c r="K362">
        <f>MAX(-fyd_sn,MIN(fyd_sn,200000*0.002*(1-$C362*(7*K$6-3*sn_h)/(4*sn_h))))-fcd_sn*(1-MIN(1,MAX(0,$C362*(7*K$6-3*sn_h)/(4*sn_h)))^2)</f>
        <v/>
      </c>
    </row>
    <row r="363">
      <c r="B363" s="55" t="n">
        <v>180</v>
      </c>
      <c r="C363" s="58">
        <f>1-180/200</f>
        <v/>
      </c>
      <c r="D363" s="59">
        <f>IF($C363&gt;=1,sn_h,3/7*sn_h+4/7*sn_h/MAX($C363,1E-12))</f>
        <v/>
      </c>
      <c r="E363" s="57">
        <f>(fcd_sn*sn_b*sn_h*(3/7+4/7*(1-$C363^2/3))+SUMPRODUCT($J$5:$K$5,$J363:$K363))/1000</f>
        <v/>
      </c>
      <c r="F363" s="57">
        <f>((fcd_sn*sn_b*(3/14*sn_h*(sn_h-3/7*sn_h)+4/7*sn_h*(sn_h/2-3/7*sn_h)*(1-$C363^2/3)-16/49*sn_h^2*(1/2-$C363^2/4))+SUMPRODUCT($J$5:$K$5,$J363:$K363,$J$7:$K$7))/1E6)</f>
        <v/>
      </c>
      <c r="J363">
        <f>MAX(-fyd_sn,MIN(fyd_sn,200000*0.002*(1-$C363*(7*J$6-3*sn_h)/(4*sn_h))))-fcd_sn*(1-MIN(1,MAX(0,$C363*(7*J$6-3*sn_h)/(4*sn_h)))^2)</f>
        <v/>
      </c>
      <c r="K363">
        <f>MAX(-fyd_sn,MIN(fyd_sn,200000*0.002*(1-$C363*(7*K$6-3*sn_h)/(4*sn_h))))-fcd_sn*(1-MIN(1,MAX(0,$C363*(7*K$6-3*sn_h)/(4*sn_h)))^2)</f>
        <v/>
      </c>
    </row>
    <row r="364">
      <c r="B364" s="55" t="n">
        <v>181</v>
      </c>
      <c r="C364" s="58">
        <f>1-181/200</f>
        <v/>
      </c>
      <c r="D364" s="59">
        <f>IF($C364&gt;=1,sn_h,3/7*sn_h+4/7*sn_h/MAX($C364,1E-12))</f>
        <v/>
      </c>
      <c r="E364" s="57">
        <f>(fcd_sn*sn_b*sn_h*(3/7+4/7*(1-$C364^2/3))+SUMPRODUCT($J$5:$K$5,$J364:$K364))/1000</f>
        <v/>
      </c>
      <c r="F364" s="57">
        <f>((fcd_sn*sn_b*(3/14*sn_h*(sn_h-3/7*sn_h)+4/7*sn_h*(sn_h/2-3/7*sn_h)*(1-$C364^2/3)-16/49*sn_h^2*(1/2-$C364^2/4))+SUMPRODUCT($J$5:$K$5,$J364:$K364,$J$7:$K$7))/1E6)</f>
        <v/>
      </c>
      <c r="J364">
        <f>MAX(-fyd_sn,MIN(fyd_sn,200000*0.002*(1-$C364*(7*J$6-3*sn_h)/(4*sn_h))))-fcd_sn*(1-MIN(1,MAX(0,$C364*(7*J$6-3*sn_h)/(4*sn_h)))^2)</f>
        <v/>
      </c>
      <c r="K364">
        <f>MAX(-fyd_sn,MIN(fyd_sn,200000*0.002*(1-$C364*(7*K$6-3*sn_h)/(4*sn_h))))-fcd_sn*(1-MIN(1,MAX(0,$C364*(7*K$6-3*sn_h)/(4*sn_h)))^2)</f>
        <v/>
      </c>
    </row>
    <row r="365">
      <c r="B365" s="55" t="n">
        <v>182</v>
      </c>
      <c r="C365" s="58">
        <f>1-182/200</f>
        <v/>
      </c>
      <c r="D365" s="59">
        <f>IF($C365&gt;=1,sn_h,3/7*sn_h+4/7*sn_h/MAX($C365,1E-12))</f>
        <v/>
      </c>
      <c r="E365" s="57">
        <f>(fcd_sn*sn_b*sn_h*(3/7+4/7*(1-$C365^2/3))+SUMPRODUCT($J$5:$K$5,$J365:$K365))/1000</f>
        <v/>
      </c>
      <c r="F365" s="57">
        <f>((fcd_sn*sn_b*(3/14*sn_h*(sn_h-3/7*sn_h)+4/7*sn_h*(sn_h/2-3/7*sn_h)*(1-$C365^2/3)-16/49*sn_h^2*(1/2-$C365^2/4))+SUMPRODUCT($J$5:$K$5,$J365:$K365,$J$7:$K$7))/1E6)</f>
        <v/>
      </c>
      <c r="J365">
        <f>MAX(-fyd_sn,MIN(fyd_sn,200000*0.002*(1-$C365*(7*J$6-3*sn_h)/(4*sn_h))))-fcd_sn*(1-MIN(1,MAX(0,$C365*(7*J$6-3*sn_h)/(4*sn_h)))^2)</f>
        <v/>
      </c>
      <c r="K365">
        <f>MAX(-fyd_sn,MIN(fyd_sn,200000*0.002*(1-$C365*(7*K$6-3*sn_h)/(4*sn_h))))-fcd_sn*(1-MIN(1,MAX(0,$C365*(7*K$6-3*sn_h)/(4*sn_h)))^2)</f>
        <v/>
      </c>
    </row>
    <row r="366">
      <c r="B366" s="55" t="n">
        <v>183</v>
      </c>
      <c r="C366" s="58">
        <f>1-183/200</f>
        <v/>
      </c>
      <c r="D366" s="59">
        <f>IF($C366&gt;=1,sn_h,3/7*sn_h+4/7*sn_h/MAX($C366,1E-12))</f>
        <v/>
      </c>
      <c r="E366" s="57">
        <f>(fcd_sn*sn_b*sn_h*(3/7+4/7*(1-$C366^2/3))+SUMPRODUCT($J$5:$K$5,$J366:$K366))/1000</f>
        <v/>
      </c>
      <c r="F366" s="57">
        <f>((fcd_sn*sn_b*(3/14*sn_h*(sn_h-3/7*sn_h)+4/7*sn_h*(sn_h/2-3/7*sn_h)*(1-$C366^2/3)-16/49*sn_h^2*(1/2-$C366^2/4))+SUMPRODUCT($J$5:$K$5,$J366:$K366,$J$7:$K$7))/1E6)</f>
        <v/>
      </c>
      <c r="J366">
        <f>MAX(-fyd_sn,MIN(fyd_sn,200000*0.002*(1-$C366*(7*J$6-3*sn_h)/(4*sn_h))))-fcd_sn*(1-MIN(1,MAX(0,$C366*(7*J$6-3*sn_h)/(4*sn_h)))^2)</f>
        <v/>
      </c>
      <c r="K366">
        <f>MAX(-fyd_sn,MIN(fyd_sn,200000*0.002*(1-$C366*(7*K$6-3*sn_h)/(4*sn_h))))-fcd_sn*(1-MIN(1,MAX(0,$C366*(7*K$6-3*sn_h)/(4*sn_h)))^2)</f>
        <v/>
      </c>
    </row>
    <row r="367">
      <c r="B367" s="55" t="n">
        <v>184</v>
      </c>
      <c r="C367" s="58">
        <f>1-184/200</f>
        <v/>
      </c>
      <c r="D367" s="59">
        <f>IF($C367&gt;=1,sn_h,3/7*sn_h+4/7*sn_h/MAX($C367,1E-12))</f>
        <v/>
      </c>
      <c r="E367" s="57">
        <f>(fcd_sn*sn_b*sn_h*(3/7+4/7*(1-$C367^2/3))+SUMPRODUCT($J$5:$K$5,$J367:$K367))/1000</f>
        <v/>
      </c>
      <c r="F367" s="57">
        <f>((fcd_sn*sn_b*(3/14*sn_h*(sn_h-3/7*sn_h)+4/7*sn_h*(sn_h/2-3/7*sn_h)*(1-$C367^2/3)-16/49*sn_h^2*(1/2-$C367^2/4))+SUMPRODUCT($J$5:$K$5,$J367:$K367,$J$7:$K$7))/1E6)</f>
        <v/>
      </c>
      <c r="J367">
        <f>MAX(-fyd_sn,MIN(fyd_sn,200000*0.002*(1-$C367*(7*J$6-3*sn_h)/(4*sn_h))))-fcd_sn*(1-MIN(1,MAX(0,$C367*(7*J$6-3*sn_h)/(4*sn_h)))^2)</f>
        <v/>
      </c>
      <c r="K367">
        <f>MAX(-fyd_sn,MIN(fyd_sn,200000*0.002*(1-$C367*(7*K$6-3*sn_h)/(4*sn_h))))-fcd_sn*(1-MIN(1,MAX(0,$C367*(7*K$6-3*sn_h)/(4*sn_h)))^2)</f>
        <v/>
      </c>
    </row>
    <row r="368">
      <c r="B368" s="55" t="n">
        <v>185</v>
      </c>
      <c r="C368" s="58">
        <f>1-185/200</f>
        <v/>
      </c>
      <c r="D368" s="59">
        <f>IF($C368&gt;=1,sn_h,3/7*sn_h+4/7*sn_h/MAX($C368,1E-12))</f>
        <v/>
      </c>
      <c r="E368" s="57">
        <f>(fcd_sn*sn_b*sn_h*(3/7+4/7*(1-$C368^2/3))+SUMPRODUCT($J$5:$K$5,$J368:$K368))/1000</f>
        <v/>
      </c>
      <c r="F368" s="57">
        <f>((fcd_sn*sn_b*(3/14*sn_h*(sn_h-3/7*sn_h)+4/7*sn_h*(sn_h/2-3/7*sn_h)*(1-$C368^2/3)-16/49*sn_h^2*(1/2-$C368^2/4))+SUMPRODUCT($J$5:$K$5,$J368:$K368,$J$7:$K$7))/1E6)</f>
        <v/>
      </c>
      <c r="J368">
        <f>MAX(-fyd_sn,MIN(fyd_sn,200000*0.002*(1-$C368*(7*J$6-3*sn_h)/(4*sn_h))))-fcd_sn*(1-MIN(1,MAX(0,$C368*(7*J$6-3*sn_h)/(4*sn_h)))^2)</f>
        <v/>
      </c>
      <c r="K368">
        <f>MAX(-fyd_sn,MIN(fyd_sn,200000*0.002*(1-$C368*(7*K$6-3*sn_h)/(4*sn_h))))-fcd_sn*(1-MIN(1,MAX(0,$C368*(7*K$6-3*sn_h)/(4*sn_h)))^2)</f>
        <v/>
      </c>
    </row>
    <row r="369">
      <c r="B369" s="55" t="n">
        <v>186</v>
      </c>
      <c r="C369" s="58">
        <f>1-186/200</f>
        <v/>
      </c>
      <c r="D369" s="59">
        <f>IF($C369&gt;=1,sn_h,3/7*sn_h+4/7*sn_h/MAX($C369,1E-12))</f>
        <v/>
      </c>
      <c r="E369" s="57">
        <f>(fcd_sn*sn_b*sn_h*(3/7+4/7*(1-$C369^2/3))+SUMPRODUCT($J$5:$K$5,$J369:$K369))/1000</f>
        <v/>
      </c>
      <c r="F369" s="57">
        <f>((fcd_sn*sn_b*(3/14*sn_h*(sn_h-3/7*sn_h)+4/7*sn_h*(sn_h/2-3/7*sn_h)*(1-$C369^2/3)-16/49*sn_h^2*(1/2-$C369^2/4))+SUMPRODUCT($J$5:$K$5,$J369:$K369,$J$7:$K$7))/1E6)</f>
        <v/>
      </c>
      <c r="J369">
        <f>MAX(-fyd_sn,MIN(fyd_sn,200000*0.002*(1-$C369*(7*J$6-3*sn_h)/(4*sn_h))))-fcd_sn*(1-MIN(1,MAX(0,$C369*(7*J$6-3*sn_h)/(4*sn_h)))^2)</f>
        <v/>
      </c>
      <c r="K369">
        <f>MAX(-fyd_sn,MIN(fyd_sn,200000*0.002*(1-$C369*(7*K$6-3*sn_h)/(4*sn_h))))-fcd_sn*(1-MIN(1,MAX(0,$C369*(7*K$6-3*sn_h)/(4*sn_h)))^2)</f>
        <v/>
      </c>
    </row>
    <row r="370">
      <c r="B370" s="55" t="n">
        <v>187</v>
      </c>
      <c r="C370" s="58">
        <f>1-187/200</f>
        <v/>
      </c>
      <c r="D370" s="59">
        <f>IF($C370&gt;=1,sn_h,3/7*sn_h+4/7*sn_h/MAX($C370,1E-12))</f>
        <v/>
      </c>
      <c r="E370" s="57">
        <f>(fcd_sn*sn_b*sn_h*(3/7+4/7*(1-$C370^2/3))+SUMPRODUCT($J$5:$K$5,$J370:$K370))/1000</f>
        <v/>
      </c>
      <c r="F370" s="57">
        <f>((fcd_sn*sn_b*(3/14*sn_h*(sn_h-3/7*sn_h)+4/7*sn_h*(sn_h/2-3/7*sn_h)*(1-$C370^2/3)-16/49*sn_h^2*(1/2-$C370^2/4))+SUMPRODUCT($J$5:$K$5,$J370:$K370,$J$7:$K$7))/1E6)</f>
        <v/>
      </c>
      <c r="J370">
        <f>MAX(-fyd_sn,MIN(fyd_sn,200000*0.002*(1-$C370*(7*J$6-3*sn_h)/(4*sn_h))))-fcd_sn*(1-MIN(1,MAX(0,$C370*(7*J$6-3*sn_h)/(4*sn_h)))^2)</f>
        <v/>
      </c>
      <c r="K370">
        <f>MAX(-fyd_sn,MIN(fyd_sn,200000*0.002*(1-$C370*(7*K$6-3*sn_h)/(4*sn_h))))-fcd_sn*(1-MIN(1,MAX(0,$C370*(7*K$6-3*sn_h)/(4*sn_h)))^2)</f>
        <v/>
      </c>
    </row>
    <row r="371">
      <c r="B371" s="55" t="n">
        <v>188</v>
      </c>
      <c r="C371" s="58">
        <f>1-188/200</f>
        <v/>
      </c>
      <c r="D371" s="59">
        <f>IF($C371&gt;=1,sn_h,3/7*sn_h+4/7*sn_h/MAX($C371,1E-12))</f>
        <v/>
      </c>
      <c r="E371" s="57">
        <f>(fcd_sn*sn_b*sn_h*(3/7+4/7*(1-$C371^2/3))+SUMPRODUCT($J$5:$K$5,$J371:$K371))/1000</f>
        <v/>
      </c>
      <c r="F371" s="57">
        <f>((fcd_sn*sn_b*(3/14*sn_h*(sn_h-3/7*sn_h)+4/7*sn_h*(sn_h/2-3/7*sn_h)*(1-$C371^2/3)-16/49*sn_h^2*(1/2-$C371^2/4))+SUMPRODUCT($J$5:$K$5,$J371:$K371,$J$7:$K$7))/1E6)</f>
        <v/>
      </c>
      <c r="J371">
        <f>MAX(-fyd_sn,MIN(fyd_sn,200000*0.002*(1-$C371*(7*J$6-3*sn_h)/(4*sn_h))))-fcd_sn*(1-MIN(1,MAX(0,$C371*(7*J$6-3*sn_h)/(4*sn_h)))^2)</f>
        <v/>
      </c>
      <c r="K371">
        <f>MAX(-fyd_sn,MIN(fyd_sn,200000*0.002*(1-$C371*(7*K$6-3*sn_h)/(4*sn_h))))-fcd_sn*(1-MIN(1,MAX(0,$C371*(7*K$6-3*sn_h)/(4*sn_h)))^2)</f>
        <v/>
      </c>
    </row>
    <row r="372">
      <c r="B372" s="55" t="n">
        <v>189</v>
      </c>
      <c r="C372" s="58">
        <f>1-189/200</f>
        <v/>
      </c>
      <c r="D372" s="59">
        <f>IF($C372&gt;=1,sn_h,3/7*sn_h+4/7*sn_h/MAX($C372,1E-12))</f>
        <v/>
      </c>
      <c r="E372" s="57">
        <f>(fcd_sn*sn_b*sn_h*(3/7+4/7*(1-$C372^2/3))+SUMPRODUCT($J$5:$K$5,$J372:$K372))/1000</f>
        <v/>
      </c>
      <c r="F372" s="57">
        <f>((fcd_sn*sn_b*(3/14*sn_h*(sn_h-3/7*sn_h)+4/7*sn_h*(sn_h/2-3/7*sn_h)*(1-$C372^2/3)-16/49*sn_h^2*(1/2-$C372^2/4))+SUMPRODUCT($J$5:$K$5,$J372:$K372,$J$7:$K$7))/1E6)</f>
        <v/>
      </c>
      <c r="J372">
        <f>MAX(-fyd_sn,MIN(fyd_sn,200000*0.002*(1-$C372*(7*J$6-3*sn_h)/(4*sn_h))))-fcd_sn*(1-MIN(1,MAX(0,$C372*(7*J$6-3*sn_h)/(4*sn_h)))^2)</f>
        <v/>
      </c>
      <c r="K372">
        <f>MAX(-fyd_sn,MIN(fyd_sn,200000*0.002*(1-$C372*(7*K$6-3*sn_h)/(4*sn_h))))-fcd_sn*(1-MIN(1,MAX(0,$C372*(7*K$6-3*sn_h)/(4*sn_h)))^2)</f>
        <v/>
      </c>
    </row>
    <row r="373">
      <c r="B373" s="55" t="n">
        <v>190</v>
      </c>
      <c r="C373" s="58">
        <f>1-190/200</f>
        <v/>
      </c>
      <c r="D373" s="59">
        <f>IF($C373&gt;=1,sn_h,3/7*sn_h+4/7*sn_h/MAX($C373,1E-12))</f>
        <v/>
      </c>
      <c r="E373" s="57">
        <f>(fcd_sn*sn_b*sn_h*(3/7+4/7*(1-$C373^2/3))+SUMPRODUCT($J$5:$K$5,$J373:$K373))/1000</f>
        <v/>
      </c>
      <c r="F373" s="57">
        <f>((fcd_sn*sn_b*(3/14*sn_h*(sn_h-3/7*sn_h)+4/7*sn_h*(sn_h/2-3/7*sn_h)*(1-$C373^2/3)-16/49*sn_h^2*(1/2-$C373^2/4))+SUMPRODUCT($J$5:$K$5,$J373:$K373,$J$7:$K$7))/1E6)</f>
        <v/>
      </c>
      <c r="J373">
        <f>MAX(-fyd_sn,MIN(fyd_sn,200000*0.002*(1-$C373*(7*J$6-3*sn_h)/(4*sn_h))))-fcd_sn*(1-MIN(1,MAX(0,$C373*(7*J$6-3*sn_h)/(4*sn_h)))^2)</f>
        <v/>
      </c>
      <c r="K373">
        <f>MAX(-fyd_sn,MIN(fyd_sn,200000*0.002*(1-$C373*(7*K$6-3*sn_h)/(4*sn_h))))-fcd_sn*(1-MIN(1,MAX(0,$C373*(7*K$6-3*sn_h)/(4*sn_h)))^2)</f>
        <v/>
      </c>
    </row>
    <row r="374">
      <c r="B374" s="55" t="n">
        <v>191</v>
      </c>
      <c r="C374" s="58">
        <f>1-191/200</f>
        <v/>
      </c>
      <c r="D374" s="59">
        <f>IF($C374&gt;=1,sn_h,3/7*sn_h+4/7*sn_h/MAX($C374,1E-12))</f>
        <v/>
      </c>
      <c r="E374" s="57">
        <f>(fcd_sn*sn_b*sn_h*(3/7+4/7*(1-$C374^2/3))+SUMPRODUCT($J$5:$K$5,$J374:$K374))/1000</f>
        <v/>
      </c>
      <c r="F374" s="57">
        <f>((fcd_sn*sn_b*(3/14*sn_h*(sn_h-3/7*sn_h)+4/7*sn_h*(sn_h/2-3/7*sn_h)*(1-$C374^2/3)-16/49*sn_h^2*(1/2-$C374^2/4))+SUMPRODUCT($J$5:$K$5,$J374:$K374,$J$7:$K$7))/1E6)</f>
        <v/>
      </c>
      <c r="J374">
        <f>MAX(-fyd_sn,MIN(fyd_sn,200000*0.002*(1-$C374*(7*J$6-3*sn_h)/(4*sn_h))))-fcd_sn*(1-MIN(1,MAX(0,$C374*(7*J$6-3*sn_h)/(4*sn_h)))^2)</f>
        <v/>
      </c>
      <c r="K374">
        <f>MAX(-fyd_sn,MIN(fyd_sn,200000*0.002*(1-$C374*(7*K$6-3*sn_h)/(4*sn_h))))-fcd_sn*(1-MIN(1,MAX(0,$C374*(7*K$6-3*sn_h)/(4*sn_h)))^2)</f>
        <v/>
      </c>
    </row>
    <row r="375">
      <c r="B375" s="55" t="n">
        <v>192</v>
      </c>
      <c r="C375" s="58">
        <f>1-192/200</f>
        <v/>
      </c>
      <c r="D375" s="59">
        <f>IF($C375&gt;=1,sn_h,3/7*sn_h+4/7*sn_h/MAX($C375,1E-12))</f>
        <v/>
      </c>
      <c r="E375" s="57">
        <f>(fcd_sn*sn_b*sn_h*(3/7+4/7*(1-$C375^2/3))+SUMPRODUCT($J$5:$K$5,$J375:$K375))/1000</f>
        <v/>
      </c>
      <c r="F375" s="57">
        <f>((fcd_sn*sn_b*(3/14*sn_h*(sn_h-3/7*sn_h)+4/7*sn_h*(sn_h/2-3/7*sn_h)*(1-$C375^2/3)-16/49*sn_h^2*(1/2-$C375^2/4))+SUMPRODUCT($J$5:$K$5,$J375:$K375,$J$7:$K$7))/1E6)</f>
        <v/>
      </c>
      <c r="J375">
        <f>MAX(-fyd_sn,MIN(fyd_sn,200000*0.002*(1-$C375*(7*J$6-3*sn_h)/(4*sn_h))))-fcd_sn*(1-MIN(1,MAX(0,$C375*(7*J$6-3*sn_h)/(4*sn_h)))^2)</f>
        <v/>
      </c>
      <c r="K375">
        <f>MAX(-fyd_sn,MIN(fyd_sn,200000*0.002*(1-$C375*(7*K$6-3*sn_h)/(4*sn_h))))-fcd_sn*(1-MIN(1,MAX(0,$C375*(7*K$6-3*sn_h)/(4*sn_h)))^2)</f>
        <v/>
      </c>
    </row>
    <row r="376">
      <c r="B376" s="55" t="n">
        <v>193</v>
      </c>
      <c r="C376" s="58">
        <f>1-193/200</f>
        <v/>
      </c>
      <c r="D376" s="59">
        <f>IF($C376&gt;=1,sn_h,3/7*sn_h+4/7*sn_h/MAX($C376,1E-12))</f>
        <v/>
      </c>
      <c r="E376" s="57">
        <f>(fcd_sn*sn_b*sn_h*(3/7+4/7*(1-$C376^2/3))+SUMPRODUCT($J$5:$K$5,$J376:$K376))/1000</f>
        <v/>
      </c>
      <c r="F376" s="57">
        <f>((fcd_sn*sn_b*(3/14*sn_h*(sn_h-3/7*sn_h)+4/7*sn_h*(sn_h/2-3/7*sn_h)*(1-$C376^2/3)-16/49*sn_h^2*(1/2-$C376^2/4))+SUMPRODUCT($J$5:$K$5,$J376:$K376,$J$7:$K$7))/1E6)</f>
        <v/>
      </c>
      <c r="J376">
        <f>MAX(-fyd_sn,MIN(fyd_sn,200000*0.002*(1-$C376*(7*J$6-3*sn_h)/(4*sn_h))))-fcd_sn*(1-MIN(1,MAX(0,$C376*(7*J$6-3*sn_h)/(4*sn_h)))^2)</f>
        <v/>
      </c>
      <c r="K376">
        <f>MAX(-fyd_sn,MIN(fyd_sn,200000*0.002*(1-$C376*(7*K$6-3*sn_h)/(4*sn_h))))-fcd_sn*(1-MIN(1,MAX(0,$C376*(7*K$6-3*sn_h)/(4*sn_h)))^2)</f>
        <v/>
      </c>
    </row>
    <row r="377">
      <c r="B377" s="55" t="n">
        <v>194</v>
      </c>
      <c r="C377" s="58">
        <f>1-194/200</f>
        <v/>
      </c>
      <c r="D377" s="59">
        <f>IF($C377&gt;=1,sn_h,3/7*sn_h+4/7*sn_h/MAX($C377,1E-12))</f>
        <v/>
      </c>
      <c r="E377" s="57">
        <f>(fcd_sn*sn_b*sn_h*(3/7+4/7*(1-$C377^2/3))+SUMPRODUCT($J$5:$K$5,$J377:$K377))/1000</f>
        <v/>
      </c>
      <c r="F377" s="57">
        <f>((fcd_sn*sn_b*(3/14*sn_h*(sn_h-3/7*sn_h)+4/7*sn_h*(sn_h/2-3/7*sn_h)*(1-$C377^2/3)-16/49*sn_h^2*(1/2-$C377^2/4))+SUMPRODUCT($J$5:$K$5,$J377:$K377,$J$7:$K$7))/1E6)</f>
        <v/>
      </c>
      <c r="J377">
        <f>MAX(-fyd_sn,MIN(fyd_sn,200000*0.002*(1-$C377*(7*J$6-3*sn_h)/(4*sn_h))))-fcd_sn*(1-MIN(1,MAX(0,$C377*(7*J$6-3*sn_h)/(4*sn_h)))^2)</f>
        <v/>
      </c>
      <c r="K377">
        <f>MAX(-fyd_sn,MIN(fyd_sn,200000*0.002*(1-$C377*(7*K$6-3*sn_h)/(4*sn_h))))-fcd_sn*(1-MIN(1,MAX(0,$C377*(7*K$6-3*sn_h)/(4*sn_h)))^2)</f>
        <v/>
      </c>
    </row>
    <row r="378">
      <c r="B378" s="55" t="n">
        <v>195</v>
      </c>
      <c r="C378" s="58">
        <f>1-195/200</f>
        <v/>
      </c>
      <c r="D378" s="59">
        <f>IF($C378&gt;=1,sn_h,3/7*sn_h+4/7*sn_h/MAX($C378,1E-12))</f>
        <v/>
      </c>
      <c r="E378" s="57">
        <f>(fcd_sn*sn_b*sn_h*(3/7+4/7*(1-$C378^2/3))+SUMPRODUCT($J$5:$K$5,$J378:$K378))/1000</f>
        <v/>
      </c>
      <c r="F378" s="57">
        <f>((fcd_sn*sn_b*(3/14*sn_h*(sn_h-3/7*sn_h)+4/7*sn_h*(sn_h/2-3/7*sn_h)*(1-$C378^2/3)-16/49*sn_h^2*(1/2-$C378^2/4))+SUMPRODUCT($J$5:$K$5,$J378:$K378,$J$7:$K$7))/1E6)</f>
        <v/>
      </c>
      <c r="J378">
        <f>MAX(-fyd_sn,MIN(fyd_sn,200000*0.002*(1-$C378*(7*J$6-3*sn_h)/(4*sn_h))))-fcd_sn*(1-MIN(1,MAX(0,$C378*(7*J$6-3*sn_h)/(4*sn_h)))^2)</f>
        <v/>
      </c>
      <c r="K378">
        <f>MAX(-fyd_sn,MIN(fyd_sn,200000*0.002*(1-$C378*(7*K$6-3*sn_h)/(4*sn_h))))-fcd_sn*(1-MIN(1,MAX(0,$C378*(7*K$6-3*sn_h)/(4*sn_h)))^2)</f>
        <v/>
      </c>
    </row>
    <row r="379">
      <c r="B379" s="55" t="n">
        <v>196</v>
      </c>
      <c r="C379" s="58">
        <f>1-196/200</f>
        <v/>
      </c>
      <c r="D379" s="59">
        <f>IF($C379&gt;=1,sn_h,3/7*sn_h+4/7*sn_h/MAX($C379,1E-12))</f>
        <v/>
      </c>
      <c r="E379" s="57">
        <f>(fcd_sn*sn_b*sn_h*(3/7+4/7*(1-$C379^2/3))+SUMPRODUCT($J$5:$K$5,$J379:$K379))/1000</f>
        <v/>
      </c>
      <c r="F379" s="57">
        <f>((fcd_sn*sn_b*(3/14*sn_h*(sn_h-3/7*sn_h)+4/7*sn_h*(sn_h/2-3/7*sn_h)*(1-$C379^2/3)-16/49*sn_h^2*(1/2-$C379^2/4))+SUMPRODUCT($J$5:$K$5,$J379:$K379,$J$7:$K$7))/1E6)</f>
        <v/>
      </c>
      <c r="J379">
        <f>MAX(-fyd_sn,MIN(fyd_sn,200000*0.002*(1-$C379*(7*J$6-3*sn_h)/(4*sn_h))))-fcd_sn*(1-MIN(1,MAX(0,$C379*(7*J$6-3*sn_h)/(4*sn_h)))^2)</f>
        <v/>
      </c>
      <c r="K379">
        <f>MAX(-fyd_sn,MIN(fyd_sn,200000*0.002*(1-$C379*(7*K$6-3*sn_h)/(4*sn_h))))-fcd_sn*(1-MIN(1,MAX(0,$C379*(7*K$6-3*sn_h)/(4*sn_h)))^2)</f>
        <v/>
      </c>
    </row>
    <row r="380">
      <c r="B380" s="55" t="n">
        <v>197</v>
      </c>
      <c r="C380" s="58">
        <f>1-197/200</f>
        <v/>
      </c>
      <c r="D380" s="59">
        <f>IF($C380&gt;=1,sn_h,3/7*sn_h+4/7*sn_h/MAX($C380,1E-12))</f>
        <v/>
      </c>
      <c r="E380" s="57">
        <f>(fcd_sn*sn_b*sn_h*(3/7+4/7*(1-$C380^2/3))+SUMPRODUCT($J$5:$K$5,$J380:$K380))/1000</f>
        <v/>
      </c>
      <c r="F380" s="57">
        <f>((fcd_sn*sn_b*(3/14*sn_h*(sn_h-3/7*sn_h)+4/7*sn_h*(sn_h/2-3/7*sn_h)*(1-$C380^2/3)-16/49*sn_h^2*(1/2-$C380^2/4))+SUMPRODUCT($J$5:$K$5,$J380:$K380,$J$7:$K$7))/1E6)</f>
        <v/>
      </c>
      <c r="J380">
        <f>MAX(-fyd_sn,MIN(fyd_sn,200000*0.002*(1-$C380*(7*J$6-3*sn_h)/(4*sn_h))))-fcd_sn*(1-MIN(1,MAX(0,$C380*(7*J$6-3*sn_h)/(4*sn_h)))^2)</f>
        <v/>
      </c>
      <c r="K380">
        <f>MAX(-fyd_sn,MIN(fyd_sn,200000*0.002*(1-$C380*(7*K$6-3*sn_h)/(4*sn_h))))-fcd_sn*(1-MIN(1,MAX(0,$C380*(7*K$6-3*sn_h)/(4*sn_h)))^2)</f>
        <v/>
      </c>
    </row>
    <row r="381">
      <c r="B381" s="55" t="n">
        <v>198</v>
      </c>
      <c r="C381" s="58">
        <f>1-198/200</f>
        <v/>
      </c>
      <c r="D381" s="59">
        <f>IF($C381&gt;=1,sn_h,3/7*sn_h+4/7*sn_h/MAX($C381,1E-12))</f>
        <v/>
      </c>
      <c r="E381" s="57">
        <f>(fcd_sn*sn_b*sn_h*(3/7+4/7*(1-$C381^2/3))+SUMPRODUCT($J$5:$K$5,$J381:$K381))/1000</f>
        <v/>
      </c>
      <c r="F381" s="57">
        <f>((fcd_sn*sn_b*(3/14*sn_h*(sn_h-3/7*sn_h)+4/7*sn_h*(sn_h/2-3/7*sn_h)*(1-$C381^2/3)-16/49*sn_h^2*(1/2-$C381^2/4))+SUMPRODUCT($J$5:$K$5,$J381:$K381,$J$7:$K$7))/1E6)</f>
        <v/>
      </c>
      <c r="J381">
        <f>MAX(-fyd_sn,MIN(fyd_sn,200000*0.002*(1-$C381*(7*J$6-3*sn_h)/(4*sn_h))))-fcd_sn*(1-MIN(1,MAX(0,$C381*(7*J$6-3*sn_h)/(4*sn_h)))^2)</f>
        <v/>
      </c>
      <c r="K381">
        <f>MAX(-fyd_sn,MIN(fyd_sn,200000*0.002*(1-$C381*(7*K$6-3*sn_h)/(4*sn_h))))-fcd_sn*(1-MIN(1,MAX(0,$C381*(7*K$6-3*sn_h)/(4*sn_h)))^2)</f>
        <v/>
      </c>
    </row>
    <row r="382">
      <c r="B382" s="55" t="n">
        <v>199</v>
      </c>
      <c r="C382" s="58">
        <f>1-199/200</f>
        <v/>
      </c>
      <c r="D382" s="59">
        <f>IF($C382&gt;=1,sn_h,3/7*sn_h+4/7*sn_h/MAX($C382,1E-12))</f>
        <v/>
      </c>
      <c r="E382" s="57">
        <f>(fcd_sn*sn_b*sn_h*(3/7+4/7*(1-$C382^2/3))+SUMPRODUCT($J$5:$K$5,$J382:$K382))/1000</f>
        <v/>
      </c>
      <c r="F382" s="57">
        <f>((fcd_sn*sn_b*(3/14*sn_h*(sn_h-3/7*sn_h)+4/7*sn_h*(sn_h/2-3/7*sn_h)*(1-$C382^2/3)-16/49*sn_h^2*(1/2-$C382^2/4))+SUMPRODUCT($J$5:$K$5,$J382:$K382,$J$7:$K$7))/1E6)</f>
        <v/>
      </c>
      <c r="J382">
        <f>MAX(-fyd_sn,MIN(fyd_sn,200000*0.002*(1-$C382*(7*J$6-3*sn_h)/(4*sn_h))))-fcd_sn*(1-MIN(1,MAX(0,$C382*(7*J$6-3*sn_h)/(4*sn_h)))^2)</f>
        <v/>
      </c>
      <c r="K382">
        <f>MAX(-fyd_sn,MIN(fyd_sn,200000*0.002*(1-$C382*(7*K$6-3*sn_h)/(4*sn_h))))-fcd_sn*(1-MIN(1,MAX(0,$C382*(7*K$6-3*sn_h)/(4*sn_h)))^2)</f>
        <v/>
      </c>
    </row>
    <row r="383">
      <c r="B383" s="55" t="n">
        <v>200</v>
      </c>
      <c r="C383" s="58">
        <f>1-200/200</f>
        <v/>
      </c>
      <c r="D383" s="59">
        <f>IF($C383&gt;=1,sn_h,3/7*sn_h+4/7*sn_h/MAX($C383,1E-12))</f>
        <v/>
      </c>
      <c r="E383" s="57">
        <f>(fcd_sn*sn_b*sn_h*(3/7+4/7*(1-$C383^2/3))+SUMPRODUCT($J$5:$K$5,$J383:$K383))/1000</f>
        <v/>
      </c>
      <c r="F383" s="57">
        <f>((fcd_sn*sn_b*(3/14*sn_h*(sn_h-3/7*sn_h)+4/7*sn_h*(sn_h/2-3/7*sn_h)*(1-$C383^2/3)-16/49*sn_h^2*(1/2-$C383^2/4))+SUMPRODUCT($J$5:$K$5,$J383:$K383,$J$7:$K$7))/1E6)</f>
        <v/>
      </c>
      <c r="J383">
        <f>MAX(-fyd_sn,MIN(fyd_sn,200000*0.002*(1-$C383*(7*J$6-3*sn_h)/(4*sn_h))))-fcd_sn*(1-MIN(1,MAX(0,$C383*(7*J$6-3*sn_h)/(4*sn_h)))^2)</f>
        <v/>
      </c>
      <c r="K383">
        <f>MAX(-fyd_sn,MIN(fyd_sn,200000*0.002*(1-$C383*(7*K$6-3*sn_h)/(4*sn_h))))-fcd_sn*(1-MIN(1,MAX(0,$C383*(7*K$6-3*sn_h)/(4*sn_h)))^2)</f>
        <v/>
      </c>
    </row>
    <row r="385">
      <c r="B385" s="54" t="inlineStr">
        <is>
          <t>Top face compressed  ·  2. largest N, golden section</t>
        </is>
      </c>
    </row>
    <row r="386">
      <c r="B386" s="48" t="inlineStr">
        <is>
          <t>step</t>
        </is>
      </c>
      <c r="C386" s="48" t="inlineStr">
        <is>
          <t>t a</t>
        </is>
      </c>
      <c r="D386" s="48" t="inlineStr">
        <is>
          <t>t b</t>
        </is>
      </c>
      <c r="E386" s="48" t="inlineStr">
        <is>
          <t>t1</t>
        </is>
      </c>
      <c r="F386" s="48" t="inlineStr">
        <is>
          <t>t2</t>
        </is>
      </c>
      <c r="G386" s="48" t="inlineStr">
        <is>
          <t>N(t1)</t>
        </is>
      </c>
      <c r="H386" s="48" t="inlineStr">
        <is>
          <t>N(t2)</t>
        </is>
      </c>
    </row>
    <row r="387">
      <c r="B387" s="55" t="n">
        <v>1</v>
      </c>
      <c r="C387" s="56">
        <f>INDEX(rawS_t,MIN((MATCH(MAX(rawS_N),rawS_N,0)-1)+1,200)+1)</f>
        <v/>
      </c>
      <c r="D387" s="56">
        <f>INDEX(rawS_t,MAX((MATCH(MAX(rawS_N),rawS_N,0)-1)-1,0)+1)</f>
        <v/>
      </c>
      <c r="E387" s="56">
        <f>$D387-((SQRT(5)-1)/2)*($D387-$C387)</f>
        <v/>
      </c>
      <c r="F387" s="56">
        <f>$C387+((SQRT(5)-1)/2)*($D387-$C387)</f>
        <v/>
      </c>
      <c r="G387" s="60">
        <f>(fcd_sn*sn_b*sn_h*(3/7+4/7*(1-$E387^2/3))+SUMPRODUCT($J$5:$K$5,$J387:$K387))/1000</f>
        <v/>
      </c>
      <c r="H387" s="60">
        <f>(fcd_sn*sn_b*sn_h*(3/7+4/7*(1-$F387^2/3))+SUMPRODUCT($J$5:$K$5,$L387:$M387))/1000</f>
        <v/>
      </c>
      <c r="J387">
        <f>MAX(-fyd_sn,MIN(fyd_sn,200000*0.002*(1-$E387*(7*J$6-3*sn_h)/(4*sn_h))))-fcd_sn*(1-MIN(1,MAX(0,$E387*(7*J$6-3*sn_h)/(4*sn_h)))^2)</f>
        <v/>
      </c>
      <c r="K387">
        <f>MAX(-fyd_sn,MIN(fyd_sn,200000*0.002*(1-$E387*(7*K$6-3*sn_h)/(4*sn_h))))-fcd_sn*(1-MIN(1,MAX(0,$E387*(7*K$6-3*sn_h)/(4*sn_h)))^2)</f>
        <v/>
      </c>
      <c r="L387">
        <f>MAX(-fyd_sn,MIN(fyd_sn,200000*0.002*(1-$F387*(7*J$6-3*sn_h)/(4*sn_h))))-fcd_sn*(1-MIN(1,MAX(0,$F387*(7*J$6-3*sn_h)/(4*sn_h)))^2)</f>
        <v/>
      </c>
      <c r="M387">
        <f>MAX(-fyd_sn,MIN(fyd_sn,200000*0.002*(1-$F387*(7*K$6-3*sn_h)/(4*sn_h))))-fcd_sn*(1-MIN(1,MAX(0,$F387*(7*K$6-3*sn_h)/(4*sn_h)))^2)</f>
        <v/>
      </c>
    </row>
    <row r="388">
      <c r="B388" s="55" t="n">
        <v>2</v>
      </c>
      <c r="C388" s="56">
        <f>IF($G387&gt;=$H387,$C387,$E387)</f>
        <v/>
      </c>
      <c r="D388" s="56">
        <f>IF($G387&gt;=$H387,$F387,$D387)</f>
        <v/>
      </c>
      <c r="E388" s="56">
        <f>$D388-((SQRT(5)-1)/2)*($D388-$C388)</f>
        <v/>
      </c>
      <c r="F388" s="56">
        <f>$C388+((SQRT(5)-1)/2)*($D388-$C388)</f>
        <v/>
      </c>
      <c r="G388" s="60">
        <f>(fcd_sn*sn_b*sn_h*(3/7+4/7*(1-$E388^2/3))+SUMPRODUCT($J$5:$K$5,$J388:$K388))/1000</f>
        <v/>
      </c>
      <c r="H388" s="60">
        <f>(fcd_sn*sn_b*sn_h*(3/7+4/7*(1-$F388^2/3))+SUMPRODUCT($J$5:$K$5,$L388:$M388))/1000</f>
        <v/>
      </c>
      <c r="J388">
        <f>MAX(-fyd_sn,MIN(fyd_sn,200000*0.002*(1-$E388*(7*J$6-3*sn_h)/(4*sn_h))))-fcd_sn*(1-MIN(1,MAX(0,$E388*(7*J$6-3*sn_h)/(4*sn_h)))^2)</f>
        <v/>
      </c>
      <c r="K388">
        <f>MAX(-fyd_sn,MIN(fyd_sn,200000*0.002*(1-$E388*(7*K$6-3*sn_h)/(4*sn_h))))-fcd_sn*(1-MIN(1,MAX(0,$E388*(7*K$6-3*sn_h)/(4*sn_h)))^2)</f>
        <v/>
      </c>
      <c r="L388">
        <f>MAX(-fyd_sn,MIN(fyd_sn,200000*0.002*(1-$F388*(7*J$6-3*sn_h)/(4*sn_h))))-fcd_sn*(1-MIN(1,MAX(0,$F388*(7*J$6-3*sn_h)/(4*sn_h)))^2)</f>
        <v/>
      </c>
      <c r="M388">
        <f>MAX(-fyd_sn,MIN(fyd_sn,200000*0.002*(1-$F388*(7*K$6-3*sn_h)/(4*sn_h))))-fcd_sn*(1-MIN(1,MAX(0,$F388*(7*K$6-3*sn_h)/(4*sn_h)))^2)</f>
        <v/>
      </c>
    </row>
    <row r="389">
      <c r="B389" s="55" t="n">
        <v>3</v>
      </c>
      <c r="C389" s="56">
        <f>IF($G388&gt;=$H388,$C388,$E388)</f>
        <v/>
      </c>
      <c r="D389" s="56">
        <f>IF($G388&gt;=$H388,$F388,$D388)</f>
        <v/>
      </c>
      <c r="E389" s="56">
        <f>$D389-((SQRT(5)-1)/2)*($D389-$C389)</f>
        <v/>
      </c>
      <c r="F389" s="56">
        <f>$C389+((SQRT(5)-1)/2)*($D389-$C389)</f>
        <v/>
      </c>
      <c r="G389" s="60">
        <f>(fcd_sn*sn_b*sn_h*(3/7+4/7*(1-$E389^2/3))+SUMPRODUCT($J$5:$K$5,$J389:$K389))/1000</f>
        <v/>
      </c>
      <c r="H389" s="60">
        <f>(fcd_sn*sn_b*sn_h*(3/7+4/7*(1-$F389^2/3))+SUMPRODUCT($J$5:$K$5,$L389:$M389))/1000</f>
        <v/>
      </c>
      <c r="J389">
        <f>MAX(-fyd_sn,MIN(fyd_sn,200000*0.002*(1-$E389*(7*J$6-3*sn_h)/(4*sn_h))))-fcd_sn*(1-MIN(1,MAX(0,$E389*(7*J$6-3*sn_h)/(4*sn_h)))^2)</f>
        <v/>
      </c>
      <c r="K389">
        <f>MAX(-fyd_sn,MIN(fyd_sn,200000*0.002*(1-$E389*(7*K$6-3*sn_h)/(4*sn_h))))-fcd_sn*(1-MIN(1,MAX(0,$E389*(7*K$6-3*sn_h)/(4*sn_h)))^2)</f>
        <v/>
      </c>
      <c r="L389">
        <f>MAX(-fyd_sn,MIN(fyd_sn,200000*0.002*(1-$F389*(7*J$6-3*sn_h)/(4*sn_h))))-fcd_sn*(1-MIN(1,MAX(0,$F389*(7*J$6-3*sn_h)/(4*sn_h)))^2)</f>
        <v/>
      </c>
      <c r="M389">
        <f>MAX(-fyd_sn,MIN(fyd_sn,200000*0.002*(1-$F389*(7*K$6-3*sn_h)/(4*sn_h))))-fcd_sn*(1-MIN(1,MAX(0,$F389*(7*K$6-3*sn_h)/(4*sn_h)))^2)</f>
        <v/>
      </c>
    </row>
    <row r="390">
      <c r="B390" s="55" t="n">
        <v>4</v>
      </c>
      <c r="C390" s="56">
        <f>IF($G389&gt;=$H389,$C389,$E389)</f>
        <v/>
      </c>
      <c r="D390" s="56">
        <f>IF($G389&gt;=$H389,$F389,$D389)</f>
        <v/>
      </c>
      <c r="E390" s="56">
        <f>$D390-((SQRT(5)-1)/2)*($D390-$C390)</f>
        <v/>
      </c>
      <c r="F390" s="56">
        <f>$C390+((SQRT(5)-1)/2)*($D390-$C390)</f>
        <v/>
      </c>
      <c r="G390" s="60">
        <f>(fcd_sn*sn_b*sn_h*(3/7+4/7*(1-$E390^2/3))+SUMPRODUCT($J$5:$K$5,$J390:$K390))/1000</f>
        <v/>
      </c>
      <c r="H390" s="60">
        <f>(fcd_sn*sn_b*sn_h*(3/7+4/7*(1-$F390^2/3))+SUMPRODUCT($J$5:$K$5,$L390:$M390))/1000</f>
        <v/>
      </c>
      <c r="J390">
        <f>MAX(-fyd_sn,MIN(fyd_sn,200000*0.002*(1-$E390*(7*J$6-3*sn_h)/(4*sn_h))))-fcd_sn*(1-MIN(1,MAX(0,$E390*(7*J$6-3*sn_h)/(4*sn_h)))^2)</f>
        <v/>
      </c>
      <c r="K390">
        <f>MAX(-fyd_sn,MIN(fyd_sn,200000*0.002*(1-$E390*(7*K$6-3*sn_h)/(4*sn_h))))-fcd_sn*(1-MIN(1,MAX(0,$E390*(7*K$6-3*sn_h)/(4*sn_h)))^2)</f>
        <v/>
      </c>
      <c r="L390">
        <f>MAX(-fyd_sn,MIN(fyd_sn,200000*0.002*(1-$F390*(7*J$6-3*sn_h)/(4*sn_h))))-fcd_sn*(1-MIN(1,MAX(0,$F390*(7*J$6-3*sn_h)/(4*sn_h)))^2)</f>
        <v/>
      </c>
      <c r="M390">
        <f>MAX(-fyd_sn,MIN(fyd_sn,200000*0.002*(1-$F390*(7*K$6-3*sn_h)/(4*sn_h))))-fcd_sn*(1-MIN(1,MAX(0,$F390*(7*K$6-3*sn_h)/(4*sn_h)))^2)</f>
        <v/>
      </c>
    </row>
    <row r="391">
      <c r="B391" s="55" t="n">
        <v>5</v>
      </c>
      <c r="C391" s="56">
        <f>IF($G390&gt;=$H390,$C390,$E390)</f>
        <v/>
      </c>
      <c r="D391" s="56">
        <f>IF($G390&gt;=$H390,$F390,$D390)</f>
        <v/>
      </c>
      <c r="E391" s="56">
        <f>$D391-((SQRT(5)-1)/2)*($D391-$C391)</f>
        <v/>
      </c>
      <c r="F391" s="56">
        <f>$C391+((SQRT(5)-1)/2)*($D391-$C391)</f>
        <v/>
      </c>
      <c r="G391" s="60">
        <f>(fcd_sn*sn_b*sn_h*(3/7+4/7*(1-$E391^2/3))+SUMPRODUCT($J$5:$K$5,$J391:$K391))/1000</f>
        <v/>
      </c>
      <c r="H391" s="60">
        <f>(fcd_sn*sn_b*sn_h*(3/7+4/7*(1-$F391^2/3))+SUMPRODUCT($J$5:$K$5,$L391:$M391))/1000</f>
        <v/>
      </c>
      <c r="J391">
        <f>MAX(-fyd_sn,MIN(fyd_sn,200000*0.002*(1-$E391*(7*J$6-3*sn_h)/(4*sn_h))))-fcd_sn*(1-MIN(1,MAX(0,$E391*(7*J$6-3*sn_h)/(4*sn_h)))^2)</f>
        <v/>
      </c>
      <c r="K391">
        <f>MAX(-fyd_sn,MIN(fyd_sn,200000*0.002*(1-$E391*(7*K$6-3*sn_h)/(4*sn_h))))-fcd_sn*(1-MIN(1,MAX(0,$E391*(7*K$6-3*sn_h)/(4*sn_h)))^2)</f>
        <v/>
      </c>
      <c r="L391">
        <f>MAX(-fyd_sn,MIN(fyd_sn,200000*0.002*(1-$F391*(7*J$6-3*sn_h)/(4*sn_h))))-fcd_sn*(1-MIN(1,MAX(0,$F391*(7*J$6-3*sn_h)/(4*sn_h)))^2)</f>
        <v/>
      </c>
      <c r="M391">
        <f>MAX(-fyd_sn,MIN(fyd_sn,200000*0.002*(1-$F391*(7*K$6-3*sn_h)/(4*sn_h))))-fcd_sn*(1-MIN(1,MAX(0,$F391*(7*K$6-3*sn_h)/(4*sn_h)))^2)</f>
        <v/>
      </c>
    </row>
    <row r="392">
      <c r="B392" s="55" t="n">
        <v>6</v>
      </c>
      <c r="C392" s="56">
        <f>IF($G391&gt;=$H391,$C391,$E391)</f>
        <v/>
      </c>
      <c r="D392" s="56">
        <f>IF($G391&gt;=$H391,$F391,$D391)</f>
        <v/>
      </c>
      <c r="E392" s="56">
        <f>$D392-((SQRT(5)-1)/2)*($D392-$C392)</f>
        <v/>
      </c>
      <c r="F392" s="56">
        <f>$C392+((SQRT(5)-1)/2)*($D392-$C392)</f>
        <v/>
      </c>
      <c r="G392" s="60">
        <f>(fcd_sn*sn_b*sn_h*(3/7+4/7*(1-$E392^2/3))+SUMPRODUCT($J$5:$K$5,$J392:$K392))/1000</f>
        <v/>
      </c>
      <c r="H392" s="60">
        <f>(fcd_sn*sn_b*sn_h*(3/7+4/7*(1-$F392^2/3))+SUMPRODUCT($J$5:$K$5,$L392:$M392))/1000</f>
        <v/>
      </c>
      <c r="J392">
        <f>MAX(-fyd_sn,MIN(fyd_sn,200000*0.002*(1-$E392*(7*J$6-3*sn_h)/(4*sn_h))))-fcd_sn*(1-MIN(1,MAX(0,$E392*(7*J$6-3*sn_h)/(4*sn_h)))^2)</f>
        <v/>
      </c>
      <c r="K392">
        <f>MAX(-fyd_sn,MIN(fyd_sn,200000*0.002*(1-$E392*(7*K$6-3*sn_h)/(4*sn_h))))-fcd_sn*(1-MIN(1,MAX(0,$E392*(7*K$6-3*sn_h)/(4*sn_h)))^2)</f>
        <v/>
      </c>
      <c r="L392">
        <f>MAX(-fyd_sn,MIN(fyd_sn,200000*0.002*(1-$F392*(7*J$6-3*sn_h)/(4*sn_h))))-fcd_sn*(1-MIN(1,MAX(0,$F392*(7*J$6-3*sn_h)/(4*sn_h)))^2)</f>
        <v/>
      </c>
      <c r="M392">
        <f>MAX(-fyd_sn,MIN(fyd_sn,200000*0.002*(1-$F392*(7*K$6-3*sn_h)/(4*sn_h))))-fcd_sn*(1-MIN(1,MAX(0,$F392*(7*K$6-3*sn_h)/(4*sn_h)))^2)</f>
        <v/>
      </c>
    </row>
    <row r="393">
      <c r="B393" s="55" t="n">
        <v>7</v>
      </c>
      <c r="C393" s="56">
        <f>IF($G392&gt;=$H392,$C392,$E392)</f>
        <v/>
      </c>
      <c r="D393" s="56">
        <f>IF($G392&gt;=$H392,$F392,$D392)</f>
        <v/>
      </c>
      <c r="E393" s="56">
        <f>$D393-((SQRT(5)-1)/2)*($D393-$C393)</f>
        <v/>
      </c>
      <c r="F393" s="56">
        <f>$C393+((SQRT(5)-1)/2)*($D393-$C393)</f>
        <v/>
      </c>
      <c r="G393" s="60">
        <f>(fcd_sn*sn_b*sn_h*(3/7+4/7*(1-$E393^2/3))+SUMPRODUCT($J$5:$K$5,$J393:$K393))/1000</f>
        <v/>
      </c>
      <c r="H393" s="60">
        <f>(fcd_sn*sn_b*sn_h*(3/7+4/7*(1-$F393^2/3))+SUMPRODUCT($J$5:$K$5,$L393:$M393))/1000</f>
        <v/>
      </c>
      <c r="J393">
        <f>MAX(-fyd_sn,MIN(fyd_sn,200000*0.002*(1-$E393*(7*J$6-3*sn_h)/(4*sn_h))))-fcd_sn*(1-MIN(1,MAX(0,$E393*(7*J$6-3*sn_h)/(4*sn_h)))^2)</f>
        <v/>
      </c>
      <c r="K393">
        <f>MAX(-fyd_sn,MIN(fyd_sn,200000*0.002*(1-$E393*(7*K$6-3*sn_h)/(4*sn_h))))-fcd_sn*(1-MIN(1,MAX(0,$E393*(7*K$6-3*sn_h)/(4*sn_h)))^2)</f>
        <v/>
      </c>
      <c r="L393">
        <f>MAX(-fyd_sn,MIN(fyd_sn,200000*0.002*(1-$F393*(7*J$6-3*sn_h)/(4*sn_h))))-fcd_sn*(1-MIN(1,MAX(0,$F393*(7*J$6-3*sn_h)/(4*sn_h)))^2)</f>
        <v/>
      </c>
      <c r="M393">
        <f>MAX(-fyd_sn,MIN(fyd_sn,200000*0.002*(1-$F393*(7*K$6-3*sn_h)/(4*sn_h))))-fcd_sn*(1-MIN(1,MAX(0,$F393*(7*K$6-3*sn_h)/(4*sn_h)))^2)</f>
        <v/>
      </c>
    </row>
    <row r="394">
      <c r="B394" s="55" t="n">
        <v>8</v>
      </c>
      <c r="C394" s="56">
        <f>IF($G393&gt;=$H393,$C393,$E393)</f>
        <v/>
      </c>
      <c r="D394" s="56">
        <f>IF($G393&gt;=$H393,$F393,$D393)</f>
        <v/>
      </c>
      <c r="E394" s="56">
        <f>$D394-((SQRT(5)-1)/2)*($D394-$C394)</f>
        <v/>
      </c>
      <c r="F394" s="56">
        <f>$C394+((SQRT(5)-1)/2)*($D394-$C394)</f>
        <v/>
      </c>
      <c r="G394" s="60">
        <f>(fcd_sn*sn_b*sn_h*(3/7+4/7*(1-$E394^2/3))+SUMPRODUCT($J$5:$K$5,$J394:$K394))/1000</f>
        <v/>
      </c>
      <c r="H394" s="60">
        <f>(fcd_sn*sn_b*sn_h*(3/7+4/7*(1-$F394^2/3))+SUMPRODUCT($J$5:$K$5,$L394:$M394))/1000</f>
        <v/>
      </c>
      <c r="J394">
        <f>MAX(-fyd_sn,MIN(fyd_sn,200000*0.002*(1-$E394*(7*J$6-3*sn_h)/(4*sn_h))))-fcd_sn*(1-MIN(1,MAX(0,$E394*(7*J$6-3*sn_h)/(4*sn_h)))^2)</f>
        <v/>
      </c>
      <c r="K394">
        <f>MAX(-fyd_sn,MIN(fyd_sn,200000*0.002*(1-$E394*(7*K$6-3*sn_h)/(4*sn_h))))-fcd_sn*(1-MIN(1,MAX(0,$E394*(7*K$6-3*sn_h)/(4*sn_h)))^2)</f>
        <v/>
      </c>
      <c r="L394">
        <f>MAX(-fyd_sn,MIN(fyd_sn,200000*0.002*(1-$F394*(7*J$6-3*sn_h)/(4*sn_h))))-fcd_sn*(1-MIN(1,MAX(0,$F394*(7*J$6-3*sn_h)/(4*sn_h)))^2)</f>
        <v/>
      </c>
      <c r="M394">
        <f>MAX(-fyd_sn,MIN(fyd_sn,200000*0.002*(1-$F394*(7*K$6-3*sn_h)/(4*sn_h))))-fcd_sn*(1-MIN(1,MAX(0,$F394*(7*K$6-3*sn_h)/(4*sn_h)))^2)</f>
        <v/>
      </c>
    </row>
    <row r="395">
      <c r="B395" s="55" t="n">
        <v>9</v>
      </c>
      <c r="C395" s="56">
        <f>IF($G394&gt;=$H394,$C394,$E394)</f>
        <v/>
      </c>
      <c r="D395" s="56">
        <f>IF($G394&gt;=$H394,$F394,$D394)</f>
        <v/>
      </c>
      <c r="E395" s="56">
        <f>$D395-((SQRT(5)-1)/2)*($D395-$C395)</f>
        <v/>
      </c>
      <c r="F395" s="56">
        <f>$C395+((SQRT(5)-1)/2)*($D395-$C395)</f>
        <v/>
      </c>
      <c r="G395" s="60">
        <f>(fcd_sn*sn_b*sn_h*(3/7+4/7*(1-$E395^2/3))+SUMPRODUCT($J$5:$K$5,$J395:$K395))/1000</f>
        <v/>
      </c>
      <c r="H395" s="60">
        <f>(fcd_sn*sn_b*sn_h*(3/7+4/7*(1-$F395^2/3))+SUMPRODUCT($J$5:$K$5,$L395:$M395))/1000</f>
        <v/>
      </c>
      <c r="J395">
        <f>MAX(-fyd_sn,MIN(fyd_sn,200000*0.002*(1-$E395*(7*J$6-3*sn_h)/(4*sn_h))))-fcd_sn*(1-MIN(1,MAX(0,$E395*(7*J$6-3*sn_h)/(4*sn_h)))^2)</f>
        <v/>
      </c>
      <c r="K395">
        <f>MAX(-fyd_sn,MIN(fyd_sn,200000*0.002*(1-$E395*(7*K$6-3*sn_h)/(4*sn_h))))-fcd_sn*(1-MIN(1,MAX(0,$E395*(7*K$6-3*sn_h)/(4*sn_h)))^2)</f>
        <v/>
      </c>
      <c r="L395">
        <f>MAX(-fyd_sn,MIN(fyd_sn,200000*0.002*(1-$F395*(7*J$6-3*sn_h)/(4*sn_h))))-fcd_sn*(1-MIN(1,MAX(0,$F395*(7*J$6-3*sn_h)/(4*sn_h)))^2)</f>
        <v/>
      </c>
      <c r="M395">
        <f>MAX(-fyd_sn,MIN(fyd_sn,200000*0.002*(1-$F395*(7*K$6-3*sn_h)/(4*sn_h))))-fcd_sn*(1-MIN(1,MAX(0,$F395*(7*K$6-3*sn_h)/(4*sn_h)))^2)</f>
        <v/>
      </c>
    </row>
    <row r="396">
      <c r="B396" s="55" t="n">
        <v>10</v>
      </c>
      <c r="C396" s="56">
        <f>IF($G395&gt;=$H395,$C395,$E395)</f>
        <v/>
      </c>
      <c r="D396" s="56">
        <f>IF($G395&gt;=$H395,$F395,$D395)</f>
        <v/>
      </c>
      <c r="E396" s="56">
        <f>$D396-((SQRT(5)-1)/2)*($D396-$C396)</f>
        <v/>
      </c>
      <c r="F396" s="56">
        <f>$C396+((SQRT(5)-1)/2)*($D396-$C396)</f>
        <v/>
      </c>
      <c r="G396" s="60">
        <f>(fcd_sn*sn_b*sn_h*(3/7+4/7*(1-$E396^2/3))+SUMPRODUCT($J$5:$K$5,$J396:$K396))/1000</f>
        <v/>
      </c>
      <c r="H396" s="60">
        <f>(fcd_sn*sn_b*sn_h*(3/7+4/7*(1-$F396^2/3))+SUMPRODUCT($J$5:$K$5,$L396:$M396))/1000</f>
        <v/>
      </c>
      <c r="J396">
        <f>MAX(-fyd_sn,MIN(fyd_sn,200000*0.002*(1-$E396*(7*J$6-3*sn_h)/(4*sn_h))))-fcd_sn*(1-MIN(1,MAX(0,$E396*(7*J$6-3*sn_h)/(4*sn_h)))^2)</f>
        <v/>
      </c>
      <c r="K396">
        <f>MAX(-fyd_sn,MIN(fyd_sn,200000*0.002*(1-$E396*(7*K$6-3*sn_h)/(4*sn_h))))-fcd_sn*(1-MIN(1,MAX(0,$E396*(7*K$6-3*sn_h)/(4*sn_h)))^2)</f>
        <v/>
      </c>
      <c r="L396">
        <f>MAX(-fyd_sn,MIN(fyd_sn,200000*0.002*(1-$F396*(7*J$6-3*sn_h)/(4*sn_h))))-fcd_sn*(1-MIN(1,MAX(0,$F396*(7*J$6-3*sn_h)/(4*sn_h)))^2)</f>
        <v/>
      </c>
      <c r="M396">
        <f>MAX(-fyd_sn,MIN(fyd_sn,200000*0.002*(1-$F396*(7*K$6-3*sn_h)/(4*sn_h))))-fcd_sn*(1-MIN(1,MAX(0,$F396*(7*K$6-3*sn_h)/(4*sn_h)))^2)</f>
        <v/>
      </c>
    </row>
    <row r="397">
      <c r="B397" s="55" t="n">
        <v>11</v>
      </c>
      <c r="C397" s="56">
        <f>IF($G396&gt;=$H396,$C396,$E396)</f>
        <v/>
      </c>
      <c r="D397" s="56">
        <f>IF($G396&gt;=$H396,$F396,$D396)</f>
        <v/>
      </c>
      <c r="E397" s="56">
        <f>$D397-((SQRT(5)-1)/2)*($D397-$C397)</f>
        <v/>
      </c>
      <c r="F397" s="56">
        <f>$C397+((SQRT(5)-1)/2)*($D397-$C397)</f>
        <v/>
      </c>
      <c r="G397" s="60">
        <f>(fcd_sn*sn_b*sn_h*(3/7+4/7*(1-$E397^2/3))+SUMPRODUCT($J$5:$K$5,$J397:$K397))/1000</f>
        <v/>
      </c>
      <c r="H397" s="60">
        <f>(fcd_sn*sn_b*sn_h*(3/7+4/7*(1-$F397^2/3))+SUMPRODUCT($J$5:$K$5,$L397:$M397))/1000</f>
        <v/>
      </c>
      <c r="J397">
        <f>MAX(-fyd_sn,MIN(fyd_sn,200000*0.002*(1-$E397*(7*J$6-3*sn_h)/(4*sn_h))))-fcd_sn*(1-MIN(1,MAX(0,$E397*(7*J$6-3*sn_h)/(4*sn_h)))^2)</f>
        <v/>
      </c>
      <c r="K397">
        <f>MAX(-fyd_sn,MIN(fyd_sn,200000*0.002*(1-$E397*(7*K$6-3*sn_h)/(4*sn_h))))-fcd_sn*(1-MIN(1,MAX(0,$E397*(7*K$6-3*sn_h)/(4*sn_h)))^2)</f>
        <v/>
      </c>
      <c r="L397">
        <f>MAX(-fyd_sn,MIN(fyd_sn,200000*0.002*(1-$F397*(7*J$6-3*sn_h)/(4*sn_h))))-fcd_sn*(1-MIN(1,MAX(0,$F397*(7*J$6-3*sn_h)/(4*sn_h)))^2)</f>
        <v/>
      </c>
      <c r="M397">
        <f>MAX(-fyd_sn,MIN(fyd_sn,200000*0.002*(1-$F397*(7*K$6-3*sn_h)/(4*sn_h))))-fcd_sn*(1-MIN(1,MAX(0,$F397*(7*K$6-3*sn_h)/(4*sn_h)))^2)</f>
        <v/>
      </c>
    </row>
    <row r="398">
      <c r="B398" s="55" t="n">
        <v>12</v>
      </c>
      <c r="C398" s="56">
        <f>IF($G397&gt;=$H397,$C397,$E397)</f>
        <v/>
      </c>
      <c r="D398" s="56">
        <f>IF($G397&gt;=$H397,$F397,$D397)</f>
        <v/>
      </c>
      <c r="E398" s="56">
        <f>$D398-((SQRT(5)-1)/2)*($D398-$C398)</f>
        <v/>
      </c>
      <c r="F398" s="56">
        <f>$C398+((SQRT(5)-1)/2)*($D398-$C398)</f>
        <v/>
      </c>
      <c r="G398" s="60">
        <f>(fcd_sn*sn_b*sn_h*(3/7+4/7*(1-$E398^2/3))+SUMPRODUCT($J$5:$K$5,$J398:$K398))/1000</f>
        <v/>
      </c>
      <c r="H398" s="60">
        <f>(fcd_sn*sn_b*sn_h*(3/7+4/7*(1-$F398^2/3))+SUMPRODUCT($J$5:$K$5,$L398:$M398))/1000</f>
        <v/>
      </c>
      <c r="J398">
        <f>MAX(-fyd_sn,MIN(fyd_sn,200000*0.002*(1-$E398*(7*J$6-3*sn_h)/(4*sn_h))))-fcd_sn*(1-MIN(1,MAX(0,$E398*(7*J$6-3*sn_h)/(4*sn_h)))^2)</f>
        <v/>
      </c>
      <c r="K398">
        <f>MAX(-fyd_sn,MIN(fyd_sn,200000*0.002*(1-$E398*(7*K$6-3*sn_h)/(4*sn_h))))-fcd_sn*(1-MIN(1,MAX(0,$E398*(7*K$6-3*sn_h)/(4*sn_h)))^2)</f>
        <v/>
      </c>
      <c r="L398">
        <f>MAX(-fyd_sn,MIN(fyd_sn,200000*0.002*(1-$F398*(7*J$6-3*sn_h)/(4*sn_h))))-fcd_sn*(1-MIN(1,MAX(0,$F398*(7*J$6-3*sn_h)/(4*sn_h)))^2)</f>
        <v/>
      </c>
      <c r="M398">
        <f>MAX(-fyd_sn,MIN(fyd_sn,200000*0.002*(1-$F398*(7*K$6-3*sn_h)/(4*sn_h))))-fcd_sn*(1-MIN(1,MAX(0,$F398*(7*K$6-3*sn_h)/(4*sn_h)))^2)</f>
        <v/>
      </c>
    </row>
    <row r="399">
      <c r="B399" s="55" t="n">
        <v>13</v>
      </c>
      <c r="C399" s="56">
        <f>IF($G398&gt;=$H398,$C398,$E398)</f>
        <v/>
      </c>
      <c r="D399" s="56">
        <f>IF($G398&gt;=$H398,$F398,$D398)</f>
        <v/>
      </c>
      <c r="E399" s="56">
        <f>$D399-((SQRT(5)-1)/2)*($D399-$C399)</f>
        <v/>
      </c>
      <c r="F399" s="56">
        <f>$C399+((SQRT(5)-1)/2)*($D399-$C399)</f>
        <v/>
      </c>
      <c r="G399" s="60">
        <f>(fcd_sn*sn_b*sn_h*(3/7+4/7*(1-$E399^2/3))+SUMPRODUCT($J$5:$K$5,$J399:$K399))/1000</f>
        <v/>
      </c>
      <c r="H399" s="60">
        <f>(fcd_sn*sn_b*sn_h*(3/7+4/7*(1-$F399^2/3))+SUMPRODUCT($J$5:$K$5,$L399:$M399))/1000</f>
        <v/>
      </c>
      <c r="J399">
        <f>MAX(-fyd_sn,MIN(fyd_sn,200000*0.002*(1-$E399*(7*J$6-3*sn_h)/(4*sn_h))))-fcd_sn*(1-MIN(1,MAX(0,$E399*(7*J$6-3*sn_h)/(4*sn_h)))^2)</f>
        <v/>
      </c>
      <c r="K399">
        <f>MAX(-fyd_sn,MIN(fyd_sn,200000*0.002*(1-$E399*(7*K$6-3*sn_h)/(4*sn_h))))-fcd_sn*(1-MIN(1,MAX(0,$E399*(7*K$6-3*sn_h)/(4*sn_h)))^2)</f>
        <v/>
      </c>
      <c r="L399">
        <f>MAX(-fyd_sn,MIN(fyd_sn,200000*0.002*(1-$F399*(7*J$6-3*sn_h)/(4*sn_h))))-fcd_sn*(1-MIN(1,MAX(0,$F399*(7*J$6-3*sn_h)/(4*sn_h)))^2)</f>
        <v/>
      </c>
      <c r="M399">
        <f>MAX(-fyd_sn,MIN(fyd_sn,200000*0.002*(1-$F399*(7*K$6-3*sn_h)/(4*sn_h))))-fcd_sn*(1-MIN(1,MAX(0,$F399*(7*K$6-3*sn_h)/(4*sn_h)))^2)</f>
        <v/>
      </c>
    </row>
    <row r="400">
      <c r="B400" s="55" t="n">
        <v>14</v>
      </c>
      <c r="C400" s="56">
        <f>IF($G399&gt;=$H399,$C399,$E399)</f>
        <v/>
      </c>
      <c r="D400" s="56">
        <f>IF($G399&gt;=$H399,$F399,$D399)</f>
        <v/>
      </c>
      <c r="E400" s="56">
        <f>$D400-((SQRT(5)-1)/2)*($D400-$C400)</f>
        <v/>
      </c>
      <c r="F400" s="56">
        <f>$C400+((SQRT(5)-1)/2)*($D400-$C400)</f>
        <v/>
      </c>
      <c r="G400" s="60">
        <f>(fcd_sn*sn_b*sn_h*(3/7+4/7*(1-$E400^2/3))+SUMPRODUCT($J$5:$K$5,$J400:$K400))/1000</f>
        <v/>
      </c>
      <c r="H400" s="60">
        <f>(fcd_sn*sn_b*sn_h*(3/7+4/7*(1-$F400^2/3))+SUMPRODUCT($J$5:$K$5,$L400:$M400))/1000</f>
        <v/>
      </c>
      <c r="J400">
        <f>MAX(-fyd_sn,MIN(fyd_sn,200000*0.002*(1-$E400*(7*J$6-3*sn_h)/(4*sn_h))))-fcd_sn*(1-MIN(1,MAX(0,$E400*(7*J$6-3*sn_h)/(4*sn_h)))^2)</f>
        <v/>
      </c>
      <c r="K400">
        <f>MAX(-fyd_sn,MIN(fyd_sn,200000*0.002*(1-$E400*(7*K$6-3*sn_h)/(4*sn_h))))-fcd_sn*(1-MIN(1,MAX(0,$E400*(7*K$6-3*sn_h)/(4*sn_h)))^2)</f>
        <v/>
      </c>
      <c r="L400">
        <f>MAX(-fyd_sn,MIN(fyd_sn,200000*0.002*(1-$F400*(7*J$6-3*sn_h)/(4*sn_h))))-fcd_sn*(1-MIN(1,MAX(0,$F400*(7*J$6-3*sn_h)/(4*sn_h)))^2)</f>
        <v/>
      </c>
      <c r="M400">
        <f>MAX(-fyd_sn,MIN(fyd_sn,200000*0.002*(1-$F400*(7*K$6-3*sn_h)/(4*sn_h))))-fcd_sn*(1-MIN(1,MAX(0,$F400*(7*K$6-3*sn_h)/(4*sn_h)))^2)</f>
        <v/>
      </c>
    </row>
    <row r="401">
      <c r="B401" s="55" t="n">
        <v>15</v>
      </c>
      <c r="C401" s="56">
        <f>IF($G400&gt;=$H400,$C400,$E400)</f>
        <v/>
      </c>
      <c r="D401" s="56">
        <f>IF($G400&gt;=$H400,$F400,$D400)</f>
        <v/>
      </c>
      <c r="E401" s="56">
        <f>$D401-((SQRT(5)-1)/2)*($D401-$C401)</f>
        <v/>
      </c>
      <c r="F401" s="56">
        <f>$C401+((SQRT(5)-1)/2)*($D401-$C401)</f>
        <v/>
      </c>
      <c r="G401" s="60">
        <f>(fcd_sn*sn_b*sn_h*(3/7+4/7*(1-$E401^2/3))+SUMPRODUCT($J$5:$K$5,$J401:$K401))/1000</f>
        <v/>
      </c>
      <c r="H401" s="60">
        <f>(fcd_sn*sn_b*sn_h*(3/7+4/7*(1-$F401^2/3))+SUMPRODUCT($J$5:$K$5,$L401:$M401))/1000</f>
        <v/>
      </c>
      <c r="J401">
        <f>MAX(-fyd_sn,MIN(fyd_sn,200000*0.002*(1-$E401*(7*J$6-3*sn_h)/(4*sn_h))))-fcd_sn*(1-MIN(1,MAX(0,$E401*(7*J$6-3*sn_h)/(4*sn_h)))^2)</f>
        <v/>
      </c>
      <c r="K401">
        <f>MAX(-fyd_sn,MIN(fyd_sn,200000*0.002*(1-$E401*(7*K$6-3*sn_h)/(4*sn_h))))-fcd_sn*(1-MIN(1,MAX(0,$E401*(7*K$6-3*sn_h)/(4*sn_h)))^2)</f>
        <v/>
      </c>
      <c r="L401">
        <f>MAX(-fyd_sn,MIN(fyd_sn,200000*0.002*(1-$F401*(7*J$6-3*sn_h)/(4*sn_h))))-fcd_sn*(1-MIN(1,MAX(0,$F401*(7*J$6-3*sn_h)/(4*sn_h)))^2)</f>
        <v/>
      </c>
      <c r="M401">
        <f>MAX(-fyd_sn,MIN(fyd_sn,200000*0.002*(1-$F401*(7*K$6-3*sn_h)/(4*sn_h))))-fcd_sn*(1-MIN(1,MAX(0,$F401*(7*K$6-3*sn_h)/(4*sn_h)))^2)</f>
        <v/>
      </c>
    </row>
    <row r="402">
      <c r="B402" s="55" t="n">
        <v>16</v>
      </c>
      <c r="C402" s="56">
        <f>IF($G401&gt;=$H401,$C401,$E401)</f>
        <v/>
      </c>
      <c r="D402" s="56">
        <f>IF($G401&gt;=$H401,$F401,$D401)</f>
        <v/>
      </c>
      <c r="E402" s="56">
        <f>$D402-((SQRT(5)-1)/2)*($D402-$C402)</f>
        <v/>
      </c>
      <c r="F402" s="56">
        <f>$C402+((SQRT(5)-1)/2)*($D402-$C402)</f>
        <v/>
      </c>
      <c r="G402" s="60">
        <f>(fcd_sn*sn_b*sn_h*(3/7+4/7*(1-$E402^2/3))+SUMPRODUCT($J$5:$K$5,$J402:$K402))/1000</f>
        <v/>
      </c>
      <c r="H402" s="60">
        <f>(fcd_sn*sn_b*sn_h*(3/7+4/7*(1-$F402^2/3))+SUMPRODUCT($J$5:$K$5,$L402:$M402))/1000</f>
        <v/>
      </c>
      <c r="J402">
        <f>MAX(-fyd_sn,MIN(fyd_sn,200000*0.002*(1-$E402*(7*J$6-3*sn_h)/(4*sn_h))))-fcd_sn*(1-MIN(1,MAX(0,$E402*(7*J$6-3*sn_h)/(4*sn_h)))^2)</f>
        <v/>
      </c>
      <c r="K402">
        <f>MAX(-fyd_sn,MIN(fyd_sn,200000*0.002*(1-$E402*(7*K$6-3*sn_h)/(4*sn_h))))-fcd_sn*(1-MIN(1,MAX(0,$E402*(7*K$6-3*sn_h)/(4*sn_h)))^2)</f>
        <v/>
      </c>
      <c r="L402">
        <f>MAX(-fyd_sn,MIN(fyd_sn,200000*0.002*(1-$F402*(7*J$6-3*sn_h)/(4*sn_h))))-fcd_sn*(1-MIN(1,MAX(0,$F402*(7*J$6-3*sn_h)/(4*sn_h)))^2)</f>
        <v/>
      </c>
      <c r="M402">
        <f>MAX(-fyd_sn,MIN(fyd_sn,200000*0.002*(1-$F402*(7*K$6-3*sn_h)/(4*sn_h))))-fcd_sn*(1-MIN(1,MAX(0,$F402*(7*K$6-3*sn_h)/(4*sn_h)))^2)</f>
        <v/>
      </c>
    </row>
    <row r="403">
      <c r="B403" s="55" t="n">
        <v>17</v>
      </c>
      <c r="C403" s="56">
        <f>IF($G402&gt;=$H402,$C402,$E402)</f>
        <v/>
      </c>
      <c r="D403" s="56">
        <f>IF($G402&gt;=$H402,$F402,$D402)</f>
        <v/>
      </c>
      <c r="E403" s="56">
        <f>$D403-((SQRT(5)-1)/2)*($D403-$C403)</f>
        <v/>
      </c>
      <c r="F403" s="56">
        <f>$C403+((SQRT(5)-1)/2)*($D403-$C403)</f>
        <v/>
      </c>
      <c r="G403" s="60">
        <f>(fcd_sn*sn_b*sn_h*(3/7+4/7*(1-$E403^2/3))+SUMPRODUCT($J$5:$K$5,$J403:$K403))/1000</f>
        <v/>
      </c>
      <c r="H403" s="60">
        <f>(fcd_sn*sn_b*sn_h*(3/7+4/7*(1-$F403^2/3))+SUMPRODUCT($J$5:$K$5,$L403:$M403))/1000</f>
        <v/>
      </c>
      <c r="J403">
        <f>MAX(-fyd_sn,MIN(fyd_sn,200000*0.002*(1-$E403*(7*J$6-3*sn_h)/(4*sn_h))))-fcd_sn*(1-MIN(1,MAX(0,$E403*(7*J$6-3*sn_h)/(4*sn_h)))^2)</f>
        <v/>
      </c>
      <c r="K403">
        <f>MAX(-fyd_sn,MIN(fyd_sn,200000*0.002*(1-$E403*(7*K$6-3*sn_h)/(4*sn_h))))-fcd_sn*(1-MIN(1,MAX(0,$E403*(7*K$6-3*sn_h)/(4*sn_h)))^2)</f>
        <v/>
      </c>
      <c r="L403">
        <f>MAX(-fyd_sn,MIN(fyd_sn,200000*0.002*(1-$F403*(7*J$6-3*sn_h)/(4*sn_h))))-fcd_sn*(1-MIN(1,MAX(0,$F403*(7*J$6-3*sn_h)/(4*sn_h)))^2)</f>
        <v/>
      </c>
      <c r="M403">
        <f>MAX(-fyd_sn,MIN(fyd_sn,200000*0.002*(1-$F403*(7*K$6-3*sn_h)/(4*sn_h))))-fcd_sn*(1-MIN(1,MAX(0,$F403*(7*K$6-3*sn_h)/(4*sn_h)))^2)</f>
        <v/>
      </c>
    </row>
    <row r="404">
      <c r="B404" s="55" t="n">
        <v>18</v>
      </c>
      <c r="C404" s="56">
        <f>IF($G403&gt;=$H403,$C403,$E403)</f>
        <v/>
      </c>
      <c r="D404" s="56">
        <f>IF($G403&gt;=$H403,$F403,$D403)</f>
        <v/>
      </c>
      <c r="E404" s="56">
        <f>$D404-((SQRT(5)-1)/2)*($D404-$C404)</f>
        <v/>
      </c>
      <c r="F404" s="56">
        <f>$C404+((SQRT(5)-1)/2)*($D404-$C404)</f>
        <v/>
      </c>
      <c r="G404" s="60">
        <f>(fcd_sn*sn_b*sn_h*(3/7+4/7*(1-$E404^2/3))+SUMPRODUCT($J$5:$K$5,$J404:$K404))/1000</f>
        <v/>
      </c>
      <c r="H404" s="60">
        <f>(fcd_sn*sn_b*sn_h*(3/7+4/7*(1-$F404^2/3))+SUMPRODUCT($J$5:$K$5,$L404:$M404))/1000</f>
        <v/>
      </c>
      <c r="J404">
        <f>MAX(-fyd_sn,MIN(fyd_sn,200000*0.002*(1-$E404*(7*J$6-3*sn_h)/(4*sn_h))))-fcd_sn*(1-MIN(1,MAX(0,$E404*(7*J$6-3*sn_h)/(4*sn_h)))^2)</f>
        <v/>
      </c>
      <c r="K404">
        <f>MAX(-fyd_sn,MIN(fyd_sn,200000*0.002*(1-$E404*(7*K$6-3*sn_h)/(4*sn_h))))-fcd_sn*(1-MIN(1,MAX(0,$E404*(7*K$6-3*sn_h)/(4*sn_h)))^2)</f>
        <v/>
      </c>
      <c r="L404">
        <f>MAX(-fyd_sn,MIN(fyd_sn,200000*0.002*(1-$F404*(7*J$6-3*sn_h)/(4*sn_h))))-fcd_sn*(1-MIN(1,MAX(0,$F404*(7*J$6-3*sn_h)/(4*sn_h)))^2)</f>
        <v/>
      </c>
      <c r="M404">
        <f>MAX(-fyd_sn,MIN(fyd_sn,200000*0.002*(1-$F404*(7*K$6-3*sn_h)/(4*sn_h))))-fcd_sn*(1-MIN(1,MAX(0,$F404*(7*K$6-3*sn_h)/(4*sn_h)))^2)</f>
        <v/>
      </c>
    </row>
    <row r="405">
      <c r="B405" s="55" t="n">
        <v>19</v>
      </c>
      <c r="C405" s="56">
        <f>IF($G404&gt;=$H404,$C404,$E404)</f>
        <v/>
      </c>
      <c r="D405" s="56">
        <f>IF($G404&gt;=$H404,$F404,$D404)</f>
        <v/>
      </c>
      <c r="E405" s="56">
        <f>$D405-((SQRT(5)-1)/2)*($D405-$C405)</f>
        <v/>
      </c>
      <c r="F405" s="56">
        <f>$C405+((SQRT(5)-1)/2)*($D405-$C405)</f>
        <v/>
      </c>
      <c r="G405" s="60">
        <f>(fcd_sn*sn_b*sn_h*(3/7+4/7*(1-$E405^2/3))+SUMPRODUCT($J$5:$K$5,$J405:$K405))/1000</f>
        <v/>
      </c>
      <c r="H405" s="60">
        <f>(fcd_sn*sn_b*sn_h*(3/7+4/7*(1-$F405^2/3))+SUMPRODUCT($J$5:$K$5,$L405:$M405))/1000</f>
        <v/>
      </c>
      <c r="J405">
        <f>MAX(-fyd_sn,MIN(fyd_sn,200000*0.002*(1-$E405*(7*J$6-3*sn_h)/(4*sn_h))))-fcd_sn*(1-MIN(1,MAX(0,$E405*(7*J$6-3*sn_h)/(4*sn_h)))^2)</f>
        <v/>
      </c>
      <c r="K405">
        <f>MAX(-fyd_sn,MIN(fyd_sn,200000*0.002*(1-$E405*(7*K$6-3*sn_h)/(4*sn_h))))-fcd_sn*(1-MIN(1,MAX(0,$E405*(7*K$6-3*sn_h)/(4*sn_h)))^2)</f>
        <v/>
      </c>
      <c r="L405">
        <f>MAX(-fyd_sn,MIN(fyd_sn,200000*0.002*(1-$F405*(7*J$6-3*sn_h)/(4*sn_h))))-fcd_sn*(1-MIN(1,MAX(0,$F405*(7*J$6-3*sn_h)/(4*sn_h)))^2)</f>
        <v/>
      </c>
      <c r="M405">
        <f>MAX(-fyd_sn,MIN(fyd_sn,200000*0.002*(1-$F405*(7*K$6-3*sn_h)/(4*sn_h))))-fcd_sn*(1-MIN(1,MAX(0,$F405*(7*K$6-3*sn_h)/(4*sn_h)))^2)</f>
        <v/>
      </c>
    </row>
    <row r="406">
      <c r="B406" s="55" t="n">
        <v>20</v>
      </c>
      <c r="C406" s="56">
        <f>IF($G405&gt;=$H405,$C405,$E405)</f>
        <v/>
      </c>
      <c r="D406" s="56">
        <f>IF($G405&gt;=$H405,$F405,$D405)</f>
        <v/>
      </c>
      <c r="E406" s="56">
        <f>$D406-((SQRT(5)-1)/2)*($D406-$C406)</f>
        <v/>
      </c>
      <c r="F406" s="56">
        <f>$C406+((SQRT(5)-1)/2)*($D406-$C406)</f>
        <v/>
      </c>
      <c r="G406" s="60">
        <f>(fcd_sn*sn_b*sn_h*(3/7+4/7*(1-$E406^2/3))+SUMPRODUCT($J$5:$K$5,$J406:$K406))/1000</f>
        <v/>
      </c>
      <c r="H406" s="60">
        <f>(fcd_sn*sn_b*sn_h*(3/7+4/7*(1-$F406^2/3))+SUMPRODUCT($J$5:$K$5,$L406:$M406))/1000</f>
        <v/>
      </c>
      <c r="J406">
        <f>MAX(-fyd_sn,MIN(fyd_sn,200000*0.002*(1-$E406*(7*J$6-3*sn_h)/(4*sn_h))))-fcd_sn*(1-MIN(1,MAX(0,$E406*(7*J$6-3*sn_h)/(4*sn_h)))^2)</f>
        <v/>
      </c>
      <c r="K406">
        <f>MAX(-fyd_sn,MIN(fyd_sn,200000*0.002*(1-$E406*(7*K$6-3*sn_h)/(4*sn_h))))-fcd_sn*(1-MIN(1,MAX(0,$E406*(7*K$6-3*sn_h)/(4*sn_h)))^2)</f>
        <v/>
      </c>
      <c r="L406">
        <f>MAX(-fyd_sn,MIN(fyd_sn,200000*0.002*(1-$F406*(7*J$6-3*sn_h)/(4*sn_h))))-fcd_sn*(1-MIN(1,MAX(0,$F406*(7*J$6-3*sn_h)/(4*sn_h)))^2)</f>
        <v/>
      </c>
      <c r="M406">
        <f>MAX(-fyd_sn,MIN(fyd_sn,200000*0.002*(1-$F406*(7*K$6-3*sn_h)/(4*sn_h))))-fcd_sn*(1-MIN(1,MAX(0,$F406*(7*K$6-3*sn_h)/(4*sn_h)))^2)</f>
        <v/>
      </c>
    </row>
    <row r="407">
      <c r="B407" s="55" t="n">
        <v>21</v>
      </c>
      <c r="C407" s="56">
        <f>IF($G406&gt;=$H406,$C406,$E406)</f>
        <v/>
      </c>
      <c r="D407" s="56">
        <f>IF($G406&gt;=$H406,$F406,$D406)</f>
        <v/>
      </c>
      <c r="E407" s="56">
        <f>$D407-((SQRT(5)-1)/2)*($D407-$C407)</f>
        <v/>
      </c>
      <c r="F407" s="56">
        <f>$C407+((SQRT(5)-1)/2)*($D407-$C407)</f>
        <v/>
      </c>
      <c r="G407" s="60">
        <f>(fcd_sn*sn_b*sn_h*(3/7+4/7*(1-$E407^2/3))+SUMPRODUCT($J$5:$K$5,$J407:$K407))/1000</f>
        <v/>
      </c>
      <c r="H407" s="60">
        <f>(fcd_sn*sn_b*sn_h*(3/7+4/7*(1-$F407^2/3))+SUMPRODUCT($J$5:$K$5,$L407:$M407))/1000</f>
        <v/>
      </c>
      <c r="J407">
        <f>MAX(-fyd_sn,MIN(fyd_sn,200000*0.002*(1-$E407*(7*J$6-3*sn_h)/(4*sn_h))))-fcd_sn*(1-MIN(1,MAX(0,$E407*(7*J$6-3*sn_h)/(4*sn_h)))^2)</f>
        <v/>
      </c>
      <c r="K407">
        <f>MAX(-fyd_sn,MIN(fyd_sn,200000*0.002*(1-$E407*(7*K$6-3*sn_h)/(4*sn_h))))-fcd_sn*(1-MIN(1,MAX(0,$E407*(7*K$6-3*sn_h)/(4*sn_h)))^2)</f>
        <v/>
      </c>
      <c r="L407">
        <f>MAX(-fyd_sn,MIN(fyd_sn,200000*0.002*(1-$F407*(7*J$6-3*sn_h)/(4*sn_h))))-fcd_sn*(1-MIN(1,MAX(0,$F407*(7*J$6-3*sn_h)/(4*sn_h)))^2)</f>
        <v/>
      </c>
      <c r="M407">
        <f>MAX(-fyd_sn,MIN(fyd_sn,200000*0.002*(1-$F407*(7*K$6-3*sn_h)/(4*sn_h))))-fcd_sn*(1-MIN(1,MAX(0,$F407*(7*K$6-3*sn_h)/(4*sn_h)))^2)</f>
        <v/>
      </c>
    </row>
    <row r="408">
      <c r="B408" s="55" t="n">
        <v>22</v>
      </c>
      <c r="C408" s="56">
        <f>IF($G407&gt;=$H407,$C407,$E407)</f>
        <v/>
      </c>
      <c r="D408" s="56">
        <f>IF($G407&gt;=$H407,$F407,$D407)</f>
        <v/>
      </c>
      <c r="E408" s="56">
        <f>$D408-((SQRT(5)-1)/2)*($D408-$C408)</f>
        <v/>
      </c>
      <c r="F408" s="56">
        <f>$C408+((SQRT(5)-1)/2)*($D408-$C408)</f>
        <v/>
      </c>
      <c r="G408" s="60">
        <f>(fcd_sn*sn_b*sn_h*(3/7+4/7*(1-$E408^2/3))+SUMPRODUCT($J$5:$K$5,$J408:$K408))/1000</f>
        <v/>
      </c>
      <c r="H408" s="60">
        <f>(fcd_sn*sn_b*sn_h*(3/7+4/7*(1-$F408^2/3))+SUMPRODUCT($J$5:$K$5,$L408:$M408))/1000</f>
        <v/>
      </c>
      <c r="J408">
        <f>MAX(-fyd_sn,MIN(fyd_sn,200000*0.002*(1-$E408*(7*J$6-3*sn_h)/(4*sn_h))))-fcd_sn*(1-MIN(1,MAX(0,$E408*(7*J$6-3*sn_h)/(4*sn_h)))^2)</f>
        <v/>
      </c>
      <c r="K408">
        <f>MAX(-fyd_sn,MIN(fyd_sn,200000*0.002*(1-$E408*(7*K$6-3*sn_h)/(4*sn_h))))-fcd_sn*(1-MIN(1,MAX(0,$E408*(7*K$6-3*sn_h)/(4*sn_h)))^2)</f>
        <v/>
      </c>
      <c r="L408">
        <f>MAX(-fyd_sn,MIN(fyd_sn,200000*0.002*(1-$F408*(7*J$6-3*sn_h)/(4*sn_h))))-fcd_sn*(1-MIN(1,MAX(0,$F408*(7*J$6-3*sn_h)/(4*sn_h)))^2)</f>
        <v/>
      </c>
      <c r="M408">
        <f>MAX(-fyd_sn,MIN(fyd_sn,200000*0.002*(1-$F408*(7*K$6-3*sn_h)/(4*sn_h))))-fcd_sn*(1-MIN(1,MAX(0,$F408*(7*K$6-3*sn_h)/(4*sn_h)))^2)</f>
        <v/>
      </c>
    </row>
    <row r="409">
      <c r="B409" s="55" t="n">
        <v>23</v>
      </c>
      <c r="C409" s="56">
        <f>IF($G408&gt;=$H408,$C408,$E408)</f>
        <v/>
      </c>
      <c r="D409" s="56">
        <f>IF($G408&gt;=$H408,$F408,$D408)</f>
        <v/>
      </c>
      <c r="E409" s="56">
        <f>$D409-((SQRT(5)-1)/2)*($D409-$C409)</f>
        <v/>
      </c>
      <c r="F409" s="56">
        <f>$C409+((SQRT(5)-1)/2)*($D409-$C409)</f>
        <v/>
      </c>
      <c r="G409" s="60">
        <f>(fcd_sn*sn_b*sn_h*(3/7+4/7*(1-$E409^2/3))+SUMPRODUCT($J$5:$K$5,$J409:$K409))/1000</f>
        <v/>
      </c>
      <c r="H409" s="60">
        <f>(fcd_sn*sn_b*sn_h*(3/7+4/7*(1-$F409^2/3))+SUMPRODUCT($J$5:$K$5,$L409:$M409))/1000</f>
        <v/>
      </c>
      <c r="J409">
        <f>MAX(-fyd_sn,MIN(fyd_sn,200000*0.002*(1-$E409*(7*J$6-3*sn_h)/(4*sn_h))))-fcd_sn*(1-MIN(1,MAX(0,$E409*(7*J$6-3*sn_h)/(4*sn_h)))^2)</f>
        <v/>
      </c>
      <c r="K409">
        <f>MAX(-fyd_sn,MIN(fyd_sn,200000*0.002*(1-$E409*(7*K$6-3*sn_h)/(4*sn_h))))-fcd_sn*(1-MIN(1,MAX(0,$E409*(7*K$6-3*sn_h)/(4*sn_h)))^2)</f>
        <v/>
      </c>
      <c r="L409">
        <f>MAX(-fyd_sn,MIN(fyd_sn,200000*0.002*(1-$F409*(7*J$6-3*sn_h)/(4*sn_h))))-fcd_sn*(1-MIN(1,MAX(0,$F409*(7*J$6-3*sn_h)/(4*sn_h)))^2)</f>
        <v/>
      </c>
      <c r="M409">
        <f>MAX(-fyd_sn,MIN(fyd_sn,200000*0.002*(1-$F409*(7*K$6-3*sn_h)/(4*sn_h))))-fcd_sn*(1-MIN(1,MAX(0,$F409*(7*K$6-3*sn_h)/(4*sn_h)))^2)</f>
        <v/>
      </c>
    </row>
    <row r="410">
      <c r="B410" s="55" t="n">
        <v>24</v>
      </c>
      <c r="C410" s="56">
        <f>IF($G409&gt;=$H409,$C409,$E409)</f>
        <v/>
      </c>
      <c r="D410" s="56">
        <f>IF($G409&gt;=$H409,$F409,$D409)</f>
        <v/>
      </c>
      <c r="E410" s="56">
        <f>$D410-((SQRT(5)-1)/2)*($D410-$C410)</f>
        <v/>
      </c>
      <c r="F410" s="56">
        <f>$C410+((SQRT(5)-1)/2)*($D410-$C410)</f>
        <v/>
      </c>
      <c r="G410" s="60">
        <f>(fcd_sn*sn_b*sn_h*(3/7+4/7*(1-$E410^2/3))+SUMPRODUCT($J$5:$K$5,$J410:$K410))/1000</f>
        <v/>
      </c>
      <c r="H410" s="60">
        <f>(fcd_sn*sn_b*sn_h*(3/7+4/7*(1-$F410^2/3))+SUMPRODUCT($J$5:$K$5,$L410:$M410))/1000</f>
        <v/>
      </c>
      <c r="J410">
        <f>MAX(-fyd_sn,MIN(fyd_sn,200000*0.002*(1-$E410*(7*J$6-3*sn_h)/(4*sn_h))))-fcd_sn*(1-MIN(1,MAX(0,$E410*(7*J$6-3*sn_h)/(4*sn_h)))^2)</f>
        <v/>
      </c>
      <c r="K410">
        <f>MAX(-fyd_sn,MIN(fyd_sn,200000*0.002*(1-$E410*(7*K$6-3*sn_h)/(4*sn_h))))-fcd_sn*(1-MIN(1,MAX(0,$E410*(7*K$6-3*sn_h)/(4*sn_h)))^2)</f>
        <v/>
      </c>
      <c r="L410">
        <f>MAX(-fyd_sn,MIN(fyd_sn,200000*0.002*(1-$F410*(7*J$6-3*sn_h)/(4*sn_h))))-fcd_sn*(1-MIN(1,MAX(0,$F410*(7*J$6-3*sn_h)/(4*sn_h)))^2)</f>
        <v/>
      </c>
      <c r="M410">
        <f>MAX(-fyd_sn,MIN(fyd_sn,200000*0.002*(1-$F410*(7*K$6-3*sn_h)/(4*sn_h))))-fcd_sn*(1-MIN(1,MAX(0,$F410*(7*K$6-3*sn_h)/(4*sn_h)))^2)</f>
        <v/>
      </c>
    </row>
    <row r="411">
      <c r="B411" s="55" t="n">
        <v>25</v>
      </c>
      <c r="C411" s="56">
        <f>IF($G410&gt;=$H410,$C410,$E410)</f>
        <v/>
      </c>
      <c r="D411" s="56">
        <f>IF($G410&gt;=$H410,$F410,$D410)</f>
        <v/>
      </c>
      <c r="E411" s="56">
        <f>$D411-((SQRT(5)-1)/2)*($D411-$C411)</f>
        <v/>
      </c>
      <c r="F411" s="56">
        <f>$C411+((SQRT(5)-1)/2)*($D411-$C411)</f>
        <v/>
      </c>
      <c r="G411" s="60">
        <f>(fcd_sn*sn_b*sn_h*(3/7+4/7*(1-$E411^2/3))+SUMPRODUCT($J$5:$K$5,$J411:$K411))/1000</f>
        <v/>
      </c>
      <c r="H411" s="60">
        <f>(fcd_sn*sn_b*sn_h*(3/7+4/7*(1-$F411^2/3))+SUMPRODUCT($J$5:$K$5,$L411:$M411))/1000</f>
        <v/>
      </c>
      <c r="J411">
        <f>MAX(-fyd_sn,MIN(fyd_sn,200000*0.002*(1-$E411*(7*J$6-3*sn_h)/(4*sn_h))))-fcd_sn*(1-MIN(1,MAX(0,$E411*(7*J$6-3*sn_h)/(4*sn_h)))^2)</f>
        <v/>
      </c>
      <c r="K411">
        <f>MAX(-fyd_sn,MIN(fyd_sn,200000*0.002*(1-$E411*(7*K$6-3*sn_h)/(4*sn_h))))-fcd_sn*(1-MIN(1,MAX(0,$E411*(7*K$6-3*sn_h)/(4*sn_h)))^2)</f>
        <v/>
      </c>
      <c r="L411">
        <f>MAX(-fyd_sn,MIN(fyd_sn,200000*0.002*(1-$F411*(7*J$6-3*sn_h)/(4*sn_h))))-fcd_sn*(1-MIN(1,MAX(0,$F411*(7*J$6-3*sn_h)/(4*sn_h)))^2)</f>
        <v/>
      </c>
      <c r="M411">
        <f>MAX(-fyd_sn,MIN(fyd_sn,200000*0.002*(1-$F411*(7*K$6-3*sn_h)/(4*sn_h))))-fcd_sn*(1-MIN(1,MAX(0,$F411*(7*K$6-3*sn_h)/(4*sn_h)))^2)</f>
        <v/>
      </c>
    </row>
    <row r="412">
      <c r="B412" s="55" t="n">
        <v>26</v>
      </c>
      <c r="C412" s="56">
        <f>IF($G411&gt;=$H411,$C411,$E411)</f>
        <v/>
      </c>
      <c r="D412" s="56">
        <f>IF($G411&gt;=$H411,$F411,$D411)</f>
        <v/>
      </c>
      <c r="E412" s="56">
        <f>$D412-((SQRT(5)-1)/2)*($D412-$C412)</f>
        <v/>
      </c>
      <c r="F412" s="56">
        <f>$C412+((SQRT(5)-1)/2)*($D412-$C412)</f>
        <v/>
      </c>
      <c r="G412" s="60">
        <f>(fcd_sn*sn_b*sn_h*(3/7+4/7*(1-$E412^2/3))+SUMPRODUCT($J$5:$K$5,$J412:$K412))/1000</f>
        <v/>
      </c>
      <c r="H412" s="60">
        <f>(fcd_sn*sn_b*sn_h*(3/7+4/7*(1-$F412^2/3))+SUMPRODUCT($J$5:$K$5,$L412:$M412))/1000</f>
        <v/>
      </c>
      <c r="J412">
        <f>MAX(-fyd_sn,MIN(fyd_sn,200000*0.002*(1-$E412*(7*J$6-3*sn_h)/(4*sn_h))))-fcd_sn*(1-MIN(1,MAX(0,$E412*(7*J$6-3*sn_h)/(4*sn_h)))^2)</f>
        <v/>
      </c>
      <c r="K412">
        <f>MAX(-fyd_sn,MIN(fyd_sn,200000*0.002*(1-$E412*(7*K$6-3*sn_h)/(4*sn_h))))-fcd_sn*(1-MIN(1,MAX(0,$E412*(7*K$6-3*sn_h)/(4*sn_h)))^2)</f>
        <v/>
      </c>
      <c r="L412">
        <f>MAX(-fyd_sn,MIN(fyd_sn,200000*0.002*(1-$F412*(7*J$6-3*sn_h)/(4*sn_h))))-fcd_sn*(1-MIN(1,MAX(0,$F412*(7*J$6-3*sn_h)/(4*sn_h)))^2)</f>
        <v/>
      </c>
      <c r="M412">
        <f>MAX(-fyd_sn,MIN(fyd_sn,200000*0.002*(1-$F412*(7*K$6-3*sn_h)/(4*sn_h))))-fcd_sn*(1-MIN(1,MAX(0,$F412*(7*K$6-3*sn_h)/(4*sn_h)))^2)</f>
        <v/>
      </c>
    </row>
    <row r="413">
      <c r="B413" s="55" t="n">
        <v>27</v>
      </c>
      <c r="C413" s="56">
        <f>IF($G412&gt;=$H412,$C412,$E412)</f>
        <v/>
      </c>
      <c r="D413" s="56">
        <f>IF($G412&gt;=$H412,$F412,$D412)</f>
        <v/>
      </c>
      <c r="E413" s="56">
        <f>$D413-((SQRT(5)-1)/2)*($D413-$C413)</f>
        <v/>
      </c>
      <c r="F413" s="56">
        <f>$C413+((SQRT(5)-1)/2)*($D413-$C413)</f>
        <v/>
      </c>
      <c r="G413" s="60">
        <f>(fcd_sn*sn_b*sn_h*(3/7+4/7*(1-$E413^2/3))+SUMPRODUCT($J$5:$K$5,$J413:$K413))/1000</f>
        <v/>
      </c>
      <c r="H413" s="60">
        <f>(fcd_sn*sn_b*sn_h*(3/7+4/7*(1-$F413^2/3))+SUMPRODUCT($J$5:$K$5,$L413:$M413))/1000</f>
        <v/>
      </c>
      <c r="J413">
        <f>MAX(-fyd_sn,MIN(fyd_sn,200000*0.002*(1-$E413*(7*J$6-3*sn_h)/(4*sn_h))))-fcd_sn*(1-MIN(1,MAX(0,$E413*(7*J$6-3*sn_h)/(4*sn_h)))^2)</f>
        <v/>
      </c>
      <c r="K413">
        <f>MAX(-fyd_sn,MIN(fyd_sn,200000*0.002*(1-$E413*(7*K$6-3*sn_h)/(4*sn_h))))-fcd_sn*(1-MIN(1,MAX(0,$E413*(7*K$6-3*sn_h)/(4*sn_h)))^2)</f>
        <v/>
      </c>
      <c r="L413">
        <f>MAX(-fyd_sn,MIN(fyd_sn,200000*0.002*(1-$F413*(7*J$6-3*sn_h)/(4*sn_h))))-fcd_sn*(1-MIN(1,MAX(0,$F413*(7*J$6-3*sn_h)/(4*sn_h)))^2)</f>
        <v/>
      </c>
      <c r="M413">
        <f>MAX(-fyd_sn,MIN(fyd_sn,200000*0.002*(1-$F413*(7*K$6-3*sn_h)/(4*sn_h))))-fcd_sn*(1-MIN(1,MAX(0,$F413*(7*K$6-3*sn_h)/(4*sn_h)))^2)</f>
        <v/>
      </c>
    </row>
    <row r="414">
      <c r="B414" s="55" t="n">
        <v>28</v>
      </c>
      <c r="C414" s="56">
        <f>IF($G413&gt;=$H413,$C413,$E413)</f>
        <v/>
      </c>
      <c r="D414" s="56">
        <f>IF($G413&gt;=$H413,$F413,$D413)</f>
        <v/>
      </c>
      <c r="E414" s="56">
        <f>$D414-((SQRT(5)-1)/2)*($D414-$C414)</f>
        <v/>
      </c>
      <c r="F414" s="56">
        <f>$C414+((SQRT(5)-1)/2)*($D414-$C414)</f>
        <v/>
      </c>
      <c r="G414" s="60">
        <f>(fcd_sn*sn_b*sn_h*(3/7+4/7*(1-$E414^2/3))+SUMPRODUCT($J$5:$K$5,$J414:$K414))/1000</f>
        <v/>
      </c>
      <c r="H414" s="60">
        <f>(fcd_sn*sn_b*sn_h*(3/7+4/7*(1-$F414^2/3))+SUMPRODUCT($J$5:$K$5,$L414:$M414))/1000</f>
        <v/>
      </c>
      <c r="J414">
        <f>MAX(-fyd_sn,MIN(fyd_sn,200000*0.002*(1-$E414*(7*J$6-3*sn_h)/(4*sn_h))))-fcd_sn*(1-MIN(1,MAX(0,$E414*(7*J$6-3*sn_h)/(4*sn_h)))^2)</f>
        <v/>
      </c>
      <c r="K414">
        <f>MAX(-fyd_sn,MIN(fyd_sn,200000*0.002*(1-$E414*(7*K$6-3*sn_h)/(4*sn_h))))-fcd_sn*(1-MIN(1,MAX(0,$E414*(7*K$6-3*sn_h)/(4*sn_h)))^2)</f>
        <v/>
      </c>
      <c r="L414">
        <f>MAX(-fyd_sn,MIN(fyd_sn,200000*0.002*(1-$F414*(7*J$6-3*sn_h)/(4*sn_h))))-fcd_sn*(1-MIN(1,MAX(0,$F414*(7*J$6-3*sn_h)/(4*sn_h)))^2)</f>
        <v/>
      </c>
      <c r="M414">
        <f>MAX(-fyd_sn,MIN(fyd_sn,200000*0.002*(1-$F414*(7*K$6-3*sn_h)/(4*sn_h))))-fcd_sn*(1-MIN(1,MAX(0,$F414*(7*K$6-3*sn_h)/(4*sn_h)))^2)</f>
        <v/>
      </c>
    </row>
    <row r="415">
      <c r="B415" s="55" t="n">
        <v>29</v>
      </c>
      <c r="C415" s="56">
        <f>IF($G414&gt;=$H414,$C414,$E414)</f>
        <v/>
      </c>
      <c r="D415" s="56">
        <f>IF($G414&gt;=$H414,$F414,$D414)</f>
        <v/>
      </c>
      <c r="E415" s="56">
        <f>$D415-((SQRT(5)-1)/2)*($D415-$C415)</f>
        <v/>
      </c>
      <c r="F415" s="56">
        <f>$C415+((SQRT(5)-1)/2)*($D415-$C415)</f>
        <v/>
      </c>
      <c r="G415" s="60">
        <f>(fcd_sn*sn_b*sn_h*(3/7+4/7*(1-$E415^2/3))+SUMPRODUCT($J$5:$K$5,$J415:$K415))/1000</f>
        <v/>
      </c>
      <c r="H415" s="60">
        <f>(fcd_sn*sn_b*sn_h*(3/7+4/7*(1-$F415^2/3))+SUMPRODUCT($J$5:$K$5,$L415:$M415))/1000</f>
        <v/>
      </c>
      <c r="J415">
        <f>MAX(-fyd_sn,MIN(fyd_sn,200000*0.002*(1-$E415*(7*J$6-3*sn_h)/(4*sn_h))))-fcd_sn*(1-MIN(1,MAX(0,$E415*(7*J$6-3*sn_h)/(4*sn_h)))^2)</f>
        <v/>
      </c>
      <c r="K415">
        <f>MAX(-fyd_sn,MIN(fyd_sn,200000*0.002*(1-$E415*(7*K$6-3*sn_h)/(4*sn_h))))-fcd_sn*(1-MIN(1,MAX(0,$E415*(7*K$6-3*sn_h)/(4*sn_h)))^2)</f>
        <v/>
      </c>
      <c r="L415">
        <f>MAX(-fyd_sn,MIN(fyd_sn,200000*0.002*(1-$F415*(7*J$6-3*sn_h)/(4*sn_h))))-fcd_sn*(1-MIN(1,MAX(0,$F415*(7*J$6-3*sn_h)/(4*sn_h)))^2)</f>
        <v/>
      </c>
      <c r="M415">
        <f>MAX(-fyd_sn,MIN(fyd_sn,200000*0.002*(1-$F415*(7*K$6-3*sn_h)/(4*sn_h))))-fcd_sn*(1-MIN(1,MAX(0,$F415*(7*K$6-3*sn_h)/(4*sn_h)))^2)</f>
        <v/>
      </c>
    </row>
    <row r="416">
      <c r="B416" s="55" t="n">
        <v>30</v>
      </c>
      <c r="C416" s="56">
        <f>IF($G415&gt;=$H415,$C415,$E415)</f>
        <v/>
      </c>
      <c r="D416" s="56">
        <f>IF($G415&gt;=$H415,$F415,$D415)</f>
        <v/>
      </c>
      <c r="E416" s="56">
        <f>$D416-((SQRT(5)-1)/2)*($D416-$C416)</f>
        <v/>
      </c>
      <c r="F416" s="56">
        <f>$C416+((SQRT(5)-1)/2)*($D416-$C416)</f>
        <v/>
      </c>
      <c r="G416" s="60">
        <f>(fcd_sn*sn_b*sn_h*(3/7+4/7*(1-$E416^2/3))+SUMPRODUCT($J$5:$K$5,$J416:$K416))/1000</f>
        <v/>
      </c>
      <c r="H416" s="60">
        <f>(fcd_sn*sn_b*sn_h*(3/7+4/7*(1-$F416^2/3))+SUMPRODUCT($J$5:$K$5,$L416:$M416))/1000</f>
        <v/>
      </c>
      <c r="J416">
        <f>MAX(-fyd_sn,MIN(fyd_sn,200000*0.002*(1-$E416*(7*J$6-3*sn_h)/(4*sn_h))))-fcd_sn*(1-MIN(1,MAX(0,$E416*(7*J$6-3*sn_h)/(4*sn_h)))^2)</f>
        <v/>
      </c>
      <c r="K416">
        <f>MAX(-fyd_sn,MIN(fyd_sn,200000*0.002*(1-$E416*(7*K$6-3*sn_h)/(4*sn_h))))-fcd_sn*(1-MIN(1,MAX(0,$E416*(7*K$6-3*sn_h)/(4*sn_h)))^2)</f>
        <v/>
      </c>
      <c r="L416">
        <f>MAX(-fyd_sn,MIN(fyd_sn,200000*0.002*(1-$F416*(7*J$6-3*sn_h)/(4*sn_h))))-fcd_sn*(1-MIN(1,MAX(0,$F416*(7*J$6-3*sn_h)/(4*sn_h)))^2)</f>
        <v/>
      </c>
      <c r="M416">
        <f>MAX(-fyd_sn,MIN(fyd_sn,200000*0.002*(1-$F416*(7*K$6-3*sn_h)/(4*sn_h))))-fcd_sn*(1-MIN(1,MAX(0,$F416*(7*K$6-3*sn_h)/(4*sn_h)))^2)</f>
        <v/>
      </c>
    </row>
    <row r="417">
      <c r="B417" s="55" t="n">
        <v>31</v>
      </c>
      <c r="C417" s="56">
        <f>IF($G416&gt;=$H416,$C416,$E416)</f>
        <v/>
      </c>
      <c r="D417" s="56">
        <f>IF($G416&gt;=$H416,$F416,$D416)</f>
        <v/>
      </c>
      <c r="E417" s="56">
        <f>$D417-((SQRT(5)-1)/2)*($D417-$C417)</f>
        <v/>
      </c>
      <c r="F417" s="56">
        <f>$C417+((SQRT(5)-1)/2)*($D417-$C417)</f>
        <v/>
      </c>
      <c r="G417" s="60">
        <f>(fcd_sn*sn_b*sn_h*(3/7+4/7*(1-$E417^2/3))+SUMPRODUCT($J$5:$K$5,$J417:$K417))/1000</f>
        <v/>
      </c>
      <c r="H417" s="60">
        <f>(fcd_sn*sn_b*sn_h*(3/7+4/7*(1-$F417^2/3))+SUMPRODUCT($J$5:$K$5,$L417:$M417))/1000</f>
        <v/>
      </c>
      <c r="J417">
        <f>MAX(-fyd_sn,MIN(fyd_sn,200000*0.002*(1-$E417*(7*J$6-3*sn_h)/(4*sn_h))))-fcd_sn*(1-MIN(1,MAX(0,$E417*(7*J$6-3*sn_h)/(4*sn_h)))^2)</f>
        <v/>
      </c>
      <c r="K417">
        <f>MAX(-fyd_sn,MIN(fyd_sn,200000*0.002*(1-$E417*(7*K$6-3*sn_h)/(4*sn_h))))-fcd_sn*(1-MIN(1,MAX(0,$E417*(7*K$6-3*sn_h)/(4*sn_h)))^2)</f>
        <v/>
      </c>
      <c r="L417">
        <f>MAX(-fyd_sn,MIN(fyd_sn,200000*0.002*(1-$F417*(7*J$6-3*sn_h)/(4*sn_h))))-fcd_sn*(1-MIN(1,MAX(0,$F417*(7*J$6-3*sn_h)/(4*sn_h)))^2)</f>
        <v/>
      </c>
      <c r="M417">
        <f>MAX(-fyd_sn,MIN(fyd_sn,200000*0.002*(1-$F417*(7*K$6-3*sn_h)/(4*sn_h))))-fcd_sn*(1-MIN(1,MAX(0,$F417*(7*K$6-3*sn_h)/(4*sn_h)))^2)</f>
        <v/>
      </c>
    </row>
    <row r="418">
      <c r="B418" s="55" t="n">
        <v>32</v>
      </c>
      <c r="C418" s="56">
        <f>IF($G417&gt;=$H417,$C417,$E417)</f>
        <v/>
      </c>
      <c r="D418" s="56">
        <f>IF($G417&gt;=$H417,$F417,$D417)</f>
        <v/>
      </c>
      <c r="E418" s="56">
        <f>$D418-((SQRT(5)-1)/2)*($D418-$C418)</f>
        <v/>
      </c>
      <c r="F418" s="56">
        <f>$C418+((SQRT(5)-1)/2)*($D418-$C418)</f>
        <v/>
      </c>
      <c r="G418" s="60">
        <f>(fcd_sn*sn_b*sn_h*(3/7+4/7*(1-$E418^2/3))+SUMPRODUCT($J$5:$K$5,$J418:$K418))/1000</f>
        <v/>
      </c>
      <c r="H418" s="60">
        <f>(fcd_sn*sn_b*sn_h*(3/7+4/7*(1-$F418^2/3))+SUMPRODUCT($J$5:$K$5,$L418:$M418))/1000</f>
        <v/>
      </c>
      <c r="J418">
        <f>MAX(-fyd_sn,MIN(fyd_sn,200000*0.002*(1-$E418*(7*J$6-3*sn_h)/(4*sn_h))))-fcd_sn*(1-MIN(1,MAX(0,$E418*(7*J$6-3*sn_h)/(4*sn_h)))^2)</f>
        <v/>
      </c>
      <c r="K418">
        <f>MAX(-fyd_sn,MIN(fyd_sn,200000*0.002*(1-$E418*(7*K$6-3*sn_h)/(4*sn_h))))-fcd_sn*(1-MIN(1,MAX(0,$E418*(7*K$6-3*sn_h)/(4*sn_h)))^2)</f>
        <v/>
      </c>
      <c r="L418">
        <f>MAX(-fyd_sn,MIN(fyd_sn,200000*0.002*(1-$F418*(7*J$6-3*sn_h)/(4*sn_h))))-fcd_sn*(1-MIN(1,MAX(0,$F418*(7*J$6-3*sn_h)/(4*sn_h)))^2)</f>
        <v/>
      </c>
      <c r="M418">
        <f>MAX(-fyd_sn,MIN(fyd_sn,200000*0.002*(1-$F418*(7*K$6-3*sn_h)/(4*sn_h))))-fcd_sn*(1-MIN(1,MAX(0,$F418*(7*K$6-3*sn_h)/(4*sn_h)))^2)</f>
        <v/>
      </c>
    </row>
    <row r="419">
      <c r="B419" s="55" t="n">
        <v>33</v>
      </c>
      <c r="C419" s="56">
        <f>IF($G418&gt;=$H418,$C418,$E418)</f>
        <v/>
      </c>
      <c r="D419" s="56">
        <f>IF($G418&gt;=$H418,$F418,$D418)</f>
        <v/>
      </c>
      <c r="E419" s="56">
        <f>$D419-((SQRT(5)-1)/2)*($D419-$C419)</f>
        <v/>
      </c>
      <c r="F419" s="56">
        <f>$C419+((SQRT(5)-1)/2)*($D419-$C419)</f>
        <v/>
      </c>
      <c r="G419" s="60">
        <f>(fcd_sn*sn_b*sn_h*(3/7+4/7*(1-$E419^2/3))+SUMPRODUCT($J$5:$K$5,$J419:$K419))/1000</f>
        <v/>
      </c>
      <c r="H419" s="60">
        <f>(fcd_sn*sn_b*sn_h*(3/7+4/7*(1-$F419^2/3))+SUMPRODUCT($J$5:$K$5,$L419:$M419))/1000</f>
        <v/>
      </c>
      <c r="J419">
        <f>MAX(-fyd_sn,MIN(fyd_sn,200000*0.002*(1-$E419*(7*J$6-3*sn_h)/(4*sn_h))))-fcd_sn*(1-MIN(1,MAX(0,$E419*(7*J$6-3*sn_h)/(4*sn_h)))^2)</f>
        <v/>
      </c>
      <c r="K419">
        <f>MAX(-fyd_sn,MIN(fyd_sn,200000*0.002*(1-$E419*(7*K$6-3*sn_h)/(4*sn_h))))-fcd_sn*(1-MIN(1,MAX(0,$E419*(7*K$6-3*sn_h)/(4*sn_h)))^2)</f>
        <v/>
      </c>
      <c r="L419">
        <f>MAX(-fyd_sn,MIN(fyd_sn,200000*0.002*(1-$F419*(7*J$6-3*sn_h)/(4*sn_h))))-fcd_sn*(1-MIN(1,MAX(0,$F419*(7*J$6-3*sn_h)/(4*sn_h)))^2)</f>
        <v/>
      </c>
      <c r="M419">
        <f>MAX(-fyd_sn,MIN(fyd_sn,200000*0.002*(1-$F419*(7*K$6-3*sn_h)/(4*sn_h))))-fcd_sn*(1-MIN(1,MAX(0,$F419*(7*K$6-3*sn_h)/(4*sn_h)))^2)</f>
        <v/>
      </c>
    </row>
    <row r="420">
      <c r="B420" s="55" t="n">
        <v>34</v>
      </c>
      <c r="C420" s="56">
        <f>IF($G419&gt;=$H419,$C419,$E419)</f>
        <v/>
      </c>
      <c r="D420" s="56">
        <f>IF($G419&gt;=$H419,$F419,$D419)</f>
        <v/>
      </c>
      <c r="E420" s="56">
        <f>$D420-((SQRT(5)-1)/2)*($D420-$C420)</f>
        <v/>
      </c>
      <c r="F420" s="56">
        <f>$C420+((SQRT(5)-1)/2)*($D420-$C420)</f>
        <v/>
      </c>
      <c r="G420" s="60">
        <f>(fcd_sn*sn_b*sn_h*(3/7+4/7*(1-$E420^2/3))+SUMPRODUCT($J$5:$K$5,$J420:$K420))/1000</f>
        <v/>
      </c>
      <c r="H420" s="60">
        <f>(fcd_sn*sn_b*sn_h*(3/7+4/7*(1-$F420^2/3))+SUMPRODUCT($J$5:$K$5,$L420:$M420))/1000</f>
        <v/>
      </c>
      <c r="J420">
        <f>MAX(-fyd_sn,MIN(fyd_sn,200000*0.002*(1-$E420*(7*J$6-3*sn_h)/(4*sn_h))))-fcd_sn*(1-MIN(1,MAX(0,$E420*(7*J$6-3*sn_h)/(4*sn_h)))^2)</f>
        <v/>
      </c>
      <c r="K420">
        <f>MAX(-fyd_sn,MIN(fyd_sn,200000*0.002*(1-$E420*(7*K$6-3*sn_h)/(4*sn_h))))-fcd_sn*(1-MIN(1,MAX(0,$E420*(7*K$6-3*sn_h)/(4*sn_h)))^2)</f>
        <v/>
      </c>
      <c r="L420">
        <f>MAX(-fyd_sn,MIN(fyd_sn,200000*0.002*(1-$F420*(7*J$6-3*sn_h)/(4*sn_h))))-fcd_sn*(1-MIN(1,MAX(0,$F420*(7*J$6-3*sn_h)/(4*sn_h)))^2)</f>
        <v/>
      </c>
      <c r="M420">
        <f>MAX(-fyd_sn,MIN(fyd_sn,200000*0.002*(1-$F420*(7*K$6-3*sn_h)/(4*sn_h))))-fcd_sn*(1-MIN(1,MAX(0,$F420*(7*K$6-3*sn_h)/(4*sn_h)))^2)</f>
        <v/>
      </c>
    </row>
    <row r="421">
      <c r="B421" s="55" t="n">
        <v>35</v>
      </c>
      <c r="C421" s="56">
        <f>IF($G420&gt;=$H420,$C420,$E420)</f>
        <v/>
      </c>
      <c r="D421" s="56">
        <f>IF($G420&gt;=$H420,$F420,$D420)</f>
        <v/>
      </c>
      <c r="E421" s="56">
        <f>$D421-((SQRT(5)-1)/2)*($D421-$C421)</f>
        <v/>
      </c>
      <c r="F421" s="56">
        <f>$C421+((SQRT(5)-1)/2)*($D421-$C421)</f>
        <v/>
      </c>
      <c r="G421" s="60">
        <f>(fcd_sn*sn_b*sn_h*(3/7+4/7*(1-$E421^2/3))+SUMPRODUCT($J$5:$K$5,$J421:$K421))/1000</f>
        <v/>
      </c>
      <c r="H421" s="60">
        <f>(fcd_sn*sn_b*sn_h*(3/7+4/7*(1-$F421^2/3))+SUMPRODUCT($J$5:$K$5,$L421:$M421))/1000</f>
        <v/>
      </c>
      <c r="J421">
        <f>MAX(-fyd_sn,MIN(fyd_sn,200000*0.002*(1-$E421*(7*J$6-3*sn_h)/(4*sn_h))))-fcd_sn*(1-MIN(1,MAX(0,$E421*(7*J$6-3*sn_h)/(4*sn_h)))^2)</f>
        <v/>
      </c>
      <c r="K421">
        <f>MAX(-fyd_sn,MIN(fyd_sn,200000*0.002*(1-$E421*(7*K$6-3*sn_h)/(4*sn_h))))-fcd_sn*(1-MIN(1,MAX(0,$E421*(7*K$6-3*sn_h)/(4*sn_h)))^2)</f>
        <v/>
      </c>
      <c r="L421">
        <f>MAX(-fyd_sn,MIN(fyd_sn,200000*0.002*(1-$F421*(7*J$6-3*sn_h)/(4*sn_h))))-fcd_sn*(1-MIN(1,MAX(0,$F421*(7*J$6-3*sn_h)/(4*sn_h)))^2)</f>
        <v/>
      </c>
      <c r="M421">
        <f>MAX(-fyd_sn,MIN(fyd_sn,200000*0.002*(1-$F421*(7*K$6-3*sn_h)/(4*sn_h))))-fcd_sn*(1-MIN(1,MAX(0,$F421*(7*K$6-3*sn_h)/(4*sn_h)))^2)</f>
        <v/>
      </c>
    </row>
    <row r="422">
      <c r="B422" s="55" t="n">
        <v>36</v>
      </c>
      <c r="C422" s="56">
        <f>IF($G421&gt;=$H421,$C421,$E421)</f>
        <v/>
      </c>
      <c r="D422" s="56">
        <f>IF($G421&gt;=$H421,$F421,$D421)</f>
        <v/>
      </c>
      <c r="E422" s="56">
        <f>$D422-((SQRT(5)-1)/2)*($D422-$C422)</f>
        <v/>
      </c>
      <c r="F422" s="56">
        <f>$C422+((SQRT(5)-1)/2)*($D422-$C422)</f>
        <v/>
      </c>
      <c r="G422" s="60">
        <f>(fcd_sn*sn_b*sn_h*(3/7+4/7*(1-$E422^2/3))+SUMPRODUCT($J$5:$K$5,$J422:$K422))/1000</f>
        <v/>
      </c>
      <c r="H422" s="60">
        <f>(fcd_sn*sn_b*sn_h*(3/7+4/7*(1-$F422^2/3))+SUMPRODUCT($J$5:$K$5,$L422:$M422))/1000</f>
        <v/>
      </c>
      <c r="J422">
        <f>MAX(-fyd_sn,MIN(fyd_sn,200000*0.002*(1-$E422*(7*J$6-3*sn_h)/(4*sn_h))))-fcd_sn*(1-MIN(1,MAX(0,$E422*(7*J$6-3*sn_h)/(4*sn_h)))^2)</f>
        <v/>
      </c>
      <c r="K422">
        <f>MAX(-fyd_sn,MIN(fyd_sn,200000*0.002*(1-$E422*(7*K$6-3*sn_h)/(4*sn_h))))-fcd_sn*(1-MIN(1,MAX(0,$E422*(7*K$6-3*sn_h)/(4*sn_h)))^2)</f>
        <v/>
      </c>
      <c r="L422">
        <f>MAX(-fyd_sn,MIN(fyd_sn,200000*0.002*(1-$F422*(7*J$6-3*sn_h)/(4*sn_h))))-fcd_sn*(1-MIN(1,MAX(0,$F422*(7*J$6-3*sn_h)/(4*sn_h)))^2)</f>
        <v/>
      </c>
      <c r="M422">
        <f>MAX(-fyd_sn,MIN(fyd_sn,200000*0.002*(1-$F422*(7*K$6-3*sn_h)/(4*sn_h))))-fcd_sn*(1-MIN(1,MAX(0,$F422*(7*K$6-3*sn_h)/(4*sn_h)))^2)</f>
        <v/>
      </c>
    </row>
    <row r="423">
      <c r="B423" s="55" t="n">
        <v>37</v>
      </c>
      <c r="C423" s="56">
        <f>IF($G422&gt;=$H422,$C422,$E422)</f>
        <v/>
      </c>
      <c r="D423" s="56">
        <f>IF($G422&gt;=$H422,$F422,$D422)</f>
        <v/>
      </c>
      <c r="E423" s="56">
        <f>$D423-((SQRT(5)-1)/2)*($D423-$C423)</f>
        <v/>
      </c>
      <c r="F423" s="56">
        <f>$C423+((SQRT(5)-1)/2)*($D423-$C423)</f>
        <v/>
      </c>
      <c r="G423" s="60">
        <f>(fcd_sn*sn_b*sn_h*(3/7+4/7*(1-$E423^2/3))+SUMPRODUCT($J$5:$K$5,$J423:$K423))/1000</f>
        <v/>
      </c>
      <c r="H423" s="60">
        <f>(fcd_sn*sn_b*sn_h*(3/7+4/7*(1-$F423^2/3))+SUMPRODUCT($J$5:$K$5,$L423:$M423))/1000</f>
        <v/>
      </c>
      <c r="J423">
        <f>MAX(-fyd_sn,MIN(fyd_sn,200000*0.002*(1-$E423*(7*J$6-3*sn_h)/(4*sn_h))))-fcd_sn*(1-MIN(1,MAX(0,$E423*(7*J$6-3*sn_h)/(4*sn_h)))^2)</f>
        <v/>
      </c>
      <c r="K423">
        <f>MAX(-fyd_sn,MIN(fyd_sn,200000*0.002*(1-$E423*(7*K$6-3*sn_h)/(4*sn_h))))-fcd_sn*(1-MIN(1,MAX(0,$E423*(7*K$6-3*sn_h)/(4*sn_h)))^2)</f>
        <v/>
      </c>
      <c r="L423">
        <f>MAX(-fyd_sn,MIN(fyd_sn,200000*0.002*(1-$F423*(7*J$6-3*sn_h)/(4*sn_h))))-fcd_sn*(1-MIN(1,MAX(0,$F423*(7*J$6-3*sn_h)/(4*sn_h)))^2)</f>
        <v/>
      </c>
      <c r="M423">
        <f>MAX(-fyd_sn,MIN(fyd_sn,200000*0.002*(1-$F423*(7*K$6-3*sn_h)/(4*sn_h))))-fcd_sn*(1-MIN(1,MAX(0,$F423*(7*K$6-3*sn_h)/(4*sn_h)))^2)</f>
        <v/>
      </c>
    </row>
    <row r="424">
      <c r="B424" s="55" t="n">
        <v>38</v>
      </c>
      <c r="C424" s="56">
        <f>IF($G423&gt;=$H423,$C423,$E423)</f>
        <v/>
      </c>
      <c r="D424" s="56">
        <f>IF($G423&gt;=$H423,$F423,$D423)</f>
        <v/>
      </c>
      <c r="E424" s="56">
        <f>$D424-((SQRT(5)-1)/2)*($D424-$C424)</f>
        <v/>
      </c>
      <c r="F424" s="56">
        <f>$C424+((SQRT(5)-1)/2)*($D424-$C424)</f>
        <v/>
      </c>
      <c r="G424" s="60">
        <f>(fcd_sn*sn_b*sn_h*(3/7+4/7*(1-$E424^2/3))+SUMPRODUCT($J$5:$K$5,$J424:$K424))/1000</f>
        <v/>
      </c>
      <c r="H424" s="60">
        <f>(fcd_sn*sn_b*sn_h*(3/7+4/7*(1-$F424^2/3))+SUMPRODUCT($J$5:$K$5,$L424:$M424))/1000</f>
        <v/>
      </c>
      <c r="J424">
        <f>MAX(-fyd_sn,MIN(fyd_sn,200000*0.002*(1-$E424*(7*J$6-3*sn_h)/(4*sn_h))))-fcd_sn*(1-MIN(1,MAX(0,$E424*(7*J$6-3*sn_h)/(4*sn_h)))^2)</f>
        <v/>
      </c>
      <c r="K424">
        <f>MAX(-fyd_sn,MIN(fyd_sn,200000*0.002*(1-$E424*(7*K$6-3*sn_h)/(4*sn_h))))-fcd_sn*(1-MIN(1,MAX(0,$E424*(7*K$6-3*sn_h)/(4*sn_h)))^2)</f>
        <v/>
      </c>
      <c r="L424">
        <f>MAX(-fyd_sn,MIN(fyd_sn,200000*0.002*(1-$F424*(7*J$6-3*sn_h)/(4*sn_h))))-fcd_sn*(1-MIN(1,MAX(0,$F424*(7*J$6-3*sn_h)/(4*sn_h)))^2)</f>
        <v/>
      </c>
      <c r="M424">
        <f>MAX(-fyd_sn,MIN(fyd_sn,200000*0.002*(1-$F424*(7*K$6-3*sn_h)/(4*sn_h))))-fcd_sn*(1-MIN(1,MAX(0,$F424*(7*K$6-3*sn_h)/(4*sn_h)))^2)</f>
        <v/>
      </c>
    </row>
    <row r="425">
      <c r="B425" s="55" t="n">
        <v>39</v>
      </c>
      <c r="C425" s="56">
        <f>IF($G424&gt;=$H424,$C424,$E424)</f>
        <v/>
      </c>
      <c r="D425" s="56">
        <f>IF($G424&gt;=$H424,$F424,$D424)</f>
        <v/>
      </c>
      <c r="E425" s="56">
        <f>$D425-((SQRT(5)-1)/2)*($D425-$C425)</f>
        <v/>
      </c>
      <c r="F425" s="56">
        <f>$C425+((SQRT(5)-1)/2)*($D425-$C425)</f>
        <v/>
      </c>
      <c r="G425" s="60">
        <f>(fcd_sn*sn_b*sn_h*(3/7+4/7*(1-$E425^2/3))+SUMPRODUCT($J$5:$K$5,$J425:$K425))/1000</f>
        <v/>
      </c>
      <c r="H425" s="60">
        <f>(fcd_sn*sn_b*sn_h*(3/7+4/7*(1-$F425^2/3))+SUMPRODUCT($J$5:$K$5,$L425:$M425))/1000</f>
        <v/>
      </c>
      <c r="J425">
        <f>MAX(-fyd_sn,MIN(fyd_sn,200000*0.002*(1-$E425*(7*J$6-3*sn_h)/(4*sn_h))))-fcd_sn*(1-MIN(1,MAX(0,$E425*(7*J$6-3*sn_h)/(4*sn_h)))^2)</f>
        <v/>
      </c>
      <c r="K425">
        <f>MAX(-fyd_sn,MIN(fyd_sn,200000*0.002*(1-$E425*(7*K$6-3*sn_h)/(4*sn_h))))-fcd_sn*(1-MIN(1,MAX(0,$E425*(7*K$6-3*sn_h)/(4*sn_h)))^2)</f>
        <v/>
      </c>
      <c r="L425">
        <f>MAX(-fyd_sn,MIN(fyd_sn,200000*0.002*(1-$F425*(7*J$6-3*sn_h)/(4*sn_h))))-fcd_sn*(1-MIN(1,MAX(0,$F425*(7*J$6-3*sn_h)/(4*sn_h)))^2)</f>
        <v/>
      </c>
      <c r="M425">
        <f>MAX(-fyd_sn,MIN(fyd_sn,200000*0.002*(1-$F425*(7*K$6-3*sn_h)/(4*sn_h))))-fcd_sn*(1-MIN(1,MAX(0,$F425*(7*K$6-3*sn_h)/(4*sn_h)))^2)</f>
        <v/>
      </c>
    </row>
    <row r="426">
      <c r="B426" s="55" t="n">
        <v>40</v>
      </c>
      <c r="C426" s="56">
        <f>IF($G425&gt;=$H425,$C425,$E425)</f>
        <v/>
      </c>
      <c r="D426" s="56">
        <f>IF($G425&gt;=$H425,$F425,$D425)</f>
        <v/>
      </c>
      <c r="E426" s="56">
        <f>$D426-((SQRT(5)-1)/2)*($D426-$C426)</f>
        <v/>
      </c>
      <c r="F426" s="56">
        <f>$C426+((SQRT(5)-1)/2)*($D426-$C426)</f>
        <v/>
      </c>
      <c r="G426" s="60">
        <f>(fcd_sn*sn_b*sn_h*(3/7+4/7*(1-$E426^2/3))+SUMPRODUCT($J$5:$K$5,$J426:$K426))/1000</f>
        <v/>
      </c>
      <c r="H426" s="60">
        <f>(fcd_sn*sn_b*sn_h*(3/7+4/7*(1-$F426^2/3))+SUMPRODUCT($J$5:$K$5,$L426:$M426))/1000</f>
        <v/>
      </c>
      <c r="J426">
        <f>MAX(-fyd_sn,MIN(fyd_sn,200000*0.002*(1-$E426*(7*J$6-3*sn_h)/(4*sn_h))))-fcd_sn*(1-MIN(1,MAX(0,$E426*(7*J$6-3*sn_h)/(4*sn_h)))^2)</f>
        <v/>
      </c>
      <c r="K426">
        <f>MAX(-fyd_sn,MIN(fyd_sn,200000*0.002*(1-$E426*(7*K$6-3*sn_h)/(4*sn_h))))-fcd_sn*(1-MIN(1,MAX(0,$E426*(7*K$6-3*sn_h)/(4*sn_h)))^2)</f>
        <v/>
      </c>
      <c r="L426">
        <f>MAX(-fyd_sn,MIN(fyd_sn,200000*0.002*(1-$F426*(7*J$6-3*sn_h)/(4*sn_h))))-fcd_sn*(1-MIN(1,MAX(0,$F426*(7*J$6-3*sn_h)/(4*sn_h)))^2)</f>
        <v/>
      </c>
      <c r="M426">
        <f>MAX(-fyd_sn,MIN(fyd_sn,200000*0.002*(1-$F426*(7*K$6-3*sn_h)/(4*sn_h))))-fcd_sn*(1-MIN(1,MAX(0,$F426*(7*K$6-3*sn_h)/(4*sn_h)))^2)</f>
        <v/>
      </c>
    </row>
    <row r="427">
      <c r="B427" s="61" t="inlineStr">
        <is>
          <t>max</t>
        </is>
      </c>
      <c r="C427" s="56">
        <f>IF($G426&gt;=$H426,$C426,$E426)</f>
        <v/>
      </c>
      <c r="D427" s="56">
        <f>IF($G426&gt;=$H426,$F426,$D426)</f>
        <v/>
      </c>
      <c r="E427" s="56">
        <f>($C427+$D427)/2</f>
        <v/>
      </c>
      <c r="F427" s="56">
        <f>IF($G427&gt;INDEX(rawS_N,(MATCH(MAX(rawS_N),rawS_N,0)-1)+1),$E427,INDEX(rawS_t,(MATCH(MAX(rawS_N),rawS_N,0)-1)+1))</f>
        <v/>
      </c>
      <c r="G427" s="60">
        <f>(fcd_sn*sn_b*sn_h*(3/7+4/7*(1-$E427^2/3))+SUMPRODUCT($J$5:$K$5,$J427:$K427))/1000</f>
        <v/>
      </c>
      <c r="H427" s="62">
        <f>MAX($G427,INDEX(rawS_N,(MATCH(MAX(rawS_N),rawS_N,0)-1)+1))</f>
        <v/>
      </c>
      <c r="I427">
        <f>(MATCH(MAX(rawS_N),rawS_N,0)-1)</f>
        <v/>
      </c>
      <c r="J427">
        <f>MAX(-fyd_sn,MIN(fyd_sn,200000*0.002*(1-$E427*(7*J$6-3*sn_h)/(4*sn_h))))-fcd_sn*(1-MIN(1,MAX(0,$E427*(7*J$6-3*sn_h)/(4*sn_h)))^2)</f>
        <v/>
      </c>
      <c r="K427">
        <f>MAX(-fyd_sn,MIN(fyd_sn,200000*0.002*(1-$E427*(7*K$6-3*sn_h)/(4*sn_h))))-fcd_sn*(1-MIN(1,MAX(0,$E427*(7*K$6-3*sn_h)/(4*sn_h)))^2)</f>
        <v/>
      </c>
    </row>
    <row r="429">
      <c r="B429" s="54" t="inlineStr">
        <is>
          <t>Top face compressed  ·  3. scan with the largest N inserted, crossings of NEd</t>
        </is>
      </c>
    </row>
    <row r="430">
      <c r="B430" s="48" t="inlineStr">
        <is>
          <t>k</t>
        </is>
      </c>
      <c r="C430" s="48" t="inlineStr">
        <is>
          <t>t</t>
        </is>
      </c>
      <c r="D430" s="48" t="inlineStr">
        <is>
          <t>x (mm)</t>
        </is>
      </c>
      <c r="E430" s="48" t="inlineStr">
        <is>
          <t>N (kN)</t>
        </is>
      </c>
      <c r="F430" s="48" t="inlineStr">
        <is>
          <t>M signed</t>
        </is>
      </c>
      <c r="G430" s="48" t="inlineStr">
        <is>
          <t>hi at NEd</t>
        </is>
      </c>
      <c r="H430" s="48" t="inlineStr">
        <is>
          <t>lo at NEd</t>
        </is>
      </c>
    </row>
    <row r="431">
      <c r="B431" s="55" t="n">
        <v>0</v>
      </c>
      <c r="C431" s="56">
        <f>IF(0&lt;posS_sn,1-0/200,IF(0=posS_sn,tstS_sn,1-(0-1)/200))</f>
        <v/>
      </c>
      <c r="D431" s="59">
        <f>IF($C431&gt;=1,sn_h,3/7*sn_h+4/7*sn_h/MAX($C431,1E-12))</f>
        <v/>
      </c>
      <c r="E431" s="57">
        <f>(fcd_sn*sn_b*sn_h*(3/7+4/7*(1-$C431^2/3))+SUMPRODUCT($J$5:$K$5,$J431:$K431))/1000</f>
        <v/>
      </c>
      <c r="F431" s="57">
        <f>((fcd_sn*sn_b*(3/14*sn_h*(sn_h-3/7*sn_h)+4/7*sn_h*(sn_h/2-3/7*sn_h)*(1-$C431^2/3)-16/49*sn_h^2*(1/2-$C431^2/4))+SUMPRODUCT($J$5:$K$5,$J431:$K431,$J$7:$K$7))/1E6)</f>
        <v/>
      </c>
      <c r="G431" s="57">
        <f>IF(AND(MIN($E431,$E432)&lt;=sn_N,sn_N&lt;=MAX($E431,$E432)),IF($E431=$E432,MAX($F431,$F432),$F431+(sn_N-$E431)*($F432-$F431)/($E432-$E431)),"")</f>
        <v/>
      </c>
      <c r="H431" s="57">
        <f>IF(AND(MIN($E431,$E432)&lt;=sn_N,sn_N&lt;=MAX($E431,$E432)),IF($E431=$E432,MIN($F431,$F432),$F431+(sn_N-$E431)*($F432-$F431)/($E432-$E431)),"")</f>
        <v/>
      </c>
      <c r="J431">
        <f>MAX(-fyd_sn,MIN(fyd_sn,200000*0.002*(1-$C431*(7*J$6-3*sn_h)/(4*sn_h))))-fcd_sn*(1-MIN(1,MAX(0,$C431*(7*J$6-3*sn_h)/(4*sn_h)))^2)</f>
        <v/>
      </c>
      <c r="K431">
        <f>MAX(-fyd_sn,MIN(fyd_sn,200000*0.002*(1-$C431*(7*K$6-3*sn_h)/(4*sn_h))))-fcd_sn*(1-MIN(1,MAX(0,$C431*(7*K$6-3*sn_h)/(4*sn_h)))^2)</f>
        <v/>
      </c>
    </row>
    <row r="432">
      <c r="B432" s="55" t="n">
        <v>1</v>
      </c>
      <c r="C432" s="56">
        <f>IF(1&lt;posS_sn,1-1/200,IF(1=posS_sn,tstS_sn,1-(1-1)/200))</f>
        <v/>
      </c>
      <c r="D432" s="59">
        <f>IF($C432&gt;=1,sn_h,3/7*sn_h+4/7*sn_h/MAX($C432,1E-12))</f>
        <v/>
      </c>
      <c r="E432" s="57">
        <f>(fcd_sn*sn_b*sn_h*(3/7+4/7*(1-$C432^2/3))+SUMPRODUCT($J$5:$K$5,$J432:$K432))/1000</f>
        <v/>
      </c>
      <c r="F432" s="57">
        <f>((fcd_sn*sn_b*(3/14*sn_h*(sn_h-3/7*sn_h)+4/7*sn_h*(sn_h/2-3/7*sn_h)*(1-$C432^2/3)-16/49*sn_h^2*(1/2-$C432^2/4))+SUMPRODUCT($J$5:$K$5,$J432:$K432,$J$7:$K$7))/1E6)</f>
        <v/>
      </c>
      <c r="G432" s="57">
        <f>IF(AND(MIN($E432,$E433)&lt;=sn_N,sn_N&lt;=MAX($E432,$E433)),IF($E432=$E433,MAX($F432,$F433),$F432+(sn_N-$E432)*($F433-$F432)/($E433-$E432)),"")</f>
        <v/>
      </c>
      <c r="H432" s="57">
        <f>IF(AND(MIN($E432,$E433)&lt;=sn_N,sn_N&lt;=MAX($E432,$E433)),IF($E432=$E433,MIN($F432,$F433),$F432+(sn_N-$E432)*($F433-$F432)/($E433-$E432)),"")</f>
        <v/>
      </c>
      <c r="J432">
        <f>MAX(-fyd_sn,MIN(fyd_sn,200000*0.002*(1-$C432*(7*J$6-3*sn_h)/(4*sn_h))))-fcd_sn*(1-MIN(1,MAX(0,$C432*(7*J$6-3*sn_h)/(4*sn_h)))^2)</f>
        <v/>
      </c>
      <c r="K432">
        <f>MAX(-fyd_sn,MIN(fyd_sn,200000*0.002*(1-$C432*(7*K$6-3*sn_h)/(4*sn_h))))-fcd_sn*(1-MIN(1,MAX(0,$C432*(7*K$6-3*sn_h)/(4*sn_h)))^2)</f>
        <v/>
      </c>
    </row>
    <row r="433">
      <c r="B433" s="55" t="n">
        <v>2</v>
      </c>
      <c r="C433" s="56">
        <f>IF(2&lt;posS_sn,1-2/200,IF(2=posS_sn,tstS_sn,1-(2-1)/200))</f>
        <v/>
      </c>
      <c r="D433" s="59">
        <f>IF($C433&gt;=1,sn_h,3/7*sn_h+4/7*sn_h/MAX($C433,1E-12))</f>
        <v/>
      </c>
      <c r="E433" s="57">
        <f>(fcd_sn*sn_b*sn_h*(3/7+4/7*(1-$C433^2/3))+SUMPRODUCT($J$5:$K$5,$J433:$K433))/1000</f>
        <v/>
      </c>
      <c r="F433" s="57">
        <f>((fcd_sn*sn_b*(3/14*sn_h*(sn_h-3/7*sn_h)+4/7*sn_h*(sn_h/2-3/7*sn_h)*(1-$C433^2/3)-16/49*sn_h^2*(1/2-$C433^2/4))+SUMPRODUCT($J$5:$K$5,$J433:$K433,$J$7:$K$7))/1E6)</f>
        <v/>
      </c>
      <c r="G433" s="57">
        <f>IF(AND(MIN($E433,$E434)&lt;=sn_N,sn_N&lt;=MAX($E433,$E434)),IF($E433=$E434,MAX($F433,$F434),$F433+(sn_N-$E433)*($F434-$F433)/($E434-$E433)),"")</f>
        <v/>
      </c>
      <c r="H433" s="57">
        <f>IF(AND(MIN($E433,$E434)&lt;=sn_N,sn_N&lt;=MAX($E433,$E434)),IF($E433=$E434,MIN($F433,$F434),$F433+(sn_N-$E433)*($F434-$F433)/($E434-$E433)),"")</f>
        <v/>
      </c>
      <c r="J433">
        <f>MAX(-fyd_sn,MIN(fyd_sn,200000*0.002*(1-$C433*(7*J$6-3*sn_h)/(4*sn_h))))-fcd_sn*(1-MIN(1,MAX(0,$C433*(7*J$6-3*sn_h)/(4*sn_h)))^2)</f>
        <v/>
      </c>
      <c r="K433">
        <f>MAX(-fyd_sn,MIN(fyd_sn,200000*0.002*(1-$C433*(7*K$6-3*sn_h)/(4*sn_h))))-fcd_sn*(1-MIN(1,MAX(0,$C433*(7*K$6-3*sn_h)/(4*sn_h)))^2)</f>
        <v/>
      </c>
    </row>
    <row r="434">
      <c r="B434" s="55" t="n">
        <v>3</v>
      </c>
      <c r="C434" s="56">
        <f>IF(3&lt;posS_sn,1-3/200,IF(3=posS_sn,tstS_sn,1-(3-1)/200))</f>
        <v/>
      </c>
      <c r="D434" s="59">
        <f>IF($C434&gt;=1,sn_h,3/7*sn_h+4/7*sn_h/MAX($C434,1E-12))</f>
        <v/>
      </c>
      <c r="E434" s="57">
        <f>(fcd_sn*sn_b*sn_h*(3/7+4/7*(1-$C434^2/3))+SUMPRODUCT($J$5:$K$5,$J434:$K434))/1000</f>
        <v/>
      </c>
      <c r="F434" s="57">
        <f>((fcd_sn*sn_b*(3/14*sn_h*(sn_h-3/7*sn_h)+4/7*sn_h*(sn_h/2-3/7*sn_h)*(1-$C434^2/3)-16/49*sn_h^2*(1/2-$C434^2/4))+SUMPRODUCT($J$5:$K$5,$J434:$K434,$J$7:$K$7))/1E6)</f>
        <v/>
      </c>
      <c r="G434" s="57">
        <f>IF(AND(MIN($E434,$E435)&lt;=sn_N,sn_N&lt;=MAX($E434,$E435)),IF($E434=$E435,MAX($F434,$F435),$F434+(sn_N-$E434)*($F435-$F434)/($E435-$E434)),"")</f>
        <v/>
      </c>
      <c r="H434" s="57">
        <f>IF(AND(MIN($E434,$E435)&lt;=sn_N,sn_N&lt;=MAX($E434,$E435)),IF($E434=$E435,MIN($F434,$F435),$F434+(sn_N-$E434)*($F435-$F434)/($E435-$E434)),"")</f>
        <v/>
      </c>
      <c r="J434">
        <f>MAX(-fyd_sn,MIN(fyd_sn,200000*0.002*(1-$C434*(7*J$6-3*sn_h)/(4*sn_h))))-fcd_sn*(1-MIN(1,MAX(0,$C434*(7*J$6-3*sn_h)/(4*sn_h)))^2)</f>
        <v/>
      </c>
      <c r="K434">
        <f>MAX(-fyd_sn,MIN(fyd_sn,200000*0.002*(1-$C434*(7*K$6-3*sn_h)/(4*sn_h))))-fcd_sn*(1-MIN(1,MAX(0,$C434*(7*K$6-3*sn_h)/(4*sn_h)))^2)</f>
        <v/>
      </c>
    </row>
    <row r="435">
      <c r="B435" s="55" t="n">
        <v>4</v>
      </c>
      <c r="C435" s="56">
        <f>IF(4&lt;posS_sn,1-4/200,IF(4=posS_sn,tstS_sn,1-(4-1)/200))</f>
        <v/>
      </c>
      <c r="D435" s="59">
        <f>IF($C435&gt;=1,sn_h,3/7*sn_h+4/7*sn_h/MAX($C435,1E-12))</f>
        <v/>
      </c>
      <c r="E435" s="57">
        <f>(fcd_sn*sn_b*sn_h*(3/7+4/7*(1-$C435^2/3))+SUMPRODUCT($J$5:$K$5,$J435:$K435))/1000</f>
        <v/>
      </c>
      <c r="F435" s="57">
        <f>((fcd_sn*sn_b*(3/14*sn_h*(sn_h-3/7*sn_h)+4/7*sn_h*(sn_h/2-3/7*sn_h)*(1-$C435^2/3)-16/49*sn_h^2*(1/2-$C435^2/4))+SUMPRODUCT($J$5:$K$5,$J435:$K435,$J$7:$K$7))/1E6)</f>
        <v/>
      </c>
      <c r="G435" s="57">
        <f>IF(AND(MIN($E435,$E436)&lt;=sn_N,sn_N&lt;=MAX($E435,$E436)),IF($E435=$E436,MAX($F435,$F436),$F435+(sn_N-$E435)*($F436-$F435)/($E436-$E435)),"")</f>
        <v/>
      </c>
      <c r="H435" s="57">
        <f>IF(AND(MIN($E435,$E436)&lt;=sn_N,sn_N&lt;=MAX($E435,$E436)),IF($E435=$E436,MIN($F435,$F436),$F435+(sn_N-$E435)*($F436-$F435)/($E436-$E435)),"")</f>
        <v/>
      </c>
      <c r="J435">
        <f>MAX(-fyd_sn,MIN(fyd_sn,200000*0.002*(1-$C435*(7*J$6-3*sn_h)/(4*sn_h))))-fcd_sn*(1-MIN(1,MAX(0,$C435*(7*J$6-3*sn_h)/(4*sn_h)))^2)</f>
        <v/>
      </c>
      <c r="K435">
        <f>MAX(-fyd_sn,MIN(fyd_sn,200000*0.002*(1-$C435*(7*K$6-3*sn_h)/(4*sn_h))))-fcd_sn*(1-MIN(1,MAX(0,$C435*(7*K$6-3*sn_h)/(4*sn_h)))^2)</f>
        <v/>
      </c>
    </row>
    <row r="436">
      <c r="B436" s="55" t="n">
        <v>5</v>
      </c>
      <c r="C436" s="56">
        <f>IF(5&lt;posS_sn,1-5/200,IF(5=posS_sn,tstS_sn,1-(5-1)/200))</f>
        <v/>
      </c>
      <c r="D436" s="59">
        <f>IF($C436&gt;=1,sn_h,3/7*sn_h+4/7*sn_h/MAX($C436,1E-12))</f>
        <v/>
      </c>
      <c r="E436" s="57">
        <f>(fcd_sn*sn_b*sn_h*(3/7+4/7*(1-$C436^2/3))+SUMPRODUCT($J$5:$K$5,$J436:$K436))/1000</f>
        <v/>
      </c>
      <c r="F436" s="57">
        <f>((fcd_sn*sn_b*(3/14*sn_h*(sn_h-3/7*sn_h)+4/7*sn_h*(sn_h/2-3/7*sn_h)*(1-$C436^2/3)-16/49*sn_h^2*(1/2-$C436^2/4))+SUMPRODUCT($J$5:$K$5,$J436:$K436,$J$7:$K$7))/1E6)</f>
        <v/>
      </c>
      <c r="G436" s="57">
        <f>IF(AND(MIN($E436,$E437)&lt;=sn_N,sn_N&lt;=MAX($E436,$E437)),IF($E436=$E437,MAX($F436,$F437),$F436+(sn_N-$E436)*($F437-$F436)/($E437-$E436)),"")</f>
        <v/>
      </c>
      <c r="H436" s="57">
        <f>IF(AND(MIN($E436,$E437)&lt;=sn_N,sn_N&lt;=MAX($E436,$E437)),IF($E436=$E437,MIN($F436,$F437),$F436+(sn_N-$E436)*($F437-$F436)/($E437-$E436)),"")</f>
        <v/>
      </c>
      <c r="J436">
        <f>MAX(-fyd_sn,MIN(fyd_sn,200000*0.002*(1-$C436*(7*J$6-3*sn_h)/(4*sn_h))))-fcd_sn*(1-MIN(1,MAX(0,$C436*(7*J$6-3*sn_h)/(4*sn_h)))^2)</f>
        <v/>
      </c>
      <c r="K436">
        <f>MAX(-fyd_sn,MIN(fyd_sn,200000*0.002*(1-$C436*(7*K$6-3*sn_h)/(4*sn_h))))-fcd_sn*(1-MIN(1,MAX(0,$C436*(7*K$6-3*sn_h)/(4*sn_h)))^2)</f>
        <v/>
      </c>
    </row>
    <row r="437">
      <c r="B437" s="55" t="n">
        <v>6</v>
      </c>
      <c r="C437" s="56">
        <f>IF(6&lt;posS_sn,1-6/200,IF(6=posS_sn,tstS_sn,1-(6-1)/200))</f>
        <v/>
      </c>
      <c r="D437" s="59">
        <f>IF($C437&gt;=1,sn_h,3/7*sn_h+4/7*sn_h/MAX($C437,1E-12))</f>
        <v/>
      </c>
      <c r="E437" s="57">
        <f>(fcd_sn*sn_b*sn_h*(3/7+4/7*(1-$C437^2/3))+SUMPRODUCT($J$5:$K$5,$J437:$K437))/1000</f>
        <v/>
      </c>
      <c r="F437" s="57">
        <f>((fcd_sn*sn_b*(3/14*sn_h*(sn_h-3/7*sn_h)+4/7*sn_h*(sn_h/2-3/7*sn_h)*(1-$C437^2/3)-16/49*sn_h^2*(1/2-$C437^2/4))+SUMPRODUCT($J$5:$K$5,$J437:$K437,$J$7:$K$7))/1E6)</f>
        <v/>
      </c>
      <c r="G437" s="57">
        <f>IF(AND(MIN($E437,$E438)&lt;=sn_N,sn_N&lt;=MAX($E437,$E438)),IF($E437=$E438,MAX($F437,$F438),$F437+(sn_N-$E437)*($F438-$F437)/($E438-$E437)),"")</f>
        <v/>
      </c>
      <c r="H437" s="57">
        <f>IF(AND(MIN($E437,$E438)&lt;=sn_N,sn_N&lt;=MAX($E437,$E438)),IF($E437=$E438,MIN($F437,$F438),$F437+(sn_N-$E437)*($F438-$F437)/($E438-$E437)),"")</f>
        <v/>
      </c>
      <c r="J437">
        <f>MAX(-fyd_sn,MIN(fyd_sn,200000*0.002*(1-$C437*(7*J$6-3*sn_h)/(4*sn_h))))-fcd_sn*(1-MIN(1,MAX(0,$C437*(7*J$6-3*sn_h)/(4*sn_h)))^2)</f>
        <v/>
      </c>
      <c r="K437">
        <f>MAX(-fyd_sn,MIN(fyd_sn,200000*0.002*(1-$C437*(7*K$6-3*sn_h)/(4*sn_h))))-fcd_sn*(1-MIN(1,MAX(0,$C437*(7*K$6-3*sn_h)/(4*sn_h)))^2)</f>
        <v/>
      </c>
    </row>
    <row r="438">
      <c r="B438" s="55" t="n">
        <v>7</v>
      </c>
      <c r="C438" s="56">
        <f>IF(7&lt;posS_sn,1-7/200,IF(7=posS_sn,tstS_sn,1-(7-1)/200))</f>
        <v/>
      </c>
      <c r="D438" s="59">
        <f>IF($C438&gt;=1,sn_h,3/7*sn_h+4/7*sn_h/MAX($C438,1E-12))</f>
        <v/>
      </c>
      <c r="E438" s="57">
        <f>(fcd_sn*sn_b*sn_h*(3/7+4/7*(1-$C438^2/3))+SUMPRODUCT($J$5:$K$5,$J438:$K438))/1000</f>
        <v/>
      </c>
      <c r="F438" s="57">
        <f>((fcd_sn*sn_b*(3/14*sn_h*(sn_h-3/7*sn_h)+4/7*sn_h*(sn_h/2-3/7*sn_h)*(1-$C438^2/3)-16/49*sn_h^2*(1/2-$C438^2/4))+SUMPRODUCT($J$5:$K$5,$J438:$K438,$J$7:$K$7))/1E6)</f>
        <v/>
      </c>
      <c r="G438" s="57">
        <f>IF(AND(MIN($E438,$E439)&lt;=sn_N,sn_N&lt;=MAX($E438,$E439)),IF($E438=$E439,MAX($F438,$F439),$F438+(sn_N-$E438)*($F439-$F438)/($E439-$E438)),"")</f>
        <v/>
      </c>
      <c r="H438" s="57">
        <f>IF(AND(MIN($E438,$E439)&lt;=sn_N,sn_N&lt;=MAX($E438,$E439)),IF($E438=$E439,MIN($F438,$F439),$F438+(sn_N-$E438)*($F439-$F438)/($E439-$E438)),"")</f>
        <v/>
      </c>
      <c r="J438">
        <f>MAX(-fyd_sn,MIN(fyd_sn,200000*0.002*(1-$C438*(7*J$6-3*sn_h)/(4*sn_h))))-fcd_sn*(1-MIN(1,MAX(0,$C438*(7*J$6-3*sn_h)/(4*sn_h)))^2)</f>
        <v/>
      </c>
      <c r="K438">
        <f>MAX(-fyd_sn,MIN(fyd_sn,200000*0.002*(1-$C438*(7*K$6-3*sn_h)/(4*sn_h))))-fcd_sn*(1-MIN(1,MAX(0,$C438*(7*K$6-3*sn_h)/(4*sn_h)))^2)</f>
        <v/>
      </c>
    </row>
    <row r="439">
      <c r="B439" s="55" t="n">
        <v>8</v>
      </c>
      <c r="C439" s="56">
        <f>IF(8&lt;posS_sn,1-8/200,IF(8=posS_sn,tstS_sn,1-(8-1)/200))</f>
        <v/>
      </c>
      <c r="D439" s="59">
        <f>IF($C439&gt;=1,sn_h,3/7*sn_h+4/7*sn_h/MAX($C439,1E-12))</f>
        <v/>
      </c>
      <c r="E439" s="57">
        <f>(fcd_sn*sn_b*sn_h*(3/7+4/7*(1-$C439^2/3))+SUMPRODUCT($J$5:$K$5,$J439:$K439))/1000</f>
        <v/>
      </c>
      <c r="F439" s="57">
        <f>((fcd_sn*sn_b*(3/14*sn_h*(sn_h-3/7*sn_h)+4/7*sn_h*(sn_h/2-3/7*sn_h)*(1-$C439^2/3)-16/49*sn_h^2*(1/2-$C439^2/4))+SUMPRODUCT($J$5:$K$5,$J439:$K439,$J$7:$K$7))/1E6)</f>
        <v/>
      </c>
      <c r="G439" s="57">
        <f>IF(AND(MIN($E439,$E440)&lt;=sn_N,sn_N&lt;=MAX($E439,$E440)),IF($E439=$E440,MAX($F439,$F440),$F439+(sn_N-$E439)*($F440-$F439)/($E440-$E439)),"")</f>
        <v/>
      </c>
      <c r="H439" s="57">
        <f>IF(AND(MIN($E439,$E440)&lt;=sn_N,sn_N&lt;=MAX($E439,$E440)),IF($E439=$E440,MIN($F439,$F440),$F439+(sn_N-$E439)*($F440-$F439)/($E440-$E439)),"")</f>
        <v/>
      </c>
      <c r="J439">
        <f>MAX(-fyd_sn,MIN(fyd_sn,200000*0.002*(1-$C439*(7*J$6-3*sn_h)/(4*sn_h))))-fcd_sn*(1-MIN(1,MAX(0,$C439*(7*J$6-3*sn_h)/(4*sn_h)))^2)</f>
        <v/>
      </c>
      <c r="K439">
        <f>MAX(-fyd_sn,MIN(fyd_sn,200000*0.002*(1-$C439*(7*K$6-3*sn_h)/(4*sn_h))))-fcd_sn*(1-MIN(1,MAX(0,$C439*(7*K$6-3*sn_h)/(4*sn_h)))^2)</f>
        <v/>
      </c>
    </row>
    <row r="440">
      <c r="B440" s="55" t="n">
        <v>9</v>
      </c>
      <c r="C440" s="56">
        <f>IF(9&lt;posS_sn,1-9/200,IF(9=posS_sn,tstS_sn,1-(9-1)/200))</f>
        <v/>
      </c>
      <c r="D440" s="59">
        <f>IF($C440&gt;=1,sn_h,3/7*sn_h+4/7*sn_h/MAX($C440,1E-12))</f>
        <v/>
      </c>
      <c r="E440" s="57">
        <f>(fcd_sn*sn_b*sn_h*(3/7+4/7*(1-$C440^2/3))+SUMPRODUCT($J$5:$K$5,$J440:$K440))/1000</f>
        <v/>
      </c>
      <c r="F440" s="57">
        <f>((fcd_sn*sn_b*(3/14*sn_h*(sn_h-3/7*sn_h)+4/7*sn_h*(sn_h/2-3/7*sn_h)*(1-$C440^2/3)-16/49*sn_h^2*(1/2-$C440^2/4))+SUMPRODUCT($J$5:$K$5,$J440:$K440,$J$7:$K$7))/1E6)</f>
        <v/>
      </c>
      <c r="G440" s="57">
        <f>IF(AND(MIN($E440,$E441)&lt;=sn_N,sn_N&lt;=MAX($E440,$E441)),IF($E440=$E441,MAX($F440,$F441),$F440+(sn_N-$E440)*($F441-$F440)/($E441-$E440)),"")</f>
        <v/>
      </c>
      <c r="H440" s="57">
        <f>IF(AND(MIN($E440,$E441)&lt;=sn_N,sn_N&lt;=MAX($E440,$E441)),IF($E440=$E441,MIN($F440,$F441),$F440+(sn_N-$E440)*($F441-$F440)/($E441-$E440)),"")</f>
        <v/>
      </c>
      <c r="J440">
        <f>MAX(-fyd_sn,MIN(fyd_sn,200000*0.002*(1-$C440*(7*J$6-3*sn_h)/(4*sn_h))))-fcd_sn*(1-MIN(1,MAX(0,$C440*(7*J$6-3*sn_h)/(4*sn_h)))^2)</f>
        <v/>
      </c>
      <c r="K440">
        <f>MAX(-fyd_sn,MIN(fyd_sn,200000*0.002*(1-$C440*(7*K$6-3*sn_h)/(4*sn_h))))-fcd_sn*(1-MIN(1,MAX(0,$C440*(7*K$6-3*sn_h)/(4*sn_h)))^2)</f>
        <v/>
      </c>
    </row>
    <row r="441">
      <c r="B441" s="55" t="n">
        <v>10</v>
      </c>
      <c r="C441" s="56">
        <f>IF(10&lt;posS_sn,1-10/200,IF(10=posS_sn,tstS_sn,1-(10-1)/200))</f>
        <v/>
      </c>
      <c r="D441" s="59">
        <f>IF($C441&gt;=1,sn_h,3/7*sn_h+4/7*sn_h/MAX($C441,1E-12))</f>
        <v/>
      </c>
      <c r="E441" s="57">
        <f>(fcd_sn*sn_b*sn_h*(3/7+4/7*(1-$C441^2/3))+SUMPRODUCT($J$5:$K$5,$J441:$K441))/1000</f>
        <v/>
      </c>
      <c r="F441" s="57">
        <f>((fcd_sn*sn_b*(3/14*sn_h*(sn_h-3/7*sn_h)+4/7*sn_h*(sn_h/2-3/7*sn_h)*(1-$C441^2/3)-16/49*sn_h^2*(1/2-$C441^2/4))+SUMPRODUCT($J$5:$K$5,$J441:$K441,$J$7:$K$7))/1E6)</f>
        <v/>
      </c>
      <c r="G441" s="57">
        <f>IF(AND(MIN($E441,$E442)&lt;=sn_N,sn_N&lt;=MAX($E441,$E442)),IF($E441=$E442,MAX($F441,$F442),$F441+(sn_N-$E441)*($F442-$F441)/($E442-$E441)),"")</f>
        <v/>
      </c>
      <c r="H441" s="57">
        <f>IF(AND(MIN($E441,$E442)&lt;=sn_N,sn_N&lt;=MAX($E441,$E442)),IF($E441=$E442,MIN($F441,$F442),$F441+(sn_N-$E441)*($F442-$F441)/($E442-$E441)),"")</f>
        <v/>
      </c>
      <c r="J441">
        <f>MAX(-fyd_sn,MIN(fyd_sn,200000*0.002*(1-$C441*(7*J$6-3*sn_h)/(4*sn_h))))-fcd_sn*(1-MIN(1,MAX(0,$C441*(7*J$6-3*sn_h)/(4*sn_h)))^2)</f>
        <v/>
      </c>
      <c r="K441">
        <f>MAX(-fyd_sn,MIN(fyd_sn,200000*0.002*(1-$C441*(7*K$6-3*sn_h)/(4*sn_h))))-fcd_sn*(1-MIN(1,MAX(0,$C441*(7*K$6-3*sn_h)/(4*sn_h)))^2)</f>
        <v/>
      </c>
    </row>
    <row r="442">
      <c r="B442" s="55" t="n">
        <v>11</v>
      </c>
      <c r="C442" s="56">
        <f>IF(11&lt;posS_sn,1-11/200,IF(11=posS_sn,tstS_sn,1-(11-1)/200))</f>
        <v/>
      </c>
      <c r="D442" s="59">
        <f>IF($C442&gt;=1,sn_h,3/7*sn_h+4/7*sn_h/MAX($C442,1E-12))</f>
        <v/>
      </c>
      <c r="E442" s="57">
        <f>(fcd_sn*sn_b*sn_h*(3/7+4/7*(1-$C442^2/3))+SUMPRODUCT($J$5:$K$5,$J442:$K442))/1000</f>
        <v/>
      </c>
      <c r="F442" s="57">
        <f>((fcd_sn*sn_b*(3/14*sn_h*(sn_h-3/7*sn_h)+4/7*sn_h*(sn_h/2-3/7*sn_h)*(1-$C442^2/3)-16/49*sn_h^2*(1/2-$C442^2/4))+SUMPRODUCT($J$5:$K$5,$J442:$K442,$J$7:$K$7))/1E6)</f>
        <v/>
      </c>
      <c r="G442" s="57">
        <f>IF(AND(MIN($E442,$E443)&lt;=sn_N,sn_N&lt;=MAX($E442,$E443)),IF($E442=$E443,MAX($F442,$F443),$F442+(sn_N-$E442)*($F443-$F442)/($E443-$E442)),"")</f>
        <v/>
      </c>
      <c r="H442" s="57">
        <f>IF(AND(MIN($E442,$E443)&lt;=sn_N,sn_N&lt;=MAX($E442,$E443)),IF($E442=$E443,MIN($F442,$F443),$F442+(sn_N-$E442)*($F443-$F442)/($E443-$E442)),"")</f>
        <v/>
      </c>
      <c r="J442">
        <f>MAX(-fyd_sn,MIN(fyd_sn,200000*0.002*(1-$C442*(7*J$6-3*sn_h)/(4*sn_h))))-fcd_sn*(1-MIN(1,MAX(0,$C442*(7*J$6-3*sn_h)/(4*sn_h)))^2)</f>
        <v/>
      </c>
      <c r="K442">
        <f>MAX(-fyd_sn,MIN(fyd_sn,200000*0.002*(1-$C442*(7*K$6-3*sn_h)/(4*sn_h))))-fcd_sn*(1-MIN(1,MAX(0,$C442*(7*K$6-3*sn_h)/(4*sn_h)))^2)</f>
        <v/>
      </c>
    </row>
    <row r="443">
      <c r="B443" s="55" t="n">
        <v>12</v>
      </c>
      <c r="C443" s="56">
        <f>IF(12&lt;posS_sn,1-12/200,IF(12=posS_sn,tstS_sn,1-(12-1)/200))</f>
        <v/>
      </c>
      <c r="D443" s="59">
        <f>IF($C443&gt;=1,sn_h,3/7*sn_h+4/7*sn_h/MAX($C443,1E-12))</f>
        <v/>
      </c>
      <c r="E443" s="57">
        <f>(fcd_sn*sn_b*sn_h*(3/7+4/7*(1-$C443^2/3))+SUMPRODUCT($J$5:$K$5,$J443:$K443))/1000</f>
        <v/>
      </c>
      <c r="F443" s="57">
        <f>((fcd_sn*sn_b*(3/14*sn_h*(sn_h-3/7*sn_h)+4/7*sn_h*(sn_h/2-3/7*sn_h)*(1-$C443^2/3)-16/49*sn_h^2*(1/2-$C443^2/4))+SUMPRODUCT($J$5:$K$5,$J443:$K443,$J$7:$K$7))/1E6)</f>
        <v/>
      </c>
      <c r="G443" s="57">
        <f>IF(AND(MIN($E443,$E444)&lt;=sn_N,sn_N&lt;=MAX($E443,$E444)),IF($E443=$E444,MAX($F443,$F444),$F443+(sn_N-$E443)*($F444-$F443)/($E444-$E443)),"")</f>
        <v/>
      </c>
      <c r="H443" s="57">
        <f>IF(AND(MIN($E443,$E444)&lt;=sn_N,sn_N&lt;=MAX($E443,$E444)),IF($E443=$E444,MIN($F443,$F444),$F443+(sn_N-$E443)*($F444-$F443)/($E444-$E443)),"")</f>
        <v/>
      </c>
      <c r="J443">
        <f>MAX(-fyd_sn,MIN(fyd_sn,200000*0.002*(1-$C443*(7*J$6-3*sn_h)/(4*sn_h))))-fcd_sn*(1-MIN(1,MAX(0,$C443*(7*J$6-3*sn_h)/(4*sn_h)))^2)</f>
        <v/>
      </c>
      <c r="K443">
        <f>MAX(-fyd_sn,MIN(fyd_sn,200000*0.002*(1-$C443*(7*K$6-3*sn_h)/(4*sn_h))))-fcd_sn*(1-MIN(1,MAX(0,$C443*(7*K$6-3*sn_h)/(4*sn_h)))^2)</f>
        <v/>
      </c>
    </row>
    <row r="444">
      <c r="B444" s="55" t="n">
        <v>13</v>
      </c>
      <c r="C444" s="56">
        <f>IF(13&lt;posS_sn,1-13/200,IF(13=posS_sn,tstS_sn,1-(13-1)/200))</f>
        <v/>
      </c>
      <c r="D444" s="59">
        <f>IF($C444&gt;=1,sn_h,3/7*sn_h+4/7*sn_h/MAX($C444,1E-12))</f>
        <v/>
      </c>
      <c r="E444" s="57">
        <f>(fcd_sn*sn_b*sn_h*(3/7+4/7*(1-$C444^2/3))+SUMPRODUCT($J$5:$K$5,$J444:$K444))/1000</f>
        <v/>
      </c>
      <c r="F444" s="57">
        <f>((fcd_sn*sn_b*(3/14*sn_h*(sn_h-3/7*sn_h)+4/7*sn_h*(sn_h/2-3/7*sn_h)*(1-$C444^2/3)-16/49*sn_h^2*(1/2-$C444^2/4))+SUMPRODUCT($J$5:$K$5,$J444:$K444,$J$7:$K$7))/1E6)</f>
        <v/>
      </c>
      <c r="G444" s="57">
        <f>IF(AND(MIN($E444,$E445)&lt;=sn_N,sn_N&lt;=MAX($E444,$E445)),IF($E444=$E445,MAX($F444,$F445),$F444+(sn_N-$E444)*($F445-$F444)/($E445-$E444)),"")</f>
        <v/>
      </c>
      <c r="H444" s="57">
        <f>IF(AND(MIN($E444,$E445)&lt;=sn_N,sn_N&lt;=MAX($E444,$E445)),IF($E444=$E445,MIN($F444,$F445),$F444+(sn_N-$E444)*($F445-$F444)/($E445-$E444)),"")</f>
        <v/>
      </c>
      <c r="J444">
        <f>MAX(-fyd_sn,MIN(fyd_sn,200000*0.002*(1-$C444*(7*J$6-3*sn_h)/(4*sn_h))))-fcd_sn*(1-MIN(1,MAX(0,$C444*(7*J$6-3*sn_h)/(4*sn_h)))^2)</f>
        <v/>
      </c>
      <c r="K444">
        <f>MAX(-fyd_sn,MIN(fyd_sn,200000*0.002*(1-$C444*(7*K$6-3*sn_h)/(4*sn_h))))-fcd_sn*(1-MIN(1,MAX(0,$C444*(7*K$6-3*sn_h)/(4*sn_h)))^2)</f>
        <v/>
      </c>
    </row>
    <row r="445">
      <c r="B445" s="55" t="n">
        <v>14</v>
      </c>
      <c r="C445" s="56">
        <f>IF(14&lt;posS_sn,1-14/200,IF(14=posS_sn,tstS_sn,1-(14-1)/200))</f>
        <v/>
      </c>
      <c r="D445" s="59">
        <f>IF($C445&gt;=1,sn_h,3/7*sn_h+4/7*sn_h/MAX($C445,1E-12))</f>
        <v/>
      </c>
      <c r="E445" s="57">
        <f>(fcd_sn*sn_b*sn_h*(3/7+4/7*(1-$C445^2/3))+SUMPRODUCT($J$5:$K$5,$J445:$K445))/1000</f>
        <v/>
      </c>
      <c r="F445" s="57">
        <f>((fcd_sn*sn_b*(3/14*sn_h*(sn_h-3/7*sn_h)+4/7*sn_h*(sn_h/2-3/7*sn_h)*(1-$C445^2/3)-16/49*sn_h^2*(1/2-$C445^2/4))+SUMPRODUCT($J$5:$K$5,$J445:$K445,$J$7:$K$7))/1E6)</f>
        <v/>
      </c>
      <c r="G445" s="57">
        <f>IF(AND(MIN($E445,$E446)&lt;=sn_N,sn_N&lt;=MAX($E445,$E446)),IF($E445=$E446,MAX($F445,$F446),$F445+(sn_N-$E445)*($F446-$F445)/($E446-$E445)),"")</f>
        <v/>
      </c>
      <c r="H445" s="57">
        <f>IF(AND(MIN($E445,$E446)&lt;=sn_N,sn_N&lt;=MAX($E445,$E446)),IF($E445=$E446,MIN($F445,$F446),$F445+(sn_N-$E445)*($F446-$F445)/($E446-$E445)),"")</f>
        <v/>
      </c>
      <c r="J445">
        <f>MAX(-fyd_sn,MIN(fyd_sn,200000*0.002*(1-$C445*(7*J$6-3*sn_h)/(4*sn_h))))-fcd_sn*(1-MIN(1,MAX(0,$C445*(7*J$6-3*sn_h)/(4*sn_h)))^2)</f>
        <v/>
      </c>
      <c r="K445">
        <f>MAX(-fyd_sn,MIN(fyd_sn,200000*0.002*(1-$C445*(7*K$6-3*sn_h)/(4*sn_h))))-fcd_sn*(1-MIN(1,MAX(0,$C445*(7*K$6-3*sn_h)/(4*sn_h)))^2)</f>
        <v/>
      </c>
    </row>
    <row r="446">
      <c r="B446" s="55" t="n">
        <v>15</v>
      </c>
      <c r="C446" s="56">
        <f>IF(15&lt;posS_sn,1-15/200,IF(15=posS_sn,tstS_sn,1-(15-1)/200))</f>
        <v/>
      </c>
      <c r="D446" s="59">
        <f>IF($C446&gt;=1,sn_h,3/7*sn_h+4/7*sn_h/MAX($C446,1E-12))</f>
        <v/>
      </c>
      <c r="E446" s="57">
        <f>(fcd_sn*sn_b*sn_h*(3/7+4/7*(1-$C446^2/3))+SUMPRODUCT($J$5:$K$5,$J446:$K446))/1000</f>
        <v/>
      </c>
      <c r="F446" s="57">
        <f>((fcd_sn*sn_b*(3/14*sn_h*(sn_h-3/7*sn_h)+4/7*sn_h*(sn_h/2-3/7*sn_h)*(1-$C446^2/3)-16/49*sn_h^2*(1/2-$C446^2/4))+SUMPRODUCT($J$5:$K$5,$J446:$K446,$J$7:$K$7))/1E6)</f>
        <v/>
      </c>
      <c r="G446" s="57">
        <f>IF(AND(MIN($E446,$E447)&lt;=sn_N,sn_N&lt;=MAX($E446,$E447)),IF($E446=$E447,MAX($F446,$F447),$F446+(sn_N-$E446)*($F447-$F446)/($E447-$E446)),"")</f>
        <v/>
      </c>
      <c r="H446" s="57">
        <f>IF(AND(MIN($E446,$E447)&lt;=sn_N,sn_N&lt;=MAX($E446,$E447)),IF($E446=$E447,MIN($F446,$F447),$F446+(sn_N-$E446)*($F447-$F446)/($E447-$E446)),"")</f>
        <v/>
      </c>
      <c r="J446">
        <f>MAX(-fyd_sn,MIN(fyd_sn,200000*0.002*(1-$C446*(7*J$6-3*sn_h)/(4*sn_h))))-fcd_sn*(1-MIN(1,MAX(0,$C446*(7*J$6-3*sn_h)/(4*sn_h)))^2)</f>
        <v/>
      </c>
      <c r="K446">
        <f>MAX(-fyd_sn,MIN(fyd_sn,200000*0.002*(1-$C446*(7*K$6-3*sn_h)/(4*sn_h))))-fcd_sn*(1-MIN(1,MAX(0,$C446*(7*K$6-3*sn_h)/(4*sn_h)))^2)</f>
        <v/>
      </c>
    </row>
    <row r="447">
      <c r="B447" s="55" t="n">
        <v>16</v>
      </c>
      <c r="C447" s="56">
        <f>IF(16&lt;posS_sn,1-16/200,IF(16=posS_sn,tstS_sn,1-(16-1)/200))</f>
        <v/>
      </c>
      <c r="D447" s="59">
        <f>IF($C447&gt;=1,sn_h,3/7*sn_h+4/7*sn_h/MAX($C447,1E-12))</f>
        <v/>
      </c>
      <c r="E447" s="57">
        <f>(fcd_sn*sn_b*sn_h*(3/7+4/7*(1-$C447^2/3))+SUMPRODUCT($J$5:$K$5,$J447:$K447))/1000</f>
        <v/>
      </c>
      <c r="F447" s="57">
        <f>((fcd_sn*sn_b*(3/14*sn_h*(sn_h-3/7*sn_h)+4/7*sn_h*(sn_h/2-3/7*sn_h)*(1-$C447^2/3)-16/49*sn_h^2*(1/2-$C447^2/4))+SUMPRODUCT($J$5:$K$5,$J447:$K447,$J$7:$K$7))/1E6)</f>
        <v/>
      </c>
      <c r="G447" s="57">
        <f>IF(AND(MIN($E447,$E448)&lt;=sn_N,sn_N&lt;=MAX($E447,$E448)),IF($E447=$E448,MAX($F447,$F448),$F447+(sn_N-$E447)*($F448-$F447)/($E448-$E447)),"")</f>
        <v/>
      </c>
      <c r="H447" s="57">
        <f>IF(AND(MIN($E447,$E448)&lt;=sn_N,sn_N&lt;=MAX($E447,$E448)),IF($E447=$E448,MIN($F447,$F448),$F447+(sn_N-$E447)*($F448-$F447)/($E448-$E447)),"")</f>
        <v/>
      </c>
      <c r="J447">
        <f>MAX(-fyd_sn,MIN(fyd_sn,200000*0.002*(1-$C447*(7*J$6-3*sn_h)/(4*sn_h))))-fcd_sn*(1-MIN(1,MAX(0,$C447*(7*J$6-3*sn_h)/(4*sn_h)))^2)</f>
        <v/>
      </c>
      <c r="K447">
        <f>MAX(-fyd_sn,MIN(fyd_sn,200000*0.002*(1-$C447*(7*K$6-3*sn_h)/(4*sn_h))))-fcd_sn*(1-MIN(1,MAX(0,$C447*(7*K$6-3*sn_h)/(4*sn_h)))^2)</f>
        <v/>
      </c>
    </row>
    <row r="448">
      <c r="B448" s="55" t="n">
        <v>17</v>
      </c>
      <c r="C448" s="56">
        <f>IF(17&lt;posS_sn,1-17/200,IF(17=posS_sn,tstS_sn,1-(17-1)/200))</f>
        <v/>
      </c>
      <c r="D448" s="59">
        <f>IF($C448&gt;=1,sn_h,3/7*sn_h+4/7*sn_h/MAX($C448,1E-12))</f>
        <v/>
      </c>
      <c r="E448" s="57">
        <f>(fcd_sn*sn_b*sn_h*(3/7+4/7*(1-$C448^2/3))+SUMPRODUCT($J$5:$K$5,$J448:$K448))/1000</f>
        <v/>
      </c>
      <c r="F448" s="57">
        <f>((fcd_sn*sn_b*(3/14*sn_h*(sn_h-3/7*sn_h)+4/7*sn_h*(sn_h/2-3/7*sn_h)*(1-$C448^2/3)-16/49*sn_h^2*(1/2-$C448^2/4))+SUMPRODUCT($J$5:$K$5,$J448:$K448,$J$7:$K$7))/1E6)</f>
        <v/>
      </c>
      <c r="G448" s="57">
        <f>IF(AND(MIN($E448,$E449)&lt;=sn_N,sn_N&lt;=MAX($E448,$E449)),IF($E448=$E449,MAX($F448,$F449),$F448+(sn_N-$E448)*($F449-$F448)/($E449-$E448)),"")</f>
        <v/>
      </c>
      <c r="H448" s="57">
        <f>IF(AND(MIN($E448,$E449)&lt;=sn_N,sn_N&lt;=MAX($E448,$E449)),IF($E448=$E449,MIN($F448,$F449),$F448+(sn_N-$E448)*($F449-$F448)/($E449-$E448)),"")</f>
        <v/>
      </c>
      <c r="J448">
        <f>MAX(-fyd_sn,MIN(fyd_sn,200000*0.002*(1-$C448*(7*J$6-3*sn_h)/(4*sn_h))))-fcd_sn*(1-MIN(1,MAX(0,$C448*(7*J$6-3*sn_h)/(4*sn_h)))^2)</f>
        <v/>
      </c>
      <c r="K448">
        <f>MAX(-fyd_sn,MIN(fyd_sn,200000*0.002*(1-$C448*(7*K$6-3*sn_h)/(4*sn_h))))-fcd_sn*(1-MIN(1,MAX(0,$C448*(7*K$6-3*sn_h)/(4*sn_h)))^2)</f>
        <v/>
      </c>
    </row>
    <row r="449">
      <c r="B449" s="55" t="n">
        <v>18</v>
      </c>
      <c r="C449" s="56">
        <f>IF(18&lt;posS_sn,1-18/200,IF(18=posS_sn,tstS_sn,1-(18-1)/200))</f>
        <v/>
      </c>
      <c r="D449" s="59">
        <f>IF($C449&gt;=1,sn_h,3/7*sn_h+4/7*sn_h/MAX($C449,1E-12))</f>
        <v/>
      </c>
      <c r="E449" s="57">
        <f>(fcd_sn*sn_b*sn_h*(3/7+4/7*(1-$C449^2/3))+SUMPRODUCT($J$5:$K$5,$J449:$K449))/1000</f>
        <v/>
      </c>
      <c r="F449" s="57">
        <f>((fcd_sn*sn_b*(3/14*sn_h*(sn_h-3/7*sn_h)+4/7*sn_h*(sn_h/2-3/7*sn_h)*(1-$C449^2/3)-16/49*sn_h^2*(1/2-$C449^2/4))+SUMPRODUCT($J$5:$K$5,$J449:$K449,$J$7:$K$7))/1E6)</f>
        <v/>
      </c>
      <c r="G449" s="57">
        <f>IF(AND(MIN($E449,$E450)&lt;=sn_N,sn_N&lt;=MAX($E449,$E450)),IF($E449=$E450,MAX($F449,$F450),$F449+(sn_N-$E449)*($F450-$F449)/($E450-$E449)),"")</f>
        <v/>
      </c>
      <c r="H449" s="57">
        <f>IF(AND(MIN($E449,$E450)&lt;=sn_N,sn_N&lt;=MAX($E449,$E450)),IF($E449=$E450,MIN($F449,$F450),$F449+(sn_N-$E449)*($F450-$F449)/($E450-$E449)),"")</f>
        <v/>
      </c>
      <c r="J449">
        <f>MAX(-fyd_sn,MIN(fyd_sn,200000*0.002*(1-$C449*(7*J$6-3*sn_h)/(4*sn_h))))-fcd_sn*(1-MIN(1,MAX(0,$C449*(7*J$6-3*sn_h)/(4*sn_h)))^2)</f>
        <v/>
      </c>
      <c r="K449">
        <f>MAX(-fyd_sn,MIN(fyd_sn,200000*0.002*(1-$C449*(7*K$6-3*sn_h)/(4*sn_h))))-fcd_sn*(1-MIN(1,MAX(0,$C449*(7*K$6-3*sn_h)/(4*sn_h)))^2)</f>
        <v/>
      </c>
    </row>
    <row r="450">
      <c r="B450" s="55" t="n">
        <v>19</v>
      </c>
      <c r="C450" s="56">
        <f>IF(19&lt;posS_sn,1-19/200,IF(19=posS_sn,tstS_sn,1-(19-1)/200))</f>
        <v/>
      </c>
      <c r="D450" s="59">
        <f>IF($C450&gt;=1,sn_h,3/7*sn_h+4/7*sn_h/MAX($C450,1E-12))</f>
        <v/>
      </c>
      <c r="E450" s="57">
        <f>(fcd_sn*sn_b*sn_h*(3/7+4/7*(1-$C450^2/3))+SUMPRODUCT($J$5:$K$5,$J450:$K450))/1000</f>
        <v/>
      </c>
      <c r="F450" s="57">
        <f>((fcd_sn*sn_b*(3/14*sn_h*(sn_h-3/7*sn_h)+4/7*sn_h*(sn_h/2-3/7*sn_h)*(1-$C450^2/3)-16/49*sn_h^2*(1/2-$C450^2/4))+SUMPRODUCT($J$5:$K$5,$J450:$K450,$J$7:$K$7))/1E6)</f>
        <v/>
      </c>
      <c r="G450" s="57">
        <f>IF(AND(MIN($E450,$E451)&lt;=sn_N,sn_N&lt;=MAX($E450,$E451)),IF($E450=$E451,MAX($F450,$F451),$F450+(sn_N-$E450)*($F451-$F450)/($E451-$E450)),"")</f>
        <v/>
      </c>
      <c r="H450" s="57">
        <f>IF(AND(MIN($E450,$E451)&lt;=sn_N,sn_N&lt;=MAX($E450,$E451)),IF($E450=$E451,MIN($F450,$F451),$F450+(sn_N-$E450)*($F451-$F450)/($E451-$E450)),"")</f>
        <v/>
      </c>
      <c r="J450">
        <f>MAX(-fyd_sn,MIN(fyd_sn,200000*0.002*(1-$C450*(7*J$6-3*sn_h)/(4*sn_h))))-fcd_sn*(1-MIN(1,MAX(0,$C450*(7*J$6-3*sn_h)/(4*sn_h)))^2)</f>
        <v/>
      </c>
      <c r="K450">
        <f>MAX(-fyd_sn,MIN(fyd_sn,200000*0.002*(1-$C450*(7*K$6-3*sn_h)/(4*sn_h))))-fcd_sn*(1-MIN(1,MAX(0,$C450*(7*K$6-3*sn_h)/(4*sn_h)))^2)</f>
        <v/>
      </c>
    </row>
    <row r="451">
      <c r="B451" s="55" t="n">
        <v>20</v>
      </c>
      <c r="C451" s="56">
        <f>IF(20&lt;posS_sn,1-20/200,IF(20=posS_sn,tstS_sn,1-(20-1)/200))</f>
        <v/>
      </c>
      <c r="D451" s="59">
        <f>IF($C451&gt;=1,sn_h,3/7*sn_h+4/7*sn_h/MAX($C451,1E-12))</f>
        <v/>
      </c>
      <c r="E451" s="57">
        <f>(fcd_sn*sn_b*sn_h*(3/7+4/7*(1-$C451^2/3))+SUMPRODUCT($J$5:$K$5,$J451:$K451))/1000</f>
        <v/>
      </c>
      <c r="F451" s="57">
        <f>((fcd_sn*sn_b*(3/14*sn_h*(sn_h-3/7*sn_h)+4/7*sn_h*(sn_h/2-3/7*sn_h)*(1-$C451^2/3)-16/49*sn_h^2*(1/2-$C451^2/4))+SUMPRODUCT($J$5:$K$5,$J451:$K451,$J$7:$K$7))/1E6)</f>
        <v/>
      </c>
      <c r="G451" s="57">
        <f>IF(AND(MIN($E451,$E452)&lt;=sn_N,sn_N&lt;=MAX($E451,$E452)),IF($E451=$E452,MAX($F451,$F452),$F451+(sn_N-$E451)*($F452-$F451)/($E452-$E451)),"")</f>
        <v/>
      </c>
      <c r="H451" s="57">
        <f>IF(AND(MIN($E451,$E452)&lt;=sn_N,sn_N&lt;=MAX($E451,$E452)),IF($E451=$E452,MIN($F451,$F452),$F451+(sn_N-$E451)*($F452-$F451)/($E452-$E451)),"")</f>
        <v/>
      </c>
      <c r="J451">
        <f>MAX(-fyd_sn,MIN(fyd_sn,200000*0.002*(1-$C451*(7*J$6-3*sn_h)/(4*sn_h))))-fcd_sn*(1-MIN(1,MAX(0,$C451*(7*J$6-3*sn_h)/(4*sn_h)))^2)</f>
        <v/>
      </c>
      <c r="K451">
        <f>MAX(-fyd_sn,MIN(fyd_sn,200000*0.002*(1-$C451*(7*K$6-3*sn_h)/(4*sn_h))))-fcd_sn*(1-MIN(1,MAX(0,$C451*(7*K$6-3*sn_h)/(4*sn_h)))^2)</f>
        <v/>
      </c>
    </row>
    <row r="452">
      <c r="B452" s="55" t="n">
        <v>21</v>
      </c>
      <c r="C452" s="56">
        <f>IF(21&lt;posS_sn,1-21/200,IF(21=posS_sn,tstS_sn,1-(21-1)/200))</f>
        <v/>
      </c>
      <c r="D452" s="59">
        <f>IF($C452&gt;=1,sn_h,3/7*sn_h+4/7*sn_h/MAX($C452,1E-12))</f>
        <v/>
      </c>
      <c r="E452" s="57">
        <f>(fcd_sn*sn_b*sn_h*(3/7+4/7*(1-$C452^2/3))+SUMPRODUCT($J$5:$K$5,$J452:$K452))/1000</f>
        <v/>
      </c>
      <c r="F452" s="57">
        <f>((fcd_sn*sn_b*(3/14*sn_h*(sn_h-3/7*sn_h)+4/7*sn_h*(sn_h/2-3/7*sn_h)*(1-$C452^2/3)-16/49*sn_h^2*(1/2-$C452^2/4))+SUMPRODUCT($J$5:$K$5,$J452:$K452,$J$7:$K$7))/1E6)</f>
        <v/>
      </c>
      <c r="G452" s="57">
        <f>IF(AND(MIN($E452,$E453)&lt;=sn_N,sn_N&lt;=MAX($E452,$E453)),IF($E452=$E453,MAX($F452,$F453),$F452+(sn_N-$E452)*($F453-$F452)/($E453-$E452)),"")</f>
        <v/>
      </c>
      <c r="H452" s="57">
        <f>IF(AND(MIN($E452,$E453)&lt;=sn_N,sn_N&lt;=MAX($E452,$E453)),IF($E452=$E453,MIN($F452,$F453),$F452+(sn_N-$E452)*($F453-$F452)/($E453-$E452)),"")</f>
        <v/>
      </c>
      <c r="J452">
        <f>MAX(-fyd_sn,MIN(fyd_sn,200000*0.002*(1-$C452*(7*J$6-3*sn_h)/(4*sn_h))))-fcd_sn*(1-MIN(1,MAX(0,$C452*(7*J$6-3*sn_h)/(4*sn_h)))^2)</f>
        <v/>
      </c>
      <c r="K452">
        <f>MAX(-fyd_sn,MIN(fyd_sn,200000*0.002*(1-$C452*(7*K$6-3*sn_h)/(4*sn_h))))-fcd_sn*(1-MIN(1,MAX(0,$C452*(7*K$6-3*sn_h)/(4*sn_h)))^2)</f>
        <v/>
      </c>
    </row>
    <row r="453">
      <c r="B453" s="55" t="n">
        <v>22</v>
      </c>
      <c r="C453" s="56">
        <f>IF(22&lt;posS_sn,1-22/200,IF(22=posS_sn,tstS_sn,1-(22-1)/200))</f>
        <v/>
      </c>
      <c r="D453" s="59">
        <f>IF($C453&gt;=1,sn_h,3/7*sn_h+4/7*sn_h/MAX($C453,1E-12))</f>
        <v/>
      </c>
      <c r="E453" s="57">
        <f>(fcd_sn*sn_b*sn_h*(3/7+4/7*(1-$C453^2/3))+SUMPRODUCT($J$5:$K$5,$J453:$K453))/1000</f>
        <v/>
      </c>
      <c r="F453" s="57">
        <f>((fcd_sn*sn_b*(3/14*sn_h*(sn_h-3/7*sn_h)+4/7*sn_h*(sn_h/2-3/7*sn_h)*(1-$C453^2/3)-16/49*sn_h^2*(1/2-$C453^2/4))+SUMPRODUCT($J$5:$K$5,$J453:$K453,$J$7:$K$7))/1E6)</f>
        <v/>
      </c>
      <c r="G453" s="57">
        <f>IF(AND(MIN($E453,$E454)&lt;=sn_N,sn_N&lt;=MAX($E453,$E454)),IF($E453=$E454,MAX($F453,$F454),$F453+(sn_N-$E453)*($F454-$F453)/($E454-$E453)),"")</f>
        <v/>
      </c>
      <c r="H453" s="57">
        <f>IF(AND(MIN($E453,$E454)&lt;=sn_N,sn_N&lt;=MAX($E453,$E454)),IF($E453=$E454,MIN($F453,$F454),$F453+(sn_N-$E453)*($F454-$F453)/($E454-$E453)),"")</f>
        <v/>
      </c>
      <c r="J453">
        <f>MAX(-fyd_sn,MIN(fyd_sn,200000*0.002*(1-$C453*(7*J$6-3*sn_h)/(4*sn_h))))-fcd_sn*(1-MIN(1,MAX(0,$C453*(7*J$6-3*sn_h)/(4*sn_h)))^2)</f>
        <v/>
      </c>
      <c r="K453">
        <f>MAX(-fyd_sn,MIN(fyd_sn,200000*0.002*(1-$C453*(7*K$6-3*sn_h)/(4*sn_h))))-fcd_sn*(1-MIN(1,MAX(0,$C453*(7*K$6-3*sn_h)/(4*sn_h)))^2)</f>
        <v/>
      </c>
    </row>
    <row r="454">
      <c r="B454" s="55" t="n">
        <v>23</v>
      </c>
      <c r="C454" s="56">
        <f>IF(23&lt;posS_sn,1-23/200,IF(23=posS_sn,tstS_sn,1-(23-1)/200))</f>
        <v/>
      </c>
      <c r="D454" s="59">
        <f>IF($C454&gt;=1,sn_h,3/7*sn_h+4/7*sn_h/MAX($C454,1E-12))</f>
        <v/>
      </c>
      <c r="E454" s="57">
        <f>(fcd_sn*sn_b*sn_h*(3/7+4/7*(1-$C454^2/3))+SUMPRODUCT($J$5:$K$5,$J454:$K454))/1000</f>
        <v/>
      </c>
      <c r="F454" s="57">
        <f>((fcd_sn*sn_b*(3/14*sn_h*(sn_h-3/7*sn_h)+4/7*sn_h*(sn_h/2-3/7*sn_h)*(1-$C454^2/3)-16/49*sn_h^2*(1/2-$C454^2/4))+SUMPRODUCT($J$5:$K$5,$J454:$K454,$J$7:$K$7))/1E6)</f>
        <v/>
      </c>
      <c r="G454" s="57">
        <f>IF(AND(MIN($E454,$E455)&lt;=sn_N,sn_N&lt;=MAX($E454,$E455)),IF($E454=$E455,MAX($F454,$F455),$F454+(sn_N-$E454)*($F455-$F454)/($E455-$E454)),"")</f>
        <v/>
      </c>
      <c r="H454" s="57">
        <f>IF(AND(MIN($E454,$E455)&lt;=sn_N,sn_N&lt;=MAX($E454,$E455)),IF($E454=$E455,MIN($F454,$F455),$F454+(sn_N-$E454)*($F455-$F454)/($E455-$E454)),"")</f>
        <v/>
      </c>
      <c r="J454">
        <f>MAX(-fyd_sn,MIN(fyd_sn,200000*0.002*(1-$C454*(7*J$6-3*sn_h)/(4*sn_h))))-fcd_sn*(1-MIN(1,MAX(0,$C454*(7*J$6-3*sn_h)/(4*sn_h)))^2)</f>
        <v/>
      </c>
      <c r="K454">
        <f>MAX(-fyd_sn,MIN(fyd_sn,200000*0.002*(1-$C454*(7*K$6-3*sn_h)/(4*sn_h))))-fcd_sn*(1-MIN(1,MAX(0,$C454*(7*K$6-3*sn_h)/(4*sn_h)))^2)</f>
        <v/>
      </c>
    </row>
    <row r="455">
      <c r="B455" s="55" t="n">
        <v>24</v>
      </c>
      <c r="C455" s="56">
        <f>IF(24&lt;posS_sn,1-24/200,IF(24=posS_sn,tstS_sn,1-(24-1)/200))</f>
        <v/>
      </c>
      <c r="D455" s="59">
        <f>IF($C455&gt;=1,sn_h,3/7*sn_h+4/7*sn_h/MAX($C455,1E-12))</f>
        <v/>
      </c>
      <c r="E455" s="57">
        <f>(fcd_sn*sn_b*sn_h*(3/7+4/7*(1-$C455^2/3))+SUMPRODUCT($J$5:$K$5,$J455:$K455))/1000</f>
        <v/>
      </c>
      <c r="F455" s="57">
        <f>((fcd_sn*sn_b*(3/14*sn_h*(sn_h-3/7*sn_h)+4/7*sn_h*(sn_h/2-3/7*sn_h)*(1-$C455^2/3)-16/49*sn_h^2*(1/2-$C455^2/4))+SUMPRODUCT($J$5:$K$5,$J455:$K455,$J$7:$K$7))/1E6)</f>
        <v/>
      </c>
      <c r="G455" s="57">
        <f>IF(AND(MIN($E455,$E456)&lt;=sn_N,sn_N&lt;=MAX($E455,$E456)),IF($E455=$E456,MAX($F455,$F456),$F455+(sn_N-$E455)*($F456-$F455)/($E456-$E455)),"")</f>
        <v/>
      </c>
      <c r="H455" s="57">
        <f>IF(AND(MIN($E455,$E456)&lt;=sn_N,sn_N&lt;=MAX($E455,$E456)),IF($E455=$E456,MIN($F455,$F456),$F455+(sn_N-$E455)*($F456-$F455)/($E456-$E455)),"")</f>
        <v/>
      </c>
      <c r="J455">
        <f>MAX(-fyd_sn,MIN(fyd_sn,200000*0.002*(1-$C455*(7*J$6-3*sn_h)/(4*sn_h))))-fcd_sn*(1-MIN(1,MAX(0,$C455*(7*J$6-3*sn_h)/(4*sn_h)))^2)</f>
        <v/>
      </c>
      <c r="K455">
        <f>MAX(-fyd_sn,MIN(fyd_sn,200000*0.002*(1-$C455*(7*K$6-3*sn_h)/(4*sn_h))))-fcd_sn*(1-MIN(1,MAX(0,$C455*(7*K$6-3*sn_h)/(4*sn_h)))^2)</f>
        <v/>
      </c>
    </row>
    <row r="456">
      <c r="B456" s="55" t="n">
        <v>25</v>
      </c>
      <c r="C456" s="56">
        <f>IF(25&lt;posS_sn,1-25/200,IF(25=posS_sn,tstS_sn,1-(25-1)/200))</f>
        <v/>
      </c>
      <c r="D456" s="59">
        <f>IF($C456&gt;=1,sn_h,3/7*sn_h+4/7*sn_h/MAX($C456,1E-12))</f>
        <v/>
      </c>
      <c r="E456" s="57">
        <f>(fcd_sn*sn_b*sn_h*(3/7+4/7*(1-$C456^2/3))+SUMPRODUCT($J$5:$K$5,$J456:$K456))/1000</f>
        <v/>
      </c>
      <c r="F456" s="57">
        <f>((fcd_sn*sn_b*(3/14*sn_h*(sn_h-3/7*sn_h)+4/7*sn_h*(sn_h/2-3/7*sn_h)*(1-$C456^2/3)-16/49*sn_h^2*(1/2-$C456^2/4))+SUMPRODUCT($J$5:$K$5,$J456:$K456,$J$7:$K$7))/1E6)</f>
        <v/>
      </c>
      <c r="G456" s="57">
        <f>IF(AND(MIN($E456,$E457)&lt;=sn_N,sn_N&lt;=MAX($E456,$E457)),IF($E456=$E457,MAX($F456,$F457),$F456+(sn_N-$E456)*($F457-$F456)/($E457-$E456)),"")</f>
        <v/>
      </c>
      <c r="H456" s="57">
        <f>IF(AND(MIN($E456,$E457)&lt;=sn_N,sn_N&lt;=MAX($E456,$E457)),IF($E456=$E457,MIN($F456,$F457),$F456+(sn_N-$E456)*($F457-$F456)/($E457-$E456)),"")</f>
        <v/>
      </c>
      <c r="J456">
        <f>MAX(-fyd_sn,MIN(fyd_sn,200000*0.002*(1-$C456*(7*J$6-3*sn_h)/(4*sn_h))))-fcd_sn*(1-MIN(1,MAX(0,$C456*(7*J$6-3*sn_h)/(4*sn_h)))^2)</f>
        <v/>
      </c>
      <c r="K456">
        <f>MAX(-fyd_sn,MIN(fyd_sn,200000*0.002*(1-$C456*(7*K$6-3*sn_h)/(4*sn_h))))-fcd_sn*(1-MIN(1,MAX(0,$C456*(7*K$6-3*sn_h)/(4*sn_h)))^2)</f>
        <v/>
      </c>
    </row>
    <row r="457">
      <c r="B457" s="55" t="n">
        <v>26</v>
      </c>
      <c r="C457" s="56">
        <f>IF(26&lt;posS_sn,1-26/200,IF(26=posS_sn,tstS_sn,1-(26-1)/200))</f>
        <v/>
      </c>
      <c r="D457" s="59">
        <f>IF($C457&gt;=1,sn_h,3/7*sn_h+4/7*sn_h/MAX($C457,1E-12))</f>
        <v/>
      </c>
      <c r="E457" s="57">
        <f>(fcd_sn*sn_b*sn_h*(3/7+4/7*(1-$C457^2/3))+SUMPRODUCT($J$5:$K$5,$J457:$K457))/1000</f>
        <v/>
      </c>
      <c r="F457" s="57">
        <f>((fcd_sn*sn_b*(3/14*sn_h*(sn_h-3/7*sn_h)+4/7*sn_h*(sn_h/2-3/7*sn_h)*(1-$C457^2/3)-16/49*sn_h^2*(1/2-$C457^2/4))+SUMPRODUCT($J$5:$K$5,$J457:$K457,$J$7:$K$7))/1E6)</f>
        <v/>
      </c>
      <c r="G457" s="57">
        <f>IF(AND(MIN($E457,$E458)&lt;=sn_N,sn_N&lt;=MAX($E457,$E458)),IF($E457=$E458,MAX($F457,$F458),$F457+(sn_N-$E457)*($F458-$F457)/($E458-$E457)),"")</f>
        <v/>
      </c>
      <c r="H457" s="57">
        <f>IF(AND(MIN($E457,$E458)&lt;=sn_N,sn_N&lt;=MAX($E457,$E458)),IF($E457=$E458,MIN($F457,$F458),$F457+(sn_N-$E457)*($F458-$F457)/($E458-$E457)),"")</f>
        <v/>
      </c>
      <c r="J457">
        <f>MAX(-fyd_sn,MIN(fyd_sn,200000*0.002*(1-$C457*(7*J$6-3*sn_h)/(4*sn_h))))-fcd_sn*(1-MIN(1,MAX(0,$C457*(7*J$6-3*sn_h)/(4*sn_h)))^2)</f>
        <v/>
      </c>
      <c r="K457">
        <f>MAX(-fyd_sn,MIN(fyd_sn,200000*0.002*(1-$C457*(7*K$6-3*sn_h)/(4*sn_h))))-fcd_sn*(1-MIN(1,MAX(0,$C457*(7*K$6-3*sn_h)/(4*sn_h)))^2)</f>
        <v/>
      </c>
    </row>
    <row r="458">
      <c r="B458" s="55" t="n">
        <v>27</v>
      </c>
      <c r="C458" s="56">
        <f>IF(27&lt;posS_sn,1-27/200,IF(27=posS_sn,tstS_sn,1-(27-1)/200))</f>
        <v/>
      </c>
      <c r="D458" s="59">
        <f>IF($C458&gt;=1,sn_h,3/7*sn_h+4/7*sn_h/MAX($C458,1E-12))</f>
        <v/>
      </c>
      <c r="E458" s="57">
        <f>(fcd_sn*sn_b*sn_h*(3/7+4/7*(1-$C458^2/3))+SUMPRODUCT($J$5:$K$5,$J458:$K458))/1000</f>
        <v/>
      </c>
      <c r="F458" s="57">
        <f>((fcd_sn*sn_b*(3/14*sn_h*(sn_h-3/7*sn_h)+4/7*sn_h*(sn_h/2-3/7*sn_h)*(1-$C458^2/3)-16/49*sn_h^2*(1/2-$C458^2/4))+SUMPRODUCT($J$5:$K$5,$J458:$K458,$J$7:$K$7))/1E6)</f>
        <v/>
      </c>
      <c r="G458" s="57">
        <f>IF(AND(MIN($E458,$E459)&lt;=sn_N,sn_N&lt;=MAX($E458,$E459)),IF($E458=$E459,MAX($F458,$F459),$F458+(sn_N-$E458)*($F459-$F458)/($E459-$E458)),"")</f>
        <v/>
      </c>
      <c r="H458" s="57">
        <f>IF(AND(MIN($E458,$E459)&lt;=sn_N,sn_N&lt;=MAX($E458,$E459)),IF($E458=$E459,MIN($F458,$F459),$F458+(sn_N-$E458)*($F459-$F458)/($E459-$E458)),"")</f>
        <v/>
      </c>
      <c r="J458">
        <f>MAX(-fyd_sn,MIN(fyd_sn,200000*0.002*(1-$C458*(7*J$6-3*sn_h)/(4*sn_h))))-fcd_sn*(1-MIN(1,MAX(0,$C458*(7*J$6-3*sn_h)/(4*sn_h)))^2)</f>
        <v/>
      </c>
      <c r="K458">
        <f>MAX(-fyd_sn,MIN(fyd_sn,200000*0.002*(1-$C458*(7*K$6-3*sn_h)/(4*sn_h))))-fcd_sn*(1-MIN(1,MAX(0,$C458*(7*K$6-3*sn_h)/(4*sn_h)))^2)</f>
        <v/>
      </c>
    </row>
    <row r="459">
      <c r="B459" s="55" t="n">
        <v>28</v>
      </c>
      <c r="C459" s="56">
        <f>IF(28&lt;posS_sn,1-28/200,IF(28=posS_sn,tstS_sn,1-(28-1)/200))</f>
        <v/>
      </c>
      <c r="D459" s="59">
        <f>IF($C459&gt;=1,sn_h,3/7*sn_h+4/7*sn_h/MAX($C459,1E-12))</f>
        <v/>
      </c>
      <c r="E459" s="57">
        <f>(fcd_sn*sn_b*sn_h*(3/7+4/7*(1-$C459^2/3))+SUMPRODUCT($J$5:$K$5,$J459:$K459))/1000</f>
        <v/>
      </c>
      <c r="F459" s="57">
        <f>((fcd_sn*sn_b*(3/14*sn_h*(sn_h-3/7*sn_h)+4/7*sn_h*(sn_h/2-3/7*sn_h)*(1-$C459^2/3)-16/49*sn_h^2*(1/2-$C459^2/4))+SUMPRODUCT($J$5:$K$5,$J459:$K459,$J$7:$K$7))/1E6)</f>
        <v/>
      </c>
      <c r="G459" s="57">
        <f>IF(AND(MIN($E459,$E460)&lt;=sn_N,sn_N&lt;=MAX($E459,$E460)),IF($E459=$E460,MAX($F459,$F460),$F459+(sn_N-$E459)*($F460-$F459)/($E460-$E459)),"")</f>
        <v/>
      </c>
      <c r="H459" s="57">
        <f>IF(AND(MIN($E459,$E460)&lt;=sn_N,sn_N&lt;=MAX($E459,$E460)),IF($E459=$E460,MIN($F459,$F460),$F459+(sn_N-$E459)*($F460-$F459)/($E460-$E459)),"")</f>
        <v/>
      </c>
      <c r="J459">
        <f>MAX(-fyd_sn,MIN(fyd_sn,200000*0.002*(1-$C459*(7*J$6-3*sn_h)/(4*sn_h))))-fcd_sn*(1-MIN(1,MAX(0,$C459*(7*J$6-3*sn_h)/(4*sn_h)))^2)</f>
        <v/>
      </c>
      <c r="K459">
        <f>MAX(-fyd_sn,MIN(fyd_sn,200000*0.002*(1-$C459*(7*K$6-3*sn_h)/(4*sn_h))))-fcd_sn*(1-MIN(1,MAX(0,$C459*(7*K$6-3*sn_h)/(4*sn_h)))^2)</f>
        <v/>
      </c>
    </row>
    <row r="460">
      <c r="B460" s="55" t="n">
        <v>29</v>
      </c>
      <c r="C460" s="56">
        <f>IF(29&lt;posS_sn,1-29/200,IF(29=posS_sn,tstS_sn,1-(29-1)/200))</f>
        <v/>
      </c>
      <c r="D460" s="59">
        <f>IF($C460&gt;=1,sn_h,3/7*sn_h+4/7*sn_h/MAX($C460,1E-12))</f>
        <v/>
      </c>
      <c r="E460" s="57">
        <f>(fcd_sn*sn_b*sn_h*(3/7+4/7*(1-$C460^2/3))+SUMPRODUCT($J$5:$K$5,$J460:$K460))/1000</f>
        <v/>
      </c>
      <c r="F460" s="57">
        <f>((fcd_sn*sn_b*(3/14*sn_h*(sn_h-3/7*sn_h)+4/7*sn_h*(sn_h/2-3/7*sn_h)*(1-$C460^2/3)-16/49*sn_h^2*(1/2-$C460^2/4))+SUMPRODUCT($J$5:$K$5,$J460:$K460,$J$7:$K$7))/1E6)</f>
        <v/>
      </c>
      <c r="G460" s="57">
        <f>IF(AND(MIN($E460,$E461)&lt;=sn_N,sn_N&lt;=MAX($E460,$E461)),IF($E460=$E461,MAX($F460,$F461),$F460+(sn_N-$E460)*($F461-$F460)/($E461-$E460)),"")</f>
        <v/>
      </c>
      <c r="H460" s="57">
        <f>IF(AND(MIN($E460,$E461)&lt;=sn_N,sn_N&lt;=MAX($E460,$E461)),IF($E460=$E461,MIN($F460,$F461),$F460+(sn_N-$E460)*($F461-$F460)/($E461-$E460)),"")</f>
        <v/>
      </c>
      <c r="J460">
        <f>MAX(-fyd_sn,MIN(fyd_sn,200000*0.002*(1-$C460*(7*J$6-3*sn_h)/(4*sn_h))))-fcd_sn*(1-MIN(1,MAX(0,$C460*(7*J$6-3*sn_h)/(4*sn_h)))^2)</f>
        <v/>
      </c>
      <c r="K460">
        <f>MAX(-fyd_sn,MIN(fyd_sn,200000*0.002*(1-$C460*(7*K$6-3*sn_h)/(4*sn_h))))-fcd_sn*(1-MIN(1,MAX(0,$C460*(7*K$6-3*sn_h)/(4*sn_h)))^2)</f>
        <v/>
      </c>
    </row>
    <row r="461">
      <c r="B461" s="55" t="n">
        <v>30</v>
      </c>
      <c r="C461" s="56">
        <f>IF(30&lt;posS_sn,1-30/200,IF(30=posS_sn,tstS_sn,1-(30-1)/200))</f>
        <v/>
      </c>
      <c r="D461" s="59">
        <f>IF($C461&gt;=1,sn_h,3/7*sn_h+4/7*sn_h/MAX($C461,1E-12))</f>
        <v/>
      </c>
      <c r="E461" s="57">
        <f>(fcd_sn*sn_b*sn_h*(3/7+4/7*(1-$C461^2/3))+SUMPRODUCT($J$5:$K$5,$J461:$K461))/1000</f>
        <v/>
      </c>
      <c r="F461" s="57">
        <f>((fcd_sn*sn_b*(3/14*sn_h*(sn_h-3/7*sn_h)+4/7*sn_h*(sn_h/2-3/7*sn_h)*(1-$C461^2/3)-16/49*sn_h^2*(1/2-$C461^2/4))+SUMPRODUCT($J$5:$K$5,$J461:$K461,$J$7:$K$7))/1E6)</f>
        <v/>
      </c>
      <c r="G461" s="57">
        <f>IF(AND(MIN($E461,$E462)&lt;=sn_N,sn_N&lt;=MAX($E461,$E462)),IF($E461=$E462,MAX($F461,$F462),$F461+(sn_N-$E461)*($F462-$F461)/($E462-$E461)),"")</f>
        <v/>
      </c>
      <c r="H461" s="57">
        <f>IF(AND(MIN($E461,$E462)&lt;=sn_N,sn_N&lt;=MAX($E461,$E462)),IF($E461=$E462,MIN($F461,$F462),$F461+(sn_N-$E461)*($F462-$F461)/($E462-$E461)),"")</f>
        <v/>
      </c>
      <c r="J461">
        <f>MAX(-fyd_sn,MIN(fyd_sn,200000*0.002*(1-$C461*(7*J$6-3*sn_h)/(4*sn_h))))-fcd_sn*(1-MIN(1,MAX(0,$C461*(7*J$6-3*sn_h)/(4*sn_h)))^2)</f>
        <v/>
      </c>
      <c r="K461">
        <f>MAX(-fyd_sn,MIN(fyd_sn,200000*0.002*(1-$C461*(7*K$6-3*sn_h)/(4*sn_h))))-fcd_sn*(1-MIN(1,MAX(0,$C461*(7*K$6-3*sn_h)/(4*sn_h)))^2)</f>
        <v/>
      </c>
    </row>
    <row r="462">
      <c r="B462" s="55" t="n">
        <v>31</v>
      </c>
      <c r="C462" s="56">
        <f>IF(31&lt;posS_sn,1-31/200,IF(31=posS_sn,tstS_sn,1-(31-1)/200))</f>
        <v/>
      </c>
      <c r="D462" s="59">
        <f>IF($C462&gt;=1,sn_h,3/7*sn_h+4/7*sn_h/MAX($C462,1E-12))</f>
        <v/>
      </c>
      <c r="E462" s="57">
        <f>(fcd_sn*sn_b*sn_h*(3/7+4/7*(1-$C462^2/3))+SUMPRODUCT($J$5:$K$5,$J462:$K462))/1000</f>
        <v/>
      </c>
      <c r="F462" s="57">
        <f>((fcd_sn*sn_b*(3/14*sn_h*(sn_h-3/7*sn_h)+4/7*sn_h*(sn_h/2-3/7*sn_h)*(1-$C462^2/3)-16/49*sn_h^2*(1/2-$C462^2/4))+SUMPRODUCT($J$5:$K$5,$J462:$K462,$J$7:$K$7))/1E6)</f>
        <v/>
      </c>
      <c r="G462" s="57">
        <f>IF(AND(MIN($E462,$E463)&lt;=sn_N,sn_N&lt;=MAX($E462,$E463)),IF($E462=$E463,MAX($F462,$F463),$F462+(sn_N-$E462)*($F463-$F462)/($E463-$E462)),"")</f>
        <v/>
      </c>
      <c r="H462" s="57">
        <f>IF(AND(MIN($E462,$E463)&lt;=sn_N,sn_N&lt;=MAX($E462,$E463)),IF($E462=$E463,MIN($F462,$F463),$F462+(sn_N-$E462)*($F463-$F462)/($E463-$E462)),"")</f>
        <v/>
      </c>
      <c r="J462">
        <f>MAX(-fyd_sn,MIN(fyd_sn,200000*0.002*(1-$C462*(7*J$6-3*sn_h)/(4*sn_h))))-fcd_sn*(1-MIN(1,MAX(0,$C462*(7*J$6-3*sn_h)/(4*sn_h)))^2)</f>
        <v/>
      </c>
      <c r="K462">
        <f>MAX(-fyd_sn,MIN(fyd_sn,200000*0.002*(1-$C462*(7*K$6-3*sn_h)/(4*sn_h))))-fcd_sn*(1-MIN(1,MAX(0,$C462*(7*K$6-3*sn_h)/(4*sn_h)))^2)</f>
        <v/>
      </c>
    </row>
    <row r="463">
      <c r="B463" s="55" t="n">
        <v>32</v>
      </c>
      <c r="C463" s="56">
        <f>IF(32&lt;posS_sn,1-32/200,IF(32=posS_sn,tstS_sn,1-(32-1)/200))</f>
        <v/>
      </c>
      <c r="D463" s="59">
        <f>IF($C463&gt;=1,sn_h,3/7*sn_h+4/7*sn_h/MAX($C463,1E-12))</f>
        <v/>
      </c>
      <c r="E463" s="57">
        <f>(fcd_sn*sn_b*sn_h*(3/7+4/7*(1-$C463^2/3))+SUMPRODUCT($J$5:$K$5,$J463:$K463))/1000</f>
        <v/>
      </c>
      <c r="F463" s="57">
        <f>((fcd_sn*sn_b*(3/14*sn_h*(sn_h-3/7*sn_h)+4/7*sn_h*(sn_h/2-3/7*sn_h)*(1-$C463^2/3)-16/49*sn_h^2*(1/2-$C463^2/4))+SUMPRODUCT($J$5:$K$5,$J463:$K463,$J$7:$K$7))/1E6)</f>
        <v/>
      </c>
      <c r="G463" s="57">
        <f>IF(AND(MIN($E463,$E464)&lt;=sn_N,sn_N&lt;=MAX($E463,$E464)),IF($E463=$E464,MAX($F463,$F464),$F463+(sn_N-$E463)*($F464-$F463)/($E464-$E463)),"")</f>
        <v/>
      </c>
      <c r="H463" s="57">
        <f>IF(AND(MIN($E463,$E464)&lt;=sn_N,sn_N&lt;=MAX($E463,$E464)),IF($E463=$E464,MIN($F463,$F464),$F463+(sn_N-$E463)*($F464-$F463)/($E464-$E463)),"")</f>
        <v/>
      </c>
      <c r="J463">
        <f>MAX(-fyd_sn,MIN(fyd_sn,200000*0.002*(1-$C463*(7*J$6-3*sn_h)/(4*sn_h))))-fcd_sn*(1-MIN(1,MAX(0,$C463*(7*J$6-3*sn_h)/(4*sn_h)))^2)</f>
        <v/>
      </c>
      <c r="K463">
        <f>MAX(-fyd_sn,MIN(fyd_sn,200000*0.002*(1-$C463*(7*K$6-3*sn_h)/(4*sn_h))))-fcd_sn*(1-MIN(1,MAX(0,$C463*(7*K$6-3*sn_h)/(4*sn_h)))^2)</f>
        <v/>
      </c>
    </row>
    <row r="464">
      <c r="B464" s="55" t="n">
        <v>33</v>
      </c>
      <c r="C464" s="56">
        <f>IF(33&lt;posS_sn,1-33/200,IF(33=posS_sn,tstS_sn,1-(33-1)/200))</f>
        <v/>
      </c>
      <c r="D464" s="59">
        <f>IF($C464&gt;=1,sn_h,3/7*sn_h+4/7*sn_h/MAX($C464,1E-12))</f>
        <v/>
      </c>
      <c r="E464" s="57">
        <f>(fcd_sn*sn_b*sn_h*(3/7+4/7*(1-$C464^2/3))+SUMPRODUCT($J$5:$K$5,$J464:$K464))/1000</f>
        <v/>
      </c>
      <c r="F464" s="57">
        <f>((fcd_sn*sn_b*(3/14*sn_h*(sn_h-3/7*sn_h)+4/7*sn_h*(sn_h/2-3/7*sn_h)*(1-$C464^2/3)-16/49*sn_h^2*(1/2-$C464^2/4))+SUMPRODUCT($J$5:$K$5,$J464:$K464,$J$7:$K$7))/1E6)</f>
        <v/>
      </c>
      <c r="G464" s="57">
        <f>IF(AND(MIN($E464,$E465)&lt;=sn_N,sn_N&lt;=MAX($E464,$E465)),IF($E464=$E465,MAX($F464,$F465),$F464+(sn_N-$E464)*($F465-$F464)/($E465-$E464)),"")</f>
        <v/>
      </c>
      <c r="H464" s="57">
        <f>IF(AND(MIN($E464,$E465)&lt;=sn_N,sn_N&lt;=MAX($E464,$E465)),IF($E464=$E465,MIN($F464,$F465),$F464+(sn_N-$E464)*($F465-$F464)/($E465-$E464)),"")</f>
        <v/>
      </c>
      <c r="J464">
        <f>MAX(-fyd_sn,MIN(fyd_sn,200000*0.002*(1-$C464*(7*J$6-3*sn_h)/(4*sn_h))))-fcd_sn*(1-MIN(1,MAX(0,$C464*(7*J$6-3*sn_h)/(4*sn_h)))^2)</f>
        <v/>
      </c>
      <c r="K464">
        <f>MAX(-fyd_sn,MIN(fyd_sn,200000*0.002*(1-$C464*(7*K$6-3*sn_h)/(4*sn_h))))-fcd_sn*(1-MIN(1,MAX(0,$C464*(7*K$6-3*sn_h)/(4*sn_h)))^2)</f>
        <v/>
      </c>
    </row>
    <row r="465">
      <c r="B465" s="55" t="n">
        <v>34</v>
      </c>
      <c r="C465" s="56">
        <f>IF(34&lt;posS_sn,1-34/200,IF(34=posS_sn,tstS_sn,1-(34-1)/200))</f>
        <v/>
      </c>
      <c r="D465" s="59">
        <f>IF($C465&gt;=1,sn_h,3/7*sn_h+4/7*sn_h/MAX($C465,1E-12))</f>
        <v/>
      </c>
      <c r="E465" s="57">
        <f>(fcd_sn*sn_b*sn_h*(3/7+4/7*(1-$C465^2/3))+SUMPRODUCT($J$5:$K$5,$J465:$K465))/1000</f>
        <v/>
      </c>
      <c r="F465" s="57">
        <f>((fcd_sn*sn_b*(3/14*sn_h*(sn_h-3/7*sn_h)+4/7*sn_h*(sn_h/2-3/7*sn_h)*(1-$C465^2/3)-16/49*sn_h^2*(1/2-$C465^2/4))+SUMPRODUCT($J$5:$K$5,$J465:$K465,$J$7:$K$7))/1E6)</f>
        <v/>
      </c>
      <c r="G465" s="57">
        <f>IF(AND(MIN($E465,$E466)&lt;=sn_N,sn_N&lt;=MAX($E465,$E466)),IF($E465=$E466,MAX($F465,$F466),$F465+(sn_N-$E465)*($F466-$F465)/($E466-$E465)),"")</f>
        <v/>
      </c>
      <c r="H465" s="57">
        <f>IF(AND(MIN($E465,$E466)&lt;=sn_N,sn_N&lt;=MAX($E465,$E466)),IF($E465=$E466,MIN($F465,$F466),$F465+(sn_N-$E465)*($F466-$F465)/($E466-$E465)),"")</f>
        <v/>
      </c>
      <c r="J465">
        <f>MAX(-fyd_sn,MIN(fyd_sn,200000*0.002*(1-$C465*(7*J$6-3*sn_h)/(4*sn_h))))-fcd_sn*(1-MIN(1,MAX(0,$C465*(7*J$6-3*sn_h)/(4*sn_h)))^2)</f>
        <v/>
      </c>
      <c r="K465">
        <f>MAX(-fyd_sn,MIN(fyd_sn,200000*0.002*(1-$C465*(7*K$6-3*sn_h)/(4*sn_h))))-fcd_sn*(1-MIN(1,MAX(0,$C465*(7*K$6-3*sn_h)/(4*sn_h)))^2)</f>
        <v/>
      </c>
    </row>
    <row r="466">
      <c r="B466" s="55" t="n">
        <v>35</v>
      </c>
      <c r="C466" s="56">
        <f>IF(35&lt;posS_sn,1-35/200,IF(35=posS_sn,tstS_sn,1-(35-1)/200))</f>
        <v/>
      </c>
      <c r="D466" s="59">
        <f>IF($C466&gt;=1,sn_h,3/7*sn_h+4/7*sn_h/MAX($C466,1E-12))</f>
        <v/>
      </c>
      <c r="E466" s="57">
        <f>(fcd_sn*sn_b*sn_h*(3/7+4/7*(1-$C466^2/3))+SUMPRODUCT($J$5:$K$5,$J466:$K466))/1000</f>
        <v/>
      </c>
      <c r="F466" s="57">
        <f>((fcd_sn*sn_b*(3/14*sn_h*(sn_h-3/7*sn_h)+4/7*sn_h*(sn_h/2-3/7*sn_h)*(1-$C466^2/3)-16/49*sn_h^2*(1/2-$C466^2/4))+SUMPRODUCT($J$5:$K$5,$J466:$K466,$J$7:$K$7))/1E6)</f>
        <v/>
      </c>
      <c r="G466" s="57">
        <f>IF(AND(MIN($E466,$E467)&lt;=sn_N,sn_N&lt;=MAX($E466,$E467)),IF($E466=$E467,MAX($F466,$F467),$F466+(sn_N-$E466)*($F467-$F466)/($E467-$E466)),"")</f>
        <v/>
      </c>
      <c r="H466" s="57">
        <f>IF(AND(MIN($E466,$E467)&lt;=sn_N,sn_N&lt;=MAX($E466,$E467)),IF($E466=$E467,MIN($F466,$F467),$F466+(sn_N-$E466)*($F467-$F466)/($E467-$E466)),"")</f>
        <v/>
      </c>
      <c r="J466">
        <f>MAX(-fyd_sn,MIN(fyd_sn,200000*0.002*(1-$C466*(7*J$6-3*sn_h)/(4*sn_h))))-fcd_sn*(1-MIN(1,MAX(0,$C466*(7*J$6-3*sn_h)/(4*sn_h)))^2)</f>
        <v/>
      </c>
      <c r="K466">
        <f>MAX(-fyd_sn,MIN(fyd_sn,200000*0.002*(1-$C466*(7*K$6-3*sn_h)/(4*sn_h))))-fcd_sn*(1-MIN(1,MAX(0,$C466*(7*K$6-3*sn_h)/(4*sn_h)))^2)</f>
        <v/>
      </c>
    </row>
    <row r="467">
      <c r="B467" s="55" t="n">
        <v>36</v>
      </c>
      <c r="C467" s="56">
        <f>IF(36&lt;posS_sn,1-36/200,IF(36=posS_sn,tstS_sn,1-(36-1)/200))</f>
        <v/>
      </c>
      <c r="D467" s="59">
        <f>IF($C467&gt;=1,sn_h,3/7*sn_h+4/7*sn_h/MAX($C467,1E-12))</f>
        <v/>
      </c>
      <c r="E467" s="57">
        <f>(fcd_sn*sn_b*sn_h*(3/7+4/7*(1-$C467^2/3))+SUMPRODUCT($J$5:$K$5,$J467:$K467))/1000</f>
        <v/>
      </c>
      <c r="F467" s="57">
        <f>((fcd_sn*sn_b*(3/14*sn_h*(sn_h-3/7*sn_h)+4/7*sn_h*(sn_h/2-3/7*sn_h)*(1-$C467^2/3)-16/49*sn_h^2*(1/2-$C467^2/4))+SUMPRODUCT($J$5:$K$5,$J467:$K467,$J$7:$K$7))/1E6)</f>
        <v/>
      </c>
      <c r="G467" s="57">
        <f>IF(AND(MIN($E467,$E468)&lt;=sn_N,sn_N&lt;=MAX($E467,$E468)),IF($E467=$E468,MAX($F467,$F468),$F467+(sn_N-$E467)*($F468-$F467)/($E468-$E467)),"")</f>
        <v/>
      </c>
      <c r="H467" s="57">
        <f>IF(AND(MIN($E467,$E468)&lt;=sn_N,sn_N&lt;=MAX($E467,$E468)),IF($E467=$E468,MIN($F467,$F468),$F467+(sn_N-$E467)*($F468-$F467)/($E468-$E467)),"")</f>
        <v/>
      </c>
      <c r="J467">
        <f>MAX(-fyd_sn,MIN(fyd_sn,200000*0.002*(1-$C467*(7*J$6-3*sn_h)/(4*sn_h))))-fcd_sn*(1-MIN(1,MAX(0,$C467*(7*J$6-3*sn_h)/(4*sn_h)))^2)</f>
        <v/>
      </c>
      <c r="K467">
        <f>MAX(-fyd_sn,MIN(fyd_sn,200000*0.002*(1-$C467*(7*K$6-3*sn_h)/(4*sn_h))))-fcd_sn*(1-MIN(1,MAX(0,$C467*(7*K$6-3*sn_h)/(4*sn_h)))^2)</f>
        <v/>
      </c>
    </row>
    <row r="468">
      <c r="B468" s="55" t="n">
        <v>37</v>
      </c>
      <c r="C468" s="56">
        <f>IF(37&lt;posS_sn,1-37/200,IF(37=posS_sn,tstS_sn,1-(37-1)/200))</f>
        <v/>
      </c>
      <c r="D468" s="59">
        <f>IF($C468&gt;=1,sn_h,3/7*sn_h+4/7*sn_h/MAX($C468,1E-12))</f>
        <v/>
      </c>
      <c r="E468" s="57">
        <f>(fcd_sn*sn_b*sn_h*(3/7+4/7*(1-$C468^2/3))+SUMPRODUCT($J$5:$K$5,$J468:$K468))/1000</f>
        <v/>
      </c>
      <c r="F468" s="57">
        <f>((fcd_sn*sn_b*(3/14*sn_h*(sn_h-3/7*sn_h)+4/7*sn_h*(sn_h/2-3/7*sn_h)*(1-$C468^2/3)-16/49*sn_h^2*(1/2-$C468^2/4))+SUMPRODUCT($J$5:$K$5,$J468:$K468,$J$7:$K$7))/1E6)</f>
        <v/>
      </c>
      <c r="G468" s="57">
        <f>IF(AND(MIN($E468,$E469)&lt;=sn_N,sn_N&lt;=MAX($E468,$E469)),IF($E468=$E469,MAX($F468,$F469),$F468+(sn_N-$E468)*($F469-$F468)/($E469-$E468)),"")</f>
        <v/>
      </c>
      <c r="H468" s="57">
        <f>IF(AND(MIN($E468,$E469)&lt;=sn_N,sn_N&lt;=MAX($E468,$E469)),IF($E468=$E469,MIN($F468,$F469),$F468+(sn_N-$E468)*($F469-$F468)/($E469-$E468)),"")</f>
        <v/>
      </c>
      <c r="J468">
        <f>MAX(-fyd_sn,MIN(fyd_sn,200000*0.002*(1-$C468*(7*J$6-3*sn_h)/(4*sn_h))))-fcd_sn*(1-MIN(1,MAX(0,$C468*(7*J$6-3*sn_h)/(4*sn_h)))^2)</f>
        <v/>
      </c>
      <c r="K468">
        <f>MAX(-fyd_sn,MIN(fyd_sn,200000*0.002*(1-$C468*(7*K$6-3*sn_h)/(4*sn_h))))-fcd_sn*(1-MIN(1,MAX(0,$C468*(7*K$6-3*sn_h)/(4*sn_h)))^2)</f>
        <v/>
      </c>
    </row>
    <row r="469">
      <c r="B469" s="55" t="n">
        <v>38</v>
      </c>
      <c r="C469" s="56">
        <f>IF(38&lt;posS_sn,1-38/200,IF(38=posS_sn,tstS_sn,1-(38-1)/200))</f>
        <v/>
      </c>
      <c r="D469" s="59">
        <f>IF($C469&gt;=1,sn_h,3/7*sn_h+4/7*sn_h/MAX($C469,1E-12))</f>
        <v/>
      </c>
      <c r="E469" s="57">
        <f>(fcd_sn*sn_b*sn_h*(3/7+4/7*(1-$C469^2/3))+SUMPRODUCT($J$5:$K$5,$J469:$K469))/1000</f>
        <v/>
      </c>
      <c r="F469" s="57">
        <f>((fcd_sn*sn_b*(3/14*sn_h*(sn_h-3/7*sn_h)+4/7*sn_h*(sn_h/2-3/7*sn_h)*(1-$C469^2/3)-16/49*sn_h^2*(1/2-$C469^2/4))+SUMPRODUCT($J$5:$K$5,$J469:$K469,$J$7:$K$7))/1E6)</f>
        <v/>
      </c>
      <c r="G469" s="57">
        <f>IF(AND(MIN($E469,$E470)&lt;=sn_N,sn_N&lt;=MAX($E469,$E470)),IF($E469=$E470,MAX($F469,$F470),$F469+(sn_N-$E469)*($F470-$F469)/($E470-$E469)),"")</f>
        <v/>
      </c>
      <c r="H469" s="57">
        <f>IF(AND(MIN($E469,$E470)&lt;=sn_N,sn_N&lt;=MAX($E469,$E470)),IF($E469=$E470,MIN($F469,$F470),$F469+(sn_N-$E469)*($F470-$F469)/($E470-$E469)),"")</f>
        <v/>
      </c>
      <c r="J469">
        <f>MAX(-fyd_sn,MIN(fyd_sn,200000*0.002*(1-$C469*(7*J$6-3*sn_h)/(4*sn_h))))-fcd_sn*(1-MIN(1,MAX(0,$C469*(7*J$6-3*sn_h)/(4*sn_h)))^2)</f>
        <v/>
      </c>
      <c r="K469">
        <f>MAX(-fyd_sn,MIN(fyd_sn,200000*0.002*(1-$C469*(7*K$6-3*sn_h)/(4*sn_h))))-fcd_sn*(1-MIN(1,MAX(0,$C469*(7*K$6-3*sn_h)/(4*sn_h)))^2)</f>
        <v/>
      </c>
    </row>
    <row r="470">
      <c r="B470" s="55" t="n">
        <v>39</v>
      </c>
      <c r="C470" s="56">
        <f>IF(39&lt;posS_sn,1-39/200,IF(39=posS_sn,tstS_sn,1-(39-1)/200))</f>
        <v/>
      </c>
      <c r="D470" s="59">
        <f>IF($C470&gt;=1,sn_h,3/7*sn_h+4/7*sn_h/MAX($C470,1E-12))</f>
        <v/>
      </c>
      <c r="E470" s="57">
        <f>(fcd_sn*sn_b*sn_h*(3/7+4/7*(1-$C470^2/3))+SUMPRODUCT($J$5:$K$5,$J470:$K470))/1000</f>
        <v/>
      </c>
      <c r="F470" s="57">
        <f>((fcd_sn*sn_b*(3/14*sn_h*(sn_h-3/7*sn_h)+4/7*sn_h*(sn_h/2-3/7*sn_h)*(1-$C470^2/3)-16/49*sn_h^2*(1/2-$C470^2/4))+SUMPRODUCT($J$5:$K$5,$J470:$K470,$J$7:$K$7))/1E6)</f>
        <v/>
      </c>
      <c r="G470" s="57">
        <f>IF(AND(MIN($E470,$E471)&lt;=sn_N,sn_N&lt;=MAX($E470,$E471)),IF($E470=$E471,MAX($F470,$F471),$F470+(sn_N-$E470)*($F471-$F470)/($E471-$E470)),"")</f>
        <v/>
      </c>
      <c r="H470" s="57">
        <f>IF(AND(MIN($E470,$E471)&lt;=sn_N,sn_N&lt;=MAX($E470,$E471)),IF($E470=$E471,MIN($F470,$F471),$F470+(sn_N-$E470)*($F471-$F470)/($E471-$E470)),"")</f>
        <v/>
      </c>
      <c r="J470">
        <f>MAX(-fyd_sn,MIN(fyd_sn,200000*0.002*(1-$C470*(7*J$6-3*sn_h)/(4*sn_h))))-fcd_sn*(1-MIN(1,MAX(0,$C470*(7*J$6-3*sn_h)/(4*sn_h)))^2)</f>
        <v/>
      </c>
      <c r="K470">
        <f>MAX(-fyd_sn,MIN(fyd_sn,200000*0.002*(1-$C470*(7*K$6-3*sn_h)/(4*sn_h))))-fcd_sn*(1-MIN(1,MAX(0,$C470*(7*K$6-3*sn_h)/(4*sn_h)))^2)</f>
        <v/>
      </c>
    </row>
    <row r="471">
      <c r="B471" s="55" t="n">
        <v>40</v>
      </c>
      <c r="C471" s="56">
        <f>IF(40&lt;posS_sn,1-40/200,IF(40=posS_sn,tstS_sn,1-(40-1)/200))</f>
        <v/>
      </c>
      <c r="D471" s="59">
        <f>IF($C471&gt;=1,sn_h,3/7*sn_h+4/7*sn_h/MAX($C471,1E-12))</f>
        <v/>
      </c>
      <c r="E471" s="57">
        <f>(fcd_sn*sn_b*sn_h*(3/7+4/7*(1-$C471^2/3))+SUMPRODUCT($J$5:$K$5,$J471:$K471))/1000</f>
        <v/>
      </c>
      <c r="F471" s="57">
        <f>((fcd_sn*sn_b*(3/14*sn_h*(sn_h-3/7*sn_h)+4/7*sn_h*(sn_h/2-3/7*sn_h)*(1-$C471^2/3)-16/49*sn_h^2*(1/2-$C471^2/4))+SUMPRODUCT($J$5:$K$5,$J471:$K471,$J$7:$K$7))/1E6)</f>
        <v/>
      </c>
      <c r="G471" s="57">
        <f>IF(AND(MIN($E471,$E472)&lt;=sn_N,sn_N&lt;=MAX($E471,$E472)),IF($E471=$E472,MAX($F471,$F472),$F471+(sn_N-$E471)*($F472-$F471)/($E472-$E471)),"")</f>
        <v/>
      </c>
      <c r="H471" s="57">
        <f>IF(AND(MIN($E471,$E472)&lt;=sn_N,sn_N&lt;=MAX($E471,$E472)),IF($E471=$E472,MIN($F471,$F472),$F471+(sn_N-$E471)*($F472-$F471)/($E472-$E471)),"")</f>
        <v/>
      </c>
      <c r="J471">
        <f>MAX(-fyd_sn,MIN(fyd_sn,200000*0.002*(1-$C471*(7*J$6-3*sn_h)/(4*sn_h))))-fcd_sn*(1-MIN(1,MAX(0,$C471*(7*J$6-3*sn_h)/(4*sn_h)))^2)</f>
        <v/>
      </c>
      <c r="K471">
        <f>MAX(-fyd_sn,MIN(fyd_sn,200000*0.002*(1-$C471*(7*K$6-3*sn_h)/(4*sn_h))))-fcd_sn*(1-MIN(1,MAX(0,$C471*(7*K$6-3*sn_h)/(4*sn_h)))^2)</f>
        <v/>
      </c>
    </row>
    <row r="472">
      <c r="B472" s="55" t="n">
        <v>41</v>
      </c>
      <c r="C472" s="56">
        <f>IF(41&lt;posS_sn,1-41/200,IF(41=posS_sn,tstS_sn,1-(41-1)/200))</f>
        <v/>
      </c>
      <c r="D472" s="59">
        <f>IF($C472&gt;=1,sn_h,3/7*sn_h+4/7*sn_h/MAX($C472,1E-12))</f>
        <v/>
      </c>
      <c r="E472" s="57">
        <f>(fcd_sn*sn_b*sn_h*(3/7+4/7*(1-$C472^2/3))+SUMPRODUCT($J$5:$K$5,$J472:$K472))/1000</f>
        <v/>
      </c>
      <c r="F472" s="57">
        <f>((fcd_sn*sn_b*(3/14*sn_h*(sn_h-3/7*sn_h)+4/7*sn_h*(sn_h/2-3/7*sn_h)*(1-$C472^2/3)-16/49*sn_h^2*(1/2-$C472^2/4))+SUMPRODUCT($J$5:$K$5,$J472:$K472,$J$7:$K$7))/1E6)</f>
        <v/>
      </c>
      <c r="G472" s="57">
        <f>IF(AND(MIN($E472,$E473)&lt;=sn_N,sn_N&lt;=MAX($E472,$E473)),IF($E472=$E473,MAX($F472,$F473),$F472+(sn_N-$E472)*($F473-$F472)/($E473-$E472)),"")</f>
        <v/>
      </c>
      <c r="H472" s="57">
        <f>IF(AND(MIN($E472,$E473)&lt;=sn_N,sn_N&lt;=MAX($E472,$E473)),IF($E472=$E473,MIN($F472,$F473),$F472+(sn_N-$E472)*($F473-$F472)/($E473-$E472)),"")</f>
        <v/>
      </c>
      <c r="J472">
        <f>MAX(-fyd_sn,MIN(fyd_sn,200000*0.002*(1-$C472*(7*J$6-3*sn_h)/(4*sn_h))))-fcd_sn*(1-MIN(1,MAX(0,$C472*(7*J$6-3*sn_h)/(4*sn_h)))^2)</f>
        <v/>
      </c>
      <c r="K472">
        <f>MAX(-fyd_sn,MIN(fyd_sn,200000*0.002*(1-$C472*(7*K$6-3*sn_h)/(4*sn_h))))-fcd_sn*(1-MIN(1,MAX(0,$C472*(7*K$6-3*sn_h)/(4*sn_h)))^2)</f>
        <v/>
      </c>
    </row>
    <row r="473">
      <c r="B473" s="55" t="n">
        <v>42</v>
      </c>
      <c r="C473" s="56">
        <f>IF(42&lt;posS_sn,1-42/200,IF(42=posS_sn,tstS_sn,1-(42-1)/200))</f>
        <v/>
      </c>
      <c r="D473" s="59">
        <f>IF($C473&gt;=1,sn_h,3/7*sn_h+4/7*sn_h/MAX($C473,1E-12))</f>
        <v/>
      </c>
      <c r="E473" s="57">
        <f>(fcd_sn*sn_b*sn_h*(3/7+4/7*(1-$C473^2/3))+SUMPRODUCT($J$5:$K$5,$J473:$K473))/1000</f>
        <v/>
      </c>
      <c r="F473" s="57">
        <f>((fcd_sn*sn_b*(3/14*sn_h*(sn_h-3/7*sn_h)+4/7*sn_h*(sn_h/2-3/7*sn_h)*(1-$C473^2/3)-16/49*sn_h^2*(1/2-$C473^2/4))+SUMPRODUCT($J$5:$K$5,$J473:$K473,$J$7:$K$7))/1E6)</f>
        <v/>
      </c>
      <c r="G473" s="57">
        <f>IF(AND(MIN($E473,$E474)&lt;=sn_N,sn_N&lt;=MAX($E473,$E474)),IF($E473=$E474,MAX($F473,$F474),$F473+(sn_N-$E473)*($F474-$F473)/($E474-$E473)),"")</f>
        <v/>
      </c>
      <c r="H473" s="57">
        <f>IF(AND(MIN($E473,$E474)&lt;=sn_N,sn_N&lt;=MAX($E473,$E474)),IF($E473=$E474,MIN($F473,$F474),$F473+(sn_N-$E473)*($F474-$F473)/($E474-$E473)),"")</f>
        <v/>
      </c>
      <c r="J473">
        <f>MAX(-fyd_sn,MIN(fyd_sn,200000*0.002*(1-$C473*(7*J$6-3*sn_h)/(4*sn_h))))-fcd_sn*(1-MIN(1,MAX(0,$C473*(7*J$6-3*sn_h)/(4*sn_h)))^2)</f>
        <v/>
      </c>
      <c r="K473">
        <f>MAX(-fyd_sn,MIN(fyd_sn,200000*0.002*(1-$C473*(7*K$6-3*sn_h)/(4*sn_h))))-fcd_sn*(1-MIN(1,MAX(0,$C473*(7*K$6-3*sn_h)/(4*sn_h)))^2)</f>
        <v/>
      </c>
    </row>
    <row r="474">
      <c r="B474" s="55" t="n">
        <v>43</v>
      </c>
      <c r="C474" s="56">
        <f>IF(43&lt;posS_sn,1-43/200,IF(43=posS_sn,tstS_sn,1-(43-1)/200))</f>
        <v/>
      </c>
      <c r="D474" s="59">
        <f>IF($C474&gt;=1,sn_h,3/7*sn_h+4/7*sn_h/MAX($C474,1E-12))</f>
        <v/>
      </c>
      <c r="E474" s="57">
        <f>(fcd_sn*sn_b*sn_h*(3/7+4/7*(1-$C474^2/3))+SUMPRODUCT($J$5:$K$5,$J474:$K474))/1000</f>
        <v/>
      </c>
      <c r="F474" s="57">
        <f>((fcd_sn*sn_b*(3/14*sn_h*(sn_h-3/7*sn_h)+4/7*sn_h*(sn_h/2-3/7*sn_h)*(1-$C474^2/3)-16/49*sn_h^2*(1/2-$C474^2/4))+SUMPRODUCT($J$5:$K$5,$J474:$K474,$J$7:$K$7))/1E6)</f>
        <v/>
      </c>
      <c r="G474" s="57">
        <f>IF(AND(MIN($E474,$E475)&lt;=sn_N,sn_N&lt;=MAX($E474,$E475)),IF($E474=$E475,MAX($F474,$F475),$F474+(sn_N-$E474)*($F475-$F474)/($E475-$E474)),"")</f>
        <v/>
      </c>
      <c r="H474" s="57">
        <f>IF(AND(MIN($E474,$E475)&lt;=sn_N,sn_N&lt;=MAX($E474,$E475)),IF($E474=$E475,MIN($F474,$F475),$F474+(sn_N-$E474)*($F475-$F474)/($E475-$E474)),"")</f>
        <v/>
      </c>
      <c r="J474">
        <f>MAX(-fyd_sn,MIN(fyd_sn,200000*0.002*(1-$C474*(7*J$6-3*sn_h)/(4*sn_h))))-fcd_sn*(1-MIN(1,MAX(0,$C474*(7*J$6-3*sn_h)/(4*sn_h)))^2)</f>
        <v/>
      </c>
      <c r="K474">
        <f>MAX(-fyd_sn,MIN(fyd_sn,200000*0.002*(1-$C474*(7*K$6-3*sn_h)/(4*sn_h))))-fcd_sn*(1-MIN(1,MAX(0,$C474*(7*K$6-3*sn_h)/(4*sn_h)))^2)</f>
        <v/>
      </c>
    </row>
    <row r="475">
      <c r="B475" s="55" t="n">
        <v>44</v>
      </c>
      <c r="C475" s="56">
        <f>IF(44&lt;posS_sn,1-44/200,IF(44=posS_sn,tstS_sn,1-(44-1)/200))</f>
        <v/>
      </c>
      <c r="D475" s="59">
        <f>IF($C475&gt;=1,sn_h,3/7*sn_h+4/7*sn_h/MAX($C475,1E-12))</f>
        <v/>
      </c>
      <c r="E475" s="57">
        <f>(fcd_sn*sn_b*sn_h*(3/7+4/7*(1-$C475^2/3))+SUMPRODUCT($J$5:$K$5,$J475:$K475))/1000</f>
        <v/>
      </c>
      <c r="F475" s="57">
        <f>((fcd_sn*sn_b*(3/14*sn_h*(sn_h-3/7*sn_h)+4/7*sn_h*(sn_h/2-3/7*sn_h)*(1-$C475^2/3)-16/49*sn_h^2*(1/2-$C475^2/4))+SUMPRODUCT($J$5:$K$5,$J475:$K475,$J$7:$K$7))/1E6)</f>
        <v/>
      </c>
      <c r="G475" s="57">
        <f>IF(AND(MIN($E475,$E476)&lt;=sn_N,sn_N&lt;=MAX($E475,$E476)),IF($E475=$E476,MAX($F475,$F476),$F475+(sn_N-$E475)*($F476-$F475)/($E476-$E475)),"")</f>
        <v/>
      </c>
      <c r="H475" s="57">
        <f>IF(AND(MIN($E475,$E476)&lt;=sn_N,sn_N&lt;=MAX($E475,$E476)),IF($E475=$E476,MIN($F475,$F476),$F475+(sn_N-$E475)*($F476-$F475)/($E476-$E475)),"")</f>
        <v/>
      </c>
      <c r="J475">
        <f>MAX(-fyd_sn,MIN(fyd_sn,200000*0.002*(1-$C475*(7*J$6-3*sn_h)/(4*sn_h))))-fcd_sn*(1-MIN(1,MAX(0,$C475*(7*J$6-3*sn_h)/(4*sn_h)))^2)</f>
        <v/>
      </c>
      <c r="K475">
        <f>MAX(-fyd_sn,MIN(fyd_sn,200000*0.002*(1-$C475*(7*K$6-3*sn_h)/(4*sn_h))))-fcd_sn*(1-MIN(1,MAX(0,$C475*(7*K$6-3*sn_h)/(4*sn_h)))^2)</f>
        <v/>
      </c>
    </row>
    <row r="476">
      <c r="B476" s="55" t="n">
        <v>45</v>
      </c>
      <c r="C476" s="56">
        <f>IF(45&lt;posS_sn,1-45/200,IF(45=posS_sn,tstS_sn,1-(45-1)/200))</f>
        <v/>
      </c>
      <c r="D476" s="59">
        <f>IF($C476&gt;=1,sn_h,3/7*sn_h+4/7*sn_h/MAX($C476,1E-12))</f>
        <v/>
      </c>
      <c r="E476" s="57">
        <f>(fcd_sn*sn_b*sn_h*(3/7+4/7*(1-$C476^2/3))+SUMPRODUCT($J$5:$K$5,$J476:$K476))/1000</f>
        <v/>
      </c>
      <c r="F476" s="57">
        <f>((fcd_sn*sn_b*(3/14*sn_h*(sn_h-3/7*sn_h)+4/7*sn_h*(sn_h/2-3/7*sn_h)*(1-$C476^2/3)-16/49*sn_h^2*(1/2-$C476^2/4))+SUMPRODUCT($J$5:$K$5,$J476:$K476,$J$7:$K$7))/1E6)</f>
        <v/>
      </c>
      <c r="G476" s="57">
        <f>IF(AND(MIN($E476,$E477)&lt;=sn_N,sn_N&lt;=MAX($E476,$E477)),IF($E476=$E477,MAX($F476,$F477),$F476+(sn_N-$E476)*($F477-$F476)/($E477-$E476)),"")</f>
        <v/>
      </c>
      <c r="H476" s="57">
        <f>IF(AND(MIN($E476,$E477)&lt;=sn_N,sn_N&lt;=MAX($E476,$E477)),IF($E476=$E477,MIN($F476,$F477),$F476+(sn_N-$E476)*($F477-$F476)/($E477-$E476)),"")</f>
        <v/>
      </c>
      <c r="J476">
        <f>MAX(-fyd_sn,MIN(fyd_sn,200000*0.002*(1-$C476*(7*J$6-3*sn_h)/(4*sn_h))))-fcd_sn*(1-MIN(1,MAX(0,$C476*(7*J$6-3*sn_h)/(4*sn_h)))^2)</f>
        <v/>
      </c>
      <c r="K476">
        <f>MAX(-fyd_sn,MIN(fyd_sn,200000*0.002*(1-$C476*(7*K$6-3*sn_h)/(4*sn_h))))-fcd_sn*(1-MIN(1,MAX(0,$C476*(7*K$6-3*sn_h)/(4*sn_h)))^2)</f>
        <v/>
      </c>
    </row>
    <row r="477">
      <c r="B477" s="55" t="n">
        <v>46</v>
      </c>
      <c r="C477" s="56">
        <f>IF(46&lt;posS_sn,1-46/200,IF(46=posS_sn,tstS_sn,1-(46-1)/200))</f>
        <v/>
      </c>
      <c r="D477" s="59">
        <f>IF($C477&gt;=1,sn_h,3/7*sn_h+4/7*sn_h/MAX($C477,1E-12))</f>
        <v/>
      </c>
      <c r="E477" s="57">
        <f>(fcd_sn*sn_b*sn_h*(3/7+4/7*(1-$C477^2/3))+SUMPRODUCT($J$5:$K$5,$J477:$K477))/1000</f>
        <v/>
      </c>
      <c r="F477" s="57">
        <f>((fcd_sn*sn_b*(3/14*sn_h*(sn_h-3/7*sn_h)+4/7*sn_h*(sn_h/2-3/7*sn_h)*(1-$C477^2/3)-16/49*sn_h^2*(1/2-$C477^2/4))+SUMPRODUCT($J$5:$K$5,$J477:$K477,$J$7:$K$7))/1E6)</f>
        <v/>
      </c>
      <c r="G477" s="57">
        <f>IF(AND(MIN($E477,$E478)&lt;=sn_N,sn_N&lt;=MAX($E477,$E478)),IF($E477=$E478,MAX($F477,$F478),$F477+(sn_N-$E477)*($F478-$F477)/($E478-$E477)),"")</f>
        <v/>
      </c>
      <c r="H477" s="57">
        <f>IF(AND(MIN($E477,$E478)&lt;=sn_N,sn_N&lt;=MAX($E477,$E478)),IF($E477=$E478,MIN($F477,$F478),$F477+(sn_N-$E477)*($F478-$F477)/($E478-$E477)),"")</f>
        <v/>
      </c>
      <c r="J477">
        <f>MAX(-fyd_sn,MIN(fyd_sn,200000*0.002*(1-$C477*(7*J$6-3*sn_h)/(4*sn_h))))-fcd_sn*(1-MIN(1,MAX(0,$C477*(7*J$6-3*sn_h)/(4*sn_h)))^2)</f>
        <v/>
      </c>
      <c r="K477">
        <f>MAX(-fyd_sn,MIN(fyd_sn,200000*0.002*(1-$C477*(7*K$6-3*sn_h)/(4*sn_h))))-fcd_sn*(1-MIN(1,MAX(0,$C477*(7*K$6-3*sn_h)/(4*sn_h)))^2)</f>
        <v/>
      </c>
    </row>
    <row r="478">
      <c r="B478" s="55" t="n">
        <v>47</v>
      </c>
      <c r="C478" s="56">
        <f>IF(47&lt;posS_sn,1-47/200,IF(47=posS_sn,tstS_sn,1-(47-1)/200))</f>
        <v/>
      </c>
      <c r="D478" s="59">
        <f>IF($C478&gt;=1,sn_h,3/7*sn_h+4/7*sn_h/MAX($C478,1E-12))</f>
        <v/>
      </c>
      <c r="E478" s="57">
        <f>(fcd_sn*sn_b*sn_h*(3/7+4/7*(1-$C478^2/3))+SUMPRODUCT($J$5:$K$5,$J478:$K478))/1000</f>
        <v/>
      </c>
      <c r="F478" s="57">
        <f>((fcd_sn*sn_b*(3/14*sn_h*(sn_h-3/7*sn_h)+4/7*sn_h*(sn_h/2-3/7*sn_h)*(1-$C478^2/3)-16/49*sn_h^2*(1/2-$C478^2/4))+SUMPRODUCT($J$5:$K$5,$J478:$K478,$J$7:$K$7))/1E6)</f>
        <v/>
      </c>
      <c r="G478" s="57">
        <f>IF(AND(MIN($E478,$E479)&lt;=sn_N,sn_N&lt;=MAX($E478,$E479)),IF($E478=$E479,MAX($F478,$F479),$F478+(sn_N-$E478)*($F479-$F478)/($E479-$E478)),"")</f>
        <v/>
      </c>
      <c r="H478" s="57">
        <f>IF(AND(MIN($E478,$E479)&lt;=sn_N,sn_N&lt;=MAX($E478,$E479)),IF($E478=$E479,MIN($F478,$F479),$F478+(sn_N-$E478)*($F479-$F478)/($E479-$E478)),"")</f>
        <v/>
      </c>
      <c r="J478">
        <f>MAX(-fyd_sn,MIN(fyd_sn,200000*0.002*(1-$C478*(7*J$6-3*sn_h)/(4*sn_h))))-fcd_sn*(1-MIN(1,MAX(0,$C478*(7*J$6-3*sn_h)/(4*sn_h)))^2)</f>
        <v/>
      </c>
      <c r="K478">
        <f>MAX(-fyd_sn,MIN(fyd_sn,200000*0.002*(1-$C478*(7*K$6-3*sn_h)/(4*sn_h))))-fcd_sn*(1-MIN(1,MAX(0,$C478*(7*K$6-3*sn_h)/(4*sn_h)))^2)</f>
        <v/>
      </c>
    </row>
    <row r="479">
      <c r="B479" s="55" t="n">
        <v>48</v>
      </c>
      <c r="C479" s="56">
        <f>IF(48&lt;posS_sn,1-48/200,IF(48=posS_sn,tstS_sn,1-(48-1)/200))</f>
        <v/>
      </c>
      <c r="D479" s="59">
        <f>IF($C479&gt;=1,sn_h,3/7*sn_h+4/7*sn_h/MAX($C479,1E-12))</f>
        <v/>
      </c>
      <c r="E479" s="57">
        <f>(fcd_sn*sn_b*sn_h*(3/7+4/7*(1-$C479^2/3))+SUMPRODUCT($J$5:$K$5,$J479:$K479))/1000</f>
        <v/>
      </c>
      <c r="F479" s="57">
        <f>((fcd_sn*sn_b*(3/14*sn_h*(sn_h-3/7*sn_h)+4/7*sn_h*(sn_h/2-3/7*sn_h)*(1-$C479^2/3)-16/49*sn_h^2*(1/2-$C479^2/4))+SUMPRODUCT($J$5:$K$5,$J479:$K479,$J$7:$K$7))/1E6)</f>
        <v/>
      </c>
      <c r="G479" s="57">
        <f>IF(AND(MIN($E479,$E480)&lt;=sn_N,sn_N&lt;=MAX($E479,$E480)),IF($E479=$E480,MAX($F479,$F480),$F479+(sn_N-$E479)*($F480-$F479)/($E480-$E479)),"")</f>
        <v/>
      </c>
      <c r="H479" s="57">
        <f>IF(AND(MIN($E479,$E480)&lt;=sn_N,sn_N&lt;=MAX($E479,$E480)),IF($E479=$E480,MIN($F479,$F480),$F479+(sn_N-$E479)*($F480-$F479)/($E480-$E479)),"")</f>
        <v/>
      </c>
      <c r="J479">
        <f>MAX(-fyd_sn,MIN(fyd_sn,200000*0.002*(1-$C479*(7*J$6-3*sn_h)/(4*sn_h))))-fcd_sn*(1-MIN(1,MAX(0,$C479*(7*J$6-3*sn_h)/(4*sn_h)))^2)</f>
        <v/>
      </c>
      <c r="K479">
        <f>MAX(-fyd_sn,MIN(fyd_sn,200000*0.002*(1-$C479*(7*K$6-3*sn_h)/(4*sn_h))))-fcd_sn*(1-MIN(1,MAX(0,$C479*(7*K$6-3*sn_h)/(4*sn_h)))^2)</f>
        <v/>
      </c>
    </row>
    <row r="480">
      <c r="B480" s="55" t="n">
        <v>49</v>
      </c>
      <c r="C480" s="56">
        <f>IF(49&lt;posS_sn,1-49/200,IF(49=posS_sn,tstS_sn,1-(49-1)/200))</f>
        <v/>
      </c>
      <c r="D480" s="59">
        <f>IF($C480&gt;=1,sn_h,3/7*sn_h+4/7*sn_h/MAX($C480,1E-12))</f>
        <v/>
      </c>
      <c r="E480" s="57">
        <f>(fcd_sn*sn_b*sn_h*(3/7+4/7*(1-$C480^2/3))+SUMPRODUCT($J$5:$K$5,$J480:$K480))/1000</f>
        <v/>
      </c>
      <c r="F480" s="57">
        <f>((fcd_sn*sn_b*(3/14*sn_h*(sn_h-3/7*sn_h)+4/7*sn_h*(sn_h/2-3/7*sn_h)*(1-$C480^2/3)-16/49*sn_h^2*(1/2-$C480^2/4))+SUMPRODUCT($J$5:$K$5,$J480:$K480,$J$7:$K$7))/1E6)</f>
        <v/>
      </c>
      <c r="G480" s="57">
        <f>IF(AND(MIN($E480,$E481)&lt;=sn_N,sn_N&lt;=MAX($E480,$E481)),IF($E480=$E481,MAX($F480,$F481),$F480+(sn_N-$E480)*($F481-$F480)/($E481-$E480)),"")</f>
        <v/>
      </c>
      <c r="H480" s="57">
        <f>IF(AND(MIN($E480,$E481)&lt;=sn_N,sn_N&lt;=MAX($E480,$E481)),IF($E480=$E481,MIN($F480,$F481),$F480+(sn_N-$E480)*($F481-$F480)/($E481-$E480)),"")</f>
        <v/>
      </c>
      <c r="J480">
        <f>MAX(-fyd_sn,MIN(fyd_sn,200000*0.002*(1-$C480*(7*J$6-3*sn_h)/(4*sn_h))))-fcd_sn*(1-MIN(1,MAX(0,$C480*(7*J$6-3*sn_h)/(4*sn_h)))^2)</f>
        <v/>
      </c>
      <c r="K480">
        <f>MAX(-fyd_sn,MIN(fyd_sn,200000*0.002*(1-$C480*(7*K$6-3*sn_h)/(4*sn_h))))-fcd_sn*(1-MIN(1,MAX(0,$C480*(7*K$6-3*sn_h)/(4*sn_h)))^2)</f>
        <v/>
      </c>
    </row>
    <row r="481">
      <c r="B481" s="55" t="n">
        <v>50</v>
      </c>
      <c r="C481" s="56">
        <f>IF(50&lt;posS_sn,1-50/200,IF(50=posS_sn,tstS_sn,1-(50-1)/200))</f>
        <v/>
      </c>
      <c r="D481" s="59">
        <f>IF($C481&gt;=1,sn_h,3/7*sn_h+4/7*sn_h/MAX($C481,1E-12))</f>
        <v/>
      </c>
      <c r="E481" s="57">
        <f>(fcd_sn*sn_b*sn_h*(3/7+4/7*(1-$C481^2/3))+SUMPRODUCT($J$5:$K$5,$J481:$K481))/1000</f>
        <v/>
      </c>
      <c r="F481" s="57">
        <f>((fcd_sn*sn_b*(3/14*sn_h*(sn_h-3/7*sn_h)+4/7*sn_h*(sn_h/2-3/7*sn_h)*(1-$C481^2/3)-16/49*sn_h^2*(1/2-$C481^2/4))+SUMPRODUCT($J$5:$K$5,$J481:$K481,$J$7:$K$7))/1E6)</f>
        <v/>
      </c>
      <c r="G481" s="57">
        <f>IF(AND(MIN($E481,$E482)&lt;=sn_N,sn_N&lt;=MAX($E481,$E482)),IF($E481=$E482,MAX($F481,$F482),$F481+(sn_N-$E481)*($F482-$F481)/($E482-$E481)),"")</f>
        <v/>
      </c>
      <c r="H481" s="57">
        <f>IF(AND(MIN($E481,$E482)&lt;=sn_N,sn_N&lt;=MAX($E481,$E482)),IF($E481=$E482,MIN($F481,$F482),$F481+(sn_N-$E481)*($F482-$F481)/($E482-$E481)),"")</f>
        <v/>
      </c>
      <c r="J481">
        <f>MAX(-fyd_sn,MIN(fyd_sn,200000*0.002*(1-$C481*(7*J$6-3*sn_h)/(4*sn_h))))-fcd_sn*(1-MIN(1,MAX(0,$C481*(7*J$6-3*sn_h)/(4*sn_h)))^2)</f>
        <v/>
      </c>
      <c r="K481">
        <f>MAX(-fyd_sn,MIN(fyd_sn,200000*0.002*(1-$C481*(7*K$6-3*sn_h)/(4*sn_h))))-fcd_sn*(1-MIN(1,MAX(0,$C481*(7*K$6-3*sn_h)/(4*sn_h)))^2)</f>
        <v/>
      </c>
    </row>
    <row r="482">
      <c r="B482" s="55" t="n">
        <v>51</v>
      </c>
      <c r="C482" s="56">
        <f>IF(51&lt;posS_sn,1-51/200,IF(51=posS_sn,tstS_sn,1-(51-1)/200))</f>
        <v/>
      </c>
      <c r="D482" s="59">
        <f>IF($C482&gt;=1,sn_h,3/7*sn_h+4/7*sn_h/MAX($C482,1E-12))</f>
        <v/>
      </c>
      <c r="E482" s="57">
        <f>(fcd_sn*sn_b*sn_h*(3/7+4/7*(1-$C482^2/3))+SUMPRODUCT($J$5:$K$5,$J482:$K482))/1000</f>
        <v/>
      </c>
      <c r="F482" s="57">
        <f>((fcd_sn*sn_b*(3/14*sn_h*(sn_h-3/7*sn_h)+4/7*sn_h*(sn_h/2-3/7*sn_h)*(1-$C482^2/3)-16/49*sn_h^2*(1/2-$C482^2/4))+SUMPRODUCT($J$5:$K$5,$J482:$K482,$J$7:$K$7))/1E6)</f>
        <v/>
      </c>
      <c r="G482" s="57">
        <f>IF(AND(MIN($E482,$E483)&lt;=sn_N,sn_N&lt;=MAX($E482,$E483)),IF($E482=$E483,MAX($F482,$F483),$F482+(sn_N-$E482)*($F483-$F482)/($E483-$E482)),"")</f>
        <v/>
      </c>
      <c r="H482" s="57">
        <f>IF(AND(MIN($E482,$E483)&lt;=sn_N,sn_N&lt;=MAX($E482,$E483)),IF($E482=$E483,MIN($F482,$F483),$F482+(sn_N-$E482)*($F483-$F482)/($E483-$E482)),"")</f>
        <v/>
      </c>
      <c r="J482">
        <f>MAX(-fyd_sn,MIN(fyd_sn,200000*0.002*(1-$C482*(7*J$6-3*sn_h)/(4*sn_h))))-fcd_sn*(1-MIN(1,MAX(0,$C482*(7*J$6-3*sn_h)/(4*sn_h)))^2)</f>
        <v/>
      </c>
      <c r="K482">
        <f>MAX(-fyd_sn,MIN(fyd_sn,200000*0.002*(1-$C482*(7*K$6-3*sn_h)/(4*sn_h))))-fcd_sn*(1-MIN(1,MAX(0,$C482*(7*K$6-3*sn_h)/(4*sn_h)))^2)</f>
        <v/>
      </c>
    </row>
    <row r="483">
      <c r="B483" s="55" t="n">
        <v>52</v>
      </c>
      <c r="C483" s="56">
        <f>IF(52&lt;posS_sn,1-52/200,IF(52=posS_sn,tstS_sn,1-(52-1)/200))</f>
        <v/>
      </c>
      <c r="D483" s="59">
        <f>IF($C483&gt;=1,sn_h,3/7*sn_h+4/7*sn_h/MAX($C483,1E-12))</f>
        <v/>
      </c>
      <c r="E483" s="57">
        <f>(fcd_sn*sn_b*sn_h*(3/7+4/7*(1-$C483^2/3))+SUMPRODUCT($J$5:$K$5,$J483:$K483))/1000</f>
        <v/>
      </c>
      <c r="F483" s="57">
        <f>((fcd_sn*sn_b*(3/14*sn_h*(sn_h-3/7*sn_h)+4/7*sn_h*(sn_h/2-3/7*sn_h)*(1-$C483^2/3)-16/49*sn_h^2*(1/2-$C483^2/4))+SUMPRODUCT($J$5:$K$5,$J483:$K483,$J$7:$K$7))/1E6)</f>
        <v/>
      </c>
      <c r="G483" s="57">
        <f>IF(AND(MIN($E483,$E484)&lt;=sn_N,sn_N&lt;=MAX($E483,$E484)),IF($E483=$E484,MAX($F483,$F484),$F483+(sn_N-$E483)*($F484-$F483)/($E484-$E483)),"")</f>
        <v/>
      </c>
      <c r="H483" s="57">
        <f>IF(AND(MIN($E483,$E484)&lt;=sn_N,sn_N&lt;=MAX($E483,$E484)),IF($E483=$E484,MIN($F483,$F484),$F483+(sn_N-$E483)*($F484-$F483)/($E484-$E483)),"")</f>
        <v/>
      </c>
      <c r="J483">
        <f>MAX(-fyd_sn,MIN(fyd_sn,200000*0.002*(1-$C483*(7*J$6-3*sn_h)/(4*sn_h))))-fcd_sn*(1-MIN(1,MAX(0,$C483*(7*J$6-3*sn_h)/(4*sn_h)))^2)</f>
        <v/>
      </c>
      <c r="K483">
        <f>MAX(-fyd_sn,MIN(fyd_sn,200000*0.002*(1-$C483*(7*K$6-3*sn_h)/(4*sn_h))))-fcd_sn*(1-MIN(1,MAX(0,$C483*(7*K$6-3*sn_h)/(4*sn_h)))^2)</f>
        <v/>
      </c>
    </row>
    <row r="484">
      <c r="B484" s="55" t="n">
        <v>53</v>
      </c>
      <c r="C484" s="56">
        <f>IF(53&lt;posS_sn,1-53/200,IF(53=posS_sn,tstS_sn,1-(53-1)/200))</f>
        <v/>
      </c>
      <c r="D484" s="59">
        <f>IF($C484&gt;=1,sn_h,3/7*sn_h+4/7*sn_h/MAX($C484,1E-12))</f>
        <v/>
      </c>
      <c r="E484" s="57">
        <f>(fcd_sn*sn_b*sn_h*(3/7+4/7*(1-$C484^2/3))+SUMPRODUCT($J$5:$K$5,$J484:$K484))/1000</f>
        <v/>
      </c>
      <c r="F484" s="57">
        <f>((fcd_sn*sn_b*(3/14*sn_h*(sn_h-3/7*sn_h)+4/7*sn_h*(sn_h/2-3/7*sn_h)*(1-$C484^2/3)-16/49*sn_h^2*(1/2-$C484^2/4))+SUMPRODUCT($J$5:$K$5,$J484:$K484,$J$7:$K$7))/1E6)</f>
        <v/>
      </c>
      <c r="G484" s="57">
        <f>IF(AND(MIN($E484,$E485)&lt;=sn_N,sn_N&lt;=MAX($E484,$E485)),IF($E484=$E485,MAX($F484,$F485),$F484+(sn_N-$E484)*($F485-$F484)/($E485-$E484)),"")</f>
        <v/>
      </c>
      <c r="H484" s="57">
        <f>IF(AND(MIN($E484,$E485)&lt;=sn_N,sn_N&lt;=MAX($E484,$E485)),IF($E484=$E485,MIN($F484,$F485),$F484+(sn_N-$E484)*($F485-$F484)/($E485-$E484)),"")</f>
        <v/>
      </c>
      <c r="J484">
        <f>MAX(-fyd_sn,MIN(fyd_sn,200000*0.002*(1-$C484*(7*J$6-3*sn_h)/(4*sn_h))))-fcd_sn*(1-MIN(1,MAX(0,$C484*(7*J$6-3*sn_h)/(4*sn_h)))^2)</f>
        <v/>
      </c>
      <c r="K484">
        <f>MAX(-fyd_sn,MIN(fyd_sn,200000*0.002*(1-$C484*(7*K$6-3*sn_h)/(4*sn_h))))-fcd_sn*(1-MIN(1,MAX(0,$C484*(7*K$6-3*sn_h)/(4*sn_h)))^2)</f>
        <v/>
      </c>
    </row>
    <row r="485">
      <c r="B485" s="55" t="n">
        <v>54</v>
      </c>
      <c r="C485" s="56">
        <f>IF(54&lt;posS_sn,1-54/200,IF(54=posS_sn,tstS_sn,1-(54-1)/200))</f>
        <v/>
      </c>
      <c r="D485" s="59">
        <f>IF($C485&gt;=1,sn_h,3/7*sn_h+4/7*sn_h/MAX($C485,1E-12))</f>
        <v/>
      </c>
      <c r="E485" s="57">
        <f>(fcd_sn*sn_b*sn_h*(3/7+4/7*(1-$C485^2/3))+SUMPRODUCT($J$5:$K$5,$J485:$K485))/1000</f>
        <v/>
      </c>
      <c r="F485" s="57">
        <f>((fcd_sn*sn_b*(3/14*sn_h*(sn_h-3/7*sn_h)+4/7*sn_h*(sn_h/2-3/7*sn_h)*(1-$C485^2/3)-16/49*sn_h^2*(1/2-$C485^2/4))+SUMPRODUCT($J$5:$K$5,$J485:$K485,$J$7:$K$7))/1E6)</f>
        <v/>
      </c>
      <c r="G485" s="57">
        <f>IF(AND(MIN($E485,$E486)&lt;=sn_N,sn_N&lt;=MAX($E485,$E486)),IF($E485=$E486,MAX($F485,$F486),$F485+(sn_N-$E485)*($F486-$F485)/($E486-$E485)),"")</f>
        <v/>
      </c>
      <c r="H485" s="57">
        <f>IF(AND(MIN($E485,$E486)&lt;=sn_N,sn_N&lt;=MAX($E485,$E486)),IF($E485=$E486,MIN($F485,$F486),$F485+(sn_N-$E485)*($F486-$F485)/($E486-$E485)),"")</f>
        <v/>
      </c>
      <c r="J485">
        <f>MAX(-fyd_sn,MIN(fyd_sn,200000*0.002*(1-$C485*(7*J$6-3*sn_h)/(4*sn_h))))-fcd_sn*(1-MIN(1,MAX(0,$C485*(7*J$6-3*sn_h)/(4*sn_h)))^2)</f>
        <v/>
      </c>
      <c r="K485">
        <f>MAX(-fyd_sn,MIN(fyd_sn,200000*0.002*(1-$C485*(7*K$6-3*sn_h)/(4*sn_h))))-fcd_sn*(1-MIN(1,MAX(0,$C485*(7*K$6-3*sn_h)/(4*sn_h)))^2)</f>
        <v/>
      </c>
    </row>
    <row r="486">
      <c r="B486" s="55" t="n">
        <v>55</v>
      </c>
      <c r="C486" s="56">
        <f>IF(55&lt;posS_sn,1-55/200,IF(55=posS_sn,tstS_sn,1-(55-1)/200))</f>
        <v/>
      </c>
      <c r="D486" s="59">
        <f>IF($C486&gt;=1,sn_h,3/7*sn_h+4/7*sn_h/MAX($C486,1E-12))</f>
        <v/>
      </c>
      <c r="E486" s="57">
        <f>(fcd_sn*sn_b*sn_h*(3/7+4/7*(1-$C486^2/3))+SUMPRODUCT($J$5:$K$5,$J486:$K486))/1000</f>
        <v/>
      </c>
      <c r="F486" s="57">
        <f>((fcd_sn*sn_b*(3/14*sn_h*(sn_h-3/7*sn_h)+4/7*sn_h*(sn_h/2-3/7*sn_h)*(1-$C486^2/3)-16/49*sn_h^2*(1/2-$C486^2/4))+SUMPRODUCT($J$5:$K$5,$J486:$K486,$J$7:$K$7))/1E6)</f>
        <v/>
      </c>
      <c r="G486" s="57">
        <f>IF(AND(MIN($E486,$E487)&lt;=sn_N,sn_N&lt;=MAX($E486,$E487)),IF($E486=$E487,MAX($F486,$F487),$F486+(sn_N-$E486)*($F487-$F486)/($E487-$E486)),"")</f>
        <v/>
      </c>
      <c r="H486" s="57">
        <f>IF(AND(MIN($E486,$E487)&lt;=sn_N,sn_N&lt;=MAX($E486,$E487)),IF($E486=$E487,MIN($F486,$F487),$F486+(sn_N-$E486)*($F487-$F486)/($E487-$E486)),"")</f>
        <v/>
      </c>
      <c r="J486">
        <f>MAX(-fyd_sn,MIN(fyd_sn,200000*0.002*(1-$C486*(7*J$6-3*sn_h)/(4*sn_h))))-fcd_sn*(1-MIN(1,MAX(0,$C486*(7*J$6-3*sn_h)/(4*sn_h)))^2)</f>
        <v/>
      </c>
      <c r="K486">
        <f>MAX(-fyd_sn,MIN(fyd_sn,200000*0.002*(1-$C486*(7*K$6-3*sn_h)/(4*sn_h))))-fcd_sn*(1-MIN(1,MAX(0,$C486*(7*K$6-3*sn_h)/(4*sn_h)))^2)</f>
        <v/>
      </c>
    </row>
    <row r="487">
      <c r="B487" s="55" t="n">
        <v>56</v>
      </c>
      <c r="C487" s="56">
        <f>IF(56&lt;posS_sn,1-56/200,IF(56=posS_sn,tstS_sn,1-(56-1)/200))</f>
        <v/>
      </c>
      <c r="D487" s="59">
        <f>IF($C487&gt;=1,sn_h,3/7*sn_h+4/7*sn_h/MAX($C487,1E-12))</f>
        <v/>
      </c>
      <c r="E487" s="57">
        <f>(fcd_sn*sn_b*sn_h*(3/7+4/7*(1-$C487^2/3))+SUMPRODUCT($J$5:$K$5,$J487:$K487))/1000</f>
        <v/>
      </c>
      <c r="F487" s="57">
        <f>((fcd_sn*sn_b*(3/14*sn_h*(sn_h-3/7*sn_h)+4/7*sn_h*(sn_h/2-3/7*sn_h)*(1-$C487^2/3)-16/49*sn_h^2*(1/2-$C487^2/4))+SUMPRODUCT($J$5:$K$5,$J487:$K487,$J$7:$K$7))/1E6)</f>
        <v/>
      </c>
      <c r="G487" s="57">
        <f>IF(AND(MIN($E487,$E488)&lt;=sn_N,sn_N&lt;=MAX($E487,$E488)),IF($E487=$E488,MAX($F487,$F488),$F487+(sn_N-$E487)*($F488-$F487)/($E488-$E487)),"")</f>
        <v/>
      </c>
      <c r="H487" s="57">
        <f>IF(AND(MIN($E487,$E488)&lt;=sn_N,sn_N&lt;=MAX($E487,$E488)),IF($E487=$E488,MIN($F487,$F488),$F487+(sn_N-$E487)*($F488-$F487)/($E488-$E487)),"")</f>
        <v/>
      </c>
      <c r="J487">
        <f>MAX(-fyd_sn,MIN(fyd_sn,200000*0.002*(1-$C487*(7*J$6-3*sn_h)/(4*sn_h))))-fcd_sn*(1-MIN(1,MAX(0,$C487*(7*J$6-3*sn_h)/(4*sn_h)))^2)</f>
        <v/>
      </c>
      <c r="K487">
        <f>MAX(-fyd_sn,MIN(fyd_sn,200000*0.002*(1-$C487*(7*K$6-3*sn_h)/(4*sn_h))))-fcd_sn*(1-MIN(1,MAX(0,$C487*(7*K$6-3*sn_h)/(4*sn_h)))^2)</f>
        <v/>
      </c>
    </row>
    <row r="488">
      <c r="B488" s="55" t="n">
        <v>57</v>
      </c>
      <c r="C488" s="56">
        <f>IF(57&lt;posS_sn,1-57/200,IF(57=posS_sn,tstS_sn,1-(57-1)/200))</f>
        <v/>
      </c>
      <c r="D488" s="59">
        <f>IF($C488&gt;=1,sn_h,3/7*sn_h+4/7*sn_h/MAX($C488,1E-12))</f>
        <v/>
      </c>
      <c r="E488" s="57">
        <f>(fcd_sn*sn_b*sn_h*(3/7+4/7*(1-$C488^2/3))+SUMPRODUCT($J$5:$K$5,$J488:$K488))/1000</f>
        <v/>
      </c>
      <c r="F488" s="57">
        <f>((fcd_sn*sn_b*(3/14*sn_h*(sn_h-3/7*sn_h)+4/7*sn_h*(sn_h/2-3/7*sn_h)*(1-$C488^2/3)-16/49*sn_h^2*(1/2-$C488^2/4))+SUMPRODUCT($J$5:$K$5,$J488:$K488,$J$7:$K$7))/1E6)</f>
        <v/>
      </c>
      <c r="G488" s="57">
        <f>IF(AND(MIN($E488,$E489)&lt;=sn_N,sn_N&lt;=MAX($E488,$E489)),IF($E488=$E489,MAX($F488,$F489),$F488+(sn_N-$E488)*($F489-$F488)/($E489-$E488)),"")</f>
        <v/>
      </c>
      <c r="H488" s="57">
        <f>IF(AND(MIN($E488,$E489)&lt;=sn_N,sn_N&lt;=MAX($E488,$E489)),IF($E488=$E489,MIN($F488,$F489),$F488+(sn_N-$E488)*($F489-$F488)/($E489-$E488)),"")</f>
        <v/>
      </c>
      <c r="J488">
        <f>MAX(-fyd_sn,MIN(fyd_sn,200000*0.002*(1-$C488*(7*J$6-3*sn_h)/(4*sn_h))))-fcd_sn*(1-MIN(1,MAX(0,$C488*(7*J$6-3*sn_h)/(4*sn_h)))^2)</f>
        <v/>
      </c>
      <c r="K488">
        <f>MAX(-fyd_sn,MIN(fyd_sn,200000*0.002*(1-$C488*(7*K$6-3*sn_h)/(4*sn_h))))-fcd_sn*(1-MIN(1,MAX(0,$C488*(7*K$6-3*sn_h)/(4*sn_h)))^2)</f>
        <v/>
      </c>
    </row>
    <row r="489">
      <c r="B489" s="55" t="n">
        <v>58</v>
      </c>
      <c r="C489" s="56">
        <f>IF(58&lt;posS_sn,1-58/200,IF(58=posS_sn,tstS_sn,1-(58-1)/200))</f>
        <v/>
      </c>
      <c r="D489" s="59">
        <f>IF($C489&gt;=1,sn_h,3/7*sn_h+4/7*sn_h/MAX($C489,1E-12))</f>
        <v/>
      </c>
      <c r="E489" s="57">
        <f>(fcd_sn*sn_b*sn_h*(3/7+4/7*(1-$C489^2/3))+SUMPRODUCT($J$5:$K$5,$J489:$K489))/1000</f>
        <v/>
      </c>
      <c r="F489" s="57">
        <f>((fcd_sn*sn_b*(3/14*sn_h*(sn_h-3/7*sn_h)+4/7*sn_h*(sn_h/2-3/7*sn_h)*(1-$C489^2/3)-16/49*sn_h^2*(1/2-$C489^2/4))+SUMPRODUCT($J$5:$K$5,$J489:$K489,$J$7:$K$7))/1E6)</f>
        <v/>
      </c>
      <c r="G489" s="57">
        <f>IF(AND(MIN($E489,$E490)&lt;=sn_N,sn_N&lt;=MAX($E489,$E490)),IF($E489=$E490,MAX($F489,$F490),$F489+(sn_N-$E489)*($F490-$F489)/($E490-$E489)),"")</f>
        <v/>
      </c>
      <c r="H489" s="57">
        <f>IF(AND(MIN($E489,$E490)&lt;=sn_N,sn_N&lt;=MAX($E489,$E490)),IF($E489=$E490,MIN($F489,$F490),$F489+(sn_N-$E489)*($F490-$F489)/($E490-$E489)),"")</f>
        <v/>
      </c>
      <c r="J489">
        <f>MAX(-fyd_sn,MIN(fyd_sn,200000*0.002*(1-$C489*(7*J$6-3*sn_h)/(4*sn_h))))-fcd_sn*(1-MIN(1,MAX(0,$C489*(7*J$6-3*sn_h)/(4*sn_h)))^2)</f>
        <v/>
      </c>
      <c r="K489">
        <f>MAX(-fyd_sn,MIN(fyd_sn,200000*0.002*(1-$C489*(7*K$6-3*sn_h)/(4*sn_h))))-fcd_sn*(1-MIN(1,MAX(0,$C489*(7*K$6-3*sn_h)/(4*sn_h)))^2)</f>
        <v/>
      </c>
    </row>
    <row r="490">
      <c r="B490" s="55" t="n">
        <v>59</v>
      </c>
      <c r="C490" s="56">
        <f>IF(59&lt;posS_sn,1-59/200,IF(59=posS_sn,tstS_sn,1-(59-1)/200))</f>
        <v/>
      </c>
      <c r="D490" s="59">
        <f>IF($C490&gt;=1,sn_h,3/7*sn_h+4/7*sn_h/MAX($C490,1E-12))</f>
        <v/>
      </c>
      <c r="E490" s="57">
        <f>(fcd_sn*sn_b*sn_h*(3/7+4/7*(1-$C490^2/3))+SUMPRODUCT($J$5:$K$5,$J490:$K490))/1000</f>
        <v/>
      </c>
      <c r="F490" s="57">
        <f>((fcd_sn*sn_b*(3/14*sn_h*(sn_h-3/7*sn_h)+4/7*sn_h*(sn_h/2-3/7*sn_h)*(1-$C490^2/3)-16/49*sn_h^2*(1/2-$C490^2/4))+SUMPRODUCT($J$5:$K$5,$J490:$K490,$J$7:$K$7))/1E6)</f>
        <v/>
      </c>
      <c r="G490" s="57">
        <f>IF(AND(MIN($E490,$E491)&lt;=sn_N,sn_N&lt;=MAX($E490,$E491)),IF($E490=$E491,MAX($F490,$F491),$F490+(sn_N-$E490)*($F491-$F490)/($E491-$E490)),"")</f>
        <v/>
      </c>
      <c r="H490" s="57">
        <f>IF(AND(MIN($E490,$E491)&lt;=sn_N,sn_N&lt;=MAX($E490,$E491)),IF($E490=$E491,MIN($F490,$F491),$F490+(sn_N-$E490)*($F491-$F490)/($E491-$E490)),"")</f>
        <v/>
      </c>
      <c r="J490">
        <f>MAX(-fyd_sn,MIN(fyd_sn,200000*0.002*(1-$C490*(7*J$6-3*sn_h)/(4*sn_h))))-fcd_sn*(1-MIN(1,MAX(0,$C490*(7*J$6-3*sn_h)/(4*sn_h)))^2)</f>
        <v/>
      </c>
      <c r="K490">
        <f>MAX(-fyd_sn,MIN(fyd_sn,200000*0.002*(1-$C490*(7*K$6-3*sn_h)/(4*sn_h))))-fcd_sn*(1-MIN(1,MAX(0,$C490*(7*K$6-3*sn_h)/(4*sn_h)))^2)</f>
        <v/>
      </c>
    </row>
    <row r="491">
      <c r="B491" s="55" t="n">
        <v>60</v>
      </c>
      <c r="C491" s="56">
        <f>IF(60&lt;posS_sn,1-60/200,IF(60=posS_sn,tstS_sn,1-(60-1)/200))</f>
        <v/>
      </c>
      <c r="D491" s="59">
        <f>IF($C491&gt;=1,sn_h,3/7*sn_h+4/7*sn_h/MAX($C491,1E-12))</f>
        <v/>
      </c>
      <c r="E491" s="57">
        <f>(fcd_sn*sn_b*sn_h*(3/7+4/7*(1-$C491^2/3))+SUMPRODUCT($J$5:$K$5,$J491:$K491))/1000</f>
        <v/>
      </c>
      <c r="F491" s="57">
        <f>((fcd_sn*sn_b*(3/14*sn_h*(sn_h-3/7*sn_h)+4/7*sn_h*(sn_h/2-3/7*sn_h)*(1-$C491^2/3)-16/49*sn_h^2*(1/2-$C491^2/4))+SUMPRODUCT($J$5:$K$5,$J491:$K491,$J$7:$K$7))/1E6)</f>
        <v/>
      </c>
      <c r="G491" s="57">
        <f>IF(AND(MIN($E491,$E492)&lt;=sn_N,sn_N&lt;=MAX($E491,$E492)),IF($E491=$E492,MAX($F491,$F492),$F491+(sn_N-$E491)*($F492-$F491)/($E492-$E491)),"")</f>
        <v/>
      </c>
      <c r="H491" s="57">
        <f>IF(AND(MIN($E491,$E492)&lt;=sn_N,sn_N&lt;=MAX($E491,$E492)),IF($E491=$E492,MIN($F491,$F492),$F491+(sn_N-$E491)*($F492-$F491)/($E492-$E491)),"")</f>
        <v/>
      </c>
      <c r="J491">
        <f>MAX(-fyd_sn,MIN(fyd_sn,200000*0.002*(1-$C491*(7*J$6-3*sn_h)/(4*sn_h))))-fcd_sn*(1-MIN(1,MAX(0,$C491*(7*J$6-3*sn_h)/(4*sn_h)))^2)</f>
        <v/>
      </c>
      <c r="K491">
        <f>MAX(-fyd_sn,MIN(fyd_sn,200000*0.002*(1-$C491*(7*K$6-3*sn_h)/(4*sn_h))))-fcd_sn*(1-MIN(1,MAX(0,$C491*(7*K$6-3*sn_h)/(4*sn_h)))^2)</f>
        <v/>
      </c>
    </row>
    <row r="492">
      <c r="B492" s="55" t="n">
        <v>61</v>
      </c>
      <c r="C492" s="56">
        <f>IF(61&lt;posS_sn,1-61/200,IF(61=posS_sn,tstS_sn,1-(61-1)/200))</f>
        <v/>
      </c>
      <c r="D492" s="59">
        <f>IF($C492&gt;=1,sn_h,3/7*sn_h+4/7*sn_h/MAX($C492,1E-12))</f>
        <v/>
      </c>
      <c r="E492" s="57">
        <f>(fcd_sn*sn_b*sn_h*(3/7+4/7*(1-$C492^2/3))+SUMPRODUCT($J$5:$K$5,$J492:$K492))/1000</f>
        <v/>
      </c>
      <c r="F492" s="57">
        <f>((fcd_sn*sn_b*(3/14*sn_h*(sn_h-3/7*sn_h)+4/7*sn_h*(sn_h/2-3/7*sn_h)*(1-$C492^2/3)-16/49*sn_h^2*(1/2-$C492^2/4))+SUMPRODUCT($J$5:$K$5,$J492:$K492,$J$7:$K$7))/1E6)</f>
        <v/>
      </c>
      <c r="G492" s="57">
        <f>IF(AND(MIN($E492,$E493)&lt;=sn_N,sn_N&lt;=MAX($E492,$E493)),IF($E492=$E493,MAX($F492,$F493),$F492+(sn_N-$E492)*($F493-$F492)/($E493-$E492)),"")</f>
        <v/>
      </c>
      <c r="H492" s="57">
        <f>IF(AND(MIN($E492,$E493)&lt;=sn_N,sn_N&lt;=MAX($E492,$E493)),IF($E492=$E493,MIN($F492,$F493),$F492+(sn_N-$E492)*($F493-$F492)/($E493-$E492)),"")</f>
        <v/>
      </c>
      <c r="J492">
        <f>MAX(-fyd_sn,MIN(fyd_sn,200000*0.002*(1-$C492*(7*J$6-3*sn_h)/(4*sn_h))))-fcd_sn*(1-MIN(1,MAX(0,$C492*(7*J$6-3*sn_h)/(4*sn_h)))^2)</f>
        <v/>
      </c>
      <c r="K492">
        <f>MAX(-fyd_sn,MIN(fyd_sn,200000*0.002*(1-$C492*(7*K$6-3*sn_h)/(4*sn_h))))-fcd_sn*(1-MIN(1,MAX(0,$C492*(7*K$6-3*sn_h)/(4*sn_h)))^2)</f>
        <v/>
      </c>
    </row>
    <row r="493">
      <c r="B493" s="55" t="n">
        <v>62</v>
      </c>
      <c r="C493" s="56">
        <f>IF(62&lt;posS_sn,1-62/200,IF(62=posS_sn,tstS_sn,1-(62-1)/200))</f>
        <v/>
      </c>
      <c r="D493" s="59">
        <f>IF($C493&gt;=1,sn_h,3/7*sn_h+4/7*sn_h/MAX($C493,1E-12))</f>
        <v/>
      </c>
      <c r="E493" s="57">
        <f>(fcd_sn*sn_b*sn_h*(3/7+4/7*(1-$C493^2/3))+SUMPRODUCT($J$5:$K$5,$J493:$K493))/1000</f>
        <v/>
      </c>
      <c r="F493" s="57">
        <f>((fcd_sn*sn_b*(3/14*sn_h*(sn_h-3/7*sn_h)+4/7*sn_h*(sn_h/2-3/7*sn_h)*(1-$C493^2/3)-16/49*sn_h^2*(1/2-$C493^2/4))+SUMPRODUCT($J$5:$K$5,$J493:$K493,$J$7:$K$7))/1E6)</f>
        <v/>
      </c>
      <c r="G493" s="57">
        <f>IF(AND(MIN($E493,$E494)&lt;=sn_N,sn_N&lt;=MAX($E493,$E494)),IF($E493=$E494,MAX($F493,$F494),$F493+(sn_N-$E493)*($F494-$F493)/($E494-$E493)),"")</f>
        <v/>
      </c>
      <c r="H493" s="57">
        <f>IF(AND(MIN($E493,$E494)&lt;=sn_N,sn_N&lt;=MAX($E493,$E494)),IF($E493=$E494,MIN($F493,$F494),$F493+(sn_N-$E493)*($F494-$F493)/($E494-$E493)),"")</f>
        <v/>
      </c>
      <c r="J493">
        <f>MAX(-fyd_sn,MIN(fyd_sn,200000*0.002*(1-$C493*(7*J$6-3*sn_h)/(4*sn_h))))-fcd_sn*(1-MIN(1,MAX(0,$C493*(7*J$6-3*sn_h)/(4*sn_h)))^2)</f>
        <v/>
      </c>
      <c r="K493">
        <f>MAX(-fyd_sn,MIN(fyd_sn,200000*0.002*(1-$C493*(7*K$6-3*sn_h)/(4*sn_h))))-fcd_sn*(1-MIN(1,MAX(0,$C493*(7*K$6-3*sn_h)/(4*sn_h)))^2)</f>
        <v/>
      </c>
    </row>
    <row r="494">
      <c r="B494" s="55" t="n">
        <v>63</v>
      </c>
      <c r="C494" s="56">
        <f>IF(63&lt;posS_sn,1-63/200,IF(63=posS_sn,tstS_sn,1-(63-1)/200))</f>
        <v/>
      </c>
      <c r="D494" s="59">
        <f>IF($C494&gt;=1,sn_h,3/7*sn_h+4/7*sn_h/MAX($C494,1E-12))</f>
        <v/>
      </c>
      <c r="E494" s="57">
        <f>(fcd_sn*sn_b*sn_h*(3/7+4/7*(1-$C494^2/3))+SUMPRODUCT($J$5:$K$5,$J494:$K494))/1000</f>
        <v/>
      </c>
      <c r="F494" s="57">
        <f>((fcd_sn*sn_b*(3/14*sn_h*(sn_h-3/7*sn_h)+4/7*sn_h*(sn_h/2-3/7*sn_h)*(1-$C494^2/3)-16/49*sn_h^2*(1/2-$C494^2/4))+SUMPRODUCT($J$5:$K$5,$J494:$K494,$J$7:$K$7))/1E6)</f>
        <v/>
      </c>
      <c r="G494" s="57">
        <f>IF(AND(MIN($E494,$E495)&lt;=sn_N,sn_N&lt;=MAX($E494,$E495)),IF($E494=$E495,MAX($F494,$F495),$F494+(sn_N-$E494)*($F495-$F494)/($E495-$E494)),"")</f>
        <v/>
      </c>
      <c r="H494" s="57">
        <f>IF(AND(MIN($E494,$E495)&lt;=sn_N,sn_N&lt;=MAX($E494,$E495)),IF($E494=$E495,MIN($F494,$F495),$F494+(sn_N-$E494)*($F495-$F494)/($E495-$E494)),"")</f>
        <v/>
      </c>
      <c r="J494">
        <f>MAX(-fyd_sn,MIN(fyd_sn,200000*0.002*(1-$C494*(7*J$6-3*sn_h)/(4*sn_h))))-fcd_sn*(1-MIN(1,MAX(0,$C494*(7*J$6-3*sn_h)/(4*sn_h)))^2)</f>
        <v/>
      </c>
      <c r="K494">
        <f>MAX(-fyd_sn,MIN(fyd_sn,200000*0.002*(1-$C494*(7*K$6-3*sn_h)/(4*sn_h))))-fcd_sn*(1-MIN(1,MAX(0,$C494*(7*K$6-3*sn_h)/(4*sn_h)))^2)</f>
        <v/>
      </c>
    </row>
    <row r="495">
      <c r="B495" s="55" t="n">
        <v>64</v>
      </c>
      <c r="C495" s="56">
        <f>IF(64&lt;posS_sn,1-64/200,IF(64=posS_sn,tstS_sn,1-(64-1)/200))</f>
        <v/>
      </c>
      <c r="D495" s="59">
        <f>IF($C495&gt;=1,sn_h,3/7*sn_h+4/7*sn_h/MAX($C495,1E-12))</f>
        <v/>
      </c>
      <c r="E495" s="57">
        <f>(fcd_sn*sn_b*sn_h*(3/7+4/7*(1-$C495^2/3))+SUMPRODUCT($J$5:$K$5,$J495:$K495))/1000</f>
        <v/>
      </c>
      <c r="F495" s="57">
        <f>((fcd_sn*sn_b*(3/14*sn_h*(sn_h-3/7*sn_h)+4/7*sn_h*(sn_h/2-3/7*sn_h)*(1-$C495^2/3)-16/49*sn_h^2*(1/2-$C495^2/4))+SUMPRODUCT($J$5:$K$5,$J495:$K495,$J$7:$K$7))/1E6)</f>
        <v/>
      </c>
      <c r="G495" s="57">
        <f>IF(AND(MIN($E495,$E496)&lt;=sn_N,sn_N&lt;=MAX($E495,$E496)),IF($E495=$E496,MAX($F495,$F496),$F495+(sn_N-$E495)*($F496-$F495)/($E496-$E495)),"")</f>
        <v/>
      </c>
      <c r="H495" s="57">
        <f>IF(AND(MIN($E495,$E496)&lt;=sn_N,sn_N&lt;=MAX($E495,$E496)),IF($E495=$E496,MIN($F495,$F496),$F495+(sn_N-$E495)*($F496-$F495)/($E496-$E495)),"")</f>
        <v/>
      </c>
      <c r="J495">
        <f>MAX(-fyd_sn,MIN(fyd_sn,200000*0.002*(1-$C495*(7*J$6-3*sn_h)/(4*sn_h))))-fcd_sn*(1-MIN(1,MAX(0,$C495*(7*J$6-3*sn_h)/(4*sn_h)))^2)</f>
        <v/>
      </c>
      <c r="K495">
        <f>MAX(-fyd_sn,MIN(fyd_sn,200000*0.002*(1-$C495*(7*K$6-3*sn_h)/(4*sn_h))))-fcd_sn*(1-MIN(1,MAX(0,$C495*(7*K$6-3*sn_h)/(4*sn_h)))^2)</f>
        <v/>
      </c>
    </row>
    <row r="496">
      <c r="B496" s="55" t="n">
        <v>65</v>
      </c>
      <c r="C496" s="56">
        <f>IF(65&lt;posS_sn,1-65/200,IF(65=posS_sn,tstS_sn,1-(65-1)/200))</f>
        <v/>
      </c>
      <c r="D496" s="59">
        <f>IF($C496&gt;=1,sn_h,3/7*sn_h+4/7*sn_h/MAX($C496,1E-12))</f>
        <v/>
      </c>
      <c r="E496" s="57">
        <f>(fcd_sn*sn_b*sn_h*(3/7+4/7*(1-$C496^2/3))+SUMPRODUCT($J$5:$K$5,$J496:$K496))/1000</f>
        <v/>
      </c>
      <c r="F496" s="57">
        <f>((fcd_sn*sn_b*(3/14*sn_h*(sn_h-3/7*sn_h)+4/7*sn_h*(sn_h/2-3/7*sn_h)*(1-$C496^2/3)-16/49*sn_h^2*(1/2-$C496^2/4))+SUMPRODUCT($J$5:$K$5,$J496:$K496,$J$7:$K$7))/1E6)</f>
        <v/>
      </c>
      <c r="G496" s="57">
        <f>IF(AND(MIN($E496,$E497)&lt;=sn_N,sn_N&lt;=MAX($E496,$E497)),IF($E496=$E497,MAX($F496,$F497),$F496+(sn_N-$E496)*($F497-$F496)/($E497-$E496)),"")</f>
        <v/>
      </c>
      <c r="H496" s="57">
        <f>IF(AND(MIN($E496,$E497)&lt;=sn_N,sn_N&lt;=MAX($E496,$E497)),IF($E496=$E497,MIN($F496,$F497),$F496+(sn_N-$E496)*($F497-$F496)/($E497-$E496)),"")</f>
        <v/>
      </c>
      <c r="J496">
        <f>MAX(-fyd_sn,MIN(fyd_sn,200000*0.002*(1-$C496*(7*J$6-3*sn_h)/(4*sn_h))))-fcd_sn*(1-MIN(1,MAX(0,$C496*(7*J$6-3*sn_h)/(4*sn_h)))^2)</f>
        <v/>
      </c>
      <c r="K496">
        <f>MAX(-fyd_sn,MIN(fyd_sn,200000*0.002*(1-$C496*(7*K$6-3*sn_h)/(4*sn_h))))-fcd_sn*(1-MIN(1,MAX(0,$C496*(7*K$6-3*sn_h)/(4*sn_h)))^2)</f>
        <v/>
      </c>
    </row>
    <row r="497">
      <c r="B497" s="55" t="n">
        <v>66</v>
      </c>
      <c r="C497" s="56">
        <f>IF(66&lt;posS_sn,1-66/200,IF(66=posS_sn,tstS_sn,1-(66-1)/200))</f>
        <v/>
      </c>
      <c r="D497" s="59">
        <f>IF($C497&gt;=1,sn_h,3/7*sn_h+4/7*sn_h/MAX($C497,1E-12))</f>
        <v/>
      </c>
      <c r="E497" s="57">
        <f>(fcd_sn*sn_b*sn_h*(3/7+4/7*(1-$C497^2/3))+SUMPRODUCT($J$5:$K$5,$J497:$K497))/1000</f>
        <v/>
      </c>
      <c r="F497" s="57">
        <f>((fcd_sn*sn_b*(3/14*sn_h*(sn_h-3/7*sn_h)+4/7*sn_h*(sn_h/2-3/7*sn_h)*(1-$C497^2/3)-16/49*sn_h^2*(1/2-$C497^2/4))+SUMPRODUCT($J$5:$K$5,$J497:$K497,$J$7:$K$7))/1E6)</f>
        <v/>
      </c>
      <c r="G497" s="57">
        <f>IF(AND(MIN($E497,$E498)&lt;=sn_N,sn_N&lt;=MAX($E497,$E498)),IF($E497=$E498,MAX($F497,$F498),$F497+(sn_N-$E497)*($F498-$F497)/($E498-$E497)),"")</f>
        <v/>
      </c>
      <c r="H497" s="57">
        <f>IF(AND(MIN($E497,$E498)&lt;=sn_N,sn_N&lt;=MAX($E497,$E498)),IF($E497=$E498,MIN($F497,$F498),$F497+(sn_N-$E497)*($F498-$F497)/($E498-$E497)),"")</f>
        <v/>
      </c>
      <c r="J497">
        <f>MAX(-fyd_sn,MIN(fyd_sn,200000*0.002*(1-$C497*(7*J$6-3*sn_h)/(4*sn_h))))-fcd_sn*(1-MIN(1,MAX(0,$C497*(7*J$6-3*sn_h)/(4*sn_h)))^2)</f>
        <v/>
      </c>
      <c r="K497">
        <f>MAX(-fyd_sn,MIN(fyd_sn,200000*0.002*(1-$C497*(7*K$6-3*sn_h)/(4*sn_h))))-fcd_sn*(1-MIN(1,MAX(0,$C497*(7*K$6-3*sn_h)/(4*sn_h)))^2)</f>
        <v/>
      </c>
    </row>
    <row r="498">
      <c r="B498" s="55" t="n">
        <v>67</v>
      </c>
      <c r="C498" s="56">
        <f>IF(67&lt;posS_sn,1-67/200,IF(67=posS_sn,tstS_sn,1-(67-1)/200))</f>
        <v/>
      </c>
      <c r="D498" s="59">
        <f>IF($C498&gt;=1,sn_h,3/7*sn_h+4/7*sn_h/MAX($C498,1E-12))</f>
        <v/>
      </c>
      <c r="E498" s="57">
        <f>(fcd_sn*sn_b*sn_h*(3/7+4/7*(1-$C498^2/3))+SUMPRODUCT($J$5:$K$5,$J498:$K498))/1000</f>
        <v/>
      </c>
      <c r="F498" s="57">
        <f>((fcd_sn*sn_b*(3/14*sn_h*(sn_h-3/7*sn_h)+4/7*sn_h*(sn_h/2-3/7*sn_h)*(1-$C498^2/3)-16/49*sn_h^2*(1/2-$C498^2/4))+SUMPRODUCT($J$5:$K$5,$J498:$K498,$J$7:$K$7))/1E6)</f>
        <v/>
      </c>
      <c r="G498" s="57">
        <f>IF(AND(MIN($E498,$E499)&lt;=sn_N,sn_N&lt;=MAX($E498,$E499)),IF($E498=$E499,MAX($F498,$F499),$F498+(sn_N-$E498)*($F499-$F498)/($E499-$E498)),"")</f>
        <v/>
      </c>
      <c r="H498" s="57">
        <f>IF(AND(MIN($E498,$E499)&lt;=sn_N,sn_N&lt;=MAX($E498,$E499)),IF($E498=$E499,MIN($F498,$F499),$F498+(sn_N-$E498)*($F499-$F498)/($E499-$E498)),"")</f>
        <v/>
      </c>
      <c r="J498">
        <f>MAX(-fyd_sn,MIN(fyd_sn,200000*0.002*(1-$C498*(7*J$6-3*sn_h)/(4*sn_h))))-fcd_sn*(1-MIN(1,MAX(0,$C498*(7*J$6-3*sn_h)/(4*sn_h)))^2)</f>
        <v/>
      </c>
      <c r="K498">
        <f>MAX(-fyd_sn,MIN(fyd_sn,200000*0.002*(1-$C498*(7*K$6-3*sn_h)/(4*sn_h))))-fcd_sn*(1-MIN(1,MAX(0,$C498*(7*K$6-3*sn_h)/(4*sn_h)))^2)</f>
        <v/>
      </c>
    </row>
    <row r="499">
      <c r="B499" s="55" t="n">
        <v>68</v>
      </c>
      <c r="C499" s="56">
        <f>IF(68&lt;posS_sn,1-68/200,IF(68=posS_sn,tstS_sn,1-(68-1)/200))</f>
        <v/>
      </c>
      <c r="D499" s="59">
        <f>IF($C499&gt;=1,sn_h,3/7*sn_h+4/7*sn_h/MAX($C499,1E-12))</f>
        <v/>
      </c>
      <c r="E499" s="57">
        <f>(fcd_sn*sn_b*sn_h*(3/7+4/7*(1-$C499^2/3))+SUMPRODUCT($J$5:$K$5,$J499:$K499))/1000</f>
        <v/>
      </c>
      <c r="F499" s="57">
        <f>((fcd_sn*sn_b*(3/14*sn_h*(sn_h-3/7*sn_h)+4/7*sn_h*(sn_h/2-3/7*sn_h)*(1-$C499^2/3)-16/49*sn_h^2*(1/2-$C499^2/4))+SUMPRODUCT($J$5:$K$5,$J499:$K499,$J$7:$K$7))/1E6)</f>
        <v/>
      </c>
      <c r="G499" s="57">
        <f>IF(AND(MIN($E499,$E500)&lt;=sn_N,sn_N&lt;=MAX($E499,$E500)),IF($E499=$E500,MAX($F499,$F500),$F499+(sn_N-$E499)*($F500-$F499)/($E500-$E499)),"")</f>
        <v/>
      </c>
      <c r="H499" s="57">
        <f>IF(AND(MIN($E499,$E500)&lt;=sn_N,sn_N&lt;=MAX($E499,$E500)),IF($E499=$E500,MIN($F499,$F500),$F499+(sn_N-$E499)*($F500-$F499)/($E500-$E499)),"")</f>
        <v/>
      </c>
      <c r="J499">
        <f>MAX(-fyd_sn,MIN(fyd_sn,200000*0.002*(1-$C499*(7*J$6-3*sn_h)/(4*sn_h))))-fcd_sn*(1-MIN(1,MAX(0,$C499*(7*J$6-3*sn_h)/(4*sn_h)))^2)</f>
        <v/>
      </c>
      <c r="K499">
        <f>MAX(-fyd_sn,MIN(fyd_sn,200000*0.002*(1-$C499*(7*K$6-3*sn_h)/(4*sn_h))))-fcd_sn*(1-MIN(1,MAX(0,$C499*(7*K$6-3*sn_h)/(4*sn_h)))^2)</f>
        <v/>
      </c>
    </row>
    <row r="500">
      <c r="B500" s="55" t="n">
        <v>69</v>
      </c>
      <c r="C500" s="56">
        <f>IF(69&lt;posS_sn,1-69/200,IF(69=posS_sn,tstS_sn,1-(69-1)/200))</f>
        <v/>
      </c>
      <c r="D500" s="59">
        <f>IF($C500&gt;=1,sn_h,3/7*sn_h+4/7*sn_h/MAX($C500,1E-12))</f>
        <v/>
      </c>
      <c r="E500" s="57">
        <f>(fcd_sn*sn_b*sn_h*(3/7+4/7*(1-$C500^2/3))+SUMPRODUCT($J$5:$K$5,$J500:$K500))/1000</f>
        <v/>
      </c>
      <c r="F500" s="57">
        <f>((fcd_sn*sn_b*(3/14*sn_h*(sn_h-3/7*sn_h)+4/7*sn_h*(sn_h/2-3/7*sn_h)*(1-$C500^2/3)-16/49*sn_h^2*(1/2-$C500^2/4))+SUMPRODUCT($J$5:$K$5,$J500:$K500,$J$7:$K$7))/1E6)</f>
        <v/>
      </c>
      <c r="G500" s="57">
        <f>IF(AND(MIN($E500,$E501)&lt;=sn_N,sn_N&lt;=MAX($E500,$E501)),IF($E500=$E501,MAX($F500,$F501),$F500+(sn_N-$E500)*($F501-$F500)/($E501-$E500)),"")</f>
        <v/>
      </c>
      <c r="H500" s="57">
        <f>IF(AND(MIN($E500,$E501)&lt;=sn_N,sn_N&lt;=MAX($E500,$E501)),IF($E500=$E501,MIN($F500,$F501),$F500+(sn_N-$E500)*($F501-$F500)/($E501-$E500)),"")</f>
        <v/>
      </c>
      <c r="J500">
        <f>MAX(-fyd_sn,MIN(fyd_sn,200000*0.002*(1-$C500*(7*J$6-3*sn_h)/(4*sn_h))))-fcd_sn*(1-MIN(1,MAX(0,$C500*(7*J$6-3*sn_h)/(4*sn_h)))^2)</f>
        <v/>
      </c>
      <c r="K500">
        <f>MAX(-fyd_sn,MIN(fyd_sn,200000*0.002*(1-$C500*(7*K$6-3*sn_h)/(4*sn_h))))-fcd_sn*(1-MIN(1,MAX(0,$C500*(7*K$6-3*sn_h)/(4*sn_h)))^2)</f>
        <v/>
      </c>
    </row>
    <row r="501">
      <c r="B501" s="55" t="n">
        <v>70</v>
      </c>
      <c r="C501" s="56">
        <f>IF(70&lt;posS_sn,1-70/200,IF(70=posS_sn,tstS_sn,1-(70-1)/200))</f>
        <v/>
      </c>
      <c r="D501" s="59">
        <f>IF($C501&gt;=1,sn_h,3/7*sn_h+4/7*sn_h/MAX($C501,1E-12))</f>
        <v/>
      </c>
      <c r="E501" s="57">
        <f>(fcd_sn*sn_b*sn_h*(3/7+4/7*(1-$C501^2/3))+SUMPRODUCT($J$5:$K$5,$J501:$K501))/1000</f>
        <v/>
      </c>
      <c r="F501" s="57">
        <f>((fcd_sn*sn_b*(3/14*sn_h*(sn_h-3/7*sn_h)+4/7*sn_h*(sn_h/2-3/7*sn_h)*(1-$C501^2/3)-16/49*sn_h^2*(1/2-$C501^2/4))+SUMPRODUCT($J$5:$K$5,$J501:$K501,$J$7:$K$7))/1E6)</f>
        <v/>
      </c>
      <c r="G501" s="57">
        <f>IF(AND(MIN($E501,$E502)&lt;=sn_N,sn_N&lt;=MAX($E501,$E502)),IF($E501=$E502,MAX($F501,$F502),$F501+(sn_N-$E501)*($F502-$F501)/($E502-$E501)),"")</f>
        <v/>
      </c>
      <c r="H501" s="57">
        <f>IF(AND(MIN($E501,$E502)&lt;=sn_N,sn_N&lt;=MAX($E501,$E502)),IF($E501=$E502,MIN($F501,$F502),$F501+(sn_N-$E501)*($F502-$F501)/($E502-$E501)),"")</f>
        <v/>
      </c>
      <c r="J501">
        <f>MAX(-fyd_sn,MIN(fyd_sn,200000*0.002*(1-$C501*(7*J$6-3*sn_h)/(4*sn_h))))-fcd_sn*(1-MIN(1,MAX(0,$C501*(7*J$6-3*sn_h)/(4*sn_h)))^2)</f>
        <v/>
      </c>
      <c r="K501">
        <f>MAX(-fyd_sn,MIN(fyd_sn,200000*0.002*(1-$C501*(7*K$6-3*sn_h)/(4*sn_h))))-fcd_sn*(1-MIN(1,MAX(0,$C501*(7*K$6-3*sn_h)/(4*sn_h)))^2)</f>
        <v/>
      </c>
    </row>
    <row r="502">
      <c r="B502" s="55" t="n">
        <v>71</v>
      </c>
      <c r="C502" s="56">
        <f>IF(71&lt;posS_sn,1-71/200,IF(71=posS_sn,tstS_sn,1-(71-1)/200))</f>
        <v/>
      </c>
      <c r="D502" s="59">
        <f>IF($C502&gt;=1,sn_h,3/7*sn_h+4/7*sn_h/MAX($C502,1E-12))</f>
        <v/>
      </c>
      <c r="E502" s="57">
        <f>(fcd_sn*sn_b*sn_h*(3/7+4/7*(1-$C502^2/3))+SUMPRODUCT($J$5:$K$5,$J502:$K502))/1000</f>
        <v/>
      </c>
      <c r="F502" s="57">
        <f>((fcd_sn*sn_b*(3/14*sn_h*(sn_h-3/7*sn_h)+4/7*sn_h*(sn_h/2-3/7*sn_h)*(1-$C502^2/3)-16/49*sn_h^2*(1/2-$C502^2/4))+SUMPRODUCT($J$5:$K$5,$J502:$K502,$J$7:$K$7))/1E6)</f>
        <v/>
      </c>
      <c r="G502" s="57">
        <f>IF(AND(MIN($E502,$E503)&lt;=sn_N,sn_N&lt;=MAX($E502,$E503)),IF($E502=$E503,MAX($F502,$F503),$F502+(sn_N-$E502)*($F503-$F502)/($E503-$E502)),"")</f>
        <v/>
      </c>
      <c r="H502" s="57">
        <f>IF(AND(MIN($E502,$E503)&lt;=sn_N,sn_N&lt;=MAX($E502,$E503)),IF($E502=$E503,MIN($F502,$F503),$F502+(sn_N-$E502)*($F503-$F502)/($E503-$E502)),"")</f>
        <v/>
      </c>
      <c r="J502">
        <f>MAX(-fyd_sn,MIN(fyd_sn,200000*0.002*(1-$C502*(7*J$6-3*sn_h)/(4*sn_h))))-fcd_sn*(1-MIN(1,MAX(0,$C502*(7*J$6-3*sn_h)/(4*sn_h)))^2)</f>
        <v/>
      </c>
      <c r="K502">
        <f>MAX(-fyd_sn,MIN(fyd_sn,200000*0.002*(1-$C502*(7*K$6-3*sn_h)/(4*sn_h))))-fcd_sn*(1-MIN(1,MAX(0,$C502*(7*K$6-3*sn_h)/(4*sn_h)))^2)</f>
        <v/>
      </c>
    </row>
    <row r="503">
      <c r="B503" s="55" t="n">
        <v>72</v>
      </c>
      <c r="C503" s="56">
        <f>IF(72&lt;posS_sn,1-72/200,IF(72=posS_sn,tstS_sn,1-(72-1)/200))</f>
        <v/>
      </c>
      <c r="D503" s="59">
        <f>IF($C503&gt;=1,sn_h,3/7*sn_h+4/7*sn_h/MAX($C503,1E-12))</f>
        <v/>
      </c>
      <c r="E503" s="57">
        <f>(fcd_sn*sn_b*sn_h*(3/7+4/7*(1-$C503^2/3))+SUMPRODUCT($J$5:$K$5,$J503:$K503))/1000</f>
        <v/>
      </c>
      <c r="F503" s="57">
        <f>((fcd_sn*sn_b*(3/14*sn_h*(sn_h-3/7*sn_h)+4/7*sn_h*(sn_h/2-3/7*sn_h)*(1-$C503^2/3)-16/49*sn_h^2*(1/2-$C503^2/4))+SUMPRODUCT($J$5:$K$5,$J503:$K503,$J$7:$K$7))/1E6)</f>
        <v/>
      </c>
      <c r="G503" s="57">
        <f>IF(AND(MIN($E503,$E504)&lt;=sn_N,sn_N&lt;=MAX($E503,$E504)),IF($E503=$E504,MAX($F503,$F504),$F503+(sn_N-$E503)*($F504-$F503)/($E504-$E503)),"")</f>
        <v/>
      </c>
      <c r="H503" s="57">
        <f>IF(AND(MIN($E503,$E504)&lt;=sn_N,sn_N&lt;=MAX($E503,$E504)),IF($E503=$E504,MIN($F503,$F504),$F503+(sn_N-$E503)*($F504-$F503)/($E504-$E503)),"")</f>
        <v/>
      </c>
      <c r="J503">
        <f>MAX(-fyd_sn,MIN(fyd_sn,200000*0.002*(1-$C503*(7*J$6-3*sn_h)/(4*sn_h))))-fcd_sn*(1-MIN(1,MAX(0,$C503*(7*J$6-3*sn_h)/(4*sn_h)))^2)</f>
        <v/>
      </c>
      <c r="K503">
        <f>MAX(-fyd_sn,MIN(fyd_sn,200000*0.002*(1-$C503*(7*K$6-3*sn_h)/(4*sn_h))))-fcd_sn*(1-MIN(1,MAX(0,$C503*(7*K$6-3*sn_h)/(4*sn_h)))^2)</f>
        <v/>
      </c>
    </row>
    <row r="504">
      <c r="B504" s="55" t="n">
        <v>73</v>
      </c>
      <c r="C504" s="56">
        <f>IF(73&lt;posS_sn,1-73/200,IF(73=posS_sn,tstS_sn,1-(73-1)/200))</f>
        <v/>
      </c>
      <c r="D504" s="59">
        <f>IF($C504&gt;=1,sn_h,3/7*sn_h+4/7*sn_h/MAX($C504,1E-12))</f>
        <v/>
      </c>
      <c r="E504" s="57">
        <f>(fcd_sn*sn_b*sn_h*(3/7+4/7*(1-$C504^2/3))+SUMPRODUCT($J$5:$K$5,$J504:$K504))/1000</f>
        <v/>
      </c>
      <c r="F504" s="57">
        <f>((fcd_sn*sn_b*(3/14*sn_h*(sn_h-3/7*sn_h)+4/7*sn_h*(sn_h/2-3/7*sn_h)*(1-$C504^2/3)-16/49*sn_h^2*(1/2-$C504^2/4))+SUMPRODUCT($J$5:$K$5,$J504:$K504,$J$7:$K$7))/1E6)</f>
        <v/>
      </c>
      <c r="G504" s="57">
        <f>IF(AND(MIN($E504,$E505)&lt;=sn_N,sn_N&lt;=MAX($E504,$E505)),IF($E504=$E505,MAX($F504,$F505),$F504+(sn_N-$E504)*($F505-$F504)/($E505-$E504)),"")</f>
        <v/>
      </c>
      <c r="H504" s="57">
        <f>IF(AND(MIN($E504,$E505)&lt;=sn_N,sn_N&lt;=MAX($E504,$E505)),IF($E504=$E505,MIN($F504,$F505),$F504+(sn_N-$E504)*($F505-$F504)/($E505-$E504)),"")</f>
        <v/>
      </c>
      <c r="J504">
        <f>MAX(-fyd_sn,MIN(fyd_sn,200000*0.002*(1-$C504*(7*J$6-3*sn_h)/(4*sn_h))))-fcd_sn*(1-MIN(1,MAX(0,$C504*(7*J$6-3*sn_h)/(4*sn_h)))^2)</f>
        <v/>
      </c>
      <c r="K504">
        <f>MAX(-fyd_sn,MIN(fyd_sn,200000*0.002*(1-$C504*(7*K$6-3*sn_h)/(4*sn_h))))-fcd_sn*(1-MIN(1,MAX(0,$C504*(7*K$6-3*sn_h)/(4*sn_h)))^2)</f>
        <v/>
      </c>
    </row>
    <row r="505">
      <c r="B505" s="55" t="n">
        <v>74</v>
      </c>
      <c r="C505" s="56">
        <f>IF(74&lt;posS_sn,1-74/200,IF(74=posS_sn,tstS_sn,1-(74-1)/200))</f>
        <v/>
      </c>
      <c r="D505" s="59">
        <f>IF($C505&gt;=1,sn_h,3/7*sn_h+4/7*sn_h/MAX($C505,1E-12))</f>
        <v/>
      </c>
      <c r="E505" s="57">
        <f>(fcd_sn*sn_b*sn_h*(3/7+4/7*(1-$C505^2/3))+SUMPRODUCT($J$5:$K$5,$J505:$K505))/1000</f>
        <v/>
      </c>
      <c r="F505" s="57">
        <f>((fcd_sn*sn_b*(3/14*sn_h*(sn_h-3/7*sn_h)+4/7*sn_h*(sn_h/2-3/7*sn_h)*(1-$C505^2/3)-16/49*sn_h^2*(1/2-$C505^2/4))+SUMPRODUCT($J$5:$K$5,$J505:$K505,$J$7:$K$7))/1E6)</f>
        <v/>
      </c>
      <c r="G505" s="57">
        <f>IF(AND(MIN($E505,$E506)&lt;=sn_N,sn_N&lt;=MAX($E505,$E506)),IF($E505=$E506,MAX($F505,$F506),$F505+(sn_N-$E505)*($F506-$F505)/($E506-$E505)),"")</f>
        <v/>
      </c>
      <c r="H505" s="57">
        <f>IF(AND(MIN($E505,$E506)&lt;=sn_N,sn_N&lt;=MAX($E505,$E506)),IF($E505=$E506,MIN($F505,$F506),$F505+(sn_N-$E505)*($F506-$F505)/($E506-$E505)),"")</f>
        <v/>
      </c>
      <c r="J505">
        <f>MAX(-fyd_sn,MIN(fyd_sn,200000*0.002*(1-$C505*(7*J$6-3*sn_h)/(4*sn_h))))-fcd_sn*(1-MIN(1,MAX(0,$C505*(7*J$6-3*sn_h)/(4*sn_h)))^2)</f>
        <v/>
      </c>
      <c r="K505">
        <f>MAX(-fyd_sn,MIN(fyd_sn,200000*0.002*(1-$C505*(7*K$6-3*sn_h)/(4*sn_h))))-fcd_sn*(1-MIN(1,MAX(0,$C505*(7*K$6-3*sn_h)/(4*sn_h)))^2)</f>
        <v/>
      </c>
    </row>
    <row r="506">
      <c r="B506" s="55" t="n">
        <v>75</v>
      </c>
      <c r="C506" s="56">
        <f>IF(75&lt;posS_sn,1-75/200,IF(75=posS_sn,tstS_sn,1-(75-1)/200))</f>
        <v/>
      </c>
      <c r="D506" s="59">
        <f>IF($C506&gt;=1,sn_h,3/7*sn_h+4/7*sn_h/MAX($C506,1E-12))</f>
        <v/>
      </c>
      <c r="E506" s="57">
        <f>(fcd_sn*sn_b*sn_h*(3/7+4/7*(1-$C506^2/3))+SUMPRODUCT($J$5:$K$5,$J506:$K506))/1000</f>
        <v/>
      </c>
      <c r="F506" s="57">
        <f>((fcd_sn*sn_b*(3/14*sn_h*(sn_h-3/7*sn_h)+4/7*sn_h*(sn_h/2-3/7*sn_h)*(1-$C506^2/3)-16/49*sn_h^2*(1/2-$C506^2/4))+SUMPRODUCT($J$5:$K$5,$J506:$K506,$J$7:$K$7))/1E6)</f>
        <v/>
      </c>
      <c r="G506" s="57">
        <f>IF(AND(MIN($E506,$E507)&lt;=sn_N,sn_N&lt;=MAX($E506,$E507)),IF($E506=$E507,MAX($F506,$F507),$F506+(sn_N-$E506)*($F507-$F506)/($E507-$E506)),"")</f>
        <v/>
      </c>
      <c r="H506" s="57">
        <f>IF(AND(MIN($E506,$E507)&lt;=sn_N,sn_N&lt;=MAX($E506,$E507)),IF($E506=$E507,MIN($F506,$F507),$F506+(sn_N-$E506)*($F507-$F506)/($E507-$E506)),"")</f>
        <v/>
      </c>
      <c r="J506">
        <f>MAX(-fyd_sn,MIN(fyd_sn,200000*0.002*(1-$C506*(7*J$6-3*sn_h)/(4*sn_h))))-fcd_sn*(1-MIN(1,MAX(0,$C506*(7*J$6-3*sn_h)/(4*sn_h)))^2)</f>
        <v/>
      </c>
      <c r="K506">
        <f>MAX(-fyd_sn,MIN(fyd_sn,200000*0.002*(1-$C506*(7*K$6-3*sn_h)/(4*sn_h))))-fcd_sn*(1-MIN(1,MAX(0,$C506*(7*K$6-3*sn_h)/(4*sn_h)))^2)</f>
        <v/>
      </c>
    </row>
    <row r="507">
      <c r="B507" s="55" t="n">
        <v>76</v>
      </c>
      <c r="C507" s="56">
        <f>IF(76&lt;posS_sn,1-76/200,IF(76=posS_sn,tstS_sn,1-(76-1)/200))</f>
        <v/>
      </c>
      <c r="D507" s="59">
        <f>IF($C507&gt;=1,sn_h,3/7*sn_h+4/7*sn_h/MAX($C507,1E-12))</f>
        <v/>
      </c>
      <c r="E507" s="57">
        <f>(fcd_sn*sn_b*sn_h*(3/7+4/7*(1-$C507^2/3))+SUMPRODUCT($J$5:$K$5,$J507:$K507))/1000</f>
        <v/>
      </c>
      <c r="F507" s="57">
        <f>((fcd_sn*sn_b*(3/14*sn_h*(sn_h-3/7*sn_h)+4/7*sn_h*(sn_h/2-3/7*sn_h)*(1-$C507^2/3)-16/49*sn_h^2*(1/2-$C507^2/4))+SUMPRODUCT($J$5:$K$5,$J507:$K507,$J$7:$K$7))/1E6)</f>
        <v/>
      </c>
      <c r="G507" s="57">
        <f>IF(AND(MIN($E507,$E508)&lt;=sn_N,sn_N&lt;=MAX($E507,$E508)),IF($E507=$E508,MAX($F507,$F508),$F507+(sn_N-$E507)*($F508-$F507)/($E508-$E507)),"")</f>
        <v/>
      </c>
      <c r="H507" s="57">
        <f>IF(AND(MIN($E507,$E508)&lt;=sn_N,sn_N&lt;=MAX($E507,$E508)),IF($E507=$E508,MIN($F507,$F508),$F507+(sn_N-$E507)*($F508-$F507)/($E508-$E507)),"")</f>
        <v/>
      </c>
      <c r="J507">
        <f>MAX(-fyd_sn,MIN(fyd_sn,200000*0.002*(1-$C507*(7*J$6-3*sn_h)/(4*sn_h))))-fcd_sn*(1-MIN(1,MAX(0,$C507*(7*J$6-3*sn_h)/(4*sn_h)))^2)</f>
        <v/>
      </c>
      <c r="K507">
        <f>MAX(-fyd_sn,MIN(fyd_sn,200000*0.002*(1-$C507*(7*K$6-3*sn_h)/(4*sn_h))))-fcd_sn*(1-MIN(1,MAX(0,$C507*(7*K$6-3*sn_h)/(4*sn_h)))^2)</f>
        <v/>
      </c>
    </row>
    <row r="508">
      <c r="B508" s="55" t="n">
        <v>77</v>
      </c>
      <c r="C508" s="56">
        <f>IF(77&lt;posS_sn,1-77/200,IF(77=posS_sn,tstS_sn,1-(77-1)/200))</f>
        <v/>
      </c>
      <c r="D508" s="59">
        <f>IF($C508&gt;=1,sn_h,3/7*sn_h+4/7*sn_h/MAX($C508,1E-12))</f>
        <v/>
      </c>
      <c r="E508" s="57">
        <f>(fcd_sn*sn_b*sn_h*(3/7+4/7*(1-$C508^2/3))+SUMPRODUCT($J$5:$K$5,$J508:$K508))/1000</f>
        <v/>
      </c>
      <c r="F508" s="57">
        <f>((fcd_sn*sn_b*(3/14*sn_h*(sn_h-3/7*sn_h)+4/7*sn_h*(sn_h/2-3/7*sn_h)*(1-$C508^2/3)-16/49*sn_h^2*(1/2-$C508^2/4))+SUMPRODUCT($J$5:$K$5,$J508:$K508,$J$7:$K$7))/1E6)</f>
        <v/>
      </c>
      <c r="G508" s="57">
        <f>IF(AND(MIN($E508,$E509)&lt;=sn_N,sn_N&lt;=MAX($E508,$E509)),IF($E508=$E509,MAX($F508,$F509),$F508+(sn_N-$E508)*($F509-$F508)/($E509-$E508)),"")</f>
        <v/>
      </c>
      <c r="H508" s="57">
        <f>IF(AND(MIN($E508,$E509)&lt;=sn_N,sn_N&lt;=MAX($E508,$E509)),IF($E508=$E509,MIN($F508,$F509),$F508+(sn_N-$E508)*($F509-$F508)/($E509-$E508)),"")</f>
        <v/>
      </c>
      <c r="J508">
        <f>MAX(-fyd_sn,MIN(fyd_sn,200000*0.002*(1-$C508*(7*J$6-3*sn_h)/(4*sn_h))))-fcd_sn*(1-MIN(1,MAX(0,$C508*(7*J$6-3*sn_h)/(4*sn_h)))^2)</f>
        <v/>
      </c>
      <c r="K508">
        <f>MAX(-fyd_sn,MIN(fyd_sn,200000*0.002*(1-$C508*(7*K$6-3*sn_h)/(4*sn_h))))-fcd_sn*(1-MIN(1,MAX(0,$C508*(7*K$6-3*sn_h)/(4*sn_h)))^2)</f>
        <v/>
      </c>
    </row>
    <row r="509">
      <c r="B509" s="55" t="n">
        <v>78</v>
      </c>
      <c r="C509" s="56">
        <f>IF(78&lt;posS_sn,1-78/200,IF(78=posS_sn,tstS_sn,1-(78-1)/200))</f>
        <v/>
      </c>
      <c r="D509" s="59">
        <f>IF($C509&gt;=1,sn_h,3/7*sn_h+4/7*sn_h/MAX($C509,1E-12))</f>
        <v/>
      </c>
      <c r="E509" s="57">
        <f>(fcd_sn*sn_b*sn_h*(3/7+4/7*(1-$C509^2/3))+SUMPRODUCT($J$5:$K$5,$J509:$K509))/1000</f>
        <v/>
      </c>
      <c r="F509" s="57">
        <f>((fcd_sn*sn_b*(3/14*sn_h*(sn_h-3/7*sn_h)+4/7*sn_h*(sn_h/2-3/7*sn_h)*(1-$C509^2/3)-16/49*sn_h^2*(1/2-$C509^2/4))+SUMPRODUCT($J$5:$K$5,$J509:$K509,$J$7:$K$7))/1E6)</f>
        <v/>
      </c>
      <c r="G509" s="57">
        <f>IF(AND(MIN($E509,$E510)&lt;=sn_N,sn_N&lt;=MAX($E509,$E510)),IF($E509=$E510,MAX($F509,$F510),$F509+(sn_N-$E509)*($F510-$F509)/($E510-$E509)),"")</f>
        <v/>
      </c>
      <c r="H509" s="57">
        <f>IF(AND(MIN($E509,$E510)&lt;=sn_N,sn_N&lt;=MAX($E509,$E510)),IF($E509=$E510,MIN($F509,$F510),$F509+(sn_N-$E509)*($F510-$F509)/($E510-$E509)),"")</f>
        <v/>
      </c>
      <c r="J509">
        <f>MAX(-fyd_sn,MIN(fyd_sn,200000*0.002*(1-$C509*(7*J$6-3*sn_h)/(4*sn_h))))-fcd_sn*(1-MIN(1,MAX(0,$C509*(7*J$6-3*sn_h)/(4*sn_h)))^2)</f>
        <v/>
      </c>
      <c r="K509">
        <f>MAX(-fyd_sn,MIN(fyd_sn,200000*0.002*(1-$C509*(7*K$6-3*sn_h)/(4*sn_h))))-fcd_sn*(1-MIN(1,MAX(0,$C509*(7*K$6-3*sn_h)/(4*sn_h)))^2)</f>
        <v/>
      </c>
    </row>
    <row r="510">
      <c r="B510" s="55" t="n">
        <v>79</v>
      </c>
      <c r="C510" s="56">
        <f>IF(79&lt;posS_sn,1-79/200,IF(79=posS_sn,tstS_sn,1-(79-1)/200))</f>
        <v/>
      </c>
      <c r="D510" s="59">
        <f>IF($C510&gt;=1,sn_h,3/7*sn_h+4/7*sn_h/MAX($C510,1E-12))</f>
        <v/>
      </c>
      <c r="E510" s="57">
        <f>(fcd_sn*sn_b*sn_h*(3/7+4/7*(1-$C510^2/3))+SUMPRODUCT($J$5:$K$5,$J510:$K510))/1000</f>
        <v/>
      </c>
      <c r="F510" s="57">
        <f>((fcd_sn*sn_b*(3/14*sn_h*(sn_h-3/7*sn_h)+4/7*sn_h*(sn_h/2-3/7*sn_h)*(1-$C510^2/3)-16/49*sn_h^2*(1/2-$C510^2/4))+SUMPRODUCT($J$5:$K$5,$J510:$K510,$J$7:$K$7))/1E6)</f>
        <v/>
      </c>
      <c r="G510" s="57">
        <f>IF(AND(MIN($E510,$E511)&lt;=sn_N,sn_N&lt;=MAX($E510,$E511)),IF($E510=$E511,MAX($F510,$F511),$F510+(sn_N-$E510)*($F511-$F510)/($E511-$E510)),"")</f>
        <v/>
      </c>
      <c r="H510" s="57">
        <f>IF(AND(MIN($E510,$E511)&lt;=sn_N,sn_N&lt;=MAX($E510,$E511)),IF($E510=$E511,MIN($F510,$F511),$F510+(sn_N-$E510)*($F511-$F510)/($E511-$E510)),"")</f>
        <v/>
      </c>
      <c r="J510">
        <f>MAX(-fyd_sn,MIN(fyd_sn,200000*0.002*(1-$C510*(7*J$6-3*sn_h)/(4*sn_h))))-fcd_sn*(1-MIN(1,MAX(0,$C510*(7*J$6-3*sn_h)/(4*sn_h)))^2)</f>
        <v/>
      </c>
      <c r="K510">
        <f>MAX(-fyd_sn,MIN(fyd_sn,200000*0.002*(1-$C510*(7*K$6-3*sn_h)/(4*sn_h))))-fcd_sn*(1-MIN(1,MAX(0,$C510*(7*K$6-3*sn_h)/(4*sn_h)))^2)</f>
        <v/>
      </c>
    </row>
    <row r="511">
      <c r="B511" s="55" t="n">
        <v>80</v>
      </c>
      <c r="C511" s="56">
        <f>IF(80&lt;posS_sn,1-80/200,IF(80=posS_sn,tstS_sn,1-(80-1)/200))</f>
        <v/>
      </c>
      <c r="D511" s="59">
        <f>IF($C511&gt;=1,sn_h,3/7*sn_h+4/7*sn_h/MAX($C511,1E-12))</f>
        <v/>
      </c>
      <c r="E511" s="57">
        <f>(fcd_sn*sn_b*sn_h*(3/7+4/7*(1-$C511^2/3))+SUMPRODUCT($J$5:$K$5,$J511:$K511))/1000</f>
        <v/>
      </c>
      <c r="F511" s="57">
        <f>((fcd_sn*sn_b*(3/14*sn_h*(sn_h-3/7*sn_h)+4/7*sn_h*(sn_h/2-3/7*sn_h)*(1-$C511^2/3)-16/49*sn_h^2*(1/2-$C511^2/4))+SUMPRODUCT($J$5:$K$5,$J511:$K511,$J$7:$K$7))/1E6)</f>
        <v/>
      </c>
      <c r="G511" s="57">
        <f>IF(AND(MIN($E511,$E512)&lt;=sn_N,sn_N&lt;=MAX($E511,$E512)),IF($E511=$E512,MAX($F511,$F512),$F511+(sn_N-$E511)*($F512-$F511)/($E512-$E511)),"")</f>
        <v/>
      </c>
      <c r="H511" s="57">
        <f>IF(AND(MIN($E511,$E512)&lt;=sn_N,sn_N&lt;=MAX($E511,$E512)),IF($E511=$E512,MIN($F511,$F512),$F511+(sn_N-$E511)*($F512-$F511)/($E512-$E511)),"")</f>
        <v/>
      </c>
      <c r="J511">
        <f>MAX(-fyd_sn,MIN(fyd_sn,200000*0.002*(1-$C511*(7*J$6-3*sn_h)/(4*sn_h))))-fcd_sn*(1-MIN(1,MAX(0,$C511*(7*J$6-3*sn_h)/(4*sn_h)))^2)</f>
        <v/>
      </c>
      <c r="K511">
        <f>MAX(-fyd_sn,MIN(fyd_sn,200000*0.002*(1-$C511*(7*K$6-3*sn_h)/(4*sn_h))))-fcd_sn*(1-MIN(1,MAX(0,$C511*(7*K$6-3*sn_h)/(4*sn_h)))^2)</f>
        <v/>
      </c>
    </row>
    <row r="512">
      <c r="B512" s="55" t="n">
        <v>81</v>
      </c>
      <c r="C512" s="56">
        <f>IF(81&lt;posS_sn,1-81/200,IF(81=posS_sn,tstS_sn,1-(81-1)/200))</f>
        <v/>
      </c>
      <c r="D512" s="59">
        <f>IF($C512&gt;=1,sn_h,3/7*sn_h+4/7*sn_h/MAX($C512,1E-12))</f>
        <v/>
      </c>
      <c r="E512" s="57">
        <f>(fcd_sn*sn_b*sn_h*(3/7+4/7*(1-$C512^2/3))+SUMPRODUCT($J$5:$K$5,$J512:$K512))/1000</f>
        <v/>
      </c>
      <c r="F512" s="57">
        <f>((fcd_sn*sn_b*(3/14*sn_h*(sn_h-3/7*sn_h)+4/7*sn_h*(sn_h/2-3/7*sn_h)*(1-$C512^2/3)-16/49*sn_h^2*(1/2-$C512^2/4))+SUMPRODUCT($J$5:$K$5,$J512:$K512,$J$7:$K$7))/1E6)</f>
        <v/>
      </c>
      <c r="G512" s="57">
        <f>IF(AND(MIN($E512,$E513)&lt;=sn_N,sn_N&lt;=MAX($E512,$E513)),IF($E512=$E513,MAX($F512,$F513),$F512+(sn_N-$E512)*($F513-$F512)/($E513-$E512)),"")</f>
        <v/>
      </c>
      <c r="H512" s="57">
        <f>IF(AND(MIN($E512,$E513)&lt;=sn_N,sn_N&lt;=MAX($E512,$E513)),IF($E512=$E513,MIN($F512,$F513),$F512+(sn_N-$E512)*($F513-$F512)/($E513-$E512)),"")</f>
        <v/>
      </c>
      <c r="J512">
        <f>MAX(-fyd_sn,MIN(fyd_sn,200000*0.002*(1-$C512*(7*J$6-3*sn_h)/(4*sn_h))))-fcd_sn*(1-MIN(1,MAX(0,$C512*(7*J$6-3*sn_h)/(4*sn_h)))^2)</f>
        <v/>
      </c>
      <c r="K512">
        <f>MAX(-fyd_sn,MIN(fyd_sn,200000*0.002*(1-$C512*(7*K$6-3*sn_h)/(4*sn_h))))-fcd_sn*(1-MIN(1,MAX(0,$C512*(7*K$6-3*sn_h)/(4*sn_h)))^2)</f>
        <v/>
      </c>
    </row>
    <row r="513">
      <c r="B513" s="55" t="n">
        <v>82</v>
      </c>
      <c r="C513" s="56">
        <f>IF(82&lt;posS_sn,1-82/200,IF(82=posS_sn,tstS_sn,1-(82-1)/200))</f>
        <v/>
      </c>
      <c r="D513" s="59">
        <f>IF($C513&gt;=1,sn_h,3/7*sn_h+4/7*sn_h/MAX($C513,1E-12))</f>
        <v/>
      </c>
      <c r="E513" s="57">
        <f>(fcd_sn*sn_b*sn_h*(3/7+4/7*(1-$C513^2/3))+SUMPRODUCT($J$5:$K$5,$J513:$K513))/1000</f>
        <v/>
      </c>
      <c r="F513" s="57">
        <f>((fcd_sn*sn_b*(3/14*sn_h*(sn_h-3/7*sn_h)+4/7*sn_h*(sn_h/2-3/7*sn_h)*(1-$C513^2/3)-16/49*sn_h^2*(1/2-$C513^2/4))+SUMPRODUCT($J$5:$K$5,$J513:$K513,$J$7:$K$7))/1E6)</f>
        <v/>
      </c>
      <c r="G513" s="57">
        <f>IF(AND(MIN($E513,$E514)&lt;=sn_N,sn_N&lt;=MAX($E513,$E514)),IF($E513=$E514,MAX($F513,$F514),$F513+(sn_N-$E513)*($F514-$F513)/($E514-$E513)),"")</f>
        <v/>
      </c>
      <c r="H513" s="57">
        <f>IF(AND(MIN($E513,$E514)&lt;=sn_N,sn_N&lt;=MAX($E513,$E514)),IF($E513=$E514,MIN($F513,$F514),$F513+(sn_N-$E513)*($F514-$F513)/($E514-$E513)),"")</f>
        <v/>
      </c>
      <c r="J513">
        <f>MAX(-fyd_sn,MIN(fyd_sn,200000*0.002*(1-$C513*(7*J$6-3*sn_h)/(4*sn_h))))-fcd_sn*(1-MIN(1,MAX(0,$C513*(7*J$6-3*sn_h)/(4*sn_h)))^2)</f>
        <v/>
      </c>
      <c r="K513">
        <f>MAX(-fyd_sn,MIN(fyd_sn,200000*0.002*(1-$C513*(7*K$6-3*sn_h)/(4*sn_h))))-fcd_sn*(1-MIN(1,MAX(0,$C513*(7*K$6-3*sn_h)/(4*sn_h)))^2)</f>
        <v/>
      </c>
    </row>
    <row r="514">
      <c r="B514" s="55" t="n">
        <v>83</v>
      </c>
      <c r="C514" s="56">
        <f>IF(83&lt;posS_sn,1-83/200,IF(83=posS_sn,tstS_sn,1-(83-1)/200))</f>
        <v/>
      </c>
      <c r="D514" s="59">
        <f>IF($C514&gt;=1,sn_h,3/7*sn_h+4/7*sn_h/MAX($C514,1E-12))</f>
        <v/>
      </c>
      <c r="E514" s="57">
        <f>(fcd_sn*sn_b*sn_h*(3/7+4/7*(1-$C514^2/3))+SUMPRODUCT($J$5:$K$5,$J514:$K514))/1000</f>
        <v/>
      </c>
      <c r="F514" s="57">
        <f>((fcd_sn*sn_b*(3/14*sn_h*(sn_h-3/7*sn_h)+4/7*sn_h*(sn_h/2-3/7*sn_h)*(1-$C514^2/3)-16/49*sn_h^2*(1/2-$C514^2/4))+SUMPRODUCT($J$5:$K$5,$J514:$K514,$J$7:$K$7))/1E6)</f>
        <v/>
      </c>
      <c r="G514" s="57">
        <f>IF(AND(MIN($E514,$E515)&lt;=sn_N,sn_N&lt;=MAX($E514,$E515)),IF($E514=$E515,MAX($F514,$F515),$F514+(sn_N-$E514)*($F515-$F514)/($E515-$E514)),"")</f>
        <v/>
      </c>
      <c r="H514" s="57">
        <f>IF(AND(MIN($E514,$E515)&lt;=sn_N,sn_N&lt;=MAX($E514,$E515)),IF($E514=$E515,MIN($F514,$F515),$F514+(sn_N-$E514)*($F515-$F514)/($E515-$E514)),"")</f>
        <v/>
      </c>
      <c r="J514">
        <f>MAX(-fyd_sn,MIN(fyd_sn,200000*0.002*(1-$C514*(7*J$6-3*sn_h)/(4*sn_h))))-fcd_sn*(1-MIN(1,MAX(0,$C514*(7*J$6-3*sn_h)/(4*sn_h)))^2)</f>
        <v/>
      </c>
      <c r="K514">
        <f>MAX(-fyd_sn,MIN(fyd_sn,200000*0.002*(1-$C514*(7*K$6-3*sn_h)/(4*sn_h))))-fcd_sn*(1-MIN(1,MAX(0,$C514*(7*K$6-3*sn_h)/(4*sn_h)))^2)</f>
        <v/>
      </c>
    </row>
    <row r="515">
      <c r="B515" s="55" t="n">
        <v>84</v>
      </c>
      <c r="C515" s="56">
        <f>IF(84&lt;posS_sn,1-84/200,IF(84=posS_sn,tstS_sn,1-(84-1)/200))</f>
        <v/>
      </c>
      <c r="D515" s="59">
        <f>IF($C515&gt;=1,sn_h,3/7*sn_h+4/7*sn_h/MAX($C515,1E-12))</f>
        <v/>
      </c>
      <c r="E515" s="57">
        <f>(fcd_sn*sn_b*sn_h*(3/7+4/7*(1-$C515^2/3))+SUMPRODUCT($J$5:$K$5,$J515:$K515))/1000</f>
        <v/>
      </c>
      <c r="F515" s="57">
        <f>((fcd_sn*sn_b*(3/14*sn_h*(sn_h-3/7*sn_h)+4/7*sn_h*(sn_h/2-3/7*sn_h)*(1-$C515^2/3)-16/49*sn_h^2*(1/2-$C515^2/4))+SUMPRODUCT($J$5:$K$5,$J515:$K515,$J$7:$K$7))/1E6)</f>
        <v/>
      </c>
      <c r="G515" s="57">
        <f>IF(AND(MIN($E515,$E516)&lt;=sn_N,sn_N&lt;=MAX($E515,$E516)),IF($E515=$E516,MAX($F515,$F516),$F515+(sn_N-$E515)*($F516-$F515)/($E516-$E515)),"")</f>
        <v/>
      </c>
      <c r="H515" s="57">
        <f>IF(AND(MIN($E515,$E516)&lt;=sn_N,sn_N&lt;=MAX($E515,$E516)),IF($E515=$E516,MIN($F515,$F516),$F515+(sn_N-$E515)*($F516-$F515)/($E516-$E515)),"")</f>
        <v/>
      </c>
      <c r="J515">
        <f>MAX(-fyd_sn,MIN(fyd_sn,200000*0.002*(1-$C515*(7*J$6-3*sn_h)/(4*sn_h))))-fcd_sn*(1-MIN(1,MAX(0,$C515*(7*J$6-3*sn_h)/(4*sn_h)))^2)</f>
        <v/>
      </c>
      <c r="K515">
        <f>MAX(-fyd_sn,MIN(fyd_sn,200000*0.002*(1-$C515*(7*K$6-3*sn_h)/(4*sn_h))))-fcd_sn*(1-MIN(1,MAX(0,$C515*(7*K$6-3*sn_h)/(4*sn_h)))^2)</f>
        <v/>
      </c>
    </row>
    <row r="516">
      <c r="B516" s="55" t="n">
        <v>85</v>
      </c>
      <c r="C516" s="56">
        <f>IF(85&lt;posS_sn,1-85/200,IF(85=posS_sn,tstS_sn,1-(85-1)/200))</f>
        <v/>
      </c>
      <c r="D516" s="59">
        <f>IF($C516&gt;=1,sn_h,3/7*sn_h+4/7*sn_h/MAX($C516,1E-12))</f>
        <v/>
      </c>
      <c r="E516" s="57">
        <f>(fcd_sn*sn_b*sn_h*(3/7+4/7*(1-$C516^2/3))+SUMPRODUCT($J$5:$K$5,$J516:$K516))/1000</f>
        <v/>
      </c>
      <c r="F516" s="57">
        <f>((fcd_sn*sn_b*(3/14*sn_h*(sn_h-3/7*sn_h)+4/7*sn_h*(sn_h/2-3/7*sn_h)*(1-$C516^2/3)-16/49*sn_h^2*(1/2-$C516^2/4))+SUMPRODUCT($J$5:$K$5,$J516:$K516,$J$7:$K$7))/1E6)</f>
        <v/>
      </c>
      <c r="G516" s="57">
        <f>IF(AND(MIN($E516,$E517)&lt;=sn_N,sn_N&lt;=MAX($E516,$E517)),IF($E516=$E517,MAX($F516,$F517),$F516+(sn_N-$E516)*($F517-$F516)/($E517-$E516)),"")</f>
        <v/>
      </c>
      <c r="H516" s="57">
        <f>IF(AND(MIN($E516,$E517)&lt;=sn_N,sn_N&lt;=MAX($E516,$E517)),IF($E516=$E517,MIN($F516,$F517),$F516+(sn_N-$E516)*($F517-$F516)/($E517-$E516)),"")</f>
        <v/>
      </c>
      <c r="J516">
        <f>MAX(-fyd_sn,MIN(fyd_sn,200000*0.002*(1-$C516*(7*J$6-3*sn_h)/(4*sn_h))))-fcd_sn*(1-MIN(1,MAX(0,$C516*(7*J$6-3*sn_h)/(4*sn_h)))^2)</f>
        <v/>
      </c>
      <c r="K516">
        <f>MAX(-fyd_sn,MIN(fyd_sn,200000*0.002*(1-$C516*(7*K$6-3*sn_h)/(4*sn_h))))-fcd_sn*(1-MIN(1,MAX(0,$C516*(7*K$6-3*sn_h)/(4*sn_h)))^2)</f>
        <v/>
      </c>
    </row>
    <row r="517">
      <c r="B517" s="55" t="n">
        <v>86</v>
      </c>
      <c r="C517" s="56">
        <f>IF(86&lt;posS_sn,1-86/200,IF(86=posS_sn,tstS_sn,1-(86-1)/200))</f>
        <v/>
      </c>
      <c r="D517" s="59">
        <f>IF($C517&gt;=1,sn_h,3/7*sn_h+4/7*sn_h/MAX($C517,1E-12))</f>
        <v/>
      </c>
      <c r="E517" s="57">
        <f>(fcd_sn*sn_b*sn_h*(3/7+4/7*(1-$C517^2/3))+SUMPRODUCT($J$5:$K$5,$J517:$K517))/1000</f>
        <v/>
      </c>
      <c r="F517" s="57">
        <f>((fcd_sn*sn_b*(3/14*sn_h*(sn_h-3/7*sn_h)+4/7*sn_h*(sn_h/2-3/7*sn_h)*(1-$C517^2/3)-16/49*sn_h^2*(1/2-$C517^2/4))+SUMPRODUCT($J$5:$K$5,$J517:$K517,$J$7:$K$7))/1E6)</f>
        <v/>
      </c>
      <c r="G517" s="57">
        <f>IF(AND(MIN($E517,$E518)&lt;=sn_N,sn_N&lt;=MAX($E517,$E518)),IF($E517=$E518,MAX($F517,$F518),$F517+(sn_N-$E517)*($F518-$F517)/($E518-$E517)),"")</f>
        <v/>
      </c>
      <c r="H517" s="57">
        <f>IF(AND(MIN($E517,$E518)&lt;=sn_N,sn_N&lt;=MAX($E517,$E518)),IF($E517=$E518,MIN($F517,$F518),$F517+(sn_N-$E517)*($F518-$F517)/($E518-$E517)),"")</f>
        <v/>
      </c>
      <c r="J517">
        <f>MAX(-fyd_sn,MIN(fyd_sn,200000*0.002*(1-$C517*(7*J$6-3*sn_h)/(4*sn_h))))-fcd_sn*(1-MIN(1,MAX(0,$C517*(7*J$6-3*sn_h)/(4*sn_h)))^2)</f>
        <v/>
      </c>
      <c r="K517">
        <f>MAX(-fyd_sn,MIN(fyd_sn,200000*0.002*(1-$C517*(7*K$6-3*sn_h)/(4*sn_h))))-fcd_sn*(1-MIN(1,MAX(0,$C517*(7*K$6-3*sn_h)/(4*sn_h)))^2)</f>
        <v/>
      </c>
    </row>
    <row r="518">
      <c r="B518" s="55" t="n">
        <v>87</v>
      </c>
      <c r="C518" s="56">
        <f>IF(87&lt;posS_sn,1-87/200,IF(87=posS_sn,tstS_sn,1-(87-1)/200))</f>
        <v/>
      </c>
      <c r="D518" s="59">
        <f>IF($C518&gt;=1,sn_h,3/7*sn_h+4/7*sn_h/MAX($C518,1E-12))</f>
        <v/>
      </c>
      <c r="E518" s="57">
        <f>(fcd_sn*sn_b*sn_h*(3/7+4/7*(1-$C518^2/3))+SUMPRODUCT($J$5:$K$5,$J518:$K518))/1000</f>
        <v/>
      </c>
      <c r="F518" s="57">
        <f>((fcd_sn*sn_b*(3/14*sn_h*(sn_h-3/7*sn_h)+4/7*sn_h*(sn_h/2-3/7*sn_h)*(1-$C518^2/3)-16/49*sn_h^2*(1/2-$C518^2/4))+SUMPRODUCT($J$5:$K$5,$J518:$K518,$J$7:$K$7))/1E6)</f>
        <v/>
      </c>
      <c r="G518" s="57">
        <f>IF(AND(MIN($E518,$E519)&lt;=sn_N,sn_N&lt;=MAX($E518,$E519)),IF($E518=$E519,MAX($F518,$F519),$F518+(sn_N-$E518)*($F519-$F518)/($E519-$E518)),"")</f>
        <v/>
      </c>
      <c r="H518" s="57">
        <f>IF(AND(MIN($E518,$E519)&lt;=sn_N,sn_N&lt;=MAX($E518,$E519)),IF($E518=$E519,MIN($F518,$F519),$F518+(sn_N-$E518)*($F519-$F518)/($E519-$E518)),"")</f>
        <v/>
      </c>
      <c r="J518">
        <f>MAX(-fyd_sn,MIN(fyd_sn,200000*0.002*(1-$C518*(7*J$6-3*sn_h)/(4*sn_h))))-fcd_sn*(1-MIN(1,MAX(0,$C518*(7*J$6-3*sn_h)/(4*sn_h)))^2)</f>
        <v/>
      </c>
      <c r="K518">
        <f>MAX(-fyd_sn,MIN(fyd_sn,200000*0.002*(1-$C518*(7*K$6-3*sn_h)/(4*sn_h))))-fcd_sn*(1-MIN(1,MAX(0,$C518*(7*K$6-3*sn_h)/(4*sn_h)))^2)</f>
        <v/>
      </c>
    </row>
    <row r="519">
      <c r="B519" s="55" t="n">
        <v>88</v>
      </c>
      <c r="C519" s="56">
        <f>IF(88&lt;posS_sn,1-88/200,IF(88=posS_sn,tstS_sn,1-(88-1)/200))</f>
        <v/>
      </c>
      <c r="D519" s="59">
        <f>IF($C519&gt;=1,sn_h,3/7*sn_h+4/7*sn_h/MAX($C519,1E-12))</f>
        <v/>
      </c>
      <c r="E519" s="57">
        <f>(fcd_sn*sn_b*sn_h*(3/7+4/7*(1-$C519^2/3))+SUMPRODUCT($J$5:$K$5,$J519:$K519))/1000</f>
        <v/>
      </c>
      <c r="F519" s="57">
        <f>((fcd_sn*sn_b*(3/14*sn_h*(sn_h-3/7*sn_h)+4/7*sn_h*(sn_h/2-3/7*sn_h)*(1-$C519^2/3)-16/49*sn_h^2*(1/2-$C519^2/4))+SUMPRODUCT($J$5:$K$5,$J519:$K519,$J$7:$K$7))/1E6)</f>
        <v/>
      </c>
      <c r="G519" s="57">
        <f>IF(AND(MIN($E519,$E520)&lt;=sn_N,sn_N&lt;=MAX($E519,$E520)),IF($E519=$E520,MAX($F519,$F520),$F519+(sn_N-$E519)*($F520-$F519)/($E520-$E519)),"")</f>
        <v/>
      </c>
      <c r="H519" s="57">
        <f>IF(AND(MIN($E519,$E520)&lt;=sn_N,sn_N&lt;=MAX($E519,$E520)),IF($E519=$E520,MIN($F519,$F520),$F519+(sn_N-$E519)*($F520-$F519)/($E520-$E519)),"")</f>
        <v/>
      </c>
      <c r="J519">
        <f>MAX(-fyd_sn,MIN(fyd_sn,200000*0.002*(1-$C519*(7*J$6-3*sn_h)/(4*sn_h))))-fcd_sn*(1-MIN(1,MAX(0,$C519*(7*J$6-3*sn_h)/(4*sn_h)))^2)</f>
        <v/>
      </c>
      <c r="K519">
        <f>MAX(-fyd_sn,MIN(fyd_sn,200000*0.002*(1-$C519*(7*K$6-3*sn_h)/(4*sn_h))))-fcd_sn*(1-MIN(1,MAX(0,$C519*(7*K$6-3*sn_h)/(4*sn_h)))^2)</f>
        <v/>
      </c>
    </row>
    <row r="520">
      <c r="B520" s="55" t="n">
        <v>89</v>
      </c>
      <c r="C520" s="56">
        <f>IF(89&lt;posS_sn,1-89/200,IF(89=posS_sn,tstS_sn,1-(89-1)/200))</f>
        <v/>
      </c>
      <c r="D520" s="59">
        <f>IF($C520&gt;=1,sn_h,3/7*sn_h+4/7*sn_h/MAX($C520,1E-12))</f>
        <v/>
      </c>
      <c r="E520" s="57">
        <f>(fcd_sn*sn_b*sn_h*(3/7+4/7*(1-$C520^2/3))+SUMPRODUCT($J$5:$K$5,$J520:$K520))/1000</f>
        <v/>
      </c>
      <c r="F520" s="57">
        <f>((fcd_sn*sn_b*(3/14*sn_h*(sn_h-3/7*sn_h)+4/7*sn_h*(sn_h/2-3/7*sn_h)*(1-$C520^2/3)-16/49*sn_h^2*(1/2-$C520^2/4))+SUMPRODUCT($J$5:$K$5,$J520:$K520,$J$7:$K$7))/1E6)</f>
        <v/>
      </c>
      <c r="G520" s="57">
        <f>IF(AND(MIN($E520,$E521)&lt;=sn_N,sn_N&lt;=MAX($E520,$E521)),IF($E520=$E521,MAX($F520,$F521),$F520+(sn_N-$E520)*($F521-$F520)/($E521-$E520)),"")</f>
        <v/>
      </c>
      <c r="H520" s="57">
        <f>IF(AND(MIN($E520,$E521)&lt;=sn_N,sn_N&lt;=MAX($E520,$E521)),IF($E520=$E521,MIN($F520,$F521),$F520+(sn_N-$E520)*($F521-$F520)/($E521-$E520)),"")</f>
        <v/>
      </c>
      <c r="J520">
        <f>MAX(-fyd_sn,MIN(fyd_sn,200000*0.002*(1-$C520*(7*J$6-3*sn_h)/(4*sn_h))))-fcd_sn*(1-MIN(1,MAX(0,$C520*(7*J$6-3*sn_h)/(4*sn_h)))^2)</f>
        <v/>
      </c>
      <c r="K520">
        <f>MAX(-fyd_sn,MIN(fyd_sn,200000*0.002*(1-$C520*(7*K$6-3*sn_h)/(4*sn_h))))-fcd_sn*(1-MIN(1,MAX(0,$C520*(7*K$6-3*sn_h)/(4*sn_h)))^2)</f>
        <v/>
      </c>
    </row>
    <row r="521">
      <c r="B521" s="55" t="n">
        <v>90</v>
      </c>
      <c r="C521" s="56">
        <f>IF(90&lt;posS_sn,1-90/200,IF(90=posS_sn,tstS_sn,1-(90-1)/200))</f>
        <v/>
      </c>
      <c r="D521" s="59">
        <f>IF($C521&gt;=1,sn_h,3/7*sn_h+4/7*sn_h/MAX($C521,1E-12))</f>
        <v/>
      </c>
      <c r="E521" s="57">
        <f>(fcd_sn*sn_b*sn_h*(3/7+4/7*(1-$C521^2/3))+SUMPRODUCT($J$5:$K$5,$J521:$K521))/1000</f>
        <v/>
      </c>
      <c r="F521" s="57">
        <f>((fcd_sn*sn_b*(3/14*sn_h*(sn_h-3/7*sn_h)+4/7*sn_h*(sn_h/2-3/7*sn_h)*(1-$C521^2/3)-16/49*sn_h^2*(1/2-$C521^2/4))+SUMPRODUCT($J$5:$K$5,$J521:$K521,$J$7:$K$7))/1E6)</f>
        <v/>
      </c>
      <c r="G521" s="57">
        <f>IF(AND(MIN($E521,$E522)&lt;=sn_N,sn_N&lt;=MAX($E521,$E522)),IF($E521=$E522,MAX($F521,$F522),$F521+(sn_N-$E521)*($F522-$F521)/($E522-$E521)),"")</f>
        <v/>
      </c>
      <c r="H521" s="57">
        <f>IF(AND(MIN($E521,$E522)&lt;=sn_N,sn_N&lt;=MAX($E521,$E522)),IF($E521=$E522,MIN($F521,$F522),$F521+(sn_N-$E521)*($F522-$F521)/($E522-$E521)),"")</f>
        <v/>
      </c>
      <c r="J521">
        <f>MAX(-fyd_sn,MIN(fyd_sn,200000*0.002*(1-$C521*(7*J$6-3*sn_h)/(4*sn_h))))-fcd_sn*(1-MIN(1,MAX(0,$C521*(7*J$6-3*sn_h)/(4*sn_h)))^2)</f>
        <v/>
      </c>
      <c r="K521">
        <f>MAX(-fyd_sn,MIN(fyd_sn,200000*0.002*(1-$C521*(7*K$6-3*sn_h)/(4*sn_h))))-fcd_sn*(1-MIN(1,MAX(0,$C521*(7*K$6-3*sn_h)/(4*sn_h)))^2)</f>
        <v/>
      </c>
    </row>
    <row r="522">
      <c r="B522" s="55" t="n">
        <v>91</v>
      </c>
      <c r="C522" s="56">
        <f>IF(91&lt;posS_sn,1-91/200,IF(91=posS_sn,tstS_sn,1-(91-1)/200))</f>
        <v/>
      </c>
      <c r="D522" s="59">
        <f>IF($C522&gt;=1,sn_h,3/7*sn_h+4/7*sn_h/MAX($C522,1E-12))</f>
        <v/>
      </c>
      <c r="E522" s="57">
        <f>(fcd_sn*sn_b*sn_h*(3/7+4/7*(1-$C522^2/3))+SUMPRODUCT($J$5:$K$5,$J522:$K522))/1000</f>
        <v/>
      </c>
      <c r="F522" s="57">
        <f>((fcd_sn*sn_b*(3/14*sn_h*(sn_h-3/7*sn_h)+4/7*sn_h*(sn_h/2-3/7*sn_h)*(1-$C522^2/3)-16/49*sn_h^2*(1/2-$C522^2/4))+SUMPRODUCT($J$5:$K$5,$J522:$K522,$J$7:$K$7))/1E6)</f>
        <v/>
      </c>
      <c r="G522" s="57">
        <f>IF(AND(MIN($E522,$E523)&lt;=sn_N,sn_N&lt;=MAX($E522,$E523)),IF($E522=$E523,MAX($F522,$F523),$F522+(sn_N-$E522)*($F523-$F522)/($E523-$E522)),"")</f>
        <v/>
      </c>
      <c r="H522" s="57">
        <f>IF(AND(MIN($E522,$E523)&lt;=sn_N,sn_N&lt;=MAX($E522,$E523)),IF($E522=$E523,MIN($F522,$F523),$F522+(sn_N-$E522)*($F523-$F522)/($E523-$E522)),"")</f>
        <v/>
      </c>
      <c r="J522">
        <f>MAX(-fyd_sn,MIN(fyd_sn,200000*0.002*(1-$C522*(7*J$6-3*sn_h)/(4*sn_h))))-fcd_sn*(1-MIN(1,MAX(0,$C522*(7*J$6-3*sn_h)/(4*sn_h)))^2)</f>
        <v/>
      </c>
      <c r="K522">
        <f>MAX(-fyd_sn,MIN(fyd_sn,200000*0.002*(1-$C522*(7*K$6-3*sn_h)/(4*sn_h))))-fcd_sn*(1-MIN(1,MAX(0,$C522*(7*K$6-3*sn_h)/(4*sn_h)))^2)</f>
        <v/>
      </c>
    </row>
    <row r="523">
      <c r="B523" s="55" t="n">
        <v>92</v>
      </c>
      <c r="C523" s="56">
        <f>IF(92&lt;posS_sn,1-92/200,IF(92=posS_sn,tstS_sn,1-(92-1)/200))</f>
        <v/>
      </c>
      <c r="D523" s="59">
        <f>IF($C523&gt;=1,sn_h,3/7*sn_h+4/7*sn_h/MAX($C523,1E-12))</f>
        <v/>
      </c>
      <c r="E523" s="57">
        <f>(fcd_sn*sn_b*sn_h*(3/7+4/7*(1-$C523^2/3))+SUMPRODUCT($J$5:$K$5,$J523:$K523))/1000</f>
        <v/>
      </c>
      <c r="F523" s="57">
        <f>((fcd_sn*sn_b*(3/14*sn_h*(sn_h-3/7*sn_h)+4/7*sn_h*(sn_h/2-3/7*sn_h)*(1-$C523^2/3)-16/49*sn_h^2*(1/2-$C523^2/4))+SUMPRODUCT($J$5:$K$5,$J523:$K523,$J$7:$K$7))/1E6)</f>
        <v/>
      </c>
      <c r="G523" s="57">
        <f>IF(AND(MIN($E523,$E524)&lt;=sn_N,sn_N&lt;=MAX($E523,$E524)),IF($E523=$E524,MAX($F523,$F524),$F523+(sn_N-$E523)*($F524-$F523)/($E524-$E523)),"")</f>
        <v/>
      </c>
      <c r="H523" s="57">
        <f>IF(AND(MIN($E523,$E524)&lt;=sn_N,sn_N&lt;=MAX($E523,$E524)),IF($E523=$E524,MIN($F523,$F524),$F523+(sn_N-$E523)*($F524-$F523)/($E524-$E523)),"")</f>
        <v/>
      </c>
      <c r="J523">
        <f>MAX(-fyd_sn,MIN(fyd_sn,200000*0.002*(1-$C523*(7*J$6-3*sn_h)/(4*sn_h))))-fcd_sn*(1-MIN(1,MAX(0,$C523*(7*J$6-3*sn_h)/(4*sn_h)))^2)</f>
        <v/>
      </c>
      <c r="K523">
        <f>MAX(-fyd_sn,MIN(fyd_sn,200000*0.002*(1-$C523*(7*K$6-3*sn_h)/(4*sn_h))))-fcd_sn*(1-MIN(1,MAX(0,$C523*(7*K$6-3*sn_h)/(4*sn_h)))^2)</f>
        <v/>
      </c>
    </row>
    <row r="524">
      <c r="B524" s="55" t="n">
        <v>93</v>
      </c>
      <c r="C524" s="56">
        <f>IF(93&lt;posS_sn,1-93/200,IF(93=posS_sn,tstS_sn,1-(93-1)/200))</f>
        <v/>
      </c>
      <c r="D524" s="59">
        <f>IF($C524&gt;=1,sn_h,3/7*sn_h+4/7*sn_h/MAX($C524,1E-12))</f>
        <v/>
      </c>
      <c r="E524" s="57">
        <f>(fcd_sn*sn_b*sn_h*(3/7+4/7*(1-$C524^2/3))+SUMPRODUCT($J$5:$K$5,$J524:$K524))/1000</f>
        <v/>
      </c>
      <c r="F524" s="57">
        <f>((fcd_sn*sn_b*(3/14*sn_h*(sn_h-3/7*sn_h)+4/7*sn_h*(sn_h/2-3/7*sn_h)*(1-$C524^2/3)-16/49*sn_h^2*(1/2-$C524^2/4))+SUMPRODUCT($J$5:$K$5,$J524:$K524,$J$7:$K$7))/1E6)</f>
        <v/>
      </c>
      <c r="G524" s="57">
        <f>IF(AND(MIN($E524,$E525)&lt;=sn_N,sn_N&lt;=MAX($E524,$E525)),IF($E524=$E525,MAX($F524,$F525),$F524+(sn_N-$E524)*($F525-$F524)/($E525-$E524)),"")</f>
        <v/>
      </c>
      <c r="H524" s="57">
        <f>IF(AND(MIN($E524,$E525)&lt;=sn_N,sn_N&lt;=MAX($E524,$E525)),IF($E524=$E525,MIN($F524,$F525),$F524+(sn_N-$E524)*($F525-$F524)/($E525-$E524)),"")</f>
        <v/>
      </c>
      <c r="J524">
        <f>MAX(-fyd_sn,MIN(fyd_sn,200000*0.002*(1-$C524*(7*J$6-3*sn_h)/(4*sn_h))))-fcd_sn*(1-MIN(1,MAX(0,$C524*(7*J$6-3*sn_h)/(4*sn_h)))^2)</f>
        <v/>
      </c>
      <c r="K524">
        <f>MAX(-fyd_sn,MIN(fyd_sn,200000*0.002*(1-$C524*(7*K$6-3*sn_h)/(4*sn_h))))-fcd_sn*(1-MIN(1,MAX(0,$C524*(7*K$6-3*sn_h)/(4*sn_h)))^2)</f>
        <v/>
      </c>
    </row>
    <row r="525">
      <c r="B525" s="55" t="n">
        <v>94</v>
      </c>
      <c r="C525" s="56">
        <f>IF(94&lt;posS_sn,1-94/200,IF(94=posS_sn,tstS_sn,1-(94-1)/200))</f>
        <v/>
      </c>
      <c r="D525" s="59">
        <f>IF($C525&gt;=1,sn_h,3/7*sn_h+4/7*sn_h/MAX($C525,1E-12))</f>
        <v/>
      </c>
      <c r="E525" s="57">
        <f>(fcd_sn*sn_b*sn_h*(3/7+4/7*(1-$C525^2/3))+SUMPRODUCT($J$5:$K$5,$J525:$K525))/1000</f>
        <v/>
      </c>
      <c r="F525" s="57">
        <f>((fcd_sn*sn_b*(3/14*sn_h*(sn_h-3/7*sn_h)+4/7*sn_h*(sn_h/2-3/7*sn_h)*(1-$C525^2/3)-16/49*sn_h^2*(1/2-$C525^2/4))+SUMPRODUCT($J$5:$K$5,$J525:$K525,$J$7:$K$7))/1E6)</f>
        <v/>
      </c>
      <c r="G525" s="57">
        <f>IF(AND(MIN($E525,$E526)&lt;=sn_N,sn_N&lt;=MAX($E525,$E526)),IF($E525=$E526,MAX($F525,$F526),$F525+(sn_N-$E525)*($F526-$F525)/($E526-$E525)),"")</f>
        <v/>
      </c>
      <c r="H525" s="57">
        <f>IF(AND(MIN($E525,$E526)&lt;=sn_N,sn_N&lt;=MAX($E525,$E526)),IF($E525=$E526,MIN($F525,$F526),$F525+(sn_N-$E525)*($F526-$F525)/($E526-$E525)),"")</f>
        <v/>
      </c>
      <c r="J525">
        <f>MAX(-fyd_sn,MIN(fyd_sn,200000*0.002*(1-$C525*(7*J$6-3*sn_h)/(4*sn_h))))-fcd_sn*(1-MIN(1,MAX(0,$C525*(7*J$6-3*sn_h)/(4*sn_h)))^2)</f>
        <v/>
      </c>
      <c r="K525">
        <f>MAX(-fyd_sn,MIN(fyd_sn,200000*0.002*(1-$C525*(7*K$6-3*sn_h)/(4*sn_h))))-fcd_sn*(1-MIN(1,MAX(0,$C525*(7*K$6-3*sn_h)/(4*sn_h)))^2)</f>
        <v/>
      </c>
    </row>
    <row r="526">
      <c r="B526" s="55" t="n">
        <v>95</v>
      </c>
      <c r="C526" s="56">
        <f>IF(95&lt;posS_sn,1-95/200,IF(95=posS_sn,tstS_sn,1-(95-1)/200))</f>
        <v/>
      </c>
      <c r="D526" s="59">
        <f>IF($C526&gt;=1,sn_h,3/7*sn_h+4/7*sn_h/MAX($C526,1E-12))</f>
        <v/>
      </c>
      <c r="E526" s="57">
        <f>(fcd_sn*sn_b*sn_h*(3/7+4/7*(1-$C526^2/3))+SUMPRODUCT($J$5:$K$5,$J526:$K526))/1000</f>
        <v/>
      </c>
      <c r="F526" s="57">
        <f>((fcd_sn*sn_b*(3/14*sn_h*(sn_h-3/7*sn_h)+4/7*sn_h*(sn_h/2-3/7*sn_h)*(1-$C526^2/3)-16/49*sn_h^2*(1/2-$C526^2/4))+SUMPRODUCT($J$5:$K$5,$J526:$K526,$J$7:$K$7))/1E6)</f>
        <v/>
      </c>
      <c r="G526" s="57">
        <f>IF(AND(MIN($E526,$E527)&lt;=sn_N,sn_N&lt;=MAX($E526,$E527)),IF($E526=$E527,MAX($F526,$F527),$F526+(sn_N-$E526)*($F527-$F526)/($E527-$E526)),"")</f>
        <v/>
      </c>
      <c r="H526" s="57">
        <f>IF(AND(MIN($E526,$E527)&lt;=sn_N,sn_N&lt;=MAX($E526,$E527)),IF($E526=$E527,MIN($F526,$F527),$F526+(sn_N-$E526)*($F527-$F526)/($E527-$E526)),"")</f>
        <v/>
      </c>
      <c r="J526">
        <f>MAX(-fyd_sn,MIN(fyd_sn,200000*0.002*(1-$C526*(7*J$6-3*sn_h)/(4*sn_h))))-fcd_sn*(1-MIN(1,MAX(0,$C526*(7*J$6-3*sn_h)/(4*sn_h)))^2)</f>
        <v/>
      </c>
      <c r="K526">
        <f>MAX(-fyd_sn,MIN(fyd_sn,200000*0.002*(1-$C526*(7*K$6-3*sn_h)/(4*sn_h))))-fcd_sn*(1-MIN(1,MAX(0,$C526*(7*K$6-3*sn_h)/(4*sn_h)))^2)</f>
        <v/>
      </c>
    </row>
    <row r="527">
      <c r="B527" s="55" t="n">
        <v>96</v>
      </c>
      <c r="C527" s="56">
        <f>IF(96&lt;posS_sn,1-96/200,IF(96=posS_sn,tstS_sn,1-(96-1)/200))</f>
        <v/>
      </c>
      <c r="D527" s="59">
        <f>IF($C527&gt;=1,sn_h,3/7*sn_h+4/7*sn_h/MAX($C527,1E-12))</f>
        <v/>
      </c>
      <c r="E527" s="57">
        <f>(fcd_sn*sn_b*sn_h*(3/7+4/7*(1-$C527^2/3))+SUMPRODUCT($J$5:$K$5,$J527:$K527))/1000</f>
        <v/>
      </c>
      <c r="F527" s="57">
        <f>((fcd_sn*sn_b*(3/14*sn_h*(sn_h-3/7*sn_h)+4/7*sn_h*(sn_h/2-3/7*sn_h)*(1-$C527^2/3)-16/49*sn_h^2*(1/2-$C527^2/4))+SUMPRODUCT($J$5:$K$5,$J527:$K527,$J$7:$K$7))/1E6)</f>
        <v/>
      </c>
      <c r="G527" s="57">
        <f>IF(AND(MIN($E527,$E528)&lt;=sn_N,sn_N&lt;=MAX($E527,$E528)),IF($E527=$E528,MAX($F527,$F528),$F527+(sn_N-$E527)*($F528-$F527)/($E528-$E527)),"")</f>
        <v/>
      </c>
      <c r="H527" s="57">
        <f>IF(AND(MIN($E527,$E528)&lt;=sn_N,sn_N&lt;=MAX($E527,$E528)),IF($E527=$E528,MIN($F527,$F528),$F527+(sn_N-$E527)*($F528-$F527)/($E528-$E527)),"")</f>
        <v/>
      </c>
      <c r="J527">
        <f>MAX(-fyd_sn,MIN(fyd_sn,200000*0.002*(1-$C527*(7*J$6-3*sn_h)/(4*sn_h))))-fcd_sn*(1-MIN(1,MAX(0,$C527*(7*J$6-3*sn_h)/(4*sn_h)))^2)</f>
        <v/>
      </c>
      <c r="K527">
        <f>MAX(-fyd_sn,MIN(fyd_sn,200000*0.002*(1-$C527*(7*K$6-3*sn_h)/(4*sn_h))))-fcd_sn*(1-MIN(1,MAX(0,$C527*(7*K$6-3*sn_h)/(4*sn_h)))^2)</f>
        <v/>
      </c>
    </row>
    <row r="528">
      <c r="B528" s="55" t="n">
        <v>97</v>
      </c>
      <c r="C528" s="56">
        <f>IF(97&lt;posS_sn,1-97/200,IF(97=posS_sn,tstS_sn,1-(97-1)/200))</f>
        <v/>
      </c>
      <c r="D528" s="59">
        <f>IF($C528&gt;=1,sn_h,3/7*sn_h+4/7*sn_h/MAX($C528,1E-12))</f>
        <v/>
      </c>
      <c r="E528" s="57">
        <f>(fcd_sn*sn_b*sn_h*(3/7+4/7*(1-$C528^2/3))+SUMPRODUCT($J$5:$K$5,$J528:$K528))/1000</f>
        <v/>
      </c>
      <c r="F528" s="57">
        <f>((fcd_sn*sn_b*(3/14*sn_h*(sn_h-3/7*sn_h)+4/7*sn_h*(sn_h/2-3/7*sn_h)*(1-$C528^2/3)-16/49*sn_h^2*(1/2-$C528^2/4))+SUMPRODUCT($J$5:$K$5,$J528:$K528,$J$7:$K$7))/1E6)</f>
        <v/>
      </c>
      <c r="G528" s="57">
        <f>IF(AND(MIN($E528,$E529)&lt;=sn_N,sn_N&lt;=MAX($E528,$E529)),IF($E528=$E529,MAX($F528,$F529),$F528+(sn_N-$E528)*($F529-$F528)/($E529-$E528)),"")</f>
        <v/>
      </c>
      <c r="H528" s="57">
        <f>IF(AND(MIN($E528,$E529)&lt;=sn_N,sn_N&lt;=MAX($E528,$E529)),IF($E528=$E529,MIN($F528,$F529),$F528+(sn_N-$E528)*($F529-$F528)/($E529-$E528)),"")</f>
        <v/>
      </c>
      <c r="J528">
        <f>MAX(-fyd_sn,MIN(fyd_sn,200000*0.002*(1-$C528*(7*J$6-3*sn_h)/(4*sn_h))))-fcd_sn*(1-MIN(1,MAX(0,$C528*(7*J$6-3*sn_h)/(4*sn_h)))^2)</f>
        <v/>
      </c>
      <c r="K528">
        <f>MAX(-fyd_sn,MIN(fyd_sn,200000*0.002*(1-$C528*(7*K$6-3*sn_h)/(4*sn_h))))-fcd_sn*(1-MIN(1,MAX(0,$C528*(7*K$6-3*sn_h)/(4*sn_h)))^2)</f>
        <v/>
      </c>
    </row>
    <row r="529">
      <c r="B529" s="55" t="n">
        <v>98</v>
      </c>
      <c r="C529" s="56">
        <f>IF(98&lt;posS_sn,1-98/200,IF(98=posS_sn,tstS_sn,1-(98-1)/200))</f>
        <v/>
      </c>
      <c r="D529" s="59">
        <f>IF($C529&gt;=1,sn_h,3/7*sn_h+4/7*sn_h/MAX($C529,1E-12))</f>
        <v/>
      </c>
      <c r="E529" s="57">
        <f>(fcd_sn*sn_b*sn_h*(3/7+4/7*(1-$C529^2/3))+SUMPRODUCT($J$5:$K$5,$J529:$K529))/1000</f>
        <v/>
      </c>
      <c r="F529" s="57">
        <f>((fcd_sn*sn_b*(3/14*sn_h*(sn_h-3/7*sn_h)+4/7*sn_h*(sn_h/2-3/7*sn_h)*(1-$C529^2/3)-16/49*sn_h^2*(1/2-$C529^2/4))+SUMPRODUCT($J$5:$K$5,$J529:$K529,$J$7:$K$7))/1E6)</f>
        <v/>
      </c>
      <c r="G529" s="57">
        <f>IF(AND(MIN($E529,$E530)&lt;=sn_N,sn_N&lt;=MAX($E529,$E530)),IF($E529=$E530,MAX($F529,$F530),$F529+(sn_N-$E529)*($F530-$F529)/($E530-$E529)),"")</f>
        <v/>
      </c>
      <c r="H529" s="57">
        <f>IF(AND(MIN($E529,$E530)&lt;=sn_N,sn_N&lt;=MAX($E529,$E530)),IF($E529=$E530,MIN($F529,$F530),$F529+(sn_N-$E529)*($F530-$F529)/($E530-$E529)),"")</f>
        <v/>
      </c>
      <c r="J529">
        <f>MAX(-fyd_sn,MIN(fyd_sn,200000*0.002*(1-$C529*(7*J$6-3*sn_h)/(4*sn_h))))-fcd_sn*(1-MIN(1,MAX(0,$C529*(7*J$6-3*sn_h)/(4*sn_h)))^2)</f>
        <v/>
      </c>
      <c r="K529">
        <f>MAX(-fyd_sn,MIN(fyd_sn,200000*0.002*(1-$C529*(7*K$6-3*sn_h)/(4*sn_h))))-fcd_sn*(1-MIN(1,MAX(0,$C529*(7*K$6-3*sn_h)/(4*sn_h)))^2)</f>
        <v/>
      </c>
    </row>
    <row r="530">
      <c r="B530" s="55" t="n">
        <v>99</v>
      </c>
      <c r="C530" s="56">
        <f>IF(99&lt;posS_sn,1-99/200,IF(99=posS_sn,tstS_sn,1-(99-1)/200))</f>
        <v/>
      </c>
      <c r="D530" s="59">
        <f>IF($C530&gt;=1,sn_h,3/7*sn_h+4/7*sn_h/MAX($C530,1E-12))</f>
        <v/>
      </c>
      <c r="E530" s="57">
        <f>(fcd_sn*sn_b*sn_h*(3/7+4/7*(1-$C530^2/3))+SUMPRODUCT($J$5:$K$5,$J530:$K530))/1000</f>
        <v/>
      </c>
      <c r="F530" s="57">
        <f>((fcd_sn*sn_b*(3/14*sn_h*(sn_h-3/7*sn_h)+4/7*sn_h*(sn_h/2-3/7*sn_h)*(1-$C530^2/3)-16/49*sn_h^2*(1/2-$C530^2/4))+SUMPRODUCT($J$5:$K$5,$J530:$K530,$J$7:$K$7))/1E6)</f>
        <v/>
      </c>
      <c r="G530" s="57">
        <f>IF(AND(MIN($E530,$E531)&lt;=sn_N,sn_N&lt;=MAX($E530,$E531)),IF($E530=$E531,MAX($F530,$F531),$F530+(sn_N-$E530)*($F531-$F530)/($E531-$E530)),"")</f>
        <v/>
      </c>
      <c r="H530" s="57">
        <f>IF(AND(MIN($E530,$E531)&lt;=sn_N,sn_N&lt;=MAX($E530,$E531)),IF($E530=$E531,MIN($F530,$F531),$F530+(sn_N-$E530)*($F531-$F530)/($E531-$E530)),"")</f>
        <v/>
      </c>
      <c r="J530">
        <f>MAX(-fyd_sn,MIN(fyd_sn,200000*0.002*(1-$C530*(7*J$6-3*sn_h)/(4*sn_h))))-fcd_sn*(1-MIN(1,MAX(0,$C530*(7*J$6-3*sn_h)/(4*sn_h)))^2)</f>
        <v/>
      </c>
      <c r="K530">
        <f>MAX(-fyd_sn,MIN(fyd_sn,200000*0.002*(1-$C530*(7*K$6-3*sn_h)/(4*sn_h))))-fcd_sn*(1-MIN(1,MAX(0,$C530*(7*K$6-3*sn_h)/(4*sn_h)))^2)</f>
        <v/>
      </c>
    </row>
    <row r="531">
      <c r="B531" s="55" t="n">
        <v>100</v>
      </c>
      <c r="C531" s="56">
        <f>IF(100&lt;posS_sn,1-100/200,IF(100=posS_sn,tstS_sn,1-(100-1)/200))</f>
        <v/>
      </c>
      <c r="D531" s="59">
        <f>IF($C531&gt;=1,sn_h,3/7*sn_h+4/7*sn_h/MAX($C531,1E-12))</f>
        <v/>
      </c>
      <c r="E531" s="57">
        <f>(fcd_sn*sn_b*sn_h*(3/7+4/7*(1-$C531^2/3))+SUMPRODUCT($J$5:$K$5,$J531:$K531))/1000</f>
        <v/>
      </c>
      <c r="F531" s="57">
        <f>((fcd_sn*sn_b*(3/14*sn_h*(sn_h-3/7*sn_h)+4/7*sn_h*(sn_h/2-3/7*sn_h)*(1-$C531^2/3)-16/49*sn_h^2*(1/2-$C531^2/4))+SUMPRODUCT($J$5:$K$5,$J531:$K531,$J$7:$K$7))/1E6)</f>
        <v/>
      </c>
      <c r="G531" s="57">
        <f>IF(AND(MIN($E531,$E532)&lt;=sn_N,sn_N&lt;=MAX($E531,$E532)),IF($E531=$E532,MAX($F531,$F532),$F531+(sn_N-$E531)*($F532-$F531)/($E532-$E531)),"")</f>
        <v/>
      </c>
      <c r="H531" s="57">
        <f>IF(AND(MIN($E531,$E532)&lt;=sn_N,sn_N&lt;=MAX($E531,$E532)),IF($E531=$E532,MIN($F531,$F532),$F531+(sn_N-$E531)*($F532-$F531)/($E532-$E531)),"")</f>
        <v/>
      </c>
      <c r="J531">
        <f>MAX(-fyd_sn,MIN(fyd_sn,200000*0.002*(1-$C531*(7*J$6-3*sn_h)/(4*sn_h))))-fcd_sn*(1-MIN(1,MAX(0,$C531*(7*J$6-3*sn_h)/(4*sn_h)))^2)</f>
        <v/>
      </c>
      <c r="K531">
        <f>MAX(-fyd_sn,MIN(fyd_sn,200000*0.002*(1-$C531*(7*K$6-3*sn_h)/(4*sn_h))))-fcd_sn*(1-MIN(1,MAX(0,$C531*(7*K$6-3*sn_h)/(4*sn_h)))^2)</f>
        <v/>
      </c>
    </row>
    <row r="532">
      <c r="B532" s="55" t="n">
        <v>101</v>
      </c>
      <c r="C532" s="56">
        <f>IF(101&lt;posS_sn,1-101/200,IF(101=posS_sn,tstS_sn,1-(101-1)/200))</f>
        <v/>
      </c>
      <c r="D532" s="59">
        <f>IF($C532&gt;=1,sn_h,3/7*sn_h+4/7*sn_h/MAX($C532,1E-12))</f>
        <v/>
      </c>
      <c r="E532" s="57">
        <f>(fcd_sn*sn_b*sn_h*(3/7+4/7*(1-$C532^2/3))+SUMPRODUCT($J$5:$K$5,$J532:$K532))/1000</f>
        <v/>
      </c>
      <c r="F532" s="57">
        <f>((fcd_sn*sn_b*(3/14*sn_h*(sn_h-3/7*sn_h)+4/7*sn_h*(sn_h/2-3/7*sn_h)*(1-$C532^2/3)-16/49*sn_h^2*(1/2-$C532^2/4))+SUMPRODUCT($J$5:$K$5,$J532:$K532,$J$7:$K$7))/1E6)</f>
        <v/>
      </c>
      <c r="G532" s="57">
        <f>IF(AND(MIN($E532,$E533)&lt;=sn_N,sn_N&lt;=MAX($E532,$E533)),IF($E532=$E533,MAX($F532,$F533),$F532+(sn_N-$E532)*($F533-$F532)/($E533-$E532)),"")</f>
        <v/>
      </c>
      <c r="H532" s="57">
        <f>IF(AND(MIN($E532,$E533)&lt;=sn_N,sn_N&lt;=MAX($E532,$E533)),IF($E532=$E533,MIN($F532,$F533),$F532+(sn_N-$E532)*($F533-$F532)/($E533-$E532)),"")</f>
        <v/>
      </c>
      <c r="J532">
        <f>MAX(-fyd_sn,MIN(fyd_sn,200000*0.002*(1-$C532*(7*J$6-3*sn_h)/(4*sn_h))))-fcd_sn*(1-MIN(1,MAX(0,$C532*(7*J$6-3*sn_h)/(4*sn_h)))^2)</f>
        <v/>
      </c>
      <c r="K532">
        <f>MAX(-fyd_sn,MIN(fyd_sn,200000*0.002*(1-$C532*(7*K$6-3*sn_h)/(4*sn_h))))-fcd_sn*(1-MIN(1,MAX(0,$C532*(7*K$6-3*sn_h)/(4*sn_h)))^2)</f>
        <v/>
      </c>
    </row>
    <row r="533">
      <c r="B533" s="55" t="n">
        <v>102</v>
      </c>
      <c r="C533" s="56">
        <f>IF(102&lt;posS_sn,1-102/200,IF(102=posS_sn,tstS_sn,1-(102-1)/200))</f>
        <v/>
      </c>
      <c r="D533" s="59">
        <f>IF($C533&gt;=1,sn_h,3/7*sn_h+4/7*sn_h/MAX($C533,1E-12))</f>
        <v/>
      </c>
      <c r="E533" s="57">
        <f>(fcd_sn*sn_b*sn_h*(3/7+4/7*(1-$C533^2/3))+SUMPRODUCT($J$5:$K$5,$J533:$K533))/1000</f>
        <v/>
      </c>
      <c r="F533" s="57">
        <f>((fcd_sn*sn_b*(3/14*sn_h*(sn_h-3/7*sn_h)+4/7*sn_h*(sn_h/2-3/7*sn_h)*(1-$C533^2/3)-16/49*sn_h^2*(1/2-$C533^2/4))+SUMPRODUCT($J$5:$K$5,$J533:$K533,$J$7:$K$7))/1E6)</f>
        <v/>
      </c>
      <c r="G533" s="57">
        <f>IF(AND(MIN($E533,$E534)&lt;=sn_N,sn_N&lt;=MAX($E533,$E534)),IF($E533=$E534,MAX($F533,$F534),$F533+(sn_N-$E533)*($F534-$F533)/($E534-$E533)),"")</f>
        <v/>
      </c>
      <c r="H533" s="57">
        <f>IF(AND(MIN($E533,$E534)&lt;=sn_N,sn_N&lt;=MAX($E533,$E534)),IF($E533=$E534,MIN($F533,$F534),$F533+(sn_N-$E533)*($F534-$F533)/($E534-$E533)),"")</f>
        <v/>
      </c>
      <c r="J533">
        <f>MAX(-fyd_sn,MIN(fyd_sn,200000*0.002*(1-$C533*(7*J$6-3*sn_h)/(4*sn_h))))-fcd_sn*(1-MIN(1,MAX(0,$C533*(7*J$6-3*sn_h)/(4*sn_h)))^2)</f>
        <v/>
      </c>
      <c r="K533">
        <f>MAX(-fyd_sn,MIN(fyd_sn,200000*0.002*(1-$C533*(7*K$6-3*sn_h)/(4*sn_h))))-fcd_sn*(1-MIN(1,MAX(0,$C533*(7*K$6-3*sn_h)/(4*sn_h)))^2)</f>
        <v/>
      </c>
    </row>
    <row r="534">
      <c r="B534" s="55" t="n">
        <v>103</v>
      </c>
      <c r="C534" s="56">
        <f>IF(103&lt;posS_sn,1-103/200,IF(103=posS_sn,tstS_sn,1-(103-1)/200))</f>
        <v/>
      </c>
      <c r="D534" s="59">
        <f>IF($C534&gt;=1,sn_h,3/7*sn_h+4/7*sn_h/MAX($C534,1E-12))</f>
        <v/>
      </c>
      <c r="E534" s="57">
        <f>(fcd_sn*sn_b*sn_h*(3/7+4/7*(1-$C534^2/3))+SUMPRODUCT($J$5:$K$5,$J534:$K534))/1000</f>
        <v/>
      </c>
      <c r="F534" s="57">
        <f>((fcd_sn*sn_b*(3/14*sn_h*(sn_h-3/7*sn_h)+4/7*sn_h*(sn_h/2-3/7*sn_h)*(1-$C534^2/3)-16/49*sn_h^2*(1/2-$C534^2/4))+SUMPRODUCT($J$5:$K$5,$J534:$K534,$J$7:$K$7))/1E6)</f>
        <v/>
      </c>
      <c r="G534" s="57">
        <f>IF(AND(MIN($E534,$E535)&lt;=sn_N,sn_N&lt;=MAX($E534,$E535)),IF($E534=$E535,MAX($F534,$F535),$F534+(sn_N-$E534)*($F535-$F534)/($E535-$E534)),"")</f>
        <v/>
      </c>
      <c r="H534" s="57">
        <f>IF(AND(MIN($E534,$E535)&lt;=sn_N,sn_N&lt;=MAX($E534,$E535)),IF($E534=$E535,MIN($F534,$F535),$F534+(sn_N-$E534)*($F535-$F534)/($E535-$E534)),"")</f>
        <v/>
      </c>
      <c r="J534">
        <f>MAX(-fyd_sn,MIN(fyd_sn,200000*0.002*(1-$C534*(7*J$6-3*sn_h)/(4*sn_h))))-fcd_sn*(1-MIN(1,MAX(0,$C534*(7*J$6-3*sn_h)/(4*sn_h)))^2)</f>
        <v/>
      </c>
      <c r="K534">
        <f>MAX(-fyd_sn,MIN(fyd_sn,200000*0.002*(1-$C534*(7*K$6-3*sn_h)/(4*sn_h))))-fcd_sn*(1-MIN(1,MAX(0,$C534*(7*K$6-3*sn_h)/(4*sn_h)))^2)</f>
        <v/>
      </c>
    </row>
    <row r="535">
      <c r="B535" s="55" t="n">
        <v>104</v>
      </c>
      <c r="C535" s="56">
        <f>IF(104&lt;posS_sn,1-104/200,IF(104=posS_sn,tstS_sn,1-(104-1)/200))</f>
        <v/>
      </c>
      <c r="D535" s="59">
        <f>IF($C535&gt;=1,sn_h,3/7*sn_h+4/7*sn_h/MAX($C535,1E-12))</f>
        <v/>
      </c>
      <c r="E535" s="57">
        <f>(fcd_sn*sn_b*sn_h*(3/7+4/7*(1-$C535^2/3))+SUMPRODUCT($J$5:$K$5,$J535:$K535))/1000</f>
        <v/>
      </c>
      <c r="F535" s="57">
        <f>((fcd_sn*sn_b*(3/14*sn_h*(sn_h-3/7*sn_h)+4/7*sn_h*(sn_h/2-3/7*sn_h)*(1-$C535^2/3)-16/49*sn_h^2*(1/2-$C535^2/4))+SUMPRODUCT($J$5:$K$5,$J535:$K535,$J$7:$K$7))/1E6)</f>
        <v/>
      </c>
      <c r="G535" s="57">
        <f>IF(AND(MIN($E535,$E536)&lt;=sn_N,sn_N&lt;=MAX($E535,$E536)),IF($E535=$E536,MAX($F535,$F536),$F535+(sn_N-$E535)*($F536-$F535)/($E536-$E535)),"")</f>
        <v/>
      </c>
      <c r="H535" s="57">
        <f>IF(AND(MIN($E535,$E536)&lt;=sn_N,sn_N&lt;=MAX($E535,$E536)),IF($E535=$E536,MIN($F535,$F536),$F535+(sn_N-$E535)*($F536-$F535)/($E536-$E535)),"")</f>
        <v/>
      </c>
      <c r="J535">
        <f>MAX(-fyd_sn,MIN(fyd_sn,200000*0.002*(1-$C535*(7*J$6-3*sn_h)/(4*sn_h))))-fcd_sn*(1-MIN(1,MAX(0,$C535*(7*J$6-3*sn_h)/(4*sn_h)))^2)</f>
        <v/>
      </c>
      <c r="K535">
        <f>MAX(-fyd_sn,MIN(fyd_sn,200000*0.002*(1-$C535*(7*K$6-3*sn_h)/(4*sn_h))))-fcd_sn*(1-MIN(1,MAX(0,$C535*(7*K$6-3*sn_h)/(4*sn_h)))^2)</f>
        <v/>
      </c>
    </row>
    <row r="536">
      <c r="B536" s="55" t="n">
        <v>105</v>
      </c>
      <c r="C536" s="56">
        <f>IF(105&lt;posS_sn,1-105/200,IF(105=posS_sn,tstS_sn,1-(105-1)/200))</f>
        <v/>
      </c>
      <c r="D536" s="59">
        <f>IF($C536&gt;=1,sn_h,3/7*sn_h+4/7*sn_h/MAX($C536,1E-12))</f>
        <v/>
      </c>
      <c r="E536" s="57">
        <f>(fcd_sn*sn_b*sn_h*(3/7+4/7*(1-$C536^2/3))+SUMPRODUCT($J$5:$K$5,$J536:$K536))/1000</f>
        <v/>
      </c>
      <c r="F536" s="57">
        <f>((fcd_sn*sn_b*(3/14*sn_h*(sn_h-3/7*sn_h)+4/7*sn_h*(sn_h/2-3/7*sn_h)*(1-$C536^2/3)-16/49*sn_h^2*(1/2-$C536^2/4))+SUMPRODUCT($J$5:$K$5,$J536:$K536,$J$7:$K$7))/1E6)</f>
        <v/>
      </c>
      <c r="G536" s="57">
        <f>IF(AND(MIN($E536,$E537)&lt;=sn_N,sn_N&lt;=MAX($E536,$E537)),IF($E536=$E537,MAX($F536,$F537),$F536+(sn_N-$E536)*($F537-$F536)/($E537-$E536)),"")</f>
        <v/>
      </c>
      <c r="H536" s="57">
        <f>IF(AND(MIN($E536,$E537)&lt;=sn_N,sn_N&lt;=MAX($E536,$E537)),IF($E536=$E537,MIN($F536,$F537),$F536+(sn_N-$E536)*($F537-$F536)/($E537-$E536)),"")</f>
        <v/>
      </c>
      <c r="J536">
        <f>MAX(-fyd_sn,MIN(fyd_sn,200000*0.002*(1-$C536*(7*J$6-3*sn_h)/(4*sn_h))))-fcd_sn*(1-MIN(1,MAX(0,$C536*(7*J$6-3*sn_h)/(4*sn_h)))^2)</f>
        <v/>
      </c>
      <c r="K536">
        <f>MAX(-fyd_sn,MIN(fyd_sn,200000*0.002*(1-$C536*(7*K$6-3*sn_h)/(4*sn_h))))-fcd_sn*(1-MIN(1,MAX(0,$C536*(7*K$6-3*sn_h)/(4*sn_h)))^2)</f>
        <v/>
      </c>
    </row>
    <row r="537">
      <c r="B537" s="55" t="n">
        <v>106</v>
      </c>
      <c r="C537" s="56">
        <f>IF(106&lt;posS_sn,1-106/200,IF(106=posS_sn,tstS_sn,1-(106-1)/200))</f>
        <v/>
      </c>
      <c r="D537" s="59">
        <f>IF($C537&gt;=1,sn_h,3/7*sn_h+4/7*sn_h/MAX($C537,1E-12))</f>
        <v/>
      </c>
      <c r="E537" s="57">
        <f>(fcd_sn*sn_b*sn_h*(3/7+4/7*(1-$C537^2/3))+SUMPRODUCT($J$5:$K$5,$J537:$K537))/1000</f>
        <v/>
      </c>
      <c r="F537" s="57">
        <f>((fcd_sn*sn_b*(3/14*sn_h*(sn_h-3/7*sn_h)+4/7*sn_h*(sn_h/2-3/7*sn_h)*(1-$C537^2/3)-16/49*sn_h^2*(1/2-$C537^2/4))+SUMPRODUCT($J$5:$K$5,$J537:$K537,$J$7:$K$7))/1E6)</f>
        <v/>
      </c>
      <c r="G537" s="57">
        <f>IF(AND(MIN($E537,$E538)&lt;=sn_N,sn_N&lt;=MAX($E537,$E538)),IF($E537=$E538,MAX($F537,$F538),$F537+(sn_N-$E537)*($F538-$F537)/($E538-$E537)),"")</f>
        <v/>
      </c>
      <c r="H537" s="57">
        <f>IF(AND(MIN($E537,$E538)&lt;=sn_N,sn_N&lt;=MAX($E537,$E538)),IF($E537=$E538,MIN($F537,$F538),$F537+(sn_N-$E537)*($F538-$F537)/($E538-$E537)),"")</f>
        <v/>
      </c>
      <c r="J537">
        <f>MAX(-fyd_sn,MIN(fyd_sn,200000*0.002*(1-$C537*(7*J$6-3*sn_h)/(4*sn_h))))-fcd_sn*(1-MIN(1,MAX(0,$C537*(7*J$6-3*sn_h)/(4*sn_h)))^2)</f>
        <v/>
      </c>
      <c r="K537">
        <f>MAX(-fyd_sn,MIN(fyd_sn,200000*0.002*(1-$C537*(7*K$6-3*sn_h)/(4*sn_h))))-fcd_sn*(1-MIN(1,MAX(0,$C537*(7*K$6-3*sn_h)/(4*sn_h)))^2)</f>
        <v/>
      </c>
    </row>
    <row r="538">
      <c r="B538" s="55" t="n">
        <v>107</v>
      </c>
      <c r="C538" s="56">
        <f>IF(107&lt;posS_sn,1-107/200,IF(107=posS_sn,tstS_sn,1-(107-1)/200))</f>
        <v/>
      </c>
      <c r="D538" s="59">
        <f>IF($C538&gt;=1,sn_h,3/7*sn_h+4/7*sn_h/MAX($C538,1E-12))</f>
        <v/>
      </c>
      <c r="E538" s="57">
        <f>(fcd_sn*sn_b*sn_h*(3/7+4/7*(1-$C538^2/3))+SUMPRODUCT($J$5:$K$5,$J538:$K538))/1000</f>
        <v/>
      </c>
      <c r="F538" s="57">
        <f>((fcd_sn*sn_b*(3/14*sn_h*(sn_h-3/7*sn_h)+4/7*sn_h*(sn_h/2-3/7*sn_h)*(1-$C538^2/3)-16/49*sn_h^2*(1/2-$C538^2/4))+SUMPRODUCT($J$5:$K$5,$J538:$K538,$J$7:$K$7))/1E6)</f>
        <v/>
      </c>
      <c r="G538" s="57">
        <f>IF(AND(MIN($E538,$E539)&lt;=sn_N,sn_N&lt;=MAX($E538,$E539)),IF($E538=$E539,MAX($F538,$F539),$F538+(sn_N-$E538)*($F539-$F538)/($E539-$E538)),"")</f>
        <v/>
      </c>
      <c r="H538" s="57">
        <f>IF(AND(MIN($E538,$E539)&lt;=sn_N,sn_N&lt;=MAX($E538,$E539)),IF($E538=$E539,MIN($F538,$F539),$F538+(sn_N-$E538)*($F539-$F538)/($E539-$E538)),"")</f>
        <v/>
      </c>
      <c r="J538">
        <f>MAX(-fyd_sn,MIN(fyd_sn,200000*0.002*(1-$C538*(7*J$6-3*sn_h)/(4*sn_h))))-fcd_sn*(1-MIN(1,MAX(0,$C538*(7*J$6-3*sn_h)/(4*sn_h)))^2)</f>
        <v/>
      </c>
      <c r="K538">
        <f>MAX(-fyd_sn,MIN(fyd_sn,200000*0.002*(1-$C538*(7*K$6-3*sn_h)/(4*sn_h))))-fcd_sn*(1-MIN(1,MAX(0,$C538*(7*K$6-3*sn_h)/(4*sn_h)))^2)</f>
        <v/>
      </c>
    </row>
    <row r="539">
      <c r="B539" s="55" t="n">
        <v>108</v>
      </c>
      <c r="C539" s="56">
        <f>IF(108&lt;posS_sn,1-108/200,IF(108=posS_sn,tstS_sn,1-(108-1)/200))</f>
        <v/>
      </c>
      <c r="D539" s="59">
        <f>IF($C539&gt;=1,sn_h,3/7*sn_h+4/7*sn_h/MAX($C539,1E-12))</f>
        <v/>
      </c>
      <c r="E539" s="57">
        <f>(fcd_sn*sn_b*sn_h*(3/7+4/7*(1-$C539^2/3))+SUMPRODUCT($J$5:$K$5,$J539:$K539))/1000</f>
        <v/>
      </c>
      <c r="F539" s="57">
        <f>((fcd_sn*sn_b*(3/14*sn_h*(sn_h-3/7*sn_h)+4/7*sn_h*(sn_h/2-3/7*sn_h)*(1-$C539^2/3)-16/49*sn_h^2*(1/2-$C539^2/4))+SUMPRODUCT($J$5:$K$5,$J539:$K539,$J$7:$K$7))/1E6)</f>
        <v/>
      </c>
      <c r="G539" s="57">
        <f>IF(AND(MIN($E539,$E540)&lt;=sn_N,sn_N&lt;=MAX($E539,$E540)),IF($E539=$E540,MAX($F539,$F540),$F539+(sn_N-$E539)*($F540-$F539)/($E540-$E539)),"")</f>
        <v/>
      </c>
      <c r="H539" s="57">
        <f>IF(AND(MIN($E539,$E540)&lt;=sn_N,sn_N&lt;=MAX($E539,$E540)),IF($E539=$E540,MIN($F539,$F540),$F539+(sn_N-$E539)*($F540-$F539)/($E540-$E539)),"")</f>
        <v/>
      </c>
      <c r="J539">
        <f>MAX(-fyd_sn,MIN(fyd_sn,200000*0.002*(1-$C539*(7*J$6-3*sn_h)/(4*sn_h))))-fcd_sn*(1-MIN(1,MAX(0,$C539*(7*J$6-3*sn_h)/(4*sn_h)))^2)</f>
        <v/>
      </c>
      <c r="K539">
        <f>MAX(-fyd_sn,MIN(fyd_sn,200000*0.002*(1-$C539*(7*K$6-3*sn_h)/(4*sn_h))))-fcd_sn*(1-MIN(1,MAX(0,$C539*(7*K$6-3*sn_h)/(4*sn_h)))^2)</f>
        <v/>
      </c>
    </row>
    <row r="540">
      <c r="B540" s="55" t="n">
        <v>109</v>
      </c>
      <c r="C540" s="56">
        <f>IF(109&lt;posS_sn,1-109/200,IF(109=posS_sn,tstS_sn,1-(109-1)/200))</f>
        <v/>
      </c>
      <c r="D540" s="59">
        <f>IF($C540&gt;=1,sn_h,3/7*sn_h+4/7*sn_h/MAX($C540,1E-12))</f>
        <v/>
      </c>
      <c r="E540" s="57">
        <f>(fcd_sn*sn_b*sn_h*(3/7+4/7*(1-$C540^2/3))+SUMPRODUCT($J$5:$K$5,$J540:$K540))/1000</f>
        <v/>
      </c>
      <c r="F540" s="57">
        <f>((fcd_sn*sn_b*(3/14*sn_h*(sn_h-3/7*sn_h)+4/7*sn_h*(sn_h/2-3/7*sn_h)*(1-$C540^2/3)-16/49*sn_h^2*(1/2-$C540^2/4))+SUMPRODUCT($J$5:$K$5,$J540:$K540,$J$7:$K$7))/1E6)</f>
        <v/>
      </c>
      <c r="G540" s="57">
        <f>IF(AND(MIN($E540,$E541)&lt;=sn_N,sn_N&lt;=MAX($E540,$E541)),IF($E540=$E541,MAX($F540,$F541),$F540+(sn_N-$E540)*($F541-$F540)/($E541-$E540)),"")</f>
        <v/>
      </c>
      <c r="H540" s="57">
        <f>IF(AND(MIN($E540,$E541)&lt;=sn_N,sn_N&lt;=MAX($E540,$E541)),IF($E540=$E541,MIN($F540,$F541),$F540+(sn_N-$E540)*($F541-$F540)/($E541-$E540)),"")</f>
        <v/>
      </c>
      <c r="J540">
        <f>MAX(-fyd_sn,MIN(fyd_sn,200000*0.002*(1-$C540*(7*J$6-3*sn_h)/(4*sn_h))))-fcd_sn*(1-MIN(1,MAX(0,$C540*(7*J$6-3*sn_h)/(4*sn_h)))^2)</f>
        <v/>
      </c>
      <c r="K540">
        <f>MAX(-fyd_sn,MIN(fyd_sn,200000*0.002*(1-$C540*(7*K$6-3*sn_h)/(4*sn_h))))-fcd_sn*(1-MIN(1,MAX(0,$C540*(7*K$6-3*sn_h)/(4*sn_h)))^2)</f>
        <v/>
      </c>
    </row>
    <row r="541">
      <c r="B541" s="55" t="n">
        <v>110</v>
      </c>
      <c r="C541" s="56">
        <f>IF(110&lt;posS_sn,1-110/200,IF(110=posS_sn,tstS_sn,1-(110-1)/200))</f>
        <v/>
      </c>
      <c r="D541" s="59">
        <f>IF($C541&gt;=1,sn_h,3/7*sn_h+4/7*sn_h/MAX($C541,1E-12))</f>
        <v/>
      </c>
      <c r="E541" s="57">
        <f>(fcd_sn*sn_b*sn_h*(3/7+4/7*(1-$C541^2/3))+SUMPRODUCT($J$5:$K$5,$J541:$K541))/1000</f>
        <v/>
      </c>
      <c r="F541" s="57">
        <f>((fcd_sn*sn_b*(3/14*sn_h*(sn_h-3/7*sn_h)+4/7*sn_h*(sn_h/2-3/7*sn_h)*(1-$C541^2/3)-16/49*sn_h^2*(1/2-$C541^2/4))+SUMPRODUCT($J$5:$K$5,$J541:$K541,$J$7:$K$7))/1E6)</f>
        <v/>
      </c>
      <c r="G541" s="57">
        <f>IF(AND(MIN($E541,$E542)&lt;=sn_N,sn_N&lt;=MAX($E541,$E542)),IF($E541=$E542,MAX($F541,$F542),$F541+(sn_N-$E541)*($F542-$F541)/($E542-$E541)),"")</f>
        <v/>
      </c>
      <c r="H541" s="57">
        <f>IF(AND(MIN($E541,$E542)&lt;=sn_N,sn_N&lt;=MAX($E541,$E542)),IF($E541=$E542,MIN($F541,$F542),$F541+(sn_N-$E541)*($F542-$F541)/($E542-$E541)),"")</f>
        <v/>
      </c>
      <c r="J541">
        <f>MAX(-fyd_sn,MIN(fyd_sn,200000*0.002*(1-$C541*(7*J$6-3*sn_h)/(4*sn_h))))-fcd_sn*(1-MIN(1,MAX(0,$C541*(7*J$6-3*sn_h)/(4*sn_h)))^2)</f>
        <v/>
      </c>
      <c r="K541">
        <f>MAX(-fyd_sn,MIN(fyd_sn,200000*0.002*(1-$C541*(7*K$6-3*sn_h)/(4*sn_h))))-fcd_sn*(1-MIN(1,MAX(0,$C541*(7*K$6-3*sn_h)/(4*sn_h)))^2)</f>
        <v/>
      </c>
    </row>
    <row r="542">
      <c r="B542" s="55" t="n">
        <v>111</v>
      </c>
      <c r="C542" s="56">
        <f>IF(111&lt;posS_sn,1-111/200,IF(111=posS_sn,tstS_sn,1-(111-1)/200))</f>
        <v/>
      </c>
      <c r="D542" s="59">
        <f>IF($C542&gt;=1,sn_h,3/7*sn_h+4/7*sn_h/MAX($C542,1E-12))</f>
        <v/>
      </c>
      <c r="E542" s="57">
        <f>(fcd_sn*sn_b*sn_h*(3/7+4/7*(1-$C542^2/3))+SUMPRODUCT($J$5:$K$5,$J542:$K542))/1000</f>
        <v/>
      </c>
      <c r="F542" s="57">
        <f>((fcd_sn*sn_b*(3/14*sn_h*(sn_h-3/7*sn_h)+4/7*sn_h*(sn_h/2-3/7*sn_h)*(1-$C542^2/3)-16/49*sn_h^2*(1/2-$C542^2/4))+SUMPRODUCT($J$5:$K$5,$J542:$K542,$J$7:$K$7))/1E6)</f>
        <v/>
      </c>
      <c r="G542" s="57">
        <f>IF(AND(MIN($E542,$E543)&lt;=sn_N,sn_N&lt;=MAX($E542,$E543)),IF($E542=$E543,MAX($F542,$F543),$F542+(sn_N-$E542)*($F543-$F542)/($E543-$E542)),"")</f>
        <v/>
      </c>
      <c r="H542" s="57">
        <f>IF(AND(MIN($E542,$E543)&lt;=sn_N,sn_N&lt;=MAX($E542,$E543)),IF($E542=$E543,MIN($F542,$F543),$F542+(sn_N-$E542)*($F543-$F542)/($E543-$E542)),"")</f>
        <v/>
      </c>
      <c r="J542">
        <f>MAX(-fyd_sn,MIN(fyd_sn,200000*0.002*(1-$C542*(7*J$6-3*sn_h)/(4*sn_h))))-fcd_sn*(1-MIN(1,MAX(0,$C542*(7*J$6-3*sn_h)/(4*sn_h)))^2)</f>
        <v/>
      </c>
      <c r="K542">
        <f>MAX(-fyd_sn,MIN(fyd_sn,200000*0.002*(1-$C542*(7*K$6-3*sn_h)/(4*sn_h))))-fcd_sn*(1-MIN(1,MAX(0,$C542*(7*K$6-3*sn_h)/(4*sn_h)))^2)</f>
        <v/>
      </c>
    </row>
    <row r="543">
      <c r="B543" s="55" t="n">
        <v>112</v>
      </c>
      <c r="C543" s="56">
        <f>IF(112&lt;posS_sn,1-112/200,IF(112=posS_sn,tstS_sn,1-(112-1)/200))</f>
        <v/>
      </c>
      <c r="D543" s="59">
        <f>IF($C543&gt;=1,sn_h,3/7*sn_h+4/7*sn_h/MAX($C543,1E-12))</f>
        <v/>
      </c>
      <c r="E543" s="57">
        <f>(fcd_sn*sn_b*sn_h*(3/7+4/7*(1-$C543^2/3))+SUMPRODUCT($J$5:$K$5,$J543:$K543))/1000</f>
        <v/>
      </c>
      <c r="F543" s="57">
        <f>((fcd_sn*sn_b*(3/14*sn_h*(sn_h-3/7*sn_h)+4/7*sn_h*(sn_h/2-3/7*sn_h)*(1-$C543^2/3)-16/49*sn_h^2*(1/2-$C543^2/4))+SUMPRODUCT($J$5:$K$5,$J543:$K543,$J$7:$K$7))/1E6)</f>
        <v/>
      </c>
      <c r="G543" s="57">
        <f>IF(AND(MIN($E543,$E544)&lt;=sn_N,sn_N&lt;=MAX($E543,$E544)),IF($E543=$E544,MAX($F543,$F544),$F543+(sn_N-$E543)*($F544-$F543)/($E544-$E543)),"")</f>
        <v/>
      </c>
      <c r="H543" s="57">
        <f>IF(AND(MIN($E543,$E544)&lt;=sn_N,sn_N&lt;=MAX($E543,$E544)),IF($E543=$E544,MIN($F543,$F544),$F543+(sn_N-$E543)*($F544-$F543)/($E544-$E543)),"")</f>
        <v/>
      </c>
      <c r="J543">
        <f>MAX(-fyd_sn,MIN(fyd_sn,200000*0.002*(1-$C543*(7*J$6-3*sn_h)/(4*sn_h))))-fcd_sn*(1-MIN(1,MAX(0,$C543*(7*J$6-3*sn_h)/(4*sn_h)))^2)</f>
        <v/>
      </c>
      <c r="K543">
        <f>MAX(-fyd_sn,MIN(fyd_sn,200000*0.002*(1-$C543*(7*K$6-3*sn_h)/(4*sn_h))))-fcd_sn*(1-MIN(1,MAX(0,$C543*(7*K$6-3*sn_h)/(4*sn_h)))^2)</f>
        <v/>
      </c>
    </row>
    <row r="544">
      <c r="B544" s="55" t="n">
        <v>113</v>
      </c>
      <c r="C544" s="56">
        <f>IF(113&lt;posS_sn,1-113/200,IF(113=posS_sn,tstS_sn,1-(113-1)/200))</f>
        <v/>
      </c>
      <c r="D544" s="59">
        <f>IF($C544&gt;=1,sn_h,3/7*sn_h+4/7*sn_h/MAX($C544,1E-12))</f>
        <v/>
      </c>
      <c r="E544" s="57">
        <f>(fcd_sn*sn_b*sn_h*(3/7+4/7*(1-$C544^2/3))+SUMPRODUCT($J$5:$K$5,$J544:$K544))/1000</f>
        <v/>
      </c>
      <c r="F544" s="57">
        <f>((fcd_sn*sn_b*(3/14*sn_h*(sn_h-3/7*sn_h)+4/7*sn_h*(sn_h/2-3/7*sn_h)*(1-$C544^2/3)-16/49*sn_h^2*(1/2-$C544^2/4))+SUMPRODUCT($J$5:$K$5,$J544:$K544,$J$7:$K$7))/1E6)</f>
        <v/>
      </c>
      <c r="G544" s="57">
        <f>IF(AND(MIN($E544,$E545)&lt;=sn_N,sn_N&lt;=MAX($E544,$E545)),IF($E544=$E545,MAX($F544,$F545),$F544+(sn_N-$E544)*($F545-$F544)/($E545-$E544)),"")</f>
        <v/>
      </c>
      <c r="H544" s="57">
        <f>IF(AND(MIN($E544,$E545)&lt;=sn_N,sn_N&lt;=MAX($E544,$E545)),IF($E544=$E545,MIN($F544,$F545),$F544+(sn_N-$E544)*($F545-$F544)/($E545-$E544)),"")</f>
        <v/>
      </c>
      <c r="J544">
        <f>MAX(-fyd_sn,MIN(fyd_sn,200000*0.002*(1-$C544*(7*J$6-3*sn_h)/(4*sn_h))))-fcd_sn*(1-MIN(1,MAX(0,$C544*(7*J$6-3*sn_h)/(4*sn_h)))^2)</f>
        <v/>
      </c>
      <c r="K544">
        <f>MAX(-fyd_sn,MIN(fyd_sn,200000*0.002*(1-$C544*(7*K$6-3*sn_h)/(4*sn_h))))-fcd_sn*(1-MIN(1,MAX(0,$C544*(7*K$6-3*sn_h)/(4*sn_h)))^2)</f>
        <v/>
      </c>
    </row>
    <row r="545">
      <c r="B545" s="55" t="n">
        <v>114</v>
      </c>
      <c r="C545" s="56">
        <f>IF(114&lt;posS_sn,1-114/200,IF(114=posS_sn,tstS_sn,1-(114-1)/200))</f>
        <v/>
      </c>
      <c r="D545" s="59">
        <f>IF($C545&gt;=1,sn_h,3/7*sn_h+4/7*sn_h/MAX($C545,1E-12))</f>
        <v/>
      </c>
      <c r="E545" s="57">
        <f>(fcd_sn*sn_b*sn_h*(3/7+4/7*(1-$C545^2/3))+SUMPRODUCT($J$5:$K$5,$J545:$K545))/1000</f>
        <v/>
      </c>
      <c r="F545" s="57">
        <f>((fcd_sn*sn_b*(3/14*sn_h*(sn_h-3/7*sn_h)+4/7*sn_h*(sn_h/2-3/7*sn_h)*(1-$C545^2/3)-16/49*sn_h^2*(1/2-$C545^2/4))+SUMPRODUCT($J$5:$K$5,$J545:$K545,$J$7:$K$7))/1E6)</f>
        <v/>
      </c>
      <c r="G545" s="57">
        <f>IF(AND(MIN($E545,$E546)&lt;=sn_N,sn_N&lt;=MAX($E545,$E546)),IF($E545=$E546,MAX($F545,$F546),$F545+(sn_N-$E545)*($F546-$F545)/($E546-$E545)),"")</f>
        <v/>
      </c>
      <c r="H545" s="57">
        <f>IF(AND(MIN($E545,$E546)&lt;=sn_N,sn_N&lt;=MAX($E545,$E546)),IF($E545=$E546,MIN($F545,$F546),$F545+(sn_N-$E545)*($F546-$F545)/($E546-$E545)),"")</f>
        <v/>
      </c>
      <c r="J545">
        <f>MAX(-fyd_sn,MIN(fyd_sn,200000*0.002*(1-$C545*(7*J$6-3*sn_h)/(4*sn_h))))-fcd_sn*(1-MIN(1,MAX(0,$C545*(7*J$6-3*sn_h)/(4*sn_h)))^2)</f>
        <v/>
      </c>
      <c r="K545">
        <f>MAX(-fyd_sn,MIN(fyd_sn,200000*0.002*(1-$C545*(7*K$6-3*sn_h)/(4*sn_h))))-fcd_sn*(1-MIN(1,MAX(0,$C545*(7*K$6-3*sn_h)/(4*sn_h)))^2)</f>
        <v/>
      </c>
    </row>
    <row r="546">
      <c r="B546" s="55" t="n">
        <v>115</v>
      </c>
      <c r="C546" s="56">
        <f>IF(115&lt;posS_sn,1-115/200,IF(115=posS_sn,tstS_sn,1-(115-1)/200))</f>
        <v/>
      </c>
      <c r="D546" s="59">
        <f>IF($C546&gt;=1,sn_h,3/7*sn_h+4/7*sn_h/MAX($C546,1E-12))</f>
        <v/>
      </c>
      <c r="E546" s="57">
        <f>(fcd_sn*sn_b*sn_h*(3/7+4/7*(1-$C546^2/3))+SUMPRODUCT($J$5:$K$5,$J546:$K546))/1000</f>
        <v/>
      </c>
      <c r="F546" s="57">
        <f>((fcd_sn*sn_b*(3/14*sn_h*(sn_h-3/7*sn_h)+4/7*sn_h*(sn_h/2-3/7*sn_h)*(1-$C546^2/3)-16/49*sn_h^2*(1/2-$C546^2/4))+SUMPRODUCT($J$5:$K$5,$J546:$K546,$J$7:$K$7))/1E6)</f>
        <v/>
      </c>
      <c r="G546" s="57">
        <f>IF(AND(MIN($E546,$E547)&lt;=sn_N,sn_N&lt;=MAX($E546,$E547)),IF($E546=$E547,MAX($F546,$F547),$F546+(sn_N-$E546)*($F547-$F546)/($E547-$E546)),"")</f>
        <v/>
      </c>
      <c r="H546" s="57">
        <f>IF(AND(MIN($E546,$E547)&lt;=sn_N,sn_N&lt;=MAX($E546,$E547)),IF($E546=$E547,MIN($F546,$F547),$F546+(sn_N-$E546)*($F547-$F546)/($E547-$E546)),"")</f>
        <v/>
      </c>
      <c r="J546">
        <f>MAX(-fyd_sn,MIN(fyd_sn,200000*0.002*(1-$C546*(7*J$6-3*sn_h)/(4*sn_h))))-fcd_sn*(1-MIN(1,MAX(0,$C546*(7*J$6-3*sn_h)/(4*sn_h)))^2)</f>
        <v/>
      </c>
      <c r="K546">
        <f>MAX(-fyd_sn,MIN(fyd_sn,200000*0.002*(1-$C546*(7*K$6-3*sn_h)/(4*sn_h))))-fcd_sn*(1-MIN(1,MAX(0,$C546*(7*K$6-3*sn_h)/(4*sn_h)))^2)</f>
        <v/>
      </c>
    </row>
    <row r="547">
      <c r="B547" s="55" t="n">
        <v>116</v>
      </c>
      <c r="C547" s="56">
        <f>IF(116&lt;posS_sn,1-116/200,IF(116=posS_sn,tstS_sn,1-(116-1)/200))</f>
        <v/>
      </c>
      <c r="D547" s="59">
        <f>IF($C547&gt;=1,sn_h,3/7*sn_h+4/7*sn_h/MAX($C547,1E-12))</f>
        <v/>
      </c>
      <c r="E547" s="57">
        <f>(fcd_sn*sn_b*sn_h*(3/7+4/7*(1-$C547^2/3))+SUMPRODUCT($J$5:$K$5,$J547:$K547))/1000</f>
        <v/>
      </c>
      <c r="F547" s="57">
        <f>((fcd_sn*sn_b*(3/14*sn_h*(sn_h-3/7*sn_h)+4/7*sn_h*(sn_h/2-3/7*sn_h)*(1-$C547^2/3)-16/49*sn_h^2*(1/2-$C547^2/4))+SUMPRODUCT($J$5:$K$5,$J547:$K547,$J$7:$K$7))/1E6)</f>
        <v/>
      </c>
      <c r="G547" s="57">
        <f>IF(AND(MIN($E547,$E548)&lt;=sn_N,sn_N&lt;=MAX($E547,$E548)),IF($E547=$E548,MAX($F547,$F548),$F547+(sn_N-$E547)*($F548-$F547)/($E548-$E547)),"")</f>
        <v/>
      </c>
      <c r="H547" s="57">
        <f>IF(AND(MIN($E547,$E548)&lt;=sn_N,sn_N&lt;=MAX($E547,$E548)),IF($E547=$E548,MIN($F547,$F548),$F547+(sn_N-$E547)*($F548-$F547)/($E548-$E547)),"")</f>
        <v/>
      </c>
      <c r="J547">
        <f>MAX(-fyd_sn,MIN(fyd_sn,200000*0.002*(1-$C547*(7*J$6-3*sn_h)/(4*sn_h))))-fcd_sn*(1-MIN(1,MAX(0,$C547*(7*J$6-3*sn_h)/(4*sn_h)))^2)</f>
        <v/>
      </c>
      <c r="K547">
        <f>MAX(-fyd_sn,MIN(fyd_sn,200000*0.002*(1-$C547*(7*K$6-3*sn_h)/(4*sn_h))))-fcd_sn*(1-MIN(1,MAX(0,$C547*(7*K$6-3*sn_h)/(4*sn_h)))^2)</f>
        <v/>
      </c>
    </row>
    <row r="548">
      <c r="B548" s="55" t="n">
        <v>117</v>
      </c>
      <c r="C548" s="56">
        <f>IF(117&lt;posS_sn,1-117/200,IF(117=posS_sn,tstS_sn,1-(117-1)/200))</f>
        <v/>
      </c>
      <c r="D548" s="59">
        <f>IF($C548&gt;=1,sn_h,3/7*sn_h+4/7*sn_h/MAX($C548,1E-12))</f>
        <v/>
      </c>
      <c r="E548" s="57">
        <f>(fcd_sn*sn_b*sn_h*(3/7+4/7*(1-$C548^2/3))+SUMPRODUCT($J$5:$K$5,$J548:$K548))/1000</f>
        <v/>
      </c>
      <c r="F548" s="57">
        <f>((fcd_sn*sn_b*(3/14*sn_h*(sn_h-3/7*sn_h)+4/7*sn_h*(sn_h/2-3/7*sn_h)*(1-$C548^2/3)-16/49*sn_h^2*(1/2-$C548^2/4))+SUMPRODUCT($J$5:$K$5,$J548:$K548,$J$7:$K$7))/1E6)</f>
        <v/>
      </c>
      <c r="G548" s="57">
        <f>IF(AND(MIN($E548,$E549)&lt;=sn_N,sn_N&lt;=MAX($E548,$E549)),IF($E548=$E549,MAX($F548,$F549),$F548+(sn_N-$E548)*($F549-$F548)/($E549-$E548)),"")</f>
        <v/>
      </c>
      <c r="H548" s="57">
        <f>IF(AND(MIN($E548,$E549)&lt;=sn_N,sn_N&lt;=MAX($E548,$E549)),IF($E548=$E549,MIN($F548,$F549),$F548+(sn_N-$E548)*($F549-$F548)/($E549-$E548)),"")</f>
        <v/>
      </c>
      <c r="J548">
        <f>MAX(-fyd_sn,MIN(fyd_sn,200000*0.002*(1-$C548*(7*J$6-3*sn_h)/(4*sn_h))))-fcd_sn*(1-MIN(1,MAX(0,$C548*(7*J$6-3*sn_h)/(4*sn_h)))^2)</f>
        <v/>
      </c>
      <c r="K548">
        <f>MAX(-fyd_sn,MIN(fyd_sn,200000*0.002*(1-$C548*(7*K$6-3*sn_h)/(4*sn_h))))-fcd_sn*(1-MIN(1,MAX(0,$C548*(7*K$6-3*sn_h)/(4*sn_h)))^2)</f>
        <v/>
      </c>
    </row>
    <row r="549">
      <c r="B549" s="55" t="n">
        <v>118</v>
      </c>
      <c r="C549" s="56">
        <f>IF(118&lt;posS_sn,1-118/200,IF(118=posS_sn,tstS_sn,1-(118-1)/200))</f>
        <v/>
      </c>
      <c r="D549" s="59">
        <f>IF($C549&gt;=1,sn_h,3/7*sn_h+4/7*sn_h/MAX($C549,1E-12))</f>
        <v/>
      </c>
      <c r="E549" s="57">
        <f>(fcd_sn*sn_b*sn_h*(3/7+4/7*(1-$C549^2/3))+SUMPRODUCT($J$5:$K$5,$J549:$K549))/1000</f>
        <v/>
      </c>
      <c r="F549" s="57">
        <f>((fcd_sn*sn_b*(3/14*sn_h*(sn_h-3/7*sn_h)+4/7*sn_h*(sn_h/2-3/7*sn_h)*(1-$C549^2/3)-16/49*sn_h^2*(1/2-$C549^2/4))+SUMPRODUCT($J$5:$K$5,$J549:$K549,$J$7:$K$7))/1E6)</f>
        <v/>
      </c>
      <c r="G549" s="57">
        <f>IF(AND(MIN($E549,$E550)&lt;=sn_N,sn_N&lt;=MAX($E549,$E550)),IF($E549=$E550,MAX($F549,$F550),$F549+(sn_N-$E549)*($F550-$F549)/($E550-$E549)),"")</f>
        <v/>
      </c>
      <c r="H549" s="57">
        <f>IF(AND(MIN($E549,$E550)&lt;=sn_N,sn_N&lt;=MAX($E549,$E550)),IF($E549=$E550,MIN($F549,$F550),$F549+(sn_N-$E549)*($F550-$F549)/($E550-$E549)),"")</f>
        <v/>
      </c>
      <c r="J549">
        <f>MAX(-fyd_sn,MIN(fyd_sn,200000*0.002*(1-$C549*(7*J$6-3*sn_h)/(4*sn_h))))-fcd_sn*(1-MIN(1,MAX(0,$C549*(7*J$6-3*sn_h)/(4*sn_h)))^2)</f>
        <v/>
      </c>
      <c r="K549">
        <f>MAX(-fyd_sn,MIN(fyd_sn,200000*0.002*(1-$C549*(7*K$6-3*sn_h)/(4*sn_h))))-fcd_sn*(1-MIN(1,MAX(0,$C549*(7*K$6-3*sn_h)/(4*sn_h)))^2)</f>
        <v/>
      </c>
    </row>
    <row r="550">
      <c r="B550" s="55" t="n">
        <v>119</v>
      </c>
      <c r="C550" s="56">
        <f>IF(119&lt;posS_sn,1-119/200,IF(119=posS_sn,tstS_sn,1-(119-1)/200))</f>
        <v/>
      </c>
      <c r="D550" s="59">
        <f>IF($C550&gt;=1,sn_h,3/7*sn_h+4/7*sn_h/MAX($C550,1E-12))</f>
        <v/>
      </c>
      <c r="E550" s="57">
        <f>(fcd_sn*sn_b*sn_h*(3/7+4/7*(1-$C550^2/3))+SUMPRODUCT($J$5:$K$5,$J550:$K550))/1000</f>
        <v/>
      </c>
      <c r="F550" s="57">
        <f>((fcd_sn*sn_b*(3/14*sn_h*(sn_h-3/7*sn_h)+4/7*sn_h*(sn_h/2-3/7*sn_h)*(1-$C550^2/3)-16/49*sn_h^2*(1/2-$C550^2/4))+SUMPRODUCT($J$5:$K$5,$J550:$K550,$J$7:$K$7))/1E6)</f>
        <v/>
      </c>
      <c r="G550" s="57">
        <f>IF(AND(MIN($E550,$E551)&lt;=sn_N,sn_N&lt;=MAX($E550,$E551)),IF($E550=$E551,MAX($F550,$F551),$F550+(sn_N-$E550)*($F551-$F550)/($E551-$E550)),"")</f>
        <v/>
      </c>
      <c r="H550" s="57">
        <f>IF(AND(MIN($E550,$E551)&lt;=sn_N,sn_N&lt;=MAX($E550,$E551)),IF($E550=$E551,MIN($F550,$F551),$F550+(sn_N-$E550)*($F551-$F550)/($E551-$E550)),"")</f>
        <v/>
      </c>
      <c r="J550">
        <f>MAX(-fyd_sn,MIN(fyd_sn,200000*0.002*(1-$C550*(7*J$6-3*sn_h)/(4*sn_h))))-fcd_sn*(1-MIN(1,MAX(0,$C550*(7*J$6-3*sn_h)/(4*sn_h)))^2)</f>
        <v/>
      </c>
      <c r="K550">
        <f>MAX(-fyd_sn,MIN(fyd_sn,200000*0.002*(1-$C550*(7*K$6-3*sn_h)/(4*sn_h))))-fcd_sn*(1-MIN(1,MAX(0,$C550*(7*K$6-3*sn_h)/(4*sn_h)))^2)</f>
        <v/>
      </c>
    </row>
    <row r="551">
      <c r="B551" s="55" t="n">
        <v>120</v>
      </c>
      <c r="C551" s="56">
        <f>IF(120&lt;posS_sn,1-120/200,IF(120=posS_sn,tstS_sn,1-(120-1)/200))</f>
        <v/>
      </c>
      <c r="D551" s="59">
        <f>IF($C551&gt;=1,sn_h,3/7*sn_h+4/7*sn_h/MAX($C551,1E-12))</f>
        <v/>
      </c>
      <c r="E551" s="57">
        <f>(fcd_sn*sn_b*sn_h*(3/7+4/7*(1-$C551^2/3))+SUMPRODUCT($J$5:$K$5,$J551:$K551))/1000</f>
        <v/>
      </c>
      <c r="F551" s="57">
        <f>((fcd_sn*sn_b*(3/14*sn_h*(sn_h-3/7*sn_h)+4/7*sn_h*(sn_h/2-3/7*sn_h)*(1-$C551^2/3)-16/49*sn_h^2*(1/2-$C551^2/4))+SUMPRODUCT($J$5:$K$5,$J551:$K551,$J$7:$K$7))/1E6)</f>
        <v/>
      </c>
      <c r="G551" s="57">
        <f>IF(AND(MIN($E551,$E552)&lt;=sn_N,sn_N&lt;=MAX($E551,$E552)),IF($E551=$E552,MAX($F551,$F552),$F551+(sn_N-$E551)*($F552-$F551)/($E552-$E551)),"")</f>
        <v/>
      </c>
      <c r="H551" s="57">
        <f>IF(AND(MIN($E551,$E552)&lt;=sn_N,sn_N&lt;=MAX($E551,$E552)),IF($E551=$E552,MIN($F551,$F552),$F551+(sn_N-$E551)*($F552-$F551)/($E552-$E551)),"")</f>
        <v/>
      </c>
      <c r="J551">
        <f>MAX(-fyd_sn,MIN(fyd_sn,200000*0.002*(1-$C551*(7*J$6-3*sn_h)/(4*sn_h))))-fcd_sn*(1-MIN(1,MAX(0,$C551*(7*J$6-3*sn_h)/(4*sn_h)))^2)</f>
        <v/>
      </c>
      <c r="K551">
        <f>MAX(-fyd_sn,MIN(fyd_sn,200000*0.002*(1-$C551*(7*K$6-3*sn_h)/(4*sn_h))))-fcd_sn*(1-MIN(1,MAX(0,$C551*(7*K$6-3*sn_h)/(4*sn_h)))^2)</f>
        <v/>
      </c>
    </row>
    <row r="552">
      <c r="B552" s="55" t="n">
        <v>121</v>
      </c>
      <c r="C552" s="56">
        <f>IF(121&lt;posS_sn,1-121/200,IF(121=posS_sn,tstS_sn,1-(121-1)/200))</f>
        <v/>
      </c>
      <c r="D552" s="59">
        <f>IF($C552&gt;=1,sn_h,3/7*sn_h+4/7*sn_h/MAX($C552,1E-12))</f>
        <v/>
      </c>
      <c r="E552" s="57">
        <f>(fcd_sn*sn_b*sn_h*(3/7+4/7*(1-$C552^2/3))+SUMPRODUCT($J$5:$K$5,$J552:$K552))/1000</f>
        <v/>
      </c>
      <c r="F552" s="57">
        <f>((fcd_sn*sn_b*(3/14*sn_h*(sn_h-3/7*sn_h)+4/7*sn_h*(sn_h/2-3/7*sn_h)*(1-$C552^2/3)-16/49*sn_h^2*(1/2-$C552^2/4))+SUMPRODUCT($J$5:$K$5,$J552:$K552,$J$7:$K$7))/1E6)</f>
        <v/>
      </c>
      <c r="G552" s="57">
        <f>IF(AND(MIN($E552,$E553)&lt;=sn_N,sn_N&lt;=MAX($E552,$E553)),IF($E552=$E553,MAX($F552,$F553),$F552+(sn_N-$E552)*($F553-$F552)/($E553-$E552)),"")</f>
        <v/>
      </c>
      <c r="H552" s="57">
        <f>IF(AND(MIN($E552,$E553)&lt;=sn_N,sn_N&lt;=MAX($E552,$E553)),IF($E552=$E553,MIN($F552,$F553),$F552+(sn_N-$E552)*($F553-$F552)/($E553-$E552)),"")</f>
        <v/>
      </c>
      <c r="J552">
        <f>MAX(-fyd_sn,MIN(fyd_sn,200000*0.002*(1-$C552*(7*J$6-3*sn_h)/(4*sn_h))))-fcd_sn*(1-MIN(1,MAX(0,$C552*(7*J$6-3*sn_h)/(4*sn_h)))^2)</f>
        <v/>
      </c>
      <c r="K552">
        <f>MAX(-fyd_sn,MIN(fyd_sn,200000*0.002*(1-$C552*(7*K$6-3*sn_h)/(4*sn_h))))-fcd_sn*(1-MIN(1,MAX(0,$C552*(7*K$6-3*sn_h)/(4*sn_h)))^2)</f>
        <v/>
      </c>
    </row>
    <row r="553">
      <c r="B553" s="55" t="n">
        <v>122</v>
      </c>
      <c r="C553" s="56">
        <f>IF(122&lt;posS_sn,1-122/200,IF(122=posS_sn,tstS_sn,1-(122-1)/200))</f>
        <v/>
      </c>
      <c r="D553" s="59">
        <f>IF($C553&gt;=1,sn_h,3/7*sn_h+4/7*sn_h/MAX($C553,1E-12))</f>
        <v/>
      </c>
      <c r="E553" s="57">
        <f>(fcd_sn*sn_b*sn_h*(3/7+4/7*(1-$C553^2/3))+SUMPRODUCT($J$5:$K$5,$J553:$K553))/1000</f>
        <v/>
      </c>
      <c r="F553" s="57">
        <f>((fcd_sn*sn_b*(3/14*sn_h*(sn_h-3/7*sn_h)+4/7*sn_h*(sn_h/2-3/7*sn_h)*(1-$C553^2/3)-16/49*sn_h^2*(1/2-$C553^2/4))+SUMPRODUCT($J$5:$K$5,$J553:$K553,$J$7:$K$7))/1E6)</f>
        <v/>
      </c>
      <c r="G553" s="57">
        <f>IF(AND(MIN($E553,$E554)&lt;=sn_N,sn_N&lt;=MAX($E553,$E554)),IF($E553=$E554,MAX($F553,$F554),$F553+(sn_N-$E553)*($F554-$F553)/($E554-$E553)),"")</f>
        <v/>
      </c>
      <c r="H553" s="57">
        <f>IF(AND(MIN($E553,$E554)&lt;=sn_N,sn_N&lt;=MAX($E553,$E554)),IF($E553=$E554,MIN($F553,$F554),$F553+(sn_N-$E553)*($F554-$F553)/($E554-$E553)),"")</f>
        <v/>
      </c>
      <c r="J553">
        <f>MAX(-fyd_sn,MIN(fyd_sn,200000*0.002*(1-$C553*(7*J$6-3*sn_h)/(4*sn_h))))-fcd_sn*(1-MIN(1,MAX(0,$C553*(7*J$6-3*sn_h)/(4*sn_h)))^2)</f>
        <v/>
      </c>
      <c r="K553">
        <f>MAX(-fyd_sn,MIN(fyd_sn,200000*0.002*(1-$C553*(7*K$6-3*sn_h)/(4*sn_h))))-fcd_sn*(1-MIN(1,MAX(0,$C553*(7*K$6-3*sn_h)/(4*sn_h)))^2)</f>
        <v/>
      </c>
    </row>
    <row r="554">
      <c r="B554" s="55" t="n">
        <v>123</v>
      </c>
      <c r="C554" s="56">
        <f>IF(123&lt;posS_sn,1-123/200,IF(123=posS_sn,tstS_sn,1-(123-1)/200))</f>
        <v/>
      </c>
      <c r="D554" s="59">
        <f>IF($C554&gt;=1,sn_h,3/7*sn_h+4/7*sn_h/MAX($C554,1E-12))</f>
        <v/>
      </c>
      <c r="E554" s="57">
        <f>(fcd_sn*sn_b*sn_h*(3/7+4/7*(1-$C554^2/3))+SUMPRODUCT($J$5:$K$5,$J554:$K554))/1000</f>
        <v/>
      </c>
      <c r="F554" s="57">
        <f>((fcd_sn*sn_b*(3/14*sn_h*(sn_h-3/7*sn_h)+4/7*sn_h*(sn_h/2-3/7*sn_h)*(1-$C554^2/3)-16/49*sn_h^2*(1/2-$C554^2/4))+SUMPRODUCT($J$5:$K$5,$J554:$K554,$J$7:$K$7))/1E6)</f>
        <v/>
      </c>
      <c r="G554" s="57">
        <f>IF(AND(MIN($E554,$E555)&lt;=sn_N,sn_N&lt;=MAX($E554,$E555)),IF($E554=$E555,MAX($F554,$F555),$F554+(sn_N-$E554)*($F555-$F554)/($E555-$E554)),"")</f>
        <v/>
      </c>
      <c r="H554" s="57">
        <f>IF(AND(MIN($E554,$E555)&lt;=sn_N,sn_N&lt;=MAX($E554,$E555)),IF($E554=$E555,MIN($F554,$F555),$F554+(sn_N-$E554)*($F555-$F554)/($E555-$E554)),"")</f>
        <v/>
      </c>
      <c r="J554">
        <f>MAX(-fyd_sn,MIN(fyd_sn,200000*0.002*(1-$C554*(7*J$6-3*sn_h)/(4*sn_h))))-fcd_sn*(1-MIN(1,MAX(0,$C554*(7*J$6-3*sn_h)/(4*sn_h)))^2)</f>
        <v/>
      </c>
      <c r="K554">
        <f>MAX(-fyd_sn,MIN(fyd_sn,200000*0.002*(1-$C554*(7*K$6-3*sn_h)/(4*sn_h))))-fcd_sn*(1-MIN(1,MAX(0,$C554*(7*K$6-3*sn_h)/(4*sn_h)))^2)</f>
        <v/>
      </c>
    </row>
    <row r="555">
      <c r="B555" s="55" t="n">
        <v>124</v>
      </c>
      <c r="C555" s="56">
        <f>IF(124&lt;posS_sn,1-124/200,IF(124=posS_sn,tstS_sn,1-(124-1)/200))</f>
        <v/>
      </c>
      <c r="D555" s="59">
        <f>IF($C555&gt;=1,sn_h,3/7*sn_h+4/7*sn_h/MAX($C555,1E-12))</f>
        <v/>
      </c>
      <c r="E555" s="57">
        <f>(fcd_sn*sn_b*sn_h*(3/7+4/7*(1-$C555^2/3))+SUMPRODUCT($J$5:$K$5,$J555:$K555))/1000</f>
        <v/>
      </c>
      <c r="F555" s="57">
        <f>((fcd_sn*sn_b*(3/14*sn_h*(sn_h-3/7*sn_h)+4/7*sn_h*(sn_h/2-3/7*sn_h)*(1-$C555^2/3)-16/49*sn_h^2*(1/2-$C555^2/4))+SUMPRODUCT($J$5:$K$5,$J555:$K555,$J$7:$K$7))/1E6)</f>
        <v/>
      </c>
      <c r="G555" s="57">
        <f>IF(AND(MIN($E555,$E556)&lt;=sn_N,sn_N&lt;=MAX($E555,$E556)),IF($E555=$E556,MAX($F555,$F556),$F555+(sn_N-$E555)*($F556-$F555)/($E556-$E555)),"")</f>
        <v/>
      </c>
      <c r="H555" s="57">
        <f>IF(AND(MIN($E555,$E556)&lt;=sn_N,sn_N&lt;=MAX($E555,$E556)),IF($E555=$E556,MIN($F555,$F556),$F555+(sn_N-$E555)*($F556-$F555)/($E556-$E555)),"")</f>
        <v/>
      </c>
      <c r="J555">
        <f>MAX(-fyd_sn,MIN(fyd_sn,200000*0.002*(1-$C555*(7*J$6-3*sn_h)/(4*sn_h))))-fcd_sn*(1-MIN(1,MAX(0,$C555*(7*J$6-3*sn_h)/(4*sn_h)))^2)</f>
        <v/>
      </c>
      <c r="K555">
        <f>MAX(-fyd_sn,MIN(fyd_sn,200000*0.002*(1-$C555*(7*K$6-3*sn_h)/(4*sn_h))))-fcd_sn*(1-MIN(1,MAX(0,$C555*(7*K$6-3*sn_h)/(4*sn_h)))^2)</f>
        <v/>
      </c>
    </row>
    <row r="556">
      <c r="B556" s="55" t="n">
        <v>125</v>
      </c>
      <c r="C556" s="56">
        <f>IF(125&lt;posS_sn,1-125/200,IF(125=posS_sn,tstS_sn,1-(125-1)/200))</f>
        <v/>
      </c>
      <c r="D556" s="59">
        <f>IF($C556&gt;=1,sn_h,3/7*sn_h+4/7*sn_h/MAX($C556,1E-12))</f>
        <v/>
      </c>
      <c r="E556" s="57">
        <f>(fcd_sn*sn_b*sn_h*(3/7+4/7*(1-$C556^2/3))+SUMPRODUCT($J$5:$K$5,$J556:$K556))/1000</f>
        <v/>
      </c>
      <c r="F556" s="57">
        <f>((fcd_sn*sn_b*(3/14*sn_h*(sn_h-3/7*sn_h)+4/7*sn_h*(sn_h/2-3/7*sn_h)*(1-$C556^2/3)-16/49*sn_h^2*(1/2-$C556^2/4))+SUMPRODUCT($J$5:$K$5,$J556:$K556,$J$7:$K$7))/1E6)</f>
        <v/>
      </c>
      <c r="G556" s="57">
        <f>IF(AND(MIN($E556,$E557)&lt;=sn_N,sn_N&lt;=MAX($E556,$E557)),IF($E556=$E557,MAX($F556,$F557),$F556+(sn_N-$E556)*($F557-$F556)/($E557-$E556)),"")</f>
        <v/>
      </c>
      <c r="H556" s="57">
        <f>IF(AND(MIN($E556,$E557)&lt;=sn_N,sn_N&lt;=MAX($E556,$E557)),IF($E556=$E557,MIN($F556,$F557),$F556+(sn_N-$E556)*($F557-$F556)/($E557-$E556)),"")</f>
        <v/>
      </c>
      <c r="J556">
        <f>MAX(-fyd_sn,MIN(fyd_sn,200000*0.002*(1-$C556*(7*J$6-3*sn_h)/(4*sn_h))))-fcd_sn*(1-MIN(1,MAX(0,$C556*(7*J$6-3*sn_h)/(4*sn_h)))^2)</f>
        <v/>
      </c>
      <c r="K556">
        <f>MAX(-fyd_sn,MIN(fyd_sn,200000*0.002*(1-$C556*(7*K$6-3*sn_h)/(4*sn_h))))-fcd_sn*(1-MIN(1,MAX(0,$C556*(7*K$6-3*sn_h)/(4*sn_h)))^2)</f>
        <v/>
      </c>
    </row>
    <row r="557">
      <c r="B557" s="55" t="n">
        <v>126</v>
      </c>
      <c r="C557" s="56">
        <f>IF(126&lt;posS_sn,1-126/200,IF(126=posS_sn,tstS_sn,1-(126-1)/200))</f>
        <v/>
      </c>
      <c r="D557" s="59">
        <f>IF($C557&gt;=1,sn_h,3/7*sn_h+4/7*sn_h/MAX($C557,1E-12))</f>
        <v/>
      </c>
      <c r="E557" s="57">
        <f>(fcd_sn*sn_b*sn_h*(3/7+4/7*(1-$C557^2/3))+SUMPRODUCT($J$5:$K$5,$J557:$K557))/1000</f>
        <v/>
      </c>
      <c r="F557" s="57">
        <f>((fcd_sn*sn_b*(3/14*sn_h*(sn_h-3/7*sn_h)+4/7*sn_h*(sn_h/2-3/7*sn_h)*(1-$C557^2/3)-16/49*sn_h^2*(1/2-$C557^2/4))+SUMPRODUCT($J$5:$K$5,$J557:$K557,$J$7:$K$7))/1E6)</f>
        <v/>
      </c>
      <c r="G557" s="57">
        <f>IF(AND(MIN($E557,$E558)&lt;=sn_N,sn_N&lt;=MAX($E557,$E558)),IF($E557=$E558,MAX($F557,$F558),$F557+(sn_N-$E557)*($F558-$F557)/($E558-$E557)),"")</f>
        <v/>
      </c>
      <c r="H557" s="57">
        <f>IF(AND(MIN($E557,$E558)&lt;=sn_N,sn_N&lt;=MAX($E557,$E558)),IF($E557=$E558,MIN($F557,$F558),$F557+(sn_N-$E557)*($F558-$F557)/($E558-$E557)),"")</f>
        <v/>
      </c>
      <c r="J557">
        <f>MAX(-fyd_sn,MIN(fyd_sn,200000*0.002*(1-$C557*(7*J$6-3*sn_h)/(4*sn_h))))-fcd_sn*(1-MIN(1,MAX(0,$C557*(7*J$6-3*sn_h)/(4*sn_h)))^2)</f>
        <v/>
      </c>
      <c r="K557">
        <f>MAX(-fyd_sn,MIN(fyd_sn,200000*0.002*(1-$C557*(7*K$6-3*sn_h)/(4*sn_h))))-fcd_sn*(1-MIN(1,MAX(0,$C557*(7*K$6-3*sn_h)/(4*sn_h)))^2)</f>
        <v/>
      </c>
    </row>
    <row r="558">
      <c r="B558" s="55" t="n">
        <v>127</v>
      </c>
      <c r="C558" s="56">
        <f>IF(127&lt;posS_sn,1-127/200,IF(127=posS_sn,tstS_sn,1-(127-1)/200))</f>
        <v/>
      </c>
      <c r="D558" s="59">
        <f>IF($C558&gt;=1,sn_h,3/7*sn_h+4/7*sn_h/MAX($C558,1E-12))</f>
        <v/>
      </c>
      <c r="E558" s="57">
        <f>(fcd_sn*sn_b*sn_h*(3/7+4/7*(1-$C558^2/3))+SUMPRODUCT($J$5:$K$5,$J558:$K558))/1000</f>
        <v/>
      </c>
      <c r="F558" s="57">
        <f>((fcd_sn*sn_b*(3/14*sn_h*(sn_h-3/7*sn_h)+4/7*sn_h*(sn_h/2-3/7*sn_h)*(1-$C558^2/3)-16/49*sn_h^2*(1/2-$C558^2/4))+SUMPRODUCT($J$5:$K$5,$J558:$K558,$J$7:$K$7))/1E6)</f>
        <v/>
      </c>
      <c r="G558" s="57">
        <f>IF(AND(MIN($E558,$E559)&lt;=sn_N,sn_N&lt;=MAX($E558,$E559)),IF($E558=$E559,MAX($F558,$F559),$F558+(sn_N-$E558)*($F559-$F558)/($E559-$E558)),"")</f>
        <v/>
      </c>
      <c r="H558" s="57">
        <f>IF(AND(MIN($E558,$E559)&lt;=sn_N,sn_N&lt;=MAX($E558,$E559)),IF($E558=$E559,MIN($F558,$F559),$F558+(sn_N-$E558)*($F559-$F558)/($E559-$E558)),"")</f>
        <v/>
      </c>
      <c r="J558">
        <f>MAX(-fyd_sn,MIN(fyd_sn,200000*0.002*(1-$C558*(7*J$6-3*sn_h)/(4*sn_h))))-fcd_sn*(1-MIN(1,MAX(0,$C558*(7*J$6-3*sn_h)/(4*sn_h)))^2)</f>
        <v/>
      </c>
      <c r="K558">
        <f>MAX(-fyd_sn,MIN(fyd_sn,200000*0.002*(1-$C558*(7*K$6-3*sn_h)/(4*sn_h))))-fcd_sn*(1-MIN(1,MAX(0,$C558*(7*K$6-3*sn_h)/(4*sn_h)))^2)</f>
        <v/>
      </c>
    </row>
    <row r="559">
      <c r="B559" s="55" t="n">
        <v>128</v>
      </c>
      <c r="C559" s="56">
        <f>IF(128&lt;posS_sn,1-128/200,IF(128=posS_sn,tstS_sn,1-(128-1)/200))</f>
        <v/>
      </c>
      <c r="D559" s="59">
        <f>IF($C559&gt;=1,sn_h,3/7*sn_h+4/7*sn_h/MAX($C559,1E-12))</f>
        <v/>
      </c>
      <c r="E559" s="57">
        <f>(fcd_sn*sn_b*sn_h*(3/7+4/7*(1-$C559^2/3))+SUMPRODUCT($J$5:$K$5,$J559:$K559))/1000</f>
        <v/>
      </c>
      <c r="F559" s="57">
        <f>((fcd_sn*sn_b*(3/14*sn_h*(sn_h-3/7*sn_h)+4/7*sn_h*(sn_h/2-3/7*sn_h)*(1-$C559^2/3)-16/49*sn_h^2*(1/2-$C559^2/4))+SUMPRODUCT($J$5:$K$5,$J559:$K559,$J$7:$K$7))/1E6)</f>
        <v/>
      </c>
      <c r="G559" s="57">
        <f>IF(AND(MIN($E559,$E560)&lt;=sn_N,sn_N&lt;=MAX($E559,$E560)),IF($E559=$E560,MAX($F559,$F560),$F559+(sn_N-$E559)*($F560-$F559)/($E560-$E559)),"")</f>
        <v/>
      </c>
      <c r="H559" s="57">
        <f>IF(AND(MIN($E559,$E560)&lt;=sn_N,sn_N&lt;=MAX($E559,$E560)),IF($E559=$E560,MIN($F559,$F560),$F559+(sn_N-$E559)*($F560-$F559)/($E560-$E559)),"")</f>
        <v/>
      </c>
      <c r="J559">
        <f>MAX(-fyd_sn,MIN(fyd_sn,200000*0.002*(1-$C559*(7*J$6-3*sn_h)/(4*sn_h))))-fcd_sn*(1-MIN(1,MAX(0,$C559*(7*J$6-3*sn_h)/(4*sn_h)))^2)</f>
        <v/>
      </c>
      <c r="K559">
        <f>MAX(-fyd_sn,MIN(fyd_sn,200000*0.002*(1-$C559*(7*K$6-3*sn_h)/(4*sn_h))))-fcd_sn*(1-MIN(1,MAX(0,$C559*(7*K$6-3*sn_h)/(4*sn_h)))^2)</f>
        <v/>
      </c>
    </row>
    <row r="560">
      <c r="B560" s="55" t="n">
        <v>129</v>
      </c>
      <c r="C560" s="56">
        <f>IF(129&lt;posS_sn,1-129/200,IF(129=posS_sn,tstS_sn,1-(129-1)/200))</f>
        <v/>
      </c>
      <c r="D560" s="59">
        <f>IF($C560&gt;=1,sn_h,3/7*sn_h+4/7*sn_h/MAX($C560,1E-12))</f>
        <v/>
      </c>
      <c r="E560" s="57">
        <f>(fcd_sn*sn_b*sn_h*(3/7+4/7*(1-$C560^2/3))+SUMPRODUCT($J$5:$K$5,$J560:$K560))/1000</f>
        <v/>
      </c>
      <c r="F560" s="57">
        <f>((fcd_sn*sn_b*(3/14*sn_h*(sn_h-3/7*sn_h)+4/7*sn_h*(sn_h/2-3/7*sn_h)*(1-$C560^2/3)-16/49*sn_h^2*(1/2-$C560^2/4))+SUMPRODUCT($J$5:$K$5,$J560:$K560,$J$7:$K$7))/1E6)</f>
        <v/>
      </c>
      <c r="G560" s="57">
        <f>IF(AND(MIN($E560,$E561)&lt;=sn_N,sn_N&lt;=MAX($E560,$E561)),IF($E560=$E561,MAX($F560,$F561),$F560+(sn_N-$E560)*($F561-$F560)/($E561-$E560)),"")</f>
        <v/>
      </c>
      <c r="H560" s="57">
        <f>IF(AND(MIN($E560,$E561)&lt;=sn_N,sn_N&lt;=MAX($E560,$E561)),IF($E560=$E561,MIN($F560,$F561),$F560+(sn_N-$E560)*($F561-$F560)/($E561-$E560)),"")</f>
        <v/>
      </c>
      <c r="J560">
        <f>MAX(-fyd_sn,MIN(fyd_sn,200000*0.002*(1-$C560*(7*J$6-3*sn_h)/(4*sn_h))))-fcd_sn*(1-MIN(1,MAX(0,$C560*(7*J$6-3*sn_h)/(4*sn_h)))^2)</f>
        <v/>
      </c>
      <c r="K560">
        <f>MAX(-fyd_sn,MIN(fyd_sn,200000*0.002*(1-$C560*(7*K$6-3*sn_h)/(4*sn_h))))-fcd_sn*(1-MIN(1,MAX(0,$C560*(7*K$6-3*sn_h)/(4*sn_h)))^2)</f>
        <v/>
      </c>
    </row>
    <row r="561">
      <c r="B561" s="55" t="n">
        <v>130</v>
      </c>
      <c r="C561" s="56">
        <f>IF(130&lt;posS_sn,1-130/200,IF(130=posS_sn,tstS_sn,1-(130-1)/200))</f>
        <v/>
      </c>
      <c r="D561" s="59">
        <f>IF($C561&gt;=1,sn_h,3/7*sn_h+4/7*sn_h/MAX($C561,1E-12))</f>
        <v/>
      </c>
      <c r="E561" s="57">
        <f>(fcd_sn*sn_b*sn_h*(3/7+4/7*(1-$C561^2/3))+SUMPRODUCT($J$5:$K$5,$J561:$K561))/1000</f>
        <v/>
      </c>
      <c r="F561" s="57">
        <f>((fcd_sn*sn_b*(3/14*sn_h*(sn_h-3/7*sn_h)+4/7*sn_h*(sn_h/2-3/7*sn_h)*(1-$C561^2/3)-16/49*sn_h^2*(1/2-$C561^2/4))+SUMPRODUCT($J$5:$K$5,$J561:$K561,$J$7:$K$7))/1E6)</f>
        <v/>
      </c>
      <c r="G561" s="57">
        <f>IF(AND(MIN($E561,$E562)&lt;=sn_N,sn_N&lt;=MAX($E561,$E562)),IF($E561=$E562,MAX($F561,$F562),$F561+(sn_N-$E561)*($F562-$F561)/($E562-$E561)),"")</f>
        <v/>
      </c>
      <c r="H561" s="57">
        <f>IF(AND(MIN($E561,$E562)&lt;=sn_N,sn_N&lt;=MAX($E561,$E562)),IF($E561=$E562,MIN($F561,$F562),$F561+(sn_N-$E561)*($F562-$F561)/($E562-$E561)),"")</f>
        <v/>
      </c>
      <c r="J561">
        <f>MAX(-fyd_sn,MIN(fyd_sn,200000*0.002*(1-$C561*(7*J$6-3*sn_h)/(4*sn_h))))-fcd_sn*(1-MIN(1,MAX(0,$C561*(7*J$6-3*sn_h)/(4*sn_h)))^2)</f>
        <v/>
      </c>
      <c r="K561">
        <f>MAX(-fyd_sn,MIN(fyd_sn,200000*0.002*(1-$C561*(7*K$6-3*sn_h)/(4*sn_h))))-fcd_sn*(1-MIN(1,MAX(0,$C561*(7*K$6-3*sn_h)/(4*sn_h)))^2)</f>
        <v/>
      </c>
    </row>
    <row r="562">
      <c r="B562" s="55" t="n">
        <v>131</v>
      </c>
      <c r="C562" s="56">
        <f>IF(131&lt;posS_sn,1-131/200,IF(131=posS_sn,tstS_sn,1-(131-1)/200))</f>
        <v/>
      </c>
      <c r="D562" s="59">
        <f>IF($C562&gt;=1,sn_h,3/7*sn_h+4/7*sn_h/MAX($C562,1E-12))</f>
        <v/>
      </c>
      <c r="E562" s="57">
        <f>(fcd_sn*sn_b*sn_h*(3/7+4/7*(1-$C562^2/3))+SUMPRODUCT($J$5:$K$5,$J562:$K562))/1000</f>
        <v/>
      </c>
      <c r="F562" s="57">
        <f>((fcd_sn*sn_b*(3/14*sn_h*(sn_h-3/7*sn_h)+4/7*sn_h*(sn_h/2-3/7*sn_h)*(1-$C562^2/3)-16/49*sn_h^2*(1/2-$C562^2/4))+SUMPRODUCT($J$5:$K$5,$J562:$K562,$J$7:$K$7))/1E6)</f>
        <v/>
      </c>
      <c r="G562" s="57">
        <f>IF(AND(MIN($E562,$E563)&lt;=sn_N,sn_N&lt;=MAX($E562,$E563)),IF($E562=$E563,MAX($F562,$F563),$F562+(sn_N-$E562)*($F563-$F562)/($E563-$E562)),"")</f>
        <v/>
      </c>
      <c r="H562" s="57">
        <f>IF(AND(MIN($E562,$E563)&lt;=sn_N,sn_N&lt;=MAX($E562,$E563)),IF($E562=$E563,MIN($F562,$F563),$F562+(sn_N-$E562)*($F563-$F562)/($E563-$E562)),"")</f>
        <v/>
      </c>
      <c r="J562">
        <f>MAX(-fyd_sn,MIN(fyd_sn,200000*0.002*(1-$C562*(7*J$6-3*sn_h)/(4*sn_h))))-fcd_sn*(1-MIN(1,MAX(0,$C562*(7*J$6-3*sn_h)/(4*sn_h)))^2)</f>
        <v/>
      </c>
      <c r="K562">
        <f>MAX(-fyd_sn,MIN(fyd_sn,200000*0.002*(1-$C562*(7*K$6-3*sn_h)/(4*sn_h))))-fcd_sn*(1-MIN(1,MAX(0,$C562*(7*K$6-3*sn_h)/(4*sn_h)))^2)</f>
        <v/>
      </c>
    </row>
    <row r="563">
      <c r="B563" s="55" t="n">
        <v>132</v>
      </c>
      <c r="C563" s="56">
        <f>IF(132&lt;posS_sn,1-132/200,IF(132=posS_sn,tstS_sn,1-(132-1)/200))</f>
        <v/>
      </c>
      <c r="D563" s="59">
        <f>IF($C563&gt;=1,sn_h,3/7*sn_h+4/7*sn_h/MAX($C563,1E-12))</f>
        <v/>
      </c>
      <c r="E563" s="57">
        <f>(fcd_sn*sn_b*sn_h*(3/7+4/7*(1-$C563^2/3))+SUMPRODUCT($J$5:$K$5,$J563:$K563))/1000</f>
        <v/>
      </c>
      <c r="F563" s="57">
        <f>((fcd_sn*sn_b*(3/14*sn_h*(sn_h-3/7*sn_h)+4/7*sn_h*(sn_h/2-3/7*sn_h)*(1-$C563^2/3)-16/49*sn_h^2*(1/2-$C563^2/4))+SUMPRODUCT($J$5:$K$5,$J563:$K563,$J$7:$K$7))/1E6)</f>
        <v/>
      </c>
      <c r="G563" s="57">
        <f>IF(AND(MIN($E563,$E564)&lt;=sn_N,sn_N&lt;=MAX($E563,$E564)),IF($E563=$E564,MAX($F563,$F564),$F563+(sn_N-$E563)*($F564-$F563)/($E564-$E563)),"")</f>
        <v/>
      </c>
      <c r="H563" s="57">
        <f>IF(AND(MIN($E563,$E564)&lt;=sn_N,sn_N&lt;=MAX($E563,$E564)),IF($E563=$E564,MIN($F563,$F564),$F563+(sn_N-$E563)*($F564-$F563)/($E564-$E563)),"")</f>
        <v/>
      </c>
      <c r="J563">
        <f>MAX(-fyd_sn,MIN(fyd_sn,200000*0.002*(1-$C563*(7*J$6-3*sn_h)/(4*sn_h))))-fcd_sn*(1-MIN(1,MAX(0,$C563*(7*J$6-3*sn_h)/(4*sn_h)))^2)</f>
        <v/>
      </c>
      <c r="K563">
        <f>MAX(-fyd_sn,MIN(fyd_sn,200000*0.002*(1-$C563*(7*K$6-3*sn_h)/(4*sn_h))))-fcd_sn*(1-MIN(1,MAX(0,$C563*(7*K$6-3*sn_h)/(4*sn_h)))^2)</f>
        <v/>
      </c>
    </row>
    <row r="564">
      <c r="B564" s="55" t="n">
        <v>133</v>
      </c>
      <c r="C564" s="56">
        <f>IF(133&lt;posS_sn,1-133/200,IF(133=posS_sn,tstS_sn,1-(133-1)/200))</f>
        <v/>
      </c>
      <c r="D564" s="59">
        <f>IF($C564&gt;=1,sn_h,3/7*sn_h+4/7*sn_h/MAX($C564,1E-12))</f>
        <v/>
      </c>
      <c r="E564" s="57">
        <f>(fcd_sn*sn_b*sn_h*(3/7+4/7*(1-$C564^2/3))+SUMPRODUCT($J$5:$K$5,$J564:$K564))/1000</f>
        <v/>
      </c>
      <c r="F564" s="57">
        <f>((fcd_sn*sn_b*(3/14*sn_h*(sn_h-3/7*sn_h)+4/7*sn_h*(sn_h/2-3/7*sn_h)*(1-$C564^2/3)-16/49*sn_h^2*(1/2-$C564^2/4))+SUMPRODUCT($J$5:$K$5,$J564:$K564,$J$7:$K$7))/1E6)</f>
        <v/>
      </c>
      <c r="G564" s="57">
        <f>IF(AND(MIN($E564,$E565)&lt;=sn_N,sn_N&lt;=MAX($E564,$E565)),IF($E564=$E565,MAX($F564,$F565),$F564+(sn_N-$E564)*($F565-$F564)/($E565-$E564)),"")</f>
        <v/>
      </c>
      <c r="H564" s="57">
        <f>IF(AND(MIN($E564,$E565)&lt;=sn_N,sn_N&lt;=MAX($E564,$E565)),IF($E564=$E565,MIN($F564,$F565),$F564+(sn_N-$E564)*($F565-$F564)/($E565-$E564)),"")</f>
        <v/>
      </c>
      <c r="J564">
        <f>MAX(-fyd_sn,MIN(fyd_sn,200000*0.002*(1-$C564*(7*J$6-3*sn_h)/(4*sn_h))))-fcd_sn*(1-MIN(1,MAX(0,$C564*(7*J$6-3*sn_h)/(4*sn_h)))^2)</f>
        <v/>
      </c>
      <c r="K564">
        <f>MAX(-fyd_sn,MIN(fyd_sn,200000*0.002*(1-$C564*(7*K$6-3*sn_h)/(4*sn_h))))-fcd_sn*(1-MIN(1,MAX(0,$C564*(7*K$6-3*sn_h)/(4*sn_h)))^2)</f>
        <v/>
      </c>
    </row>
    <row r="565">
      <c r="B565" s="55" t="n">
        <v>134</v>
      </c>
      <c r="C565" s="56">
        <f>IF(134&lt;posS_sn,1-134/200,IF(134=posS_sn,tstS_sn,1-(134-1)/200))</f>
        <v/>
      </c>
      <c r="D565" s="59">
        <f>IF($C565&gt;=1,sn_h,3/7*sn_h+4/7*sn_h/MAX($C565,1E-12))</f>
        <v/>
      </c>
      <c r="E565" s="57">
        <f>(fcd_sn*sn_b*sn_h*(3/7+4/7*(1-$C565^2/3))+SUMPRODUCT($J$5:$K$5,$J565:$K565))/1000</f>
        <v/>
      </c>
      <c r="F565" s="57">
        <f>((fcd_sn*sn_b*(3/14*sn_h*(sn_h-3/7*sn_h)+4/7*sn_h*(sn_h/2-3/7*sn_h)*(1-$C565^2/3)-16/49*sn_h^2*(1/2-$C565^2/4))+SUMPRODUCT($J$5:$K$5,$J565:$K565,$J$7:$K$7))/1E6)</f>
        <v/>
      </c>
      <c r="G565" s="57">
        <f>IF(AND(MIN($E565,$E566)&lt;=sn_N,sn_N&lt;=MAX($E565,$E566)),IF($E565=$E566,MAX($F565,$F566),$F565+(sn_N-$E565)*($F566-$F565)/($E566-$E565)),"")</f>
        <v/>
      </c>
      <c r="H565" s="57">
        <f>IF(AND(MIN($E565,$E566)&lt;=sn_N,sn_N&lt;=MAX($E565,$E566)),IF($E565=$E566,MIN($F565,$F566),$F565+(sn_N-$E565)*($F566-$F565)/($E566-$E565)),"")</f>
        <v/>
      </c>
      <c r="J565">
        <f>MAX(-fyd_sn,MIN(fyd_sn,200000*0.002*(1-$C565*(7*J$6-3*sn_h)/(4*sn_h))))-fcd_sn*(1-MIN(1,MAX(0,$C565*(7*J$6-3*sn_h)/(4*sn_h)))^2)</f>
        <v/>
      </c>
      <c r="K565">
        <f>MAX(-fyd_sn,MIN(fyd_sn,200000*0.002*(1-$C565*(7*K$6-3*sn_h)/(4*sn_h))))-fcd_sn*(1-MIN(1,MAX(0,$C565*(7*K$6-3*sn_h)/(4*sn_h)))^2)</f>
        <v/>
      </c>
    </row>
    <row r="566">
      <c r="B566" s="55" t="n">
        <v>135</v>
      </c>
      <c r="C566" s="56">
        <f>IF(135&lt;posS_sn,1-135/200,IF(135=posS_sn,tstS_sn,1-(135-1)/200))</f>
        <v/>
      </c>
      <c r="D566" s="59">
        <f>IF($C566&gt;=1,sn_h,3/7*sn_h+4/7*sn_h/MAX($C566,1E-12))</f>
        <v/>
      </c>
      <c r="E566" s="57">
        <f>(fcd_sn*sn_b*sn_h*(3/7+4/7*(1-$C566^2/3))+SUMPRODUCT($J$5:$K$5,$J566:$K566))/1000</f>
        <v/>
      </c>
      <c r="F566" s="57">
        <f>((fcd_sn*sn_b*(3/14*sn_h*(sn_h-3/7*sn_h)+4/7*sn_h*(sn_h/2-3/7*sn_h)*(1-$C566^2/3)-16/49*sn_h^2*(1/2-$C566^2/4))+SUMPRODUCT($J$5:$K$5,$J566:$K566,$J$7:$K$7))/1E6)</f>
        <v/>
      </c>
      <c r="G566" s="57">
        <f>IF(AND(MIN($E566,$E567)&lt;=sn_N,sn_N&lt;=MAX($E566,$E567)),IF($E566=$E567,MAX($F566,$F567),$F566+(sn_N-$E566)*($F567-$F566)/($E567-$E566)),"")</f>
        <v/>
      </c>
      <c r="H566" s="57">
        <f>IF(AND(MIN($E566,$E567)&lt;=sn_N,sn_N&lt;=MAX($E566,$E567)),IF($E566=$E567,MIN($F566,$F567),$F566+(sn_N-$E566)*($F567-$F566)/($E567-$E566)),"")</f>
        <v/>
      </c>
      <c r="J566">
        <f>MAX(-fyd_sn,MIN(fyd_sn,200000*0.002*(1-$C566*(7*J$6-3*sn_h)/(4*sn_h))))-fcd_sn*(1-MIN(1,MAX(0,$C566*(7*J$6-3*sn_h)/(4*sn_h)))^2)</f>
        <v/>
      </c>
      <c r="K566">
        <f>MAX(-fyd_sn,MIN(fyd_sn,200000*0.002*(1-$C566*(7*K$6-3*sn_h)/(4*sn_h))))-fcd_sn*(1-MIN(1,MAX(0,$C566*(7*K$6-3*sn_h)/(4*sn_h)))^2)</f>
        <v/>
      </c>
    </row>
    <row r="567">
      <c r="B567" s="55" t="n">
        <v>136</v>
      </c>
      <c r="C567" s="56">
        <f>IF(136&lt;posS_sn,1-136/200,IF(136=posS_sn,tstS_sn,1-(136-1)/200))</f>
        <v/>
      </c>
      <c r="D567" s="59">
        <f>IF($C567&gt;=1,sn_h,3/7*sn_h+4/7*sn_h/MAX($C567,1E-12))</f>
        <v/>
      </c>
      <c r="E567" s="57">
        <f>(fcd_sn*sn_b*sn_h*(3/7+4/7*(1-$C567^2/3))+SUMPRODUCT($J$5:$K$5,$J567:$K567))/1000</f>
        <v/>
      </c>
      <c r="F567" s="57">
        <f>((fcd_sn*sn_b*(3/14*sn_h*(sn_h-3/7*sn_h)+4/7*sn_h*(sn_h/2-3/7*sn_h)*(1-$C567^2/3)-16/49*sn_h^2*(1/2-$C567^2/4))+SUMPRODUCT($J$5:$K$5,$J567:$K567,$J$7:$K$7))/1E6)</f>
        <v/>
      </c>
      <c r="G567" s="57">
        <f>IF(AND(MIN($E567,$E568)&lt;=sn_N,sn_N&lt;=MAX($E567,$E568)),IF($E567=$E568,MAX($F567,$F568),$F567+(sn_N-$E567)*($F568-$F567)/($E568-$E567)),"")</f>
        <v/>
      </c>
      <c r="H567" s="57">
        <f>IF(AND(MIN($E567,$E568)&lt;=sn_N,sn_N&lt;=MAX($E567,$E568)),IF($E567=$E568,MIN($F567,$F568),$F567+(sn_N-$E567)*($F568-$F567)/($E568-$E567)),"")</f>
        <v/>
      </c>
      <c r="J567">
        <f>MAX(-fyd_sn,MIN(fyd_sn,200000*0.002*(1-$C567*(7*J$6-3*sn_h)/(4*sn_h))))-fcd_sn*(1-MIN(1,MAX(0,$C567*(7*J$6-3*sn_h)/(4*sn_h)))^2)</f>
        <v/>
      </c>
      <c r="K567">
        <f>MAX(-fyd_sn,MIN(fyd_sn,200000*0.002*(1-$C567*(7*K$6-3*sn_h)/(4*sn_h))))-fcd_sn*(1-MIN(1,MAX(0,$C567*(7*K$6-3*sn_h)/(4*sn_h)))^2)</f>
        <v/>
      </c>
    </row>
    <row r="568">
      <c r="B568" s="55" t="n">
        <v>137</v>
      </c>
      <c r="C568" s="56">
        <f>IF(137&lt;posS_sn,1-137/200,IF(137=posS_sn,tstS_sn,1-(137-1)/200))</f>
        <v/>
      </c>
      <c r="D568" s="59">
        <f>IF($C568&gt;=1,sn_h,3/7*sn_h+4/7*sn_h/MAX($C568,1E-12))</f>
        <v/>
      </c>
      <c r="E568" s="57">
        <f>(fcd_sn*sn_b*sn_h*(3/7+4/7*(1-$C568^2/3))+SUMPRODUCT($J$5:$K$5,$J568:$K568))/1000</f>
        <v/>
      </c>
      <c r="F568" s="57">
        <f>((fcd_sn*sn_b*(3/14*sn_h*(sn_h-3/7*sn_h)+4/7*sn_h*(sn_h/2-3/7*sn_h)*(1-$C568^2/3)-16/49*sn_h^2*(1/2-$C568^2/4))+SUMPRODUCT($J$5:$K$5,$J568:$K568,$J$7:$K$7))/1E6)</f>
        <v/>
      </c>
      <c r="G568" s="57">
        <f>IF(AND(MIN($E568,$E569)&lt;=sn_N,sn_N&lt;=MAX($E568,$E569)),IF($E568=$E569,MAX($F568,$F569),$F568+(sn_N-$E568)*($F569-$F568)/($E569-$E568)),"")</f>
        <v/>
      </c>
      <c r="H568" s="57">
        <f>IF(AND(MIN($E568,$E569)&lt;=sn_N,sn_N&lt;=MAX($E568,$E569)),IF($E568=$E569,MIN($F568,$F569),$F568+(sn_N-$E568)*($F569-$F568)/($E569-$E568)),"")</f>
        <v/>
      </c>
      <c r="J568">
        <f>MAX(-fyd_sn,MIN(fyd_sn,200000*0.002*(1-$C568*(7*J$6-3*sn_h)/(4*sn_h))))-fcd_sn*(1-MIN(1,MAX(0,$C568*(7*J$6-3*sn_h)/(4*sn_h)))^2)</f>
        <v/>
      </c>
      <c r="K568">
        <f>MAX(-fyd_sn,MIN(fyd_sn,200000*0.002*(1-$C568*(7*K$6-3*sn_h)/(4*sn_h))))-fcd_sn*(1-MIN(1,MAX(0,$C568*(7*K$6-3*sn_h)/(4*sn_h)))^2)</f>
        <v/>
      </c>
    </row>
    <row r="569">
      <c r="B569" s="55" t="n">
        <v>138</v>
      </c>
      <c r="C569" s="56">
        <f>IF(138&lt;posS_sn,1-138/200,IF(138=posS_sn,tstS_sn,1-(138-1)/200))</f>
        <v/>
      </c>
      <c r="D569" s="59">
        <f>IF($C569&gt;=1,sn_h,3/7*sn_h+4/7*sn_h/MAX($C569,1E-12))</f>
        <v/>
      </c>
      <c r="E569" s="57">
        <f>(fcd_sn*sn_b*sn_h*(3/7+4/7*(1-$C569^2/3))+SUMPRODUCT($J$5:$K$5,$J569:$K569))/1000</f>
        <v/>
      </c>
      <c r="F569" s="57">
        <f>((fcd_sn*sn_b*(3/14*sn_h*(sn_h-3/7*sn_h)+4/7*sn_h*(sn_h/2-3/7*sn_h)*(1-$C569^2/3)-16/49*sn_h^2*(1/2-$C569^2/4))+SUMPRODUCT($J$5:$K$5,$J569:$K569,$J$7:$K$7))/1E6)</f>
        <v/>
      </c>
      <c r="G569" s="57">
        <f>IF(AND(MIN($E569,$E570)&lt;=sn_N,sn_N&lt;=MAX($E569,$E570)),IF($E569=$E570,MAX($F569,$F570),$F569+(sn_N-$E569)*($F570-$F569)/($E570-$E569)),"")</f>
        <v/>
      </c>
      <c r="H569" s="57">
        <f>IF(AND(MIN($E569,$E570)&lt;=sn_N,sn_N&lt;=MAX($E569,$E570)),IF($E569=$E570,MIN($F569,$F570),$F569+(sn_N-$E569)*($F570-$F569)/($E570-$E569)),"")</f>
        <v/>
      </c>
      <c r="J569">
        <f>MAX(-fyd_sn,MIN(fyd_sn,200000*0.002*(1-$C569*(7*J$6-3*sn_h)/(4*sn_h))))-fcd_sn*(1-MIN(1,MAX(0,$C569*(7*J$6-3*sn_h)/(4*sn_h)))^2)</f>
        <v/>
      </c>
      <c r="K569">
        <f>MAX(-fyd_sn,MIN(fyd_sn,200000*0.002*(1-$C569*(7*K$6-3*sn_h)/(4*sn_h))))-fcd_sn*(1-MIN(1,MAX(0,$C569*(7*K$6-3*sn_h)/(4*sn_h)))^2)</f>
        <v/>
      </c>
    </row>
    <row r="570">
      <c r="B570" s="55" t="n">
        <v>139</v>
      </c>
      <c r="C570" s="56">
        <f>IF(139&lt;posS_sn,1-139/200,IF(139=posS_sn,tstS_sn,1-(139-1)/200))</f>
        <v/>
      </c>
      <c r="D570" s="59">
        <f>IF($C570&gt;=1,sn_h,3/7*sn_h+4/7*sn_h/MAX($C570,1E-12))</f>
        <v/>
      </c>
      <c r="E570" s="57">
        <f>(fcd_sn*sn_b*sn_h*(3/7+4/7*(1-$C570^2/3))+SUMPRODUCT($J$5:$K$5,$J570:$K570))/1000</f>
        <v/>
      </c>
      <c r="F570" s="57">
        <f>((fcd_sn*sn_b*(3/14*sn_h*(sn_h-3/7*sn_h)+4/7*sn_h*(sn_h/2-3/7*sn_h)*(1-$C570^2/3)-16/49*sn_h^2*(1/2-$C570^2/4))+SUMPRODUCT($J$5:$K$5,$J570:$K570,$J$7:$K$7))/1E6)</f>
        <v/>
      </c>
      <c r="G570" s="57">
        <f>IF(AND(MIN($E570,$E571)&lt;=sn_N,sn_N&lt;=MAX($E570,$E571)),IF($E570=$E571,MAX($F570,$F571),$F570+(sn_N-$E570)*($F571-$F570)/($E571-$E570)),"")</f>
        <v/>
      </c>
      <c r="H570" s="57">
        <f>IF(AND(MIN($E570,$E571)&lt;=sn_N,sn_N&lt;=MAX($E570,$E571)),IF($E570=$E571,MIN($F570,$F571),$F570+(sn_N-$E570)*($F571-$F570)/($E571-$E570)),"")</f>
        <v/>
      </c>
      <c r="J570">
        <f>MAX(-fyd_sn,MIN(fyd_sn,200000*0.002*(1-$C570*(7*J$6-3*sn_h)/(4*sn_h))))-fcd_sn*(1-MIN(1,MAX(0,$C570*(7*J$6-3*sn_h)/(4*sn_h)))^2)</f>
        <v/>
      </c>
      <c r="K570">
        <f>MAX(-fyd_sn,MIN(fyd_sn,200000*0.002*(1-$C570*(7*K$6-3*sn_h)/(4*sn_h))))-fcd_sn*(1-MIN(1,MAX(0,$C570*(7*K$6-3*sn_h)/(4*sn_h)))^2)</f>
        <v/>
      </c>
    </row>
    <row r="571">
      <c r="B571" s="55" t="n">
        <v>140</v>
      </c>
      <c r="C571" s="56">
        <f>IF(140&lt;posS_sn,1-140/200,IF(140=posS_sn,tstS_sn,1-(140-1)/200))</f>
        <v/>
      </c>
      <c r="D571" s="59">
        <f>IF($C571&gt;=1,sn_h,3/7*sn_h+4/7*sn_h/MAX($C571,1E-12))</f>
        <v/>
      </c>
      <c r="E571" s="57">
        <f>(fcd_sn*sn_b*sn_h*(3/7+4/7*(1-$C571^2/3))+SUMPRODUCT($J$5:$K$5,$J571:$K571))/1000</f>
        <v/>
      </c>
      <c r="F571" s="57">
        <f>((fcd_sn*sn_b*(3/14*sn_h*(sn_h-3/7*sn_h)+4/7*sn_h*(sn_h/2-3/7*sn_h)*(1-$C571^2/3)-16/49*sn_h^2*(1/2-$C571^2/4))+SUMPRODUCT($J$5:$K$5,$J571:$K571,$J$7:$K$7))/1E6)</f>
        <v/>
      </c>
      <c r="G571" s="57">
        <f>IF(AND(MIN($E571,$E572)&lt;=sn_N,sn_N&lt;=MAX($E571,$E572)),IF($E571=$E572,MAX($F571,$F572),$F571+(sn_N-$E571)*($F572-$F571)/($E572-$E571)),"")</f>
        <v/>
      </c>
      <c r="H571" s="57">
        <f>IF(AND(MIN($E571,$E572)&lt;=sn_N,sn_N&lt;=MAX($E571,$E572)),IF($E571=$E572,MIN($F571,$F572),$F571+(sn_N-$E571)*($F572-$F571)/($E572-$E571)),"")</f>
        <v/>
      </c>
      <c r="J571">
        <f>MAX(-fyd_sn,MIN(fyd_sn,200000*0.002*(1-$C571*(7*J$6-3*sn_h)/(4*sn_h))))-fcd_sn*(1-MIN(1,MAX(0,$C571*(7*J$6-3*sn_h)/(4*sn_h)))^2)</f>
        <v/>
      </c>
      <c r="K571">
        <f>MAX(-fyd_sn,MIN(fyd_sn,200000*0.002*(1-$C571*(7*K$6-3*sn_h)/(4*sn_h))))-fcd_sn*(1-MIN(1,MAX(0,$C571*(7*K$6-3*sn_h)/(4*sn_h)))^2)</f>
        <v/>
      </c>
    </row>
    <row r="572">
      <c r="B572" s="55" t="n">
        <v>141</v>
      </c>
      <c r="C572" s="56">
        <f>IF(141&lt;posS_sn,1-141/200,IF(141=posS_sn,tstS_sn,1-(141-1)/200))</f>
        <v/>
      </c>
      <c r="D572" s="59">
        <f>IF($C572&gt;=1,sn_h,3/7*sn_h+4/7*sn_h/MAX($C572,1E-12))</f>
        <v/>
      </c>
      <c r="E572" s="57">
        <f>(fcd_sn*sn_b*sn_h*(3/7+4/7*(1-$C572^2/3))+SUMPRODUCT($J$5:$K$5,$J572:$K572))/1000</f>
        <v/>
      </c>
      <c r="F572" s="57">
        <f>((fcd_sn*sn_b*(3/14*sn_h*(sn_h-3/7*sn_h)+4/7*sn_h*(sn_h/2-3/7*sn_h)*(1-$C572^2/3)-16/49*sn_h^2*(1/2-$C572^2/4))+SUMPRODUCT($J$5:$K$5,$J572:$K572,$J$7:$K$7))/1E6)</f>
        <v/>
      </c>
      <c r="G572" s="57">
        <f>IF(AND(MIN($E572,$E573)&lt;=sn_N,sn_N&lt;=MAX($E572,$E573)),IF($E572=$E573,MAX($F572,$F573),$F572+(sn_N-$E572)*($F573-$F572)/($E573-$E572)),"")</f>
        <v/>
      </c>
      <c r="H572" s="57">
        <f>IF(AND(MIN($E572,$E573)&lt;=sn_N,sn_N&lt;=MAX($E572,$E573)),IF($E572=$E573,MIN($F572,$F573),$F572+(sn_N-$E572)*($F573-$F572)/($E573-$E572)),"")</f>
        <v/>
      </c>
      <c r="J572">
        <f>MAX(-fyd_sn,MIN(fyd_sn,200000*0.002*(1-$C572*(7*J$6-3*sn_h)/(4*sn_h))))-fcd_sn*(1-MIN(1,MAX(0,$C572*(7*J$6-3*sn_h)/(4*sn_h)))^2)</f>
        <v/>
      </c>
      <c r="K572">
        <f>MAX(-fyd_sn,MIN(fyd_sn,200000*0.002*(1-$C572*(7*K$6-3*sn_h)/(4*sn_h))))-fcd_sn*(1-MIN(1,MAX(0,$C572*(7*K$6-3*sn_h)/(4*sn_h)))^2)</f>
        <v/>
      </c>
    </row>
    <row r="573">
      <c r="B573" s="55" t="n">
        <v>142</v>
      </c>
      <c r="C573" s="56">
        <f>IF(142&lt;posS_sn,1-142/200,IF(142=posS_sn,tstS_sn,1-(142-1)/200))</f>
        <v/>
      </c>
      <c r="D573" s="59">
        <f>IF($C573&gt;=1,sn_h,3/7*sn_h+4/7*sn_h/MAX($C573,1E-12))</f>
        <v/>
      </c>
      <c r="E573" s="57">
        <f>(fcd_sn*sn_b*sn_h*(3/7+4/7*(1-$C573^2/3))+SUMPRODUCT($J$5:$K$5,$J573:$K573))/1000</f>
        <v/>
      </c>
      <c r="F573" s="57">
        <f>((fcd_sn*sn_b*(3/14*sn_h*(sn_h-3/7*sn_h)+4/7*sn_h*(sn_h/2-3/7*sn_h)*(1-$C573^2/3)-16/49*sn_h^2*(1/2-$C573^2/4))+SUMPRODUCT($J$5:$K$5,$J573:$K573,$J$7:$K$7))/1E6)</f>
        <v/>
      </c>
      <c r="G573" s="57">
        <f>IF(AND(MIN($E573,$E574)&lt;=sn_N,sn_N&lt;=MAX($E573,$E574)),IF($E573=$E574,MAX($F573,$F574),$F573+(sn_N-$E573)*($F574-$F573)/($E574-$E573)),"")</f>
        <v/>
      </c>
      <c r="H573" s="57">
        <f>IF(AND(MIN($E573,$E574)&lt;=sn_N,sn_N&lt;=MAX($E573,$E574)),IF($E573=$E574,MIN($F573,$F574),$F573+(sn_N-$E573)*($F574-$F573)/($E574-$E573)),"")</f>
        <v/>
      </c>
      <c r="J573">
        <f>MAX(-fyd_sn,MIN(fyd_sn,200000*0.002*(1-$C573*(7*J$6-3*sn_h)/(4*sn_h))))-fcd_sn*(1-MIN(1,MAX(0,$C573*(7*J$6-3*sn_h)/(4*sn_h)))^2)</f>
        <v/>
      </c>
      <c r="K573">
        <f>MAX(-fyd_sn,MIN(fyd_sn,200000*0.002*(1-$C573*(7*K$6-3*sn_h)/(4*sn_h))))-fcd_sn*(1-MIN(1,MAX(0,$C573*(7*K$6-3*sn_h)/(4*sn_h)))^2)</f>
        <v/>
      </c>
    </row>
    <row r="574">
      <c r="B574" s="55" t="n">
        <v>143</v>
      </c>
      <c r="C574" s="56">
        <f>IF(143&lt;posS_sn,1-143/200,IF(143=posS_sn,tstS_sn,1-(143-1)/200))</f>
        <v/>
      </c>
      <c r="D574" s="59">
        <f>IF($C574&gt;=1,sn_h,3/7*sn_h+4/7*sn_h/MAX($C574,1E-12))</f>
        <v/>
      </c>
      <c r="E574" s="57">
        <f>(fcd_sn*sn_b*sn_h*(3/7+4/7*(1-$C574^2/3))+SUMPRODUCT($J$5:$K$5,$J574:$K574))/1000</f>
        <v/>
      </c>
      <c r="F574" s="57">
        <f>((fcd_sn*sn_b*(3/14*sn_h*(sn_h-3/7*sn_h)+4/7*sn_h*(sn_h/2-3/7*sn_h)*(1-$C574^2/3)-16/49*sn_h^2*(1/2-$C574^2/4))+SUMPRODUCT($J$5:$K$5,$J574:$K574,$J$7:$K$7))/1E6)</f>
        <v/>
      </c>
      <c r="G574" s="57">
        <f>IF(AND(MIN($E574,$E575)&lt;=sn_N,sn_N&lt;=MAX($E574,$E575)),IF($E574=$E575,MAX($F574,$F575),$F574+(sn_N-$E574)*($F575-$F574)/($E575-$E574)),"")</f>
        <v/>
      </c>
      <c r="H574" s="57">
        <f>IF(AND(MIN($E574,$E575)&lt;=sn_N,sn_N&lt;=MAX($E574,$E575)),IF($E574=$E575,MIN($F574,$F575),$F574+(sn_N-$E574)*($F575-$F574)/($E575-$E574)),"")</f>
        <v/>
      </c>
      <c r="J574">
        <f>MAX(-fyd_sn,MIN(fyd_sn,200000*0.002*(1-$C574*(7*J$6-3*sn_h)/(4*sn_h))))-fcd_sn*(1-MIN(1,MAX(0,$C574*(7*J$6-3*sn_h)/(4*sn_h)))^2)</f>
        <v/>
      </c>
      <c r="K574">
        <f>MAX(-fyd_sn,MIN(fyd_sn,200000*0.002*(1-$C574*(7*K$6-3*sn_h)/(4*sn_h))))-fcd_sn*(1-MIN(1,MAX(0,$C574*(7*K$6-3*sn_h)/(4*sn_h)))^2)</f>
        <v/>
      </c>
    </row>
    <row r="575">
      <c r="B575" s="55" t="n">
        <v>144</v>
      </c>
      <c r="C575" s="56">
        <f>IF(144&lt;posS_sn,1-144/200,IF(144=posS_sn,tstS_sn,1-(144-1)/200))</f>
        <v/>
      </c>
      <c r="D575" s="59">
        <f>IF($C575&gt;=1,sn_h,3/7*sn_h+4/7*sn_h/MAX($C575,1E-12))</f>
        <v/>
      </c>
      <c r="E575" s="57">
        <f>(fcd_sn*sn_b*sn_h*(3/7+4/7*(1-$C575^2/3))+SUMPRODUCT($J$5:$K$5,$J575:$K575))/1000</f>
        <v/>
      </c>
      <c r="F575" s="57">
        <f>((fcd_sn*sn_b*(3/14*sn_h*(sn_h-3/7*sn_h)+4/7*sn_h*(sn_h/2-3/7*sn_h)*(1-$C575^2/3)-16/49*sn_h^2*(1/2-$C575^2/4))+SUMPRODUCT($J$5:$K$5,$J575:$K575,$J$7:$K$7))/1E6)</f>
        <v/>
      </c>
      <c r="G575" s="57">
        <f>IF(AND(MIN($E575,$E576)&lt;=sn_N,sn_N&lt;=MAX($E575,$E576)),IF($E575=$E576,MAX($F575,$F576),$F575+(sn_N-$E575)*($F576-$F575)/($E576-$E575)),"")</f>
        <v/>
      </c>
      <c r="H575" s="57">
        <f>IF(AND(MIN($E575,$E576)&lt;=sn_N,sn_N&lt;=MAX($E575,$E576)),IF($E575=$E576,MIN($F575,$F576),$F575+(sn_N-$E575)*($F576-$F575)/($E576-$E575)),"")</f>
        <v/>
      </c>
      <c r="J575">
        <f>MAX(-fyd_sn,MIN(fyd_sn,200000*0.002*(1-$C575*(7*J$6-3*sn_h)/(4*sn_h))))-fcd_sn*(1-MIN(1,MAX(0,$C575*(7*J$6-3*sn_h)/(4*sn_h)))^2)</f>
        <v/>
      </c>
      <c r="K575">
        <f>MAX(-fyd_sn,MIN(fyd_sn,200000*0.002*(1-$C575*(7*K$6-3*sn_h)/(4*sn_h))))-fcd_sn*(1-MIN(1,MAX(0,$C575*(7*K$6-3*sn_h)/(4*sn_h)))^2)</f>
        <v/>
      </c>
    </row>
    <row r="576">
      <c r="B576" s="55" t="n">
        <v>145</v>
      </c>
      <c r="C576" s="56">
        <f>IF(145&lt;posS_sn,1-145/200,IF(145=posS_sn,tstS_sn,1-(145-1)/200))</f>
        <v/>
      </c>
      <c r="D576" s="59">
        <f>IF($C576&gt;=1,sn_h,3/7*sn_h+4/7*sn_h/MAX($C576,1E-12))</f>
        <v/>
      </c>
      <c r="E576" s="57">
        <f>(fcd_sn*sn_b*sn_h*(3/7+4/7*(1-$C576^2/3))+SUMPRODUCT($J$5:$K$5,$J576:$K576))/1000</f>
        <v/>
      </c>
      <c r="F576" s="57">
        <f>((fcd_sn*sn_b*(3/14*sn_h*(sn_h-3/7*sn_h)+4/7*sn_h*(sn_h/2-3/7*sn_h)*(1-$C576^2/3)-16/49*sn_h^2*(1/2-$C576^2/4))+SUMPRODUCT($J$5:$K$5,$J576:$K576,$J$7:$K$7))/1E6)</f>
        <v/>
      </c>
      <c r="G576" s="57">
        <f>IF(AND(MIN($E576,$E577)&lt;=sn_N,sn_N&lt;=MAX($E576,$E577)),IF($E576=$E577,MAX($F576,$F577),$F576+(sn_N-$E576)*($F577-$F576)/($E577-$E576)),"")</f>
        <v/>
      </c>
      <c r="H576" s="57">
        <f>IF(AND(MIN($E576,$E577)&lt;=sn_N,sn_N&lt;=MAX($E576,$E577)),IF($E576=$E577,MIN($F576,$F577),$F576+(sn_N-$E576)*($F577-$F576)/($E577-$E576)),"")</f>
        <v/>
      </c>
      <c r="J576">
        <f>MAX(-fyd_sn,MIN(fyd_sn,200000*0.002*(1-$C576*(7*J$6-3*sn_h)/(4*sn_h))))-fcd_sn*(1-MIN(1,MAX(0,$C576*(7*J$6-3*sn_h)/(4*sn_h)))^2)</f>
        <v/>
      </c>
      <c r="K576">
        <f>MAX(-fyd_sn,MIN(fyd_sn,200000*0.002*(1-$C576*(7*K$6-3*sn_h)/(4*sn_h))))-fcd_sn*(1-MIN(1,MAX(0,$C576*(7*K$6-3*sn_h)/(4*sn_h)))^2)</f>
        <v/>
      </c>
    </row>
    <row r="577">
      <c r="B577" s="55" t="n">
        <v>146</v>
      </c>
      <c r="C577" s="56">
        <f>IF(146&lt;posS_sn,1-146/200,IF(146=posS_sn,tstS_sn,1-(146-1)/200))</f>
        <v/>
      </c>
      <c r="D577" s="59">
        <f>IF($C577&gt;=1,sn_h,3/7*sn_h+4/7*sn_h/MAX($C577,1E-12))</f>
        <v/>
      </c>
      <c r="E577" s="57">
        <f>(fcd_sn*sn_b*sn_h*(3/7+4/7*(1-$C577^2/3))+SUMPRODUCT($J$5:$K$5,$J577:$K577))/1000</f>
        <v/>
      </c>
      <c r="F577" s="57">
        <f>((fcd_sn*sn_b*(3/14*sn_h*(sn_h-3/7*sn_h)+4/7*sn_h*(sn_h/2-3/7*sn_h)*(1-$C577^2/3)-16/49*sn_h^2*(1/2-$C577^2/4))+SUMPRODUCT($J$5:$K$5,$J577:$K577,$J$7:$K$7))/1E6)</f>
        <v/>
      </c>
      <c r="G577" s="57">
        <f>IF(AND(MIN($E577,$E578)&lt;=sn_N,sn_N&lt;=MAX($E577,$E578)),IF($E577=$E578,MAX($F577,$F578),$F577+(sn_N-$E577)*($F578-$F577)/($E578-$E577)),"")</f>
        <v/>
      </c>
      <c r="H577" s="57">
        <f>IF(AND(MIN($E577,$E578)&lt;=sn_N,sn_N&lt;=MAX($E577,$E578)),IF($E577=$E578,MIN($F577,$F578),$F577+(sn_N-$E577)*($F578-$F577)/($E578-$E577)),"")</f>
        <v/>
      </c>
      <c r="J577">
        <f>MAX(-fyd_sn,MIN(fyd_sn,200000*0.002*(1-$C577*(7*J$6-3*sn_h)/(4*sn_h))))-fcd_sn*(1-MIN(1,MAX(0,$C577*(7*J$6-3*sn_h)/(4*sn_h)))^2)</f>
        <v/>
      </c>
      <c r="K577">
        <f>MAX(-fyd_sn,MIN(fyd_sn,200000*0.002*(1-$C577*(7*K$6-3*sn_h)/(4*sn_h))))-fcd_sn*(1-MIN(1,MAX(0,$C577*(7*K$6-3*sn_h)/(4*sn_h)))^2)</f>
        <v/>
      </c>
    </row>
    <row r="578">
      <c r="B578" s="55" t="n">
        <v>147</v>
      </c>
      <c r="C578" s="56">
        <f>IF(147&lt;posS_sn,1-147/200,IF(147=posS_sn,tstS_sn,1-(147-1)/200))</f>
        <v/>
      </c>
      <c r="D578" s="59">
        <f>IF($C578&gt;=1,sn_h,3/7*sn_h+4/7*sn_h/MAX($C578,1E-12))</f>
        <v/>
      </c>
      <c r="E578" s="57">
        <f>(fcd_sn*sn_b*sn_h*(3/7+4/7*(1-$C578^2/3))+SUMPRODUCT($J$5:$K$5,$J578:$K578))/1000</f>
        <v/>
      </c>
      <c r="F578" s="57">
        <f>((fcd_sn*sn_b*(3/14*sn_h*(sn_h-3/7*sn_h)+4/7*sn_h*(sn_h/2-3/7*sn_h)*(1-$C578^2/3)-16/49*sn_h^2*(1/2-$C578^2/4))+SUMPRODUCT($J$5:$K$5,$J578:$K578,$J$7:$K$7))/1E6)</f>
        <v/>
      </c>
      <c r="G578" s="57">
        <f>IF(AND(MIN($E578,$E579)&lt;=sn_N,sn_N&lt;=MAX($E578,$E579)),IF($E578=$E579,MAX($F578,$F579),$F578+(sn_N-$E578)*($F579-$F578)/($E579-$E578)),"")</f>
        <v/>
      </c>
      <c r="H578" s="57">
        <f>IF(AND(MIN($E578,$E579)&lt;=sn_N,sn_N&lt;=MAX($E578,$E579)),IF($E578=$E579,MIN($F578,$F579),$F578+(sn_N-$E578)*($F579-$F578)/($E579-$E578)),"")</f>
        <v/>
      </c>
      <c r="J578">
        <f>MAX(-fyd_sn,MIN(fyd_sn,200000*0.002*(1-$C578*(7*J$6-3*sn_h)/(4*sn_h))))-fcd_sn*(1-MIN(1,MAX(0,$C578*(7*J$6-3*sn_h)/(4*sn_h)))^2)</f>
        <v/>
      </c>
      <c r="K578">
        <f>MAX(-fyd_sn,MIN(fyd_sn,200000*0.002*(1-$C578*(7*K$6-3*sn_h)/(4*sn_h))))-fcd_sn*(1-MIN(1,MAX(0,$C578*(7*K$6-3*sn_h)/(4*sn_h)))^2)</f>
        <v/>
      </c>
    </row>
    <row r="579">
      <c r="B579" s="55" t="n">
        <v>148</v>
      </c>
      <c r="C579" s="56">
        <f>IF(148&lt;posS_sn,1-148/200,IF(148=posS_sn,tstS_sn,1-(148-1)/200))</f>
        <v/>
      </c>
      <c r="D579" s="59">
        <f>IF($C579&gt;=1,sn_h,3/7*sn_h+4/7*sn_h/MAX($C579,1E-12))</f>
        <v/>
      </c>
      <c r="E579" s="57">
        <f>(fcd_sn*sn_b*sn_h*(3/7+4/7*(1-$C579^2/3))+SUMPRODUCT($J$5:$K$5,$J579:$K579))/1000</f>
        <v/>
      </c>
      <c r="F579" s="57">
        <f>((fcd_sn*sn_b*(3/14*sn_h*(sn_h-3/7*sn_h)+4/7*sn_h*(sn_h/2-3/7*sn_h)*(1-$C579^2/3)-16/49*sn_h^2*(1/2-$C579^2/4))+SUMPRODUCT($J$5:$K$5,$J579:$K579,$J$7:$K$7))/1E6)</f>
        <v/>
      </c>
      <c r="G579" s="57">
        <f>IF(AND(MIN($E579,$E580)&lt;=sn_N,sn_N&lt;=MAX($E579,$E580)),IF($E579=$E580,MAX($F579,$F580),$F579+(sn_N-$E579)*($F580-$F579)/($E580-$E579)),"")</f>
        <v/>
      </c>
      <c r="H579" s="57">
        <f>IF(AND(MIN($E579,$E580)&lt;=sn_N,sn_N&lt;=MAX($E579,$E580)),IF($E579=$E580,MIN($F579,$F580),$F579+(sn_N-$E579)*($F580-$F579)/($E580-$E579)),"")</f>
        <v/>
      </c>
      <c r="J579">
        <f>MAX(-fyd_sn,MIN(fyd_sn,200000*0.002*(1-$C579*(7*J$6-3*sn_h)/(4*sn_h))))-fcd_sn*(1-MIN(1,MAX(0,$C579*(7*J$6-3*sn_h)/(4*sn_h)))^2)</f>
        <v/>
      </c>
      <c r="K579">
        <f>MAX(-fyd_sn,MIN(fyd_sn,200000*0.002*(1-$C579*(7*K$6-3*sn_h)/(4*sn_h))))-fcd_sn*(1-MIN(1,MAX(0,$C579*(7*K$6-3*sn_h)/(4*sn_h)))^2)</f>
        <v/>
      </c>
    </row>
    <row r="580">
      <c r="B580" s="55" t="n">
        <v>149</v>
      </c>
      <c r="C580" s="56">
        <f>IF(149&lt;posS_sn,1-149/200,IF(149=posS_sn,tstS_sn,1-(149-1)/200))</f>
        <v/>
      </c>
      <c r="D580" s="59">
        <f>IF($C580&gt;=1,sn_h,3/7*sn_h+4/7*sn_h/MAX($C580,1E-12))</f>
        <v/>
      </c>
      <c r="E580" s="57">
        <f>(fcd_sn*sn_b*sn_h*(3/7+4/7*(1-$C580^2/3))+SUMPRODUCT($J$5:$K$5,$J580:$K580))/1000</f>
        <v/>
      </c>
      <c r="F580" s="57">
        <f>((fcd_sn*sn_b*(3/14*sn_h*(sn_h-3/7*sn_h)+4/7*sn_h*(sn_h/2-3/7*sn_h)*(1-$C580^2/3)-16/49*sn_h^2*(1/2-$C580^2/4))+SUMPRODUCT($J$5:$K$5,$J580:$K580,$J$7:$K$7))/1E6)</f>
        <v/>
      </c>
      <c r="G580" s="57">
        <f>IF(AND(MIN($E580,$E581)&lt;=sn_N,sn_N&lt;=MAX($E580,$E581)),IF($E580=$E581,MAX($F580,$F581),$F580+(sn_N-$E580)*($F581-$F580)/($E581-$E580)),"")</f>
        <v/>
      </c>
      <c r="H580" s="57">
        <f>IF(AND(MIN($E580,$E581)&lt;=sn_N,sn_N&lt;=MAX($E580,$E581)),IF($E580=$E581,MIN($F580,$F581),$F580+(sn_N-$E580)*($F581-$F580)/($E581-$E580)),"")</f>
        <v/>
      </c>
      <c r="J580">
        <f>MAX(-fyd_sn,MIN(fyd_sn,200000*0.002*(1-$C580*(7*J$6-3*sn_h)/(4*sn_h))))-fcd_sn*(1-MIN(1,MAX(0,$C580*(7*J$6-3*sn_h)/(4*sn_h)))^2)</f>
        <v/>
      </c>
      <c r="K580">
        <f>MAX(-fyd_sn,MIN(fyd_sn,200000*0.002*(1-$C580*(7*K$6-3*sn_h)/(4*sn_h))))-fcd_sn*(1-MIN(1,MAX(0,$C580*(7*K$6-3*sn_h)/(4*sn_h)))^2)</f>
        <v/>
      </c>
    </row>
    <row r="581">
      <c r="B581" s="55" t="n">
        <v>150</v>
      </c>
      <c r="C581" s="56">
        <f>IF(150&lt;posS_sn,1-150/200,IF(150=posS_sn,tstS_sn,1-(150-1)/200))</f>
        <v/>
      </c>
      <c r="D581" s="59">
        <f>IF($C581&gt;=1,sn_h,3/7*sn_h+4/7*sn_h/MAX($C581,1E-12))</f>
        <v/>
      </c>
      <c r="E581" s="57">
        <f>(fcd_sn*sn_b*sn_h*(3/7+4/7*(1-$C581^2/3))+SUMPRODUCT($J$5:$K$5,$J581:$K581))/1000</f>
        <v/>
      </c>
      <c r="F581" s="57">
        <f>((fcd_sn*sn_b*(3/14*sn_h*(sn_h-3/7*sn_h)+4/7*sn_h*(sn_h/2-3/7*sn_h)*(1-$C581^2/3)-16/49*sn_h^2*(1/2-$C581^2/4))+SUMPRODUCT($J$5:$K$5,$J581:$K581,$J$7:$K$7))/1E6)</f>
        <v/>
      </c>
      <c r="G581" s="57">
        <f>IF(AND(MIN($E581,$E582)&lt;=sn_N,sn_N&lt;=MAX($E581,$E582)),IF($E581=$E582,MAX($F581,$F582),$F581+(sn_N-$E581)*($F582-$F581)/($E582-$E581)),"")</f>
        <v/>
      </c>
      <c r="H581" s="57">
        <f>IF(AND(MIN($E581,$E582)&lt;=sn_N,sn_N&lt;=MAX($E581,$E582)),IF($E581=$E582,MIN($F581,$F582),$F581+(sn_N-$E581)*($F582-$F581)/($E582-$E581)),"")</f>
        <v/>
      </c>
      <c r="J581">
        <f>MAX(-fyd_sn,MIN(fyd_sn,200000*0.002*(1-$C581*(7*J$6-3*sn_h)/(4*sn_h))))-fcd_sn*(1-MIN(1,MAX(0,$C581*(7*J$6-3*sn_h)/(4*sn_h)))^2)</f>
        <v/>
      </c>
      <c r="K581">
        <f>MAX(-fyd_sn,MIN(fyd_sn,200000*0.002*(1-$C581*(7*K$6-3*sn_h)/(4*sn_h))))-fcd_sn*(1-MIN(1,MAX(0,$C581*(7*K$6-3*sn_h)/(4*sn_h)))^2)</f>
        <v/>
      </c>
    </row>
    <row r="582">
      <c r="B582" s="55" t="n">
        <v>151</v>
      </c>
      <c r="C582" s="56">
        <f>IF(151&lt;posS_sn,1-151/200,IF(151=posS_sn,tstS_sn,1-(151-1)/200))</f>
        <v/>
      </c>
      <c r="D582" s="59">
        <f>IF($C582&gt;=1,sn_h,3/7*sn_h+4/7*sn_h/MAX($C582,1E-12))</f>
        <v/>
      </c>
      <c r="E582" s="57">
        <f>(fcd_sn*sn_b*sn_h*(3/7+4/7*(1-$C582^2/3))+SUMPRODUCT($J$5:$K$5,$J582:$K582))/1000</f>
        <v/>
      </c>
      <c r="F582" s="57">
        <f>((fcd_sn*sn_b*(3/14*sn_h*(sn_h-3/7*sn_h)+4/7*sn_h*(sn_h/2-3/7*sn_h)*(1-$C582^2/3)-16/49*sn_h^2*(1/2-$C582^2/4))+SUMPRODUCT($J$5:$K$5,$J582:$K582,$J$7:$K$7))/1E6)</f>
        <v/>
      </c>
      <c r="G582" s="57">
        <f>IF(AND(MIN($E582,$E583)&lt;=sn_N,sn_N&lt;=MAX($E582,$E583)),IF($E582=$E583,MAX($F582,$F583),$F582+(sn_N-$E582)*($F583-$F582)/($E583-$E582)),"")</f>
        <v/>
      </c>
      <c r="H582" s="57">
        <f>IF(AND(MIN($E582,$E583)&lt;=sn_N,sn_N&lt;=MAX($E582,$E583)),IF($E582=$E583,MIN($F582,$F583),$F582+(sn_N-$E582)*($F583-$F582)/($E583-$E582)),"")</f>
        <v/>
      </c>
      <c r="J582">
        <f>MAX(-fyd_sn,MIN(fyd_sn,200000*0.002*(1-$C582*(7*J$6-3*sn_h)/(4*sn_h))))-fcd_sn*(1-MIN(1,MAX(0,$C582*(7*J$6-3*sn_h)/(4*sn_h)))^2)</f>
        <v/>
      </c>
      <c r="K582">
        <f>MAX(-fyd_sn,MIN(fyd_sn,200000*0.002*(1-$C582*(7*K$6-3*sn_h)/(4*sn_h))))-fcd_sn*(1-MIN(1,MAX(0,$C582*(7*K$6-3*sn_h)/(4*sn_h)))^2)</f>
        <v/>
      </c>
    </row>
    <row r="583">
      <c r="B583" s="55" t="n">
        <v>152</v>
      </c>
      <c r="C583" s="56">
        <f>IF(152&lt;posS_sn,1-152/200,IF(152=posS_sn,tstS_sn,1-(152-1)/200))</f>
        <v/>
      </c>
      <c r="D583" s="59">
        <f>IF($C583&gt;=1,sn_h,3/7*sn_h+4/7*sn_h/MAX($C583,1E-12))</f>
        <v/>
      </c>
      <c r="E583" s="57">
        <f>(fcd_sn*sn_b*sn_h*(3/7+4/7*(1-$C583^2/3))+SUMPRODUCT($J$5:$K$5,$J583:$K583))/1000</f>
        <v/>
      </c>
      <c r="F583" s="57">
        <f>((fcd_sn*sn_b*(3/14*sn_h*(sn_h-3/7*sn_h)+4/7*sn_h*(sn_h/2-3/7*sn_h)*(1-$C583^2/3)-16/49*sn_h^2*(1/2-$C583^2/4))+SUMPRODUCT($J$5:$K$5,$J583:$K583,$J$7:$K$7))/1E6)</f>
        <v/>
      </c>
      <c r="G583" s="57">
        <f>IF(AND(MIN($E583,$E584)&lt;=sn_N,sn_N&lt;=MAX($E583,$E584)),IF($E583=$E584,MAX($F583,$F584),$F583+(sn_N-$E583)*($F584-$F583)/($E584-$E583)),"")</f>
        <v/>
      </c>
      <c r="H583" s="57">
        <f>IF(AND(MIN($E583,$E584)&lt;=sn_N,sn_N&lt;=MAX($E583,$E584)),IF($E583=$E584,MIN($F583,$F584),$F583+(sn_N-$E583)*($F584-$F583)/($E584-$E583)),"")</f>
        <v/>
      </c>
      <c r="J583">
        <f>MAX(-fyd_sn,MIN(fyd_sn,200000*0.002*(1-$C583*(7*J$6-3*sn_h)/(4*sn_h))))-fcd_sn*(1-MIN(1,MAX(0,$C583*(7*J$6-3*sn_h)/(4*sn_h)))^2)</f>
        <v/>
      </c>
      <c r="K583">
        <f>MAX(-fyd_sn,MIN(fyd_sn,200000*0.002*(1-$C583*(7*K$6-3*sn_h)/(4*sn_h))))-fcd_sn*(1-MIN(1,MAX(0,$C583*(7*K$6-3*sn_h)/(4*sn_h)))^2)</f>
        <v/>
      </c>
    </row>
    <row r="584">
      <c r="B584" s="55" t="n">
        <v>153</v>
      </c>
      <c r="C584" s="56">
        <f>IF(153&lt;posS_sn,1-153/200,IF(153=posS_sn,tstS_sn,1-(153-1)/200))</f>
        <v/>
      </c>
      <c r="D584" s="59">
        <f>IF($C584&gt;=1,sn_h,3/7*sn_h+4/7*sn_h/MAX($C584,1E-12))</f>
        <v/>
      </c>
      <c r="E584" s="57">
        <f>(fcd_sn*sn_b*sn_h*(3/7+4/7*(1-$C584^2/3))+SUMPRODUCT($J$5:$K$5,$J584:$K584))/1000</f>
        <v/>
      </c>
      <c r="F584" s="57">
        <f>((fcd_sn*sn_b*(3/14*sn_h*(sn_h-3/7*sn_h)+4/7*sn_h*(sn_h/2-3/7*sn_h)*(1-$C584^2/3)-16/49*sn_h^2*(1/2-$C584^2/4))+SUMPRODUCT($J$5:$K$5,$J584:$K584,$J$7:$K$7))/1E6)</f>
        <v/>
      </c>
      <c r="G584" s="57">
        <f>IF(AND(MIN($E584,$E585)&lt;=sn_N,sn_N&lt;=MAX($E584,$E585)),IF($E584=$E585,MAX($F584,$F585),$F584+(sn_N-$E584)*($F585-$F584)/($E585-$E584)),"")</f>
        <v/>
      </c>
      <c r="H584" s="57">
        <f>IF(AND(MIN($E584,$E585)&lt;=sn_N,sn_N&lt;=MAX($E584,$E585)),IF($E584=$E585,MIN($F584,$F585),$F584+(sn_N-$E584)*($F585-$F584)/($E585-$E584)),"")</f>
        <v/>
      </c>
      <c r="J584">
        <f>MAX(-fyd_sn,MIN(fyd_sn,200000*0.002*(1-$C584*(7*J$6-3*sn_h)/(4*sn_h))))-fcd_sn*(1-MIN(1,MAX(0,$C584*(7*J$6-3*sn_h)/(4*sn_h)))^2)</f>
        <v/>
      </c>
      <c r="K584">
        <f>MAX(-fyd_sn,MIN(fyd_sn,200000*0.002*(1-$C584*(7*K$6-3*sn_h)/(4*sn_h))))-fcd_sn*(1-MIN(1,MAX(0,$C584*(7*K$6-3*sn_h)/(4*sn_h)))^2)</f>
        <v/>
      </c>
    </row>
    <row r="585">
      <c r="B585" s="55" t="n">
        <v>154</v>
      </c>
      <c r="C585" s="56">
        <f>IF(154&lt;posS_sn,1-154/200,IF(154=posS_sn,tstS_sn,1-(154-1)/200))</f>
        <v/>
      </c>
      <c r="D585" s="59">
        <f>IF($C585&gt;=1,sn_h,3/7*sn_h+4/7*sn_h/MAX($C585,1E-12))</f>
        <v/>
      </c>
      <c r="E585" s="57">
        <f>(fcd_sn*sn_b*sn_h*(3/7+4/7*(1-$C585^2/3))+SUMPRODUCT($J$5:$K$5,$J585:$K585))/1000</f>
        <v/>
      </c>
      <c r="F585" s="57">
        <f>((fcd_sn*sn_b*(3/14*sn_h*(sn_h-3/7*sn_h)+4/7*sn_h*(sn_h/2-3/7*sn_h)*(1-$C585^2/3)-16/49*sn_h^2*(1/2-$C585^2/4))+SUMPRODUCT($J$5:$K$5,$J585:$K585,$J$7:$K$7))/1E6)</f>
        <v/>
      </c>
      <c r="G585" s="57">
        <f>IF(AND(MIN($E585,$E586)&lt;=sn_N,sn_N&lt;=MAX($E585,$E586)),IF($E585=$E586,MAX($F585,$F586),$F585+(sn_N-$E585)*($F586-$F585)/($E586-$E585)),"")</f>
        <v/>
      </c>
      <c r="H585" s="57">
        <f>IF(AND(MIN($E585,$E586)&lt;=sn_N,sn_N&lt;=MAX($E585,$E586)),IF($E585=$E586,MIN($F585,$F586),$F585+(sn_N-$E585)*($F586-$F585)/($E586-$E585)),"")</f>
        <v/>
      </c>
      <c r="J585">
        <f>MAX(-fyd_sn,MIN(fyd_sn,200000*0.002*(1-$C585*(7*J$6-3*sn_h)/(4*sn_h))))-fcd_sn*(1-MIN(1,MAX(0,$C585*(7*J$6-3*sn_h)/(4*sn_h)))^2)</f>
        <v/>
      </c>
      <c r="K585">
        <f>MAX(-fyd_sn,MIN(fyd_sn,200000*0.002*(1-$C585*(7*K$6-3*sn_h)/(4*sn_h))))-fcd_sn*(1-MIN(1,MAX(0,$C585*(7*K$6-3*sn_h)/(4*sn_h)))^2)</f>
        <v/>
      </c>
    </row>
    <row r="586">
      <c r="B586" s="55" t="n">
        <v>155</v>
      </c>
      <c r="C586" s="56">
        <f>IF(155&lt;posS_sn,1-155/200,IF(155=posS_sn,tstS_sn,1-(155-1)/200))</f>
        <v/>
      </c>
      <c r="D586" s="59">
        <f>IF($C586&gt;=1,sn_h,3/7*sn_h+4/7*sn_h/MAX($C586,1E-12))</f>
        <v/>
      </c>
      <c r="E586" s="57">
        <f>(fcd_sn*sn_b*sn_h*(3/7+4/7*(1-$C586^2/3))+SUMPRODUCT($J$5:$K$5,$J586:$K586))/1000</f>
        <v/>
      </c>
      <c r="F586" s="57">
        <f>((fcd_sn*sn_b*(3/14*sn_h*(sn_h-3/7*sn_h)+4/7*sn_h*(sn_h/2-3/7*sn_h)*(1-$C586^2/3)-16/49*sn_h^2*(1/2-$C586^2/4))+SUMPRODUCT($J$5:$K$5,$J586:$K586,$J$7:$K$7))/1E6)</f>
        <v/>
      </c>
      <c r="G586" s="57">
        <f>IF(AND(MIN($E586,$E587)&lt;=sn_N,sn_N&lt;=MAX($E586,$E587)),IF($E586=$E587,MAX($F586,$F587),$F586+(sn_N-$E586)*($F587-$F586)/($E587-$E586)),"")</f>
        <v/>
      </c>
      <c r="H586" s="57">
        <f>IF(AND(MIN($E586,$E587)&lt;=sn_N,sn_N&lt;=MAX($E586,$E587)),IF($E586=$E587,MIN($F586,$F587),$F586+(sn_N-$E586)*($F587-$F586)/($E587-$E586)),"")</f>
        <v/>
      </c>
      <c r="J586">
        <f>MAX(-fyd_sn,MIN(fyd_sn,200000*0.002*(1-$C586*(7*J$6-3*sn_h)/(4*sn_h))))-fcd_sn*(1-MIN(1,MAX(0,$C586*(7*J$6-3*sn_h)/(4*sn_h)))^2)</f>
        <v/>
      </c>
      <c r="K586">
        <f>MAX(-fyd_sn,MIN(fyd_sn,200000*0.002*(1-$C586*(7*K$6-3*sn_h)/(4*sn_h))))-fcd_sn*(1-MIN(1,MAX(0,$C586*(7*K$6-3*sn_h)/(4*sn_h)))^2)</f>
        <v/>
      </c>
    </row>
    <row r="587">
      <c r="B587" s="55" t="n">
        <v>156</v>
      </c>
      <c r="C587" s="56">
        <f>IF(156&lt;posS_sn,1-156/200,IF(156=posS_sn,tstS_sn,1-(156-1)/200))</f>
        <v/>
      </c>
      <c r="D587" s="59">
        <f>IF($C587&gt;=1,sn_h,3/7*sn_h+4/7*sn_h/MAX($C587,1E-12))</f>
        <v/>
      </c>
      <c r="E587" s="57">
        <f>(fcd_sn*sn_b*sn_h*(3/7+4/7*(1-$C587^2/3))+SUMPRODUCT($J$5:$K$5,$J587:$K587))/1000</f>
        <v/>
      </c>
      <c r="F587" s="57">
        <f>((fcd_sn*sn_b*(3/14*sn_h*(sn_h-3/7*sn_h)+4/7*sn_h*(sn_h/2-3/7*sn_h)*(1-$C587^2/3)-16/49*sn_h^2*(1/2-$C587^2/4))+SUMPRODUCT($J$5:$K$5,$J587:$K587,$J$7:$K$7))/1E6)</f>
        <v/>
      </c>
      <c r="G587" s="57">
        <f>IF(AND(MIN($E587,$E588)&lt;=sn_N,sn_N&lt;=MAX($E587,$E588)),IF($E587=$E588,MAX($F587,$F588),$F587+(sn_N-$E587)*($F588-$F587)/($E588-$E587)),"")</f>
        <v/>
      </c>
      <c r="H587" s="57">
        <f>IF(AND(MIN($E587,$E588)&lt;=sn_N,sn_N&lt;=MAX($E587,$E588)),IF($E587=$E588,MIN($F587,$F588),$F587+(sn_N-$E587)*($F588-$F587)/($E588-$E587)),"")</f>
        <v/>
      </c>
      <c r="J587">
        <f>MAX(-fyd_sn,MIN(fyd_sn,200000*0.002*(1-$C587*(7*J$6-3*sn_h)/(4*sn_h))))-fcd_sn*(1-MIN(1,MAX(0,$C587*(7*J$6-3*sn_h)/(4*sn_h)))^2)</f>
        <v/>
      </c>
      <c r="K587">
        <f>MAX(-fyd_sn,MIN(fyd_sn,200000*0.002*(1-$C587*(7*K$6-3*sn_h)/(4*sn_h))))-fcd_sn*(1-MIN(1,MAX(0,$C587*(7*K$6-3*sn_h)/(4*sn_h)))^2)</f>
        <v/>
      </c>
    </row>
    <row r="588">
      <c r="B588" s="55" t="n">
        <v>157</v>
      </c>
      <c r="C588" s="56">
        <f>IF(157&lt;posS_sn,1-157/200,IF(157=posS_sn,tstS_sn,1-(157-1)/200))</f>
        <v/>
      </c>
      <c r="D588" s="59">
        <f>IF($C588&gt;=1,sn_h,3/7*sn_h+4/7*sn_h/MAX($C588,1E-12))</f>
        <v/>
      </c>
      <c r="E588" s="57">
        <f>(fcd_sn*sn_b*sn_h*(3/7+4/7*(1-$C588^2/3))+SUMPRODUCT($J$5:$K$5,$J588:$K588))/1000</f>
        <v/>
      </c>
      <c r="F588" s="57">
        <f>((fcd_sn*sn_b*(3/14*sn_h*(sn_h-3/7*sn_h)+4/7*sn_h*(sn_h/2-3/7*sn_h)*(1-$C588^2/3)-16/49*sn_h^2*(1/2-$C588^2/4))+SUMPRODUCT($J$5:$K$5,$J588:$K588,$J$7:$K$7))/1E6)</f>
        <v/>
      </c>
      <c r="G588" s="57">
        <f>IF(AND(MIN($E588,$E589)&lt;=sn_N,sn_N&lt;=MAX($E588,$E589)),IF($E588=$E589,MAX($F588,$F589),$F588+(sn_N-$E588)*($F589-$F588)/($E589-$E588)),"")</f>
        <v/>
      </c>
      <c r="H588" s="57">
        <f>IF(AND(MIN($E588,$E589)&lt;=sn_N,sn_N&lt;=MAX($E588,$E589)),IF($E588=$E589,MIN($F588,$F589),$F588+(sn_N-$E588)*($F589-$F588)/($E589-$E588)),"")</f>
        <v/>
      </c>
      <c r="J588">
        <f>MAX(-fyd_sn,MIN(fyd_sn,200000*0.002*(1-$C588*(7*J$6-3*sn_h)/(4*sn_h))))-fcd_sn*(1-MIN(1,MAX(0,$C588*(7*J$6-3*sn_h)/(4*sn_h)))^2)</f>
        <v/>
      </c>
      <c r="K588">
        <f>MAX(-fyd_sn,MIN(fyd_sn,200000*0.002*(1-$C588*(7*K$6-3*sn_h)/(4*sn_h))))-fcd_sn*(1-MIN(1,MAX(0,$C588*(7*K$6-3*sn_h)/(4*sn_h)))^2)</f>
        <v/>
      </c>
    </row>
    <row r="589">
      <c r="B589" s="55" t="n">
        <v>158</v>
      </c>
      <c r="C589" s="56">
        <f>IF(158&lt;posS_sn,1-158/200,IF(158=posS_sn,tstS_sn,1-(158-1)/200))</f>
        <v/>
      </c>
      <c r="D589" s="59">
        <f>IF($C589&gt;=1,sn_h,3/7*sn_h+4/7*sn_h/MAX($C589,1E-12))</f>
        <v/>
      </c>
      <c r="E589" s="57">
        <f>(fcd_sn*sn_b*sn_h*(3/7+4/7*(1-$C589^2/3))+SUMPRODUCT($J$5:$K$5,$J589:$K589))/1000</f>
        <v/>
      </c>
      <c r="F589" s="57">
        <f>((fcd_sn*sn_b*(3/14*sn_h*(sn_h-3/7*sn_h)+4/7*sn_h*(sn_h/2-3/7*sn_h)*(1-$C589^2/3)-16/49*sn_h^2*(1/2-$C589^2/4))+SUMPRODUCT($J$5:$K$5,$J589:$K589,$J$7:$K$7))/1E6)</f>
        <v/>
      </c>
      <c r="G589" s="57">
        <f>IF(AND(MIN($E589,$E590)&lt;=sn_N,sn_N&lt;=MAX($E589,$E590)),IF($E589=$E590,MAX($F589,$F590),$F589+(sn_N-$E589)*($F590-$F589)/($E590-$E589)),"")</f>
        <v/>
      </c>
      <c r="H589" s="57">
        <f>IF(AND(MIN($E589,$E590)&lt;=sn_N,sn_N&lt;=MAX($E589,$E590)),IF($E589=$E590,MIN($F589,$F590),$F589+(sn_N-$E589)*($F590-$F589)/($E590-$E589)),"")</f>
        <v/>
      </c>
      <c r="J589">
        <f>MAX(-fyd_sn,MIN(fyd_sn,200000*0.002*(1-$C589*(7*J$6-3*sn_h)/(4*sn_h))))-fcd_sn*(1-MIN(1,MAX(0,$C589*(7*J$6-3*sn_h)/(4*sn_h)))^2)</f>
        <v/>
      </c>
      <c r="K589">
        <f>MAX(-fyd_sn,MIN(fyd_sn,200000*0.002*(1-$C589*(7*K$6-3*sn_h)/(4*sn_h))))-fcd_sn*(1-MIN(1,MAX(0,$C589*(7*K$6-3*sn_h)/(4*sn_h)))^2)</f>
        <v/>
      </c>
    </row>
    <row r="590">
      <c r="B590" s="55" t="n">
        <v>159</v>
      </c>
      <c r="C590" s="56">
        <f>IF(159&lt;posS_sn,1-159/200,IF(159=posS_sn,tstS_sn,1-(159-1)/200))</f>
        <v/>
      </c>
      <c r="D590" s="59">
        <f>IF($C590&gt;=1,sn_h,3/7*sn_h+4/7*sn_h/MAX($C590,1E-12))</f>
        <v/>
      </c>
      <c r="E590" s="57">
        <f>(fcd_sn*sn_b*sn_h*(3/7+4/7*(1-$C590^2/3))+SUMPRODUCT($J$5:$K$5,$J590:$K590))/1000</f>
        <v/>
      </c>
      <c r="F590" s="57">
        <f>((fcd_sn*sn_b*(3/14*sn_h*(sn_h-3/7*sn_h)+4/7*sn_h*(sn_h/2-3/7*sn_h)*(1-$C590^2/3)-16/49*sn_h^2*(1/2-$C590^2/4))+SUMPRODUCT($J$5:$K$5,$J590:$K590,$J$7:$K$7))/1E6)</f>
        <v/>
      </c>
      <c r="G590" s="57">
        <f>IF(AND(MIN($E590,$E591)&lt;=sn_N,sn_N&lt;=MAX($E590,$E591)),IF($E590=$E591,MAX($F590,$F591),$F590+(sn_N-$E590)*($F591-$F590)/($E591-$E590)),"")</f>
        <v/>
      </c>
      <c r="H590" s="57">
        <f>IF(AND(MIN($E590,$E591)&lt;=sn_N,sn_N&lt;=MAX($E590,$E591)),IF($E590=$E591,MIN($F590,$F591),$F590+(sn_N-$E590)*($F591-$F590)/($E591-$E590)),"")</f>
        <v/>
      </c>
      <c r="J590">
        <f>MAX(-fyd_sn,MIN(fyd_sn,200000*0.002*(1-$C590*(7*J$6-3*sn_h)/(4*sn_h))))-fcd_sn*(1-MIN(1,MAX(0,$C590*(7*J$6-3*sn_h)/(4*sn_h)))^2)</f>
        <v/>
      </c>
      <c r="K590">
        <f>MAX(-fyd_sn,MIN(fyd_sn,200000*0.002*(1-$C590*(7*K$6-3*sn_h)/(4*sn_h))))-fcd_sn*(1-MIN(1,MAX(0,$C590*(7*K$6-3*sn_h)/(4*sn_h)))^2)</f>
        <v/>
      </c>
    </row>
    <row r="591">
      <c r="B591" s="55" t="n">
        <v>160</v>
      </c>
      <c r="C591" s="56">
        <f>IF(160&lt;posS_sn,1-160/200,IF(160=posS_sn,tstS_sn,1-(160-1)/200))</f>
        <v/>
      </c>
      <c r="D591" s="59">
        <f>IF($C591&gt;=1,sn_h,3/7*sn_h+4/7*sn_h/MAX($C591,1E-12))</f>
        <v/>
      </c>
      <c r="E591" s="57">
        <f>(fcd_sn*sn_b*sn_h*(3/7+4/7*(1-$C591^2/3))+SUMPRODUCT($J$5:$K$5,$J591:$K591))/1000</f>
        <v/>
      </c>
      <c r="F591" s="57">
        <f>((fcd_sn*sn_b*(3/14*sn_h*(sn_h-3/7*sn_h)+4/7*sn_h*(sn_h/2-3/7*sn_h)*(1-$C591^2/3)-16/49*sn_h^2*(1/2-$C591^2/4))+SUMPRODUCT($J$5:$K$5,$J591:$K591,$J$7:$K$7))/1E6)</f>
        <v/>
      </c>
      <c r="G591" s="57">
        <f>IF(AND(MIN($E591,$E592)&lt;=sn_N,sn_N&lt;=MAX($E591,$E592)),IF($E591=$E592,MAX($F591,$F592),$F591+(sn_N-$E591)*($F592-$F591)/($E592-$E591)),"")</f>
        <v/>
      </c>
      <c r="H591" s="57">
        <f>IF(AND(MIN($E591,$E592)&lt;=sn_N,sn_N&lt;=MAX($E591,$E592)),IF($E591=$E592,MIN($F591,$F592),$F591+(sn_N-$E591)*($F592-$F591)/($E592-$E591)),"")</f>
        <v/>
      </c>
      <c r="J591">
        <f>MAX(-fyd_sn,MIN(fyd_sn,200000*0.002*(1-$C591*(7*J$6-3*sn_h)/(4*sn_h))))-fcd_sn*(1-MIN(1,MAX(0,$C591*(7*J$6-3*sn_h)/(4*sn_h)))^2)</f>
        <v/>
      </c>
      <c r="K591">
        <f>MAX(-fyd_sn,MIN(fyd_sn,200000*0.002*(1-$C591*(7*K$6-3*sn_h)/(4*sn_h))))-fcd_sn*(1-MIN(1,MAX(0,$C591*(7*K$6-3*sn_h)/(4*sn_h)))^2)</f>
        <v/>
      </c>
    </row>
    <row r="592">
      <c r="B592" s="55" t="n">
        <v>161</v>
      </c>
      <c r="C592" s="56">
        <f>IF(161&lt;posS_sn,1-161/200,IF(161=posS_sn,tstS_sn,1-(161-1)/200))</f>
        <v/>
      </c>
      <c r="D592" s="59">
        <f>IF($C592&gt;=1,sn_h,3/7*sn_h+4/7*sn_h/MAX($C592,1E-12))</f>
        <v/>
      </c>
      <c r="E592" s="57">
        <f>(fcd_sn*sn_b*sn_h*(3/7+4/7*(1-$C592^2/3))+SUMPRODUCT($J$5:$K$5,$J592:$K592))/1000</f>
        <v/>
      </c>
      <c r="F592" s="57">
        <f>((fcd_sn*sn_b*(3/14*sn_h*(sn_h-3/7*sn_h)+4/7*sn_h*(sn_h/2-3/7*sn_h)*(1-$C592^2/3)-16/49*sn_h^2*(1/2-$C592^2/4))+SUMPRODUCT($J$5:$K$5,$J592:$K592,$J$7:$K$7))/1E6)</f>
        <v/>
      </c>
      <c r="G592" s="57">
        <f>IF(AND(MIN($E592,$E593)&lt;=sn_N,sn_N&lt;=MAX($E592,$E593)),IF($E592=$E593,MAX($F592,$F593),$F592+(sn_N-$E592)*($F593-$F592)/($E593-$E592)),"")</f>
        <v/>
      </c>
      <c r="H592" s="57">
        <f>IF(AND(MIN($E592,$E593)&lt;=sn_N,sn_N&lt;=MAX($E592,$E593)),IF($E592=$E593,MIN($F592,$F593),$F592+(sn_N-$E592)*($F593-$F592)/($E593-$E592)),"")</f>
        <v/>
      </c>
      <c r="J592">
        <f>MAX(-fyd_sn,MIN(fyd_sn,200000*0.002*(1-$C592*(7*J$6-3*sn_h)/(4*sn_h))))-fcd_sn*(1-MIN(1,MAX(0,$C592*(7*J$6-3*sn_h)/(4*sn_h)))^2)</f>
        <v/>
      </c>
      <c r="K592">
        <f>MAX(-fyd_sn,MIN(fyd_sn,200000*0.002*(1-$C592*(7*K$6-3*sn_h)/(4*sn_h))))-fcd_sn*(1-MIN(1,MAX(0,$C592*(7*K$6-3*sn_h)/(4*sn_h)))^2)</f>
        <v/>
      </c>
    </row>
    <row r="593">
      <c r="B593" s="55" t="n">
        <v>162</v>
      </c>
      <c r="C593" s="56">
        <f>IF(162&lt;posS_sn,1-162/200,IF(162=posS_sn,tstS_sn,1-(162-1)/200))</f>
        <v/>
      </c>
      <c r="D593" s="59">
        <f>IF($C593&gt;=1,sn_h,3/7*sn_h+4/7*sn_h/MAX($C593,1E-12))</f>
        <v/>
      </c>
      <c r="E593" s="57">
        <f>(fcd_sn*sn_b*sn_h*(3/7+4/7*(1-$C593^2/3))+SUMPRODUCT($J$5:$K$5,$J593:$K593))/1000</f>
        <v/>
      </c>
      <c r="F593" s="57">
        <f>((fcd_sn*sn_b*(3/14*sn_h*(sn_h-3/7*sn_h)+4/7*sn_h*(sn_h/2-3/7*sn_h)*(1-$C593^2/3)-16/49*sn_h^2*(1/2-$C593^2/4))+SUMPRODUCT($J$5:$K$5,$J593:$K593,$J$7:$K$7))/1E6)</f>
        <v/>
      </c>
      <c r="G593" s="57">
        <f>IF(AND(MIN($E593,$E594)&lt;=sn_N,sn_N&lt;=MAX($E593,$E594)),IF($E593=$E594,MAX($F593,$F594),$F593+(sn_N-$E593)*($F594-$F593)/($E594-$E593)),"")</f>
        <v/>
      </c>
      <c r="H593" s="57">
        <f>IF(AND(MIN($E593,$E594)&lt;=sn_N,sn_N&lt;=MAX($E593,$E594)),IF($E593=$E594,MIN($F593,$F594),$F593+(sn_N-$E593)*($F594-$F593)/($E594-$E593)),"")</f>
        <v/>
      </c>
      <c r="J593">
        <f>MAX(-fyd_sn,MIN(fyd_sn,200000*0.002*(1-$C593*(7*J$6-3*sn_h)/(4*sn_h))))-fcd_sn*(1-MIN(1,MAX(0,$C593*(7*J$6-3*sn_h)/(4*sn_h)))^2)</f>
        <v/>
      </c>
      <c r="K593">
        <f>MAX(-fyd_sn,MIN(fyd_sn,200000*0.002*(1-$C593*(7*K$6-3*sn_h)/(4*sn_h))))-fcd_sn*(1-MIN(1,MAX(0,$C593*(7*K$6-3*sn_h)/(4*sn_h)))^2)</f>
        <v/>
      </c>
    </row>
    <row r="594">
      <c r="B594" s="55" t="n">
        <v>163</v>
      </c>
      <c r="C594" s="56">
        <f>IF(163&lt;posS_sn,1-163/200,IF(163=posS_sn,tstS_sn,1-(163-1)/200))</f>
        <v/>
      </c>
      <c r="D594" s="59">
        <f>IF($C594&gt;=1,sn_h,3/7*sn_h+4/7*sn_h/MAX($C594,1E-12))</f>
        <v/>
      </c>
      <c r="E594" s="57">
        <f>(fcd_sn*sn_b*sn_h*(3/7+4/7*(1-$C594^2/3))+SUMPRODUCT($J$5:$K$5,$J594:$K594))/1000</f>
        <v/>
      </c>
      <c r="F594" s="57">
        <f>((fcd_sn*sn_b*(3/14*sn_h*(sn_h-3/7*sn_h)+4/7*sn_h*(sn_h/2-3/7*sn_h)*(1-$C594^2/3)-16/49*sn_h^2*(1/2-$C594^2/4))+SUMPRODUCT($J$5:$K$5,$J594:$K594,$J$7:$K$7))/1E6)</f>
        <v/>
      </c>
      <c r="G594" s="57">
        <f>IF(AND(MIN($E594,$E595)&lt;=sn_N,sn_N&lt;=MAX($E594,$E595)),IF($E594=$E595,MAX($F594,$F595),$F594+(sn_N-$E594)*($F595-$F594)/($E595-$E594)),"")</f>
        <v/>
      </c>
      <c r="H594" s="57">
        <f>IF(AND(MIN($E594,$E595)&lt;=sn_N,sn_N&lt;=MAX($E594,$E595)),IF($E594=$E595,MIN($F594,$F595),$F594+(sn_N-$E594)*($F595-$F594)/($E595-$E594)),"")</f>
        <v/>
      </c>
      <c r="J594">
        <f>MAX(-fyd_sn,MIN(fyd_sn,200000*0.002*(1-$C594*(7*J$6-3*sn_h)/(4*sn_h))))-fcd_sn*(1-MIN(1,MAX(0,$C594*(7*J$6-3*sn_h)/(4*sn_h)))^2)</f>
        <v/>
      </c>
      <c r="K594">
        <f>MAX(-fyd_sn,MIN(fyd_sn,200000*0.002*(1-$C594*(7*K$6-3*sn_h)/(4*sn_h))))-fcd_sn*(1-MIN(1,MAX(0,$C594*(7*K$6-3*sn_h)/(4*sn_h)))^2)</f>
        <v/>
      </c>
    </row>
    <row r="595">
      <c r="B595" s="55" t="n">
        <v>164</v>
      </c>
      <c r="C595" s="56">
        <f>IF(164&lt;posS_sn,1-164/200,IF(164=posS_sn,tstS_sn,1-(164-1)/200))</f>
        <v/>
      </c>
      <c r="D595" s="59">
        <f>IF($C595&gt;=1,sn_h,3/7*sn_h+4/7*sn_h/MAX($C595,1E-12))</f>
        <v/>
      </c>
      <c r="E595" s="57">
        <f>(fcd_sn*sn_b*sn_h*(3/7+4/7*(1-$C595^2/3))+SUMPRODUCT($J$5:$K$5,$J595:$K595))/1000</f>
        <v/>
      </c>
      <c r="F595" s="57">
        <f>((fcd_sn*sn_b*(3/14*sn_h*(sn_h-3/7*sn_h)+4/7*sn_h*(sn_h/2-3/7*sn_h)*(1-$C595^2/3)-16/49*sn_h^2*(1/2-$C595^2/4))+SUMPRODUCT($J$5:$K$5,$J595:$K595,$J$7:$K$7))/1E6)</f>
        <v/>
      </c>
      <c r="G595" s="57">
        <f>IF(AND(MIN($E595,$E596)&lt;=sn_N,sn_N&lt;=MAX($E595,$E596)),IF($E595=$E596,MAX($F595,$F596),$F595+(sn_N-$E595)*($F596-$F595)/($E596-$E595)),"")</f>
        <v/>
      </c>
      <c r="H595" s="57">
        <f>IF(AND(MIN($E595,$E596)&lt;=sn_N,sn_N&lt;=MAX($E595,$E596)),IF($E595=$E596,MIN($F595,$F596),$F595+(sn_N-$E595)*($F596-$F595)/($E596-$E595)),"")</f>
        <v/>
      </c>
      <c r="J595">
        <f>MAX(-fyd_sn,MIN(fyd_sn,200000*0.002*(1-$C595*(7*J$6-3*sn_h)/(4*sn_h))))-fcd_sn*(1-MIN(1,MAX(0,$C595*(7*J$6-3*sn_h)/(4*sn_h)))^2)</f>
        <v/>
      </c>
      <c r="K595">
        <f>MAX(-fyd_sn,MIN(fyd_sn,200000*0.002*(1-$C595*(7*K$6-3*sn_h)/(4*sn_h))))-fcd_sn*(1-MIN(1,MAX(0,$C595*(7*K$6-3*sn_h)/(4*sn_h)))^2)</f>
        <v/>
      </c>
    </row>
    <row r="596">
      <c r="B596" s="55" t="n">
        <v>165</v>
      </c>
      <c r="C596" s="56">
        <f>IF(165&lt;posS_sn,1-165/200,IF(165=posS_sn,tstS_sn,1-(165-1)/200))</f>
        <v/>
      </c>
      <c r="D596" s="59">
        <f>IF($C596&gt;=1,sn_h,3/7*sn_h+4/7*sn_h/MAX($C596,1E-12))</f>
        <v/>
      </c>
      <c r="E596" s="57">
        <f>(fcd_sn*sn_b*sn_h*(3/7+4/7*(1-$C596^2/3))+SUMPRODUCT($J$5:$K$5,$J596:$K596))/1000</f>
        <v/>
      </c>
      <c r="F596" s="57">
        <f>((fcd_sn*sn_b*(3/14*sn_h*(sn_h-3/7*sn_h)+4/7*sn_h*(sn_h/2-3/7*sn_h)*(1-$C596^2/3)-16/49*sn_h^2*(1/2-$C596^2/4))+SUMPRODUCT($J$5:$K$5,$J596:$K596,$J$7:$K$7))/1E6)</f>
        <v/>
      </c>
      <c r="G596" s="57">
        <f>IF(AND(MIN($E596,$E597)&lt;=sn_N,sn_N&lt;=MAX($E596,$E597)),IF($E596=$E597,MAX($F596,$F597),$F596+(sn_N-$E596)*($F597-$F596)/($E597-$E596)),"")</f>
        <v/>
      </c>
      <c r="H596" s="57">
        <f>IF(AND(MIN($E596,$E597)&lt;=sn_N,sn_N&lt;=MAX($E596,$E597)),IF($E596=$E597,MIN($F596,$F597),$F596+(sn_N-$E596)*($F597-$F596)/($E597-$E596)),"")</f>
        <v/>
      </c>
      <c r="J596">
        <f>MAX(-fyd_sn,MIN(fyd_sn,200000*0.002*(1-$C596*(7*J$6-3*sn_h)/(4*sn_h))))-fcd_sn*(1-MIN(1,MAX(0,$C596*(7*J$6-3*sn_h)/(4*sn_h)))^2)</f>
        <v/>
      </c>
      <c r="K596">
        <f>MAX(-fyd_sn,MIN(fyd_sn,200000*0.002*(1-$C596*(7*K$6-3*sn_h)/(4*sn_h))))-fcd_sn*(1-MIN(1,MAX(0,$C596*(7*K$6-3*sn_h)/(4*sn_h)))^2)</f>
        <v/>
      </c>
    </row>
    <row r="597">
      <c r="B597" s="55" t="n">
        <v>166</v>
      </c>
      <c r="C597" s="56">
        <f>IF(166&lt;posS_sn,1-166/200,IF(166=posS_sn,tstS_sn,1-(166-1)/200))</f>
        <v/>
      </c>
      <c r="D597" s="59">
        <f>IF($C597&gt;=1,sn_h,3/7*sn_h+4/7*sn_h/MAX($C597,1E-12))</f>
        <v/>
      </c>
      <c r="E597" s="57">
        <f>(fcd_sn*sn_b*sn_h*(3/7+4/7*(1-$C597^2/3))+SUMPRODUCT($J$5:$K$5,$J597:$K597))/1000</f>
        <v/>
      </c>
      <c r="F597" s="57">
        <f>((fcd_sn*sn_b*(3/14*sn_h*(sn_h-3/7*sn_h)+4/7*sn_h*(sn_h/2-3/7*sn_h)*(1-$C597^2/3)-16/49*sn_h^2*(1/2-$C597^2/4))+SUMPRODUCT($J$5:$K$5,$J597:$K597,$J$7:$K$7))/1E6)</f>
        <v/>
      </c>
      <c r="G597" s="57">
        <f>IF(AND(MIN($E597,$E598)&lt;=sn_N,sn_N&lt;=MAX($E597,$E598)),IF($E597=$E598,MAX($F597,$F598),$F597+(sn_N-$E597)*($F598-$F597)/($E598-$E597)),"")</f>
        <v/>
      </c>
      <c r="H597" s="57">
        <f>IF(AND(MIN($E597,$E598)&lt;=sn_N,sn_N&lt;=MAX($E597,$E598)),IF($E597=$E598,MIN($F597,$F598),$F597+(sn_N-$E597)*($F598-$F597)/($E598-$E597)),"")</f>
        <v/>
      </c>
      <c r="J597">
        <f>MAX(-fyd_sn,MIN(fyd_sn,200000*0.002*(1-$C597*(7*J$6-3*sn_h)/(4*sn_h))))-fcd_sn*(1-MIN(1,MAX(0,$C597*(7*J$6-3*sn_h)/(4*sn_h)))^2)</f>
        <v/>
      </c>
      <c r="K597">
        <f>MAX(-fyd_sn,MIN(fyd_sn,200000*0.002*(1-$C597*(7*K$6-3*sn_h)/(4*sn_h))))-fcd_sn*(1-MIN(1,MAX(0,$C597*(7*K$6-3*sn_h)/(4*sn_h)))^2)</f>
        <v/>
      </c>
    </row>
    <row r="598">
      <c r="B598" s="55" t="n">
        <v>167</v>
      </c>
      <c r="C598" s="56">
        <f>IF(167&lt;posS_sn,1-167/200,IF(167=posS_sn,tstS_sn,1-(167-1)/200))</f>
        <v/>
      </c>
      <c r="D598" s="59">
        <f>IF($C598&gt;=1,sn_h,3/7*sn_h+4/7*sn_h/MAX($C598,1E-12))</f>
        <v/>
      </c>
      <c r="E598" s="57">
        <f>(fcd_sn*sn_b*sn_h*(3/7+4/7*(1-$C598^2/3))+SUMPRODUCT($J$5:$K$5,$J598:$K598))/1000</f>
        <v/>
      </c>
      <c r="F598" s="57">
        <f>((fcd_sn*sn_b*(3/14*sn_h*(sn_h-3/7*sn_h)+4/7*sn_h*(sn_h/2-3/7*sn_h)*(1-$C598^2/3)-16/49*sn_h^2*(1/2-$C598^2/4))+SUMPRODUCT($J$5:$K$5,$J598:$K598,$J$7:$K$7))/1E6)</f>
        <v/>
      </c>
      <c r="G598" s="57">
        <f>IF(AND(MIN($E598,$E599)&lt;=sn_N,sn_N&lt;=MAX($E598,$E599)),IF($E598=$E599,MAX($F598,$F599),$F598+(sn_N-$E598)*($F599-$F598)/($E599-$E598)),"")</f>
        <v/>
      </c>
      <c r="H598" s="57">
        <f>IF(AND(MIN($E598,$E599)&lt;=sn_N,sn_N&lt;=MAX($E598,$E599)),IF($E598=$E599,MIN($F598,$F599),$F598+(sn_N-$E598)*($F599-$F598)/($E599-$E598)),"")</f>
        <v/>
      </c>
      <c r="J598">
        <f>MAX(-fyd_sn,MIN(fyd_sn,200000*0.002*(1-$C598*(7*J$6-3*sn_h)/(4*sn_h))))-fcd_sn*(1-MIN(1,MAX(0,$C598*(7*J$6-3*sn_h)/(4*sn_h)))^2)</f>
        <v/>
      </c>
      <c r="K598">
        <f>MAX(-fyd_sn,MIN(fyd_sn,200000*0.002*(1-$C598*(7*K$6-3*sn_h)/(4*sn_h))))-fcd_sn*(1-MIN(1,MAX(0,$C598*(7*K$6-3*sn_h)/(4*sn_h)))^2)</f>
        <v/>
      </c>
    </row>
    <row r="599">
      <c r="B599" s="55" t="n">
        <v>168</v>
      </c>
      <c r="C599" s="56">
        <f>IF(168&lt;posS_sn,1-168/200,IF(168=posS_sn,tstS_sn,1-(168-1)/200))</f>
        <v/>
      </c>
      <c r="D599" s="59">
        <f>IF($C599&gt;=1,sn_h,3/7*sn_h+4/7*sn_h/MAX($C599,1E-12))</f>
        <v/>
      </c>
      <c r="E599" s="57">
        <f>(fcd_sn*sn_b*sn_h*(3/7+4/7*(1-$C599^2/3))+SUMPRODUCT($J$5:$K$5,$J599:$K599))/1000</f>
        <v/>
      </c>
      <c r="F599" s="57">
        <f>((fcd_sn*sn_b*(3/14*sn_h*(sn_h-3/7*sn_h)+4/7*sn_h*(sn_h/2-3/7*sn_h)*(1-$C599^2/3)-16/49*sn_h^2*(1/2-$C599^2/4))+SUMPRODUCT($J$5:$K$5,$J599:$K599,$J$7:$K$7))/1E6)</f>
        <v/>
      </c>
      <c r="G599" s="57">
        <f>IF(AND(MIN($E599,$E600)&lt;=sn_N,sn_N&lt;=MAX($E599,$E600)),IF($E599=$E600,MAX($F599,$F600),$F599+(sn_N-$E599)*($F600-$F599)/($E600-$E599)),"")</f>
        <v/>
      </c>
      <c r="H599" s="57">
        <f>IF(AND(MIN($E599,$E600)&lt;=sn_N,sn_N&lt;=MAX($E599,$E600)),IF($E599=$E600,MIN($F599,$F600),$F599+(sn_N-$E599)*($F600-$F599)/($E600-$E599)),"")</f>
        <v/>
      </c>
      <c r="J599">
        <f>MAX(-fyd_sn,MIN(fyd_sn,200000*0.002*(1-$C599*(7*J$6-3*sn_h)/(4*sn_h))))-fcd_sn*(1-MIN(1,MAX(0,$C599*(7*J$6-3*sn_h)/(4*sn_h)))^2)</f>
        <v/>
      </c>
      <c r="K599">
        <f>MAX(-fyd_sn,MIN(fyd_sn,200000*0.002*(1-$C599*(7*K$6-3*sn_h)/(4*sn_h))))-fcd_sn*(1-MIN(1,MAX(0,$C599*(7*K$6-3*sn_h)/(4*sn_h)))^2)</f>
        <v/>
      </c>
    </row>
    <row r="600">
      <c r="B600" s="55" t="n">
        <v>169</v>
      </c>
      <c r="C600" s="56">
        <f>IF(169&lt;posS_sn,1-169/200,IF(169=posS_sn,tstS_sn,1-(169-1)/200))</f>
        <v/>
      </c>
      <c r="D600" s="59">
        <f>IF($C600&gt;=1,sn_h,3/7*sn_h+4/7*sn_h/MAX($C600,1E-12))</f>
        <v/>
      </c>
      <c r="E600" s="57">
        <f>(fcd_sn*sn_b*sn_h*(3/7+4/7*(1-$C600^2/3))+SUMPRODUCT($J$5:$K$5,$J600:$K600))/1000</f>
        <v/>
      </c>
      <c r="F600" s="57">
        <f>((fcd_sn*sn_b*(3/14*sn_h*(sn_h-3/7*sn_h)+4/7*sn_h*(sn_h/2-3/7*sn_h)*(1-$C600^2/3)-16/49*sn_h^2*(1/2-$C600^2/4))+SUMPRODUCT($J$5:$K$5,$J600:$K600,$J$7:$K$7))/1E6)</f>
        <v/>
      </c>
      <c r="G600" s="57">
        <f>IF(AND(MIN($E600,$E601)&lt;=sn_N,sn_N&lt;=MAX($E600,$E601)),IF($E600=$E601,MAX($F600,$F601),$F600+(sn_N-$E600)*($F601-$F600)/($E601-$E600)),"")</f>
        <v/>
      </c>
      <c r="H600" s="57">
        <f>IF(AND(MIN($E600,$E601)&lt;=sn_N,sn_N&lt;=MAX($E600,$E601)),IF($E600=$E601,MIN($F600,$F601),$F600+(sn_N-$E600)*($F601-$F600)/($E601-$E600)),"")</f>
        <v/>
      </c>
      <c r="J600">
        <f>MAX(-fyd_sn,MIN(fyd_sn,200000*0.002*(1-$C600*(7*J$6-3*sn_h)/(4*sn_h))))-fcd_sn*(1-MIN(1,MAX(0,$C600*(7*J$6-3*sn_h)/(4*sn_h)))^2)</f>
        <v/>
      </c>
      <c r="K600">
        <f>MAX(-fyd_sn,MIN(fyd_sn,200000*0.002*(1-$C600*(7*K$6-3*sn_h)/(4*sn_h))))-fcd_sn*(1-MIN(1,MAX(0,$C600*(7*K$6-3*sn_h)/(4*sn_h)))^2)</f>
        <v/>
      </c>
    </row>
    <row r="601">
      <c r="B601" s="55" t="n">
        <v>170</v>
      </c>
      <c r="C601" s="56">
        <f>IF(170&lt;posS_sn,1-170/200,IF(170=posS_sn,tstS_sn,1-(170-1)/200))</f>
        <v/>
      </c>
      <c r="D601" s="59">
        <f>IF($C601&gt;=1,sn_h,3/7*sn_h+4/7*sn_h/MAX($C601,1E-12))</f>
        <v/>
      </c>
      <c r="E601" s="57">
        <f>(fcd_sn*sn_b*sn_h*(3/7+4/7*(1-$C601^2/3))+SUMPRODUCT($J$5:$K$5,$J601:$K601))/1000</f>
        <v/>
      </c>
      <c r="F601" s="57">
        <f>((fcd_sn*sn_b*(3/14*sn_h*(sn_h-3/7*sn_h)+4/7*sn_h*(sn_h/2-3/7*sn_h)*(1-$C601^2/3)-16/49*sn_h^2*(1/2-$C601^2/4))+SUMPRODUCT($J$5:$K$5,$J601:$K601,$J$7:$K$7))/1E6)</f>
        <v/>
      </c>
      <c r="G601" s="57">
        <f>IF(AND(MIN($E601,$E602)&lt;=sn_N,sn_N&lt;=MAX($E601,$E602)),IF($E601=$E602,MAX($F601,$F602),$F601+(sn_N-$E601)*($F602-$F601)/($E602-$E601)),"")</f>
        <v/>
      </c>
      <c r="H601" s="57">
        <f>IF(AND(MIN($E601,$E602)&lt;=sn_N,sn_N&lt;=MAX($E601,$E602)),IF($E601=$E602,MIN($F601,$F602),$F601+(sn_N-$E601)*($F602-$F601)/($E602-$E601)),"")</f>
        <v/>
      </c>
      <c r="J601">
        <f>MAX(-fyd_sn,MIN(fyd_sn,200000*0.002*(1-$C601*(7*J$6-3*sn_h)/(4*sn_h))))-fcd_sn*(1-MIN(1,MAX(0,$C601*(7*J$6-3*sn_h)/(4*sn_h)))^2)</f>
        <v/>
      </c>
      <c r="K601">
        <f>MAX(-fyd_sn,MIN(fyd_sn,200000*0.002*(1-$C601*(7*K$6-3*sn_h)/(4*sn_h))))-fcd_sn*(1-MIN(1,MAX(0,$C601*(7*K$6-3*sn_h)/(4*sn_h)))^2)</f>
        <v/>
      </c>
    </row>
    <row r="602">
      <c r="B602" s="55" t="n">
        <v>171</v>
      </c>
      <c r="C602" s="56">
        <f>IF(171&lt;posS_sn,1-171/200,IF(171=posS_sn,tstS_sn,1-(171-1)/200))</f>
        <v/>
      </c>
      <c r="D602" s="59">
        <f>IF($C602&gt;=1,sn_h,3/7*sn_h+4/7*sn_h/MAX($C602,1E-12))</f>
        <v/>
      </c>
      <c r="E602" s="57">
        <f>(fcd_sn*sn_b*sn_h*(3/7+4/7*(1-$C602^2/3))+SUMPRODUCT($J$5:$K$5,$J602:$K602))/1000</f>
        <v/>
      </c>
      <c r="F602" s="57">
        <f>((fcd_sn*sn_b*(3/14*sn_h*(sn_h-3/7*sn_h)+4/7*sn_h*(sn_h/2-3/7*sn_h)*(1-$C602^2/3)-16/49*sn_h^2*(1/2-$C602^2/4))+SUMPRODUCT($J$5:$K$5,$J602:$K602,$J$7:$K$7))/1E6)</f>
        <v/>
      </c>
      <c r="G602" s="57">
        <f>IF(AND(MIN($E602,$E603)&lt;=sn_N,sn_N&lt;=MAX($E602,$E603)),IF($E602=$E603,MAX($F602,$F603),$F602+(sn_N-$E602)*($F603-$F602)/($E603-$E602)),"")</f>
        <v/>
      </c>
      <c r="H602" s="57">
        <f>IF(AND(MIN($E602,$E603)&lt;=sn_N,sn_N&lt;=MAX($E602,$E603)),IF($E602=$E603,MIN($F602,$F603),$F602+(sn_N-$E602)*($F603-$F602)/($E603-$E602)),"")</f>
        <v/>
      </c>
      <c r="J602">
        <f>MAX(-fyd_sn,MIN(fyd_sn,200000*0.002*(1-$C602*(7*J$6-3*sn_h)/(4*sn_h))))-fcd_sn*(1-MIN(1,MAX(0,$C602*(7*J$6-3*sn_h)/(4*sn_h)))^2)</f>
        <v/>
      </c>
      <c r="K602">
        <f>MAX(-fyd_sn,MIN(fyd_sn,200000*0.002*(1-$C602*(7*K$6-3*sn_h)/(4*sn_h))))-fcd_sn*(1-MIN(1,MAX(0,$C602*(7*K$6-3*sn_h)/(4*sn_h)))^2)</f>
        <v/>
      </c>
    </row>
    <row r="603">
      <c r="B603" s="55" t="n">
        <v>172</v>
      </c>
      <c r="C603" s="56">
        <f>IF(172&lt;posS_sn,1-172/200,IF(172=posS_sn,tstS_sn,1-(172-1)/200))</f>
        <v/>
      </c>
      <c r="D603" s="59">
        <f>IF($C603&gt;=1,sn_h,3/7*sn_h+4/7*sn_h/MAX($C603,1E-12))</f>
        <v/>
      </c>
      <c r="E603" s="57">
        <f>(fcd_sn*sn_b*sn_h*(3/7+4/7*(1-$C603^2/3))+SUMPRODUCT($J$5:$K$5,$J603:$K603))/1000</f>
        <v/>
      </c>
      <c r="F603" s="57">
        <f>((fcd_sn*sn_b*(3/14*sn_h*(sn_h-3/7*sn_h)+4/7*sn_h*(sn_h/2-3/7*sn_h)*(1-$C603^2/3)-16/49*sn_h^2*(1/2-$C603^2/4))+SUMPRODUCT($J$5:$K$5,$J603:$K603,$J$7:$K$7))/1E6)</f>
        <v/>
      </c>
      <c r="G603" s="57">
        <f>IF(AND(MIN($E603,$E604)&lt;=sn_N,sn_N&lt;=MAX($E603,$E604)),IF($E603=$E604,MAX($F603,$F604),$F603+(sn_N-$E603)*($F604-$F603)/($E604-$E603)),"")</f>
        <v/>
      </c>
      <c r="H603" s="57">
        <f>IF(AND(MIN($E603,$E604)&lt;=sn_N,sn_N&lt;=MAX($E603,$E604)),IF($E603=$E604,MIN($F603,$F604),$F603+(sn_N-$E603)*($F604-$F603)/($E604-$E603)),"")</f>
        <v/>
      </c>
      <c r="J603">
        <f>MAX(-fyd_sn,MIN(fyd_sn,200000*0.002*(1-$C603*(7*J$6-3*sn_h)/(4*sn_h))))-fcd_sn*(1-MIN(1,MAX(0,$C603*(7*J$6-3*sn_h)/(4*sn_h)))^2)</f>
        <v/>
      </c>
      <c r="K603">
        <f>MAX(-fyd_sn,MIN(fyd_sn,200000*0.002*(1-$C603*(7*K$6-3*sn_h)/(4*sn_h))))-fcd_sn*(1-MIN(1,MAX(0,$C603*(7*K$6-3*sn_h)/(4*sn_h)))^2)</f>
        <v/>
      </c>
    </row>
    <row r="604">
      <c r="B604" s="55" t="n">
        <v>173</v>
      </c>
      <c r="C604" s="56">
        <f>IF(173&lt;posS_sn,1-173/200,IF(173=posS_sn,tstS_sn,1-(173-1)/200))</f>
        <v/>
      </c>
      <c r="D604" s="59">
        <f>IF($C604&gt;=1,sn_h,3/7*sn_h+4/7*sn_h/MAX($C604,1E-12))</f>
        <v/>
      </c>
      <c r="E604" s="57">
        <f>(fcd_sn*sn_b*sn_h*(3/7+4/7*(1-$C604^2/3))+SUMPRODUCT($J$5:$K$5,$J604:$K604))/1000</f>
        <v/>
      </c>
      <c r="F604" s="57">
        <f>((fcd_sn*sn_b*(3/14*sn_h*(sn_h-3/7*sn_h)+4/7*sn_h*(sn_h/2-3/7*sn_h)*(1-$C604^2/3)-16/49*sn_h^2*(1/2-$C604^2/4))+SUMPRODUCT($J$5:$K$5,$J604:$K604,$J$7:$K$7))/1E6)</f>
        <v/>
      </c>
      <c r="G604" s="57">
        <f>IF(AND(MIN($E604,$E605)&lt;=sn_N,sn_N&lt;=MAX($E604,$E605)),IF($E604=$E605,MAX($F604,$F605),$F604+(sn_N-$E604)*($F605-$F604)/($E605-$E604)),"")</f>
        <v/>
      </c>
      <c r="H604" s="57">
        <f>IF(AND(MIN($E604,$E605)&lt;=sn_N,sn_N&lt;=MAX($E604,$E605)),IF($E604=$E605,MIN($F604,$F605),$F604+(sn_N-$E604)*($F605-$F604)/($E605-$E604)),"")</f>
        <v/>
      </c>
      <c r="J604">
        <f>MAX(-fyd_sn,MIN(fyd_sn,200000*0.002*(1-$C604*(7*J$6-3*sn_h)/(4*sn_h))))-fcd_sn*(1-MIN(1,MAX(0,$C604*(7*J$6-3*sn_h)/(4*sn_h)))^2)</f>
        <v/>
      </c>
      <c r="K604">
        <f>MAX(-fyd_sn,MIN(fyd_sn,200000*0.002*(1-$C604*(7*K$6-3*sn_h)/(4*sn_h))))-fcd_sn*(1-MIN(1,MAX(0,$C604*(7*K$6-3*sn_h)/(4*sn_h)))^2)</f>
        <v/>
      </c>
    </row>
    <row r="605">
      <c r="B605" s="55" t="n">
        <v>174</v>
      </c>
      <c r="C605" s="56">
        <f>IF(174&lt;posS_sn,1-174/200,IF(174=posS_sn,tstS_sn,1-(174-1)/200))</f>
        <v/>
      </c>
      <c r="D605" s="59">
        <f>IF($C605&gt;=1,sn_h,3/7*sn_h+4/7*sn_h/MAX($C605,1E-12))</f>
        <v/>
      </c>
      <c r="E605" s="57">
        <f>(fcd_sn*sn_b*sn_h*(3/7+4/7*(1-$C605^2/3))+SUMPRODUCT($J$5:$K$5,$J605:$K605))/1000</f>
        <v/>
      </c>
      <c r="F605" s="57">
        <f>((fcd_sn*sn_b*(3/14*sn_h*(sn_h-3/7*sn_h)+4/7*sn_h*(sn_h/2-3/7*sn_h)*(1-$C605^2/3)-16/49*sn_h^2*(1/2-$C605^2/4))+SUMPRODUCT($J$5:$K$5,$J605:$K605,$J$7:$K$7))/1E6)</f>
        <v/>
      </c>
      <c r="G605" s="57">
        <f>IF(AND(MIN($E605,$E606)&lt;=sn_N,sn_N&lt;=MAX($E605,$E606)),IF($E605=$E606,MAX($F605,$F606),$F605+(sn_N-$E605)*($F606-$F605)/($E606-$E605)),"")</f>
        <v/>
      </c>
      <c r="H605" s="57">
        <f>IF(AND(MIN($E605,$E606)&lt;=sn_N,sn_N&lt;=MAX($E605,$E606)),IF($E605=$E606,MIN($F605,$F606),$F605+(sn_N-$E605)*($F606-$F605)/($E606-$E605)),"")</f>
        <v/>
      </c>
      <c r="J605">
        <f>MAX(-fyd_sn,MIN(fyd_sn,200000*0.002*(1-$C605*(7*J$6-3*sn_h)/(4*sn_h))))-fcd_sn*(1-MIN(1,MAX(0,$C605*(7*J$6-3*sn_h)/(4*sn_h)))^2)</f>
        <v/>
      </c>
      <c r="K605">
        <f>MAX(-fyd_sn,MIN(fyd_sn,200000*0.002*(1-$C605*(7*K$6-3*sn_h)/(4*sn_h))))-fcd_sn*(1-MIN(1,MAX(0,$C605*(7*K$6-3*sn_h)/(4*sn_h)))^2)</f>
        <v/>
      </c>
    </row>
    <row r="606">
      <c r="B606" s="55" t="n">
        <v>175</v>
      </c>
      <c r="C606" s="56">
        <f>IF(175&lt;posS_sn,1-175/200,IF(175=posS_sn,tstS_sn,1-(175-1)/200))</f>
        <v/>
      </c>
      <c r="D606" s="59">
        <f>IF($C606&gt;=1,sn_h,3/7*sn_h+4/7*sn_h/MAX($C606,1E-12))</f>
        <v/>
      </c>
      <c r="E606" s="57">
        <f>(fcd_sn*sn_b*sn_h*(3/7+4/7*(1-$C606^2/3))+SUMPRODUCT($J$5:$K$5,$J606:$K606))/1000</f>
        <v/>
      </c>
      <c r="F606" s="57">
        <f>((fcd_sn*sn_b*(3/14*sn_h*(sn_h-3/7*sn_h)+4/7*sn_h*(sn_h/2-3/7*sn_h)*(1-$C606^2/3)-16/49*sn_h^2*(1/2-$C606^2/4))+SUMPRODUCT($J$5:$K$5,$J606:$K606,$J$7:$K$7))/1E6)</f>
        <v/>
      </c>
      <c r="G606" s="57">
        <f>IF(AND(MIN($E606,$E607)&lt;=sn_N,sn_N&lt;=MAX($E606,$E607)),IF($E606=$E607,MAX($F606,$F607),$F606+(sn_N-$E606)*($F607-$F606)/($E607-$E606)),"")</f>
        <v/>
      </c>
      <c r="H606" s="57">
        <f>IF(AND(MIN($E606,$E607)&lt;=sn_N,sn_N&lt;=MAX($E606,$E607)),IF($E606=$E607,MIN($F606,$F607),$F606+(sn_N-$E606)*($F607-$F606)/($E607-$E606)),"")</f>
        <v/>
      </c>
      <c r="J606">
        <f>MAX(-fyd_sn,MIN(fyd_sn,200000*0.002*(1-$C606*(7*J$6-3*sn_h)/(4*sn_h))))-fcd_sn*(1-MIN(1,MAX(0,$C606*(7*J$6-3*sn_h)/(4*sn_h)))^2)</f>
        <v/>
      </c>
      <c r="K606">
        <f>MAX(-fyd_sn,MIN(fyd_sn,200000*0.002*(1-$C606*(7*K$6-3*sn_h)/(4*sn_h))))-fcd_sn*(1-MIN(1,MAX(0,$C606*(7*K$6-3*sn_h)/(4*sn_h)))^2)</f>
        <v/>
      </c>
    </row>
    <row r="607">
      <c r="B607" s="55" t="n">
        <v>176</v>
      </c>
      <c r="C607" s="56">
        <f>IF(176&lt;posS_sn,1-176/200,IF(176=posS_sn,tstS_sn,1-(176-1)/200))</f>
        <v/>
      </c>
      <c r="D607" s="59">
        <f>IF($C607&gt;=1,sn_h,3/7*sn_h+4/7*sn_h/MAX($C607,1E-12))</f>
        <v/>
      </c>
      <c r="E607" s="57">
        <f>(fcd_sn*sn_b*sn_h*(3/7+4/7*(1-$C607^2/3))+SUMPRODUCT($J$5:$K$5,$J607:$K607))/1000</f>
        <v/>
      </c>
      <c r="F607" s="57">
        <f>((fcd_sn*sn_b*(3/14*sn_h*(sn_h-3/7*sn_h)+4/7*sn_h*(sn_h/2-3/7*sn_h)*(1-$C607^2/3)-16/49*sn_h^2*(1/2-$C607^2/4))+SUMPRODUCT($J$5:$K$5,$J607:$K607,$J$7:$K$7))/1E6)</f>
        <v/>
      </c>
      <c r="G607" s="57">
        <f>IF(AND(MIN($E607,$E608)&lt;=sn_N,sn_N&lt;=MAX($E607,$E608)),IF($E607=$E608,MAX($F607,$F608),$F607+(sn_N-$E607)*($F608-$F607)/($E608-$E607)),"")</f>
        <v/>
      </c>
      <c r="H607" s="57">
        <f>IF(AND(MIN($E607,$E608)&lt;=sn_N,sn_N&lt;=MAX($E607,$E608)),IF($E607=$E608,MIN($F607,$F608),$F607+(sn_N-$E607)*($F608-$F607)/($E608-$E607)),"")</f>
        <v/>
      </c>
      <c r="J607">
        <f>MAX(-fyd_sn,MIN(fyd_sn,200000*0.002*(1-$C607*(7*J$6-3*sn_h)/(4*sn_h))))-fcd_sn*(1-MIN(1,MAX(0,$C607*(7*J$6-3*sn_h)/(4*sn_h)))^2)</f>
        <v/>
      </c>
      <c r="K607">
        <f>MAX(-fyd_sn,MIN(fyd_sn,200000*0.002*(1-$C607*(7*K$6-3*sn_h)/(4*sn_h))))-fcd_sn*(1-MIN(1,MAX(0,$C607*(7*K$6-3*sn_h)/(4*sn_h)))^2)</f>
        <v/>
      </c>
    </row>
    <row r="608">
      <c r="B608" s="55" t="n">
        <v>177</v>
      </c>
      <c r="C608" s="56">
        <f>IF(177&lt;posS_sn,1-177/200,IF(177=posS_sn,tstS_sn,1-(177-1)/200))</f>
        <v/>
      </c>
      <c r="D608" s="59">
        <f>IF($C608&gt;=1,sn_h,3/7*sn_h+4/7*sn_h/MAX($C608,1E-12))</f>
        <v/>
      </c>
      <c r="E608" s="57">
        <f>(fcd_sn*sn_b*sn_h*(3/7+4/7*(1-$C608^2/3))+SUMPRODUCT($J$5:$K$5,$J608:$K608))/1000</f>
        <v/>
      </c>
      <c r="F608" s="57">
        <f>((fcd_sn*sn_b*(3/14*sn_h*(sn_h-3/7*sn_h)+4/7*sn_h*(sn_h/2-3/7*sn_h)*(1-$C608^2/3)-16/49*sn_h^2*(1/2-$C608^2/4))+SUMPRODUCT($J$5:$K$5,$J608:$K608,$J$7:$K$7))/1E6)</f>
        <v/>
      </c>
      <c r="G608" s="57">
        <f>IF(AND(MIN($E608,$E609)&lt;=sn_N,sn_N&lt;=MAX($E608,$E609)),IF($E608=$E609,MAX($F608,$F609),$F608+(sn_N-$E608)*($F609-$F608)/($E609-$E608)),"")</f>
        <v/>
      </c>
      <c r="H608" s="57">
        <f>IF(AND(MIN($E608,$E609)&lt;=sn_N,sn_N&lt;=MAX($E608,$E609)),IF($E608=$E609,MIN($F608,$F609),$F608+(sn_N-$E608)*($F609-$F608)/($E609-$E608)),"")</f>
        <v/>
      </c>
      <c r="J608">
        <f>MAX(-fyd_sn,MIN(fyd_sn,200000*0.002*(1-$C608*(7*J$6-3*sn_h)/(4*sn_h))))-fcd_sn*(1-MIN(1,MAX(0,$C608*(7*J$6-3*sn_h)/(4*sn_h)))^2)</f>
        <v/>
      </c>
      <c r="K608">
        <f>MAX(-fyd_sn,MIN(fyd_sn,200000*0.002*(1-$C608*(7*K$6-3*sn_h)/(4*sn_h))))-fcd_sn*(1-MIN(1,MAX(0,$C608*(7*K$6-3*sn_h)/(4*sn_h)))^2)</f>
        <v/>
      </c>
    </row>
    <row r="609">
      <c r="B609" s="55" t="n">
        <v>178</v>
      </c>
      <c r="C609" s="56">
        <f>IF(178&lt;posS_sn,1-178/200,IF(178=posS_sn,tstS_sn,1-(178-1)/200))</f>
        <v/>
      </c>
      <c r="D609" s="59">
        <f>IF($C609&gt;=1,sn_h,3/7*sn_h+4/7*sn_h/MAX($C609,1E-12))</f>
        <v/>
      </c>
      <c r="E609" s="57">
        <f>(fcd_sn*sn_b*sn_h*(3/7+4/7*(1-$C609^2/3))+SUMPRODUCT($J$5:$K$5,$J609:$K609))/1000</f>
        <v/>
      </c>
      <c r="F609" s="57">
        <f>((fcd_sn*sn_b*(3/14*sn_h*(sn_h-3/7*sn_h)+4/7*sn_h*(sn_h/2-3/7*sn_h)*(1-$C609^2/3)-16/49*sn_h^2*(1/2-$C609^2/4))+SUMPRODUCT($J$5:$K$5,$J609:$K609,$J$7:$K$7))/1E6)</f>
        <v/>
      </c>
      <c r="G609" s="57">
        <f>IF(AND(MIN($E609,$E610)&lt;=sn_N,sn_N&lt;=MAX($E609,$E610)),IF($E609=$E610,MAX($F609,$F610),$F609+(sn_N-$E609)*($F610-$F609)/($E610-$E609)),"")</f>
        <v/>
      </c>
      <c r="H609" s="57">
        <f>IF(AND(MIN($E609,$E610)&lt;=sn_N,sn_N&lt;=MAX($E609,$E610)),IF($E609=$E610,MIN($F609,$F610),$F609+(sn_N-$E609)*($F610-$F609)/($E610-$E609)),"")</f>
        <v/>
      </c>
      <c r="J609">
        <f>MAX(-fyd_sn,MIN(fyd_sn,200000*0.002*(1-$C609*(7*J$6-3*sn_h)/(4*sn_h))))-fcd_sn*(1-MIN(1,MAX(0,$C609*(7*J$6-3*sn_h)/(4*sn_h)))^2)</f>
        <v/>
      </c>
      <c r="K609">
        <f>MAX(-fyd_sn,MIN(fyd_sn,200000*0.002*(1-$C609*(7*K$6-3*sn_h)/(4*sn_h))))-fcd_sn*(1-MIN(1,MAX(0,$C609*(7*K$6-3*sn_h)/(4*sn_h)))^2)</f>
        <v/>
      </c>
    </row>
    <row r="610">
      <c r="B610" s="55" t="n">
        <v>179</v>
      </c>
      <c r="C610" s="56">
        <f>IF(179&lt;posS_sn,1-179/200,IF(179=posS_sn,tstS_sn,1-(179-1)/200))</f>
        <v/>
      </c>
      <c r="D610" s="59">
        <f>IF($C610&gt;=1,sn_h,3/7*sn_h+4/7*sn_h/MAX($C610,1E-12))</f>
        <v/>
      </c>
      <c r="E610" s="57">
        <f>(fcd_sn*sn_b*sn_h*(3/7+4/7*(1-$C610^2/3))+SUMPRODUCT($J$5:$K$5,$J610:$K610))/1000</f>
        <v/>
      </c>
      <c r="F610" s="57">
        <f>((fcd_sn*sn_b*(3/14*sn_h*(sn_h-3/7*sn_h)+4/7*sn_h*(sn_h/2-3/7*sn_h)*(1-$C610^2/3)-16/49*sn_h^2*(1/2-$C610^2/4))+SUMPRODUCT($J$5:$K$5,$J610:$K610,$J$7:$K$7))/1E6)</f>
        <v/>
      </c>
      <c r="G610" s="57">
        <f>IF(AND(MIN($E610,$E611)&lt;=sn_N,sn_N&lt;=MAX($E610,$E611)),IF($E610=$E611,MAX($F610,$F611),$F610+(sn_N-$E610)*($F611-$F610)/($E611-$E610)),"")</f>
        <v/>
      </c>
      <c r="H610" s="57">
        <f>IF(AND(MIN($E610,$E611)&lt;=sn_N,sn_N&lt;=MAX($E610,$E611)),IF($E610=$E611,MIN($F610,$F611),$F610+(sn_N-$E610)*($F611-$F610)/($E611-$E610)),"")</f>
        <v/>
      </c>
      <c r="J610">
        <f>MAX(-fyd_sn,MIN(fyd_sn,200000*0.002*(1-$C610*(7*J$6-3*sn_h)/(4*sn_h))))-fcd_sn*(1-MIN(1,MAX(0,$C610*(7*J$6-3*sn_h)/(4*sn_h)))^2)</f>
        <v/>
      </c>
      <c r="K610">
        <f>MAX(-fyd_sn,MIN(fyd_sn,200000*0.002*(1-$C610*(7*K$6-3*sn_h)/(4*sn_h))))-fcd_sn*(1-MIN(1,MAX(0,$C610*(7*K$6-3*sn_h)/(4*sn_h)))^2)</f>
        <v/>
      </c>
    </row>
    <row r="611">
      <c r="B611" s="55" t="n">
        <v>180</v>
      </c>
      <c r="C611" s="56">
        <f>IF(180&lt;posS_sn,1-180/200,IF(180=posS_sn,tstS_sn,1-(180-1)/200))</f>
        <v/>
      </c>
      <c r="D611" s="59">
        <f>IF($C611&gt;=1,sn_h,3/7*sn_h+4/7*sn_h/MAX($C611,1E-12))</f>
        <v/>
      </c>
      <c r="E611" s="57">
        <f>(fcd_sn*sn_b*sn_h*(3/7+4/7*(1-$C611^2/3))+SUMPRODUCT($J$5:$K$5,$J611:$K611))/1000</f>
        <v/>
      </c>
      <c r="F611" s="57">
        <f>((fcd_sn*sn_b*(3/14*sn_h*(sn_h-3/7*sn_h)+4/7*sn_h*(sn_h/2-3/7*sn_h)*(1-$C611^2/3)-16/49*sn_h^2*(1/2-$C611^2/4))+SUMPRODUCT($J$5:$K$5,$J611:$K611,$J$7:$K$7))/1E6)</f>
        <v/>
      </c>
      <c r="G611" s="57">
        <f>IF(AND(MIN($E611,$E612)&lt;=sn_N,sn_N&lt;=MAX($E611,$E612)),IF($E611=$E612,MAX($F611,$F612),$F611+(sn_N-$E611)*($F612-$F611)/($E612-$E611)),"")</f>
        <v/>
      </c>
      <c r="H611" s="57">
        <f>IF(AND(MIN($E611,$E612)&lt;=sn_N,sn_N&lt;=MAX($E611,$E612)),IF($E611=$E612,MIN($F611,$F612),$F611+(sn_N-$E611)*($F612-$F611)/($E612-$E611)),"")</f>
        <v/>
      </c>
      <c r="J611">
        <f>MAX(-fyd_sn,MIN(fyd_sn,200000*0.002*(1-$C611*(7*J$6-3*sn_h)/(4*sn_h))))-fcd_sn*(1-MIN(1,MAX(0,$C611*(7*J$6-3*sn_h)/(4*sn_h)))^2)</f>
        <v/>
      </c>
      <c r="K611">
        <f>MAX(-fyd_sn,MIN(fyd_sn,200000*0.002*(1-$C611*(7*K$6-3*sn_h)/(4*sn_h))))-fcd_sn*(1-MIN(1,MAX(0,$C611*(7*K$6-3*sn_h)/(4*sn_h)))^2)</f>
        <v/>
      </c>
    </row>
    <row r="612">
      <c r="B612" s="55" t="n">
        <v>181</v>
      </c>
      <c r="C612" s="56">
        <f>IF(181&lt;posS_sn,1-181/200,IF(181=posS_sn,tstS_sn,1-(181-1)/200))</f>
        <v/>
      </c>
      <c r="D612" s="59">
        <f>IF($C612&gt;=1,sn_h,3/7*sn_h+4/7*sn_h/MAX($C612,1E-12))</f>
        <v/>
      </c>
      <c r="E612" s="57">
        <f>(fcd_sn*sn_b*sn_h*(3/7+4/7*(1-$C612^2/3))+SUMPRODUCT($J$5:$K$5,$J612:$K612))/1000</f>
        <v/>
      </c>
      <c r="F612" s="57">
        <f>((fcd_sn*sn_b*(3/14*sn_h*(sn_h-3/7*sn_h)+4/7*sn_h*(sn_h/2-3/7*sn_h)*(1-$C612^2/3)-16/49*sn_h^2*(1/2-$C612^2/4))+SUMPRODUCT($J$5:$K$5,$J612:$K612,$J$7:$K$7))/1E6)</f>
        <v/>
      </c>
      <c r="G612" s="57">
        <f>IF(AND(MIN($E612,$E613)&lt;=sn_N,sn_N&lt;=MAX($E612,$E613)),IF($E612=$E613,MAX($F612,$F613),$F612+(sn_N-$E612)*($F613-$F612)/($E613-$E612)),"")</f>
        <v/>
      </c>
      <c r="H612" s="57">
        <f>IF(AND(MIN($E612,$E613)&lt;=sn_N,sn_N&lt;=MAX($E612,$E613)),IF($E612=$E613,MIN($F612,$F613),$F612+(sn_N-$E612)*($F613-$F612)/($E613-$E612)),"")</f>
        <v/>
      </c>
      <c r="J612">
        <f>MAX(-fyd_sn,MIN(fyd_sn,200000*0.002*(1-$C612*(7*J$6-3*sn_h)/(4*sn_h))))-fcd_sn*(1-MIN(1,MAX(0,$C612*(7*J$6-3*sn_h)/(4*sn_h)))^2)</f>
        <v/>
      </c>
      <c r="K612">
        <f>MAX(-fyd_sn,MIN(fyd_sn,200000*0.002*(1-$C612*(7*K$6-3*sn_h)/(4*sn_h))))-fcd_sn*(1-MIN(1,MAX(0,$C612*(7*K$6-3*sn_h)/(4*sn_h)))^2)</f>
        <v/>
      </c>
    </row>
    <row r="613">
      <c r="B613" s="55" t="n">
        <v>182</v>
      </c>
      <c r="C613" s="56">
        <f>IF(182&lt;posS_sn,1-182/200,IF(182=posS_sn,tstS_sn,1-(182-1)/200))</f>
        <v/>
      </c>
      <c r="D613" s="59">
        <f>IF($C613&gt;=1,sn_h,3/7*sn_h+4/7*sn_h/MAX($C613,1E-12))</f>
        <v/>
      </c>
      <c r="E613" s="57">
        <f>(fcd_sn*sn_b*sn_h*(3/7+4/7*(1-$C613^2/3))+SUMPRODUCT($J$5:$K$5,$J613:$K613))/1000</f>
        <v/>
      </c>
      <c r="F613" s="57">
        <f>((fcd_sn*sn_b*(3/14*sn_h*(sn_h-3/7*sn_h)+4/7*sn_h*(sn_h/2-3/7*sn_h)*(1-$C613^2/3)-16/49*sn_h^2*(1/2-$C613^2/4))+SUMPRODUCT($J$5:$K$5,$J613:$K613,$J$7:$K$7))/1E6)</f>
        <v/>
      </c>
      <c r="G613" s="57">
        <f>IF(AND(MIN($E613,$E614)&lt;=sn_N,sn_N&lt;=MAX($E613,$E614)),IF($E613=$E614,MAX($F613,$F614),$F613+(sn_N-$E613)*($F614-$F613)/($E614-$E613)),"")</f>
        <v/>
      </c>
      <c r="H613" s="57">
        <f>IF(AND(MIN($E613,$E614)&lt;=sn_N,sn_N&lt;=MAX($E613,$E614)),IF($E613=$E614,MIN($F613,$F614),$F613+(sn_N-$E613)*($F614-$F613)/($E614-$E613)),"")</f>
        <v/>
      </c>
      <c r="J613">
        <f>MAX(-fyd_sn,MIN(fyd_sn,200000*0.002*(1-$C613*(7*J$6-3*sn_h)/(4*sn_h))))-fcd_sn*(1-MIN(1,MAX(0,$C613*(7*J$6-3*sn_h)/(4*sn_h)))^2)</f>
        <v/>
      </c>
      <c r="K613">
        <f>MAX(-fyd_sn,MIN(fyd_sn,200000*0.002*(1-$C613*(7*K$6-3*sn_h)/(4*sn_h))))-fcd_sn*(1-MIN(1,MAX(0,$C613*(7*K$6-3*sn_h)/(4*sn_h)))^2)</f>
        <v/>
      </c>
    </row>
    <row r="614">
      <c r="B614" s="55" t="n">
        <v>183</v>
      </c>
      <c r="C614" s="56">
        <f>IF(183&lt;posS_sn,1-183/200,IF(183=posS_sn,tstS_sn,1-(183-1)/200))</f>
        <v/>
      </c>
      <c r="D614" s="59">
        <f>IF($C614&gt;=1,sn_h,3/7*sn_h+4/7*sn_h/MAX($C614,1E-12))</f>
        <v/>
      </c>
      <c r="E614" s="57">
        <f>(fcd_sn*sn_b*sn_h*(3/7+4/7*(1-$C614^2/3))+SUMPRODUCT($J$5:$K$5,$J614:$K614))/1000</f>
        <v/>
      </c>
      <c r="F614" s="57">
        <f>((fcd_sn*sn_b*(3/14*sn_h*(sn_h-3/7*sn_h)+4/7*sn_h*(sn_h/2-3/7*sn_h)*(1-$C614^2/3)-16/49*sn_h^2*(1/2-$C614^2/4))+SUMPRODUCT($J$5:$K$5,$J614:$K614,$J$7:$K$7))/1E6)</f>
        <v/>
      </c>
      <c r="G614" s="57">
        <f>IF(AND(MIN($E614,$E615)&lt;=sn_N,sn_N&lt;=MAX($E614,$E615)),IF($E614=$E615,MAX($F614,$F615),$F614+(sn_N-$E614)*($F615-$F614)/($E615-$E614)),"")</f>
        <v/>
      </c>
      <c r="H614" s="57">
        <f>IF(AND(MIN($E614,$E615)&lt;=sn_N,sn_N&lt;=MAX($E614,$E615)),IF($E614=$E615,MIN($F614,$F615),$F614+(sn_N-$E614)*($F615-$F614)/($E615-$E614)),"")</f>
        <v/>
      </c>
      <c r="J614">
        <f>MAX(-fyd_sn,MIN(fyd_sn,200000*0.002*(1-$C614*(7*J$6-3*sn_h)/(4*sn_h))))-fcd_sn*(1-MIN(1,MAX(0,$C614*(7*J$6-3*sn_h)/(4*sn_h)))^2)</f>
        <v/>
      </c>
      <c r="K614">
        <f>MAX(-fyd_sn,MIN(fyd_sn,200000*0.002*(1-$C614*(7*K$6-3*sn_h)/(4*sn_h))))-fcd_sn*(1-MIN(1,MAX(0,$C614*(7*K$6-3*sn_h)/(4*sn_h)))^2)</f>
        <v/>
      </c>
    </row>
    <row r="615">
      <c r="B615" s="55" t="n">
        <v>184</v>
      </c>
      <c r="C615" s="56">
        <f>IF(184&lt;posS_sn,1-184/200,IF(184=posS_sn,tstS_sn,1-(184-1)/200))</f>
        <v/>
      </c>
      <c r="D615" s="59">
        <f>IF($C615&gt;=1,sn_h,3/7*sn_h+4/7*sn_h/MAX($C615,1E-12))</f>
        <v/>
      </c>
      <c r="E615" s="57">
        <f>(fcd_sn*sn_b*sn_h*(3/7+4/7*(1-$C615^2/3))+SUMPRODUCT($J$5:$K$5,$J615:$K615))/1000</f>
        <v/>
      </c>
      <c r="F615" s="57">
        <f>((fcd_sn*sn_b*(3/14*sn_h*(sn_h-3/7*sn_h)+4/7*sn_h*(sn_h/2-3/7*sn_h)*(1-$C615^2/3)-16/49*sn_h^2*(1/2-$C615^2/4))+SUMPRODUCT($J$5:$K$5,$J615:$K615,$J$7:$K$7))/1E6)</f>
        <v/>
      </c>
      <c r="G615" s="57">
        <f>IF(AND(MIN($E615,$E616)&lt;=sn_N,sn_N&lt;=MAX($E615,$E616)),IF($E615=$E616,MAX($F615,$F616),$F615+(sn_N-$E615)*($F616-$F615)/($E616-$E615)),"")</f>
        <v/>
      </c>
      <c r="H615" s="57">
        <f>IF(AND(MIN($E615,$E616)&lt;=sn_N,sn_N&lt;=MAX($E615,$E616)),IF($E615=$E616,MIN($F615,$F616),$F615+(sn_N-$E615)*($F616-$F615)/($E616-$E615)),"")</f>
        <v/>
      </c>
      <c r="J615">
        <f>MAX(-fyd_sn,MIN(fyd_sn,200000*0.002*(1-$C615*(7*J$6-3*sn_h)/(4*sn_h))))-fcd_sn*(1-MIN(1,MAX(0,$C615*(7*J$6-3*sn_h)/(4*sn_h)))^2)</f>
        <v/>
      </c>
      <c r="K615">
        <f>MAX(-fyd_sn,MIN(fyd_sn,200000*0.002*(1-$C615*(7*K$6-3*sn_h)/(4*sn_h))))-fcd_sn*(1-MIN(1,MAX(0,$C615*(7*K$6-3*sn_h)/(4*sn_h)))^2)</f>
        <v/>
      </c>
    </row>
    <row r="616">
      <c r="B616" s="55" t="n">
        <v>185</v>
      </c>
      <c r="C616" s="56">
        <f>IF(185&lt;posS_sn,1-185/200,IF(185=posS_sn,tstS_sn,1-(185-1)/200))</f>
        <v/>
      </c>
      <c r="D616" s="59">
        <f>IF($C616&gt;=1,sn_h,3/7*sn_h+4/7*sn_h/MAX($C616,1E-12))</f>
        <v/>
      </c>
      <c r="E616" s="57">
        <f>(fcd_sn*sn_b*sn_h*(3/7+4/7*(1-$C616^2/3))+SUMPRODUCT($J$5:$K$5,$J616:$K616))/1000</f>
        <v/>
      </c>
      <c r="F616" s="57">
        <f>((fcd_sn*sn_b*(3/14*sn_h*(sn_h-3/7*sn_h)+4/7*sn_h*(sn_h/2-3/7*sn_h)*(1-$C616^2/3)-16/49*sn_h^2*(1/2-$C616^2/4))+SUMPRODUCT($J$5:$K$5,$J616:$K616,$J$7:$K$7))/1E6)</f>
        <v/>
      </c>
      <c r="G616" s="57">
        <f>IF(AND(MIN($E616,$E617)&lt;=sn_N,sn_N&lt;=MAX($E616,$E617)),IF($E616=$E617,MAX($F616,$F617),$F616+(sn_N-$E616)*($F617-$F616)/($E617-$E616)),"")</f>
        <v/>
      </c>
      <c r="H616" s="57">
        <f>IF(AND(MIN($E616,$E617)&lt;=sn_N,sn_N&lt;=MAX($E616,$E617)),IF($E616=$E617,MIN($F616,$F617),$F616+(sn_N-$E616)*($F617-$F616)/($E617-$E616)),"")</f>
        <v/>
      </c>
      <c r="J616">
        <f>MAX(-fyd_sn,MIN(fyd_sn,200000*0.002*(1-$C616*(7*J$6-3*sn_h)/(4*sn_h))))-fcd_sn*(1-MIN(1,MAX(0,$C616*(7*J$6-3*sn_h)/(4*sn_h)))^2)</f>
        <v/>
      </c>
      <c r="K616">
        <f>MAX(-fyd_sn,MIN(fyd_sn,200000*0.002*(1-$C616*(7*K$6-3*sn_h)/(4*sn_h))))-fcd_sn*(1-MIN(1,MAX(0,$C616*(7*K$6-3*sn_h)/(4*sn_h)))^2)</f>
        <v/>
      </c>
    </row>
    <row r="617">
      <c r="B617" s="55" t="n">
        <v>186</v>
      </c>
      <c r="C617" s="56">
        <f>IF(186&lt;posS_sn,1-186/200,IF(186=posS_sn,tstS_sn,1-(186-1)/200))</f>
        <v/>
      </c>
      <c r="D617" s="59">
        <f>IF($C617&gt;=1,sn_h,3/7*sn_h+4/7*sn_h/MAX($C617,1E-12))</f>
        <v/>
      </c>
      <c r="E617" s="57">
        <f>(fcd_sn*sn_b*sn_h*(3/7+4/7*(1-$C617^2/3))+SUMPRODUCT($J$5:$K$5,$J617:$K617))/1000</f>
        <v/>
      </c>
      <c r="F617" s="57">
        <f>((fcd_sn*sn_b*(3/14*sn_h*(sn_h-3/7*sn_h)+4/7*sn_h*(sn_h/2-3/7*sn_h)*(1-$C617^2/3)-16/49*sn_h^2*(1/2-$C617^2/4))+SUMPRODUCT($J$5:$K$5,$J617:$K617,$J$7:$K$7))/1E6)</f>
        <v/>
      </c>
      <c r="G617" s="57">
        <f>IF(AND(MIN($E617,$E618)&lt;=sn_N,sn_N&lt;=MAX($E617,$E618)),IF($E617=$E618,MAX($F617,$F618),$F617+(sn_N-$E617)*($F618-$F617)/($E618-$E617)),"")</f>
        <v/>
      </c>
      <c r="H617" s="57">
        <f>IF(AND(MIN($E617,$E618)&lt;=sn_N,sn_N&lt;=MAX($E617,$E618)),IF($E617=$E618,MIN($F617,$F618),$F617+(sn_N-$E617)*($F618-$F617)/($E618-$E617)),"")</f>
        <v/>
      </c>
      <c r="J617">
        <f>MAX(-fyd_sn,MIN(fyd_sn,200000*0.002*(1-$C617*(7*J$6-3*sn_h)/(4*sn_h))))-fcd_sn*(1-MIN(1,MAX(0,$C617*(7*J$6-3*sn_h)/(4*sn_h)))^2)</f>
        <v/>
      </c>
      <c r="K617">
        <f>MAX(-fyd_sn,MIN(fyd_sn,200000*0.002*(1-$C617*(7*K$6-3*sn_h)/(4*sn_h))))-fcd_sn*(1-MIN(1,MAX(0,$C617*(7*K$6-3*sn_h)/(4*sn_h)))^2)</f>
        <v/>
      </c>
    </row>
    <row r="618">
      <c r="B618" s="55" t="n">
        <v>187</v>
      </c>
      <c r="C618" s="56">
        <f>IF(187&lt;posS_sn,1-187/200,IF(187=posS_sn,tstS_sn,1-(187-1)/200))</f>
        <v/>
      </c>
      <c r="D618" s="59">
        <f>IF($C618&gt;=1,sn_h,3/7*sn_h+4/7*sn_h/MAX($C618,1E-12))</f>
        <v/>
      </c>
      <c r="E618" s="57">
        <f>(fcd_sn*sn_b*sn_h*(3/7+4/7*(1-$C618^2/3))+SUMPRODUCT($J$5:$K$5,$J618:$K618))/1000</f>
        <v/>
      </c>
      <c r="F618" s="57">
        <f>((fcd_sn*sn_b*(3/14*sn_h*(sn_h-3/7*sn_h)+4/7*sn_h*(sn_h/2-3/7*sn_h)*(1-$C618^2/3)-16/49*sn_h^2*(1/2-$C618^2/4))+SUMPRODUCT($J$5:$K$5,$J618:$K618,$J$7:$K$7))/1E6)</f>
        <v/>
      </c>
      <c r="G618" s="57">
        <f>IF(AND(MIN($E618,$E619)&lt;=sn_N,sn_N&lt;=MAX($E618,$E619)),IF($E618=$E619,MAX($F618,$F619),$F618+(sn_N-$E618)*($F619-$F618)/($E619-$E618)),"")</f>
        <v/>
      </c>
      <c r="H618" s="57">
        <f>IF(AND(MIN($E618,$E619)&lt;=sn_N,sn_N&lt;=MAX($E618,$E619)),IF($E618=$E619,MIN($F618,$F619),$F618+(sn_N-$E618)*($F619-$F618)/($E619-$E618)),"")</f>
        <v/>
      </c>
      <c r="J618">
        <f>MAX(-fyd_sn,MIN(fyd_sn,200000*0.002*(1-$C618*(7*J$6-3*sn_h)/(4*sn_h))))-fcd_sn*(1-MIN(1,MAX(0,$C618*(7*J$6-3*sn_h)/(4*sn_h)))^2)</f>
        <v/>
      </c>
      <c r="K618">
        <f>MAX(-fyd_sn,MIN(fyd_sn,200000*0.002*(1-$C618*(7*K$6-3*sn_h)/(4*sn_h))))-fcd_sn*(1-MIN(1,MAX(0,$C618*(7*K$6-3*sn_h)/(4*sn_h)))^2)</f>
        <v/>
      </c>
    </row>
    <row r="619">
      <c r="B619" s="55" t="n">
        <v>188</v>
      </c>
      <c r="C619" s="56">
        <f>IF(188&lt;posS_sn,1-188/200,IF(188=posS_sn,tstS_sn,1-(188-1)/200))</f>
        <v/>
      </c>
      <c r="D619" s="59">
        <f>IF($C619&gt;=1,sn_h,3/7*sn_h+4/7*sn_h/MAX($C619,1E-12))</f>
        <v/>
      </c>
      <c r="E619" s="57">
        <f>(fcd_sn*sn_b*sn_h*(3/7+4/7*(1-$C619^2/3))+SUMPRODUCT($J$5:$K$5,$J619:$K619))/1000</f>
        <v/>
      </c>
      <c r="F619" s="57">
        <f>((fcd_sn*sn_b*(3/14*sn_h*(sn_h-3/7*sn_h)+4/7*sn_h*(sn_h/2-3/7*sn_h)*(1-$C619^2/3)-16/49*sn_h^2*(1/2-$C619^2/4))+SUMPRODUCT($J$5:$K$5,$J619:$K619,$J$7:$K$7))/1E6)</f>
        <v/>
      </c>
      <c r="G619" s="57">
        <f>IF(AND(MIN($E619,$E620)&lt;=sn_N,sn_N&lt;=MAX($E619,$E620)),IF($E619=$E620,MAX($F619,$F620),$F619+(sn_N-$E619)*($F620-$F619)/($E620-$E619)),"")</f>
        <v/>
      </c>
      <c r="H619" s="57">
        <f>IF(AND(MIN($E619,$E620)&lt;=sn_N,sn_N&lt;=MAX($E619,$E620)),IF($E619=$E620,MIN($F619,$F620),$F619+(sn_N-$E619)*($F620-$F619)/($E620-$E619)),"")</f>
        <v/>
      </c>
      <c r="J619">
        <f>MAX(-fyd_sn,MIN(fyd_sn,200000*0.002*(1-$C619*(7*J$6-3*sn_h)/(4*sn_h))))-fcd_sn*(1-MIN(1,MAX(0,$C619*(7*J$6-3*sn_h)/(4*sn_h)))^2)</f>
        <v/>
      </c>
      <c r="K619">
        <f>MAX(-fyd_sn,MIN(fyd_sn,200000*0.002*(1-$C619*(7*K$6-3*sn_h)/(4*sn_h))))-fcd_sn*(1-MIN(1,MAX(0,$C619*(7*K$6-3*sn_h)/(4*sn_h)))^2)</f>
        <v/>
      </c>
    </row>
    <row r="620">
      <c r="B620" s="55" t="n">
        <v>189</v>
      </c>
      <c r="C620" s="56">
        <f>IF(189&lt;posS_sn,1-189/200,IF(189=posS_sn,tstS_sn,1-(189-1)/200))</f>
        <v/>
      </c>
      <c r="D620" s="59">
        <f>IF($C620&gt;=1,sn_h,3/7*sn_h+4/7*sn_h/MAX($C620,1E-12))</f>
        <v/>
      </c>
      <c r="E620" s="57">
        <f>(fcd_sn*sn_b*sn_h*(3/7+4/7*(1-$C620^2/3))+SUMPRODUCT($J$5:$K$5,$J620:$K620))/1000</f>
        <v/>
      </c>
      <c r="F620" s="57">
        <f>((fcd_sn*sn_b*(3/14*sn_h*(sn_h-3/7*sn_h)+4/7*sn_h*(sn_h/2-3/7*sn_h)*(1-$C620^2/3)-16/49*sn_h^2*(1/2-$C620^2/4))+SUMPRODUCT($J$5:$K$5,$J620:$K620,$J$7:$K$7))/1E6)</f>
        <v/>
      </c>
      <c r="G620" s="57">
        <f>IF(AND(MIN($E620,$E621)&lt;=sn_N,sn_N&lt;=MAX($E620,$E621)),IF($E620=$E621,MAX($F620,$F621),$F620+(sn_N-$E620)*($F621-$F620)/($E621-$E620)),"")</f>
        <v/>
      </c>
      <c r="H620" s="57">
        <f>IF(AND(MIN($E620,$E621)&lt;=sn_N,sn_N&lt;=MAX($E620,$E621)),IF($E620=$E621,MIN($F620,$F621),$F620+(sn_N-$E620)*($F621-$F620)/($E621-$E620)),"")</f>
        <v/>
      </c>
      <c r="J620">
        <f>MAX(-fyd_sn,MIN(fyd_sn,200000*0.002*(1-$C620*(7*J$6-3*sn_h)/(4*sn_h))))-fcd_sn*(1-MIN(1,MAX(0,$C620*(7*J$6-3*sn_h)/(4*sn_h)))^2)</f>
        <v/>
      </c>
      <c r="K620">
        <f>MAX(-fyd_sn,MIN(fyd_sn,200000*0.002*(1-$C620*(7*K$6-3*sn_h)/(4*sn_h))))-fcd_sn*(1-MIN(1,MAX(0,$C620*(7*K$6-3*sn_h)/(4*sn_h)))^2)</f>
        <v/>
      </c>
    </row>
    <row r="621">
      <c r="B621" s="55" t="n">
        <v>190</v>
      </c>
      <c r="C621" s="56">
        <f>IF(190&lt;posS_sn,1-190/200,IF(190=posS_sn,tstS_sn,1-(190-1)/200))</f>
        <v/>
      </c>
      <c r="D621" s="59">
        <f>IF($C621&gt;=1,sn_h,3/7*sn_h+4/7*sn_h/MAX($C621,1E-12))</f>
        <v/>
      </c>
      <c r="E621" s="57">
        <f>(fcd_sn*sn_b*sn_h*(3/7+4/7*(1-$C621^2/3))+SUMPRODUCT($J$5:$K$5,$J621:$K621))/1000</f>
        <v/>
      </c>
      <c r="F621" s="57">
        <f>((fcd_sn*sn_b*(3/14*sn_h*(sn_h-3/7*sn_h)+4/7*sn_h*(sn_h/2-3/7*sn_h)*(1-$C621^2/3)-16/49*sn_h^2*(1/2-$C621^2/4))+SUMPRODUCT($J$5:$K$5,$J621:$K621,$J$7:$K$7))/1E6)</f>
        <v/>
      </c>
      <c r="G621" s="57">
        <f>IF(AND(MIN($E621,$E622)&lt;=sn_N,sn_N&lt;=MAX($E621,$E622)),IF($E621=$E622,MAX($F621,$F622),$F621+(sn_N-$E621)*($F622-$F621)/($E622-$E621)),"")</f>
        <v/>
      </c>
      <c r="H621" s="57">
        <f>IF(AND(MIN($E621,$E622)&lt;=sn_N,sn_N&lt;=MAX($E621,$E622)),IF($E621=$E622,MIN($F621,$F622),$F621+(sn_N-$E621)*($F622-$F621)/($E622-$E621)),"")</f>
        <v/>
      </c>
      <c r="J621">
        <f>MAX(-fyd_sn,MIN(fyd_sn,200000*0.002*(1-$C621*(7*J$6-3*sn_h)/(4*sn_h))))-fcd_sn*(1-MIN(1,MAX(0,$C621*(7*J$6-3*sn_h)/(4*sn_h)))^2)</f>
        <v/>
      </c>
      <c r="K621">
        <f>MAX(-fyd_sn,MIN(fyd_sn,200000*0.002*(1-$C621*(7*K$6-3*sn_h)/(4*sn_h))))-fcd_sn*(1-MIN(1,MAX(0,$C621*(7*K$6-3*sn_h)/(4*sn_h)))^2)</f>
        <v/>
      </c>
    </row>
    <row r="622">
      <c r="B622" s="55" t="n">
        <v>191</v>
      </c>
      <c r="C622" s="56">
        <f>IF(191&lt;posS_sn,1-191/200,IF(191=posS_sn,tstS_sn,1-(191-1)/200))</f>
        <v/>
      </c>
      <c r="D622" s="59">
        <f>IF($C622&gt;=1,sn_h,3/7*sn_h+4/7*sn_h/MAX($C622,1E-12))</f>
        <v/>
      </c>
      <c r="E622" s="57">
        <f>(fcd_sn*sn_b*sn_h*(3/7+4/7*(1-$C622^2/3))+SUMPRODUCT($J$5:$K$5,$J622:$K622))/1000</f>
        <v/>
      </c>
      <c r="F622" s="57">
        <f>((fcd_sn*sn_b*(3/14*sn_h*(sn_h-3/7*sn_h)+4/7*sn_h*(sn_h/2-3/7*sn_h)*(1-$C622^2/3)-16/49*sn_h^2*(1/2-$C622^2/4))+SUMPRODUCT($J$5:$K$5,$J622:$K622,$J$7:$K$7))/1E6)</f>
        <v/>
      </c>
      <c r="G622" s="57">
        <f>IF(AND(MIN($E622,$E623)&lt;=sn_N,sn_N&lt;=MAX($E622,$E623)),IF($E622=$E623,MAX($F622,$F623),$F622+(sn_N-$E622)*($F623-$F622)/($E623-$E622)),"")</f>
        <v/>
      </c>
      <c r="H622" s="57">
        <f>IF(AND(MIN($E622,$E623)&lt;=sn_N,sn_N&lt;=MAX($E622,$E623)),IF($E622=$E623,MIN($F622,$F623),$F622+(sn_N-$E622)*($F623-$F622)/($E623-$E622)),"")</f>
        <v/>
      </c>
      <c r="J622">
        <f>MAX(-fyd_sn,MIN(fyd_sn,200000*0.002*(1-$C622*(7*J$6-3*sn_h)/(4*sn_h))))-fcd_sn*(1-MIN(1,MAX(0,$C622*(7*J$6-3*sn_h)/(4*sn_h)))^2)</f>
        <v/>
      </c>
      <c r="K622">
        <f>MAX(-fyd_sn,MIN(fyd_sn,200000*0.002*(1-$C622*(7*K$6-3*sn_h)/(4*sn_h))))-fcd_sn*(1-MIN(1,MAX(0,$C622*(7*K$6-3*sn_h)/(4*sn_h)))^2)</f>
        <v/>
      </c>
    </row>
    <row r="623">
      <c r="B623" s="55" t="n">
        <v>192</v>
      </c>
      <c r="C623" s="56">
        <f>IF(192&lt;posS_sn,1-192/200,IF(192=posS_sn,tstS_sn,1-(192-1)/200))</f>
        <v/>
      </c>
      <c r="D623" s="59">
        <f>IF($C623&gt;=1,sn_h,3/7*sn_h+4/7*sn_h/MAX($C623,1E-12))</f>
        <v/>
      </c>
      <c r="E623" s="57">
        <f>(fcd_sn*sn_b*sn_h*(3/7+4/7*(1-$C623^2/3))+SUMPRODUCT($J$5:$K$5,$J623:$K623))/1000</f>
        <v/>
      </c>
      <c r="F623" s="57">
        <f>((fcd_sn*sn_b*(3/14*sn_h*(sn_h-3/7*sn_h)+4/7*sn_h*(sn_h/2-3/7*sn_h)*(1-$C623^2/3)-16/49*sn_h^2*(1/2-$C623^2/4))+SUMPRODUCT($J$5:$K$5,$J623:$K623,$J$7:$K$7))/1E6)</f>
        <v/>
      </c>
      <c r="G623" s="57">
        <f>IF(AND(MIN($E623,$E624)&lt;=sn_N,sn_N&lt;=MAX($E623,$E624)),IF($E623=$E624,MAX($F623,$F624),$F623+(sn_N-$E623)*($F624-$F623)/($E624-$E623)),"")</f>
        <v/>
      </c>
      <c r="H623" s="57">
        <f>IF(AND(MIN($E623,$E624)&lt;=sn_N,sn_N&lt;=MAX($E623,$E624)),IF($E623=$E624,MIN($F623,$F624),$F623+(sn_N-$E623)*($F624-$F623)/($E624-$E623)),"")</f>
        <v/>
      </c>
      <c r="J623">
        <f>MAX(-fyd_sn,MIN(fyd_sn,200000*0.002*(1-$C623*(7*J$6-3*sn_h)/(4*sn_h))))-fcd_sn*(1-MIN(1,MAX(0,$C623*(7*J$6-3*sn_h)/(4*sn_h)))^2)</f>
        <v/>
      </c>
      <c r="K623">
        <f>MAX(-fyd_sn,MIN(fyd_sn,200000*0.002*(1-$C623*(7*K$6-3*sn_h)/(4*sn_h))))-fcd_sn*(1-MIN(1,MAX(0,$C623*(7*K$6-3*sn_h)/(4*sn_h)))^2)</f>
        <v/>
      </c>
    </row>
    <row r="624">
      <c r="B624" s="55" t="n">
        <v>193</v>
      </c>
      <c r="C624" s="56">
        <f>IF(193&lt;posS_sn,1-193/200,IF(193=posS_sn,tstS_sn,1-(193-1)/200))</f>
        <v/>
      </c>
      <c r="D624" s="59">
        <f>IF($C624&gt;=1,sn_h,3/7*sn_h+4/7*sn_h/MAX($C624,1E-12))</f>
        <v/>
      </c>
      <c r="E624" s="57">
        <f>(fcd_sn*sn_b*sn_h*(3/7+4/7*(1-$C624^2/3))+SUMPRODUCT($J$5:$K$5,$J624:$K624))/1000</f>
        <v/>
      </c>
      <c r="F624" s="57">
        <f>((fcd_sn*sn_b*(3/14*sn_h*(sn_h-3/7*sn_h)+4/7*sn_h*(sn_h/2-3/7*sn_h)*(1-$C624^2/3)-16/49*sn_h^2*(1/2-$C624^2/4))+SUMPRODUCT($J$5:$K$5,$J624:$K624,$J$7:$K$7))/1E6)</f>
        <v/>
      </c>
      <c r="G624" s="57">
        <f>IF(AND(MIN($E624,$E625)&lt;=sn_N,sn_N&lt;=MAX($E624,$E625)),IF($E624=$E625,MAX($F624,$F625),$F624+(sn_N-$E624)*($F625-$F624)/($E625-$E624)),"")</f>
        <v/>
      </c>
      <c r="H624" s="57">
        <f>IF(AND(MIN($E624,$E625)&lt;=sn_N,sn_N&lt;=MAX($E624,$E625)),IF($E624=$E625,MIN($F624,$F625),$F624+(sn_N-$E624)*($F625-$F624)/($E625-$E624)),"")</f>
        <v/>
      </c>
      <c r="J624">
        <f>MAX(-fyd_sn,MIN(fyd_sn,200000*0.002*(1-$C624*(7*J$6-3*sn_h)/(4*sn_h))))-fcd_sn*(1-MIN(1,MAX(0,$C624*(7*J$6-3*sn_h)/(4*sn_h)))^2)</f>
        <v/>
      </c>
      <c r="K624">
        <f>MAX(-fyd_sn,MIN(fyd_sn,200000*0.002*(1-$C624*(7*K$6-3*sn_h)/(4*sn_h))))-fcd_sn*(1-MIN(1,MAX(0,$C624*(7*K$6-3*sn_h)/(4*sn_h)))^2)</f>
        <v/>
      </c>
    </row>
    <row r="625">
      <c r="B625" s="55" t="n">
        <v>194</v>
      </c>
      <c r="C625" s="56">
        <f>IF(194&lt;posS_sn,1-194/200,IF(194=posS_sn,tstS_sn,1-(194-1)/200))</f>
        <v/>
      </c>
      <c r="D625" s="59">
        <f>IF($C625&gt;=1,sn_h,3/7*sn_h+4/7*sn_h/MAX($C625,1E-12))</f>
        <v/>
      </c>
      <c r="E625" s="57">
        <f>(fcd_sn*sn_b*sn_h*(3/7+4/7*(1-$C625^2/3))+SUMPRODUCT($J$5:$K$5,$J625:$K625))/1000</f>
        <v/>
      </c>
      <c r="F625" s="57">
        <f>((fcd_sn*sn_b*(3/14*sn_h*(sn_h-3/7*sn_h)+4/7*sn_h*(sn_h/2-3/7*sn_h)*(1-$C625^2/3)-16/49*sn_h^2*(1/2-$C625^2/4))+SUMPRODUCT($J$5:$K$5,$J625:$K625,$J$7:$K$7))/1E6)</f>
        <v/>
      </c>
      <c r="G625" s="57">
        <f>IF(AND(MIN($E625,$E626)&lt;=sn_N,sn_N&lt;=MAX($E625,$E626)),IF($E625=$E626,MAX($F625,$F626),$F625+(sn_N-$E625)*($F626-$F625)/($E626-$E625)),"")</f>
        <v/>
      </c>
      <c r="H625" s="57">
        <f>IF(AND(MIN($E625,$E626)&lt;=sn_N,sn_N&lt;=MAX($E625,$E626)),IF($E625=$E626,MIN($F625,$F626),$F625+(sn_N-$E625)*($F626-$F625)/($E626-$E625)),"")</f>
        <v/>
      </c>
      <c r="J625">
        <f>MAX(-fyd_sn,MIN(fyd_sn,200000*0.002*(1-$C625*(7*J$6-3*sn_h)/(4*sn_h))))-fcd_sn*(1-MIN(1,MAX(0,$C625*(7*J$6-3*sn_h)/(4*sn_h)))^2)</f>
        <v/>
      </c>
      <c r="K625">
        <f>MAX(-fyd_sn,MIN(fyd_sn,200000*0.002*(1-$C625*(7*K$6-3*sn_h)/(4*sn_h))))-fcd_sn*(1-MIN(1,MAX(0,$C625*(7*K$6-3*sn_h)/(4*sn_h)))^2)</f>
        <v/>
      </c>
    </row>
    <row r="626">
      <c r="B626" s="55" t="n">
        <v>195</v>
      </c>
      <c r="C626" s="56">
        <f>IF(195&lt;posS_sn,1-195/200,IF(195=posS_sn,tstS_sn,1-(195-1)/200))</f>
        <v/>
      </c>
      <c r="D626" s="59">
        <f>IF($C626&gt;=1,sn_h,3/7*sn_h+4/7*sn_h/MAX($C626,1E-12))</f>
        <v/>
      </c>
      <c r="E626" s="57">
        <f>(fcd_sn*sn_b*sn_h*(3/7+4/7*(1-$C626^2/3))+SUMPRODUCT($J$5:$K$5,$J626:$K626))/1000</f>
        <v/>
      </c>
      <c r="F626" s="57">
        <f>((fcd_sn*sn_b*(3/14*sn_h*(sn_h-3/7*sn_h)+4/7*sn_h*(sn_h/2-3/7*sn_h)*(1-$C626^2/3)-16/49*sn_h^2*(1/2-$C626^2/4))+SUMPRODUCT($J$5:$K$5,$J626:$K626,$J$7:$K$7))/1E6)</f>
        <v/>
      </c>
      <c r="G626" s="57">
        <f>IF(AND(MIN($E626,$E627)&lt;=sn_N,sn_N&lt;=MAX($E626,$E627)),IF($E626=$E627,MAX($F626,$F627),$F626+(sn_N-$E626)*($F627-$F626)/($E627-$E626)),"")</f>
        <v/>
      </c>
      <c r="H626" s="57">
        <f>IF(AND(MIN($E626,$E627)&lt;=sn_N,sn_N&lt;=MAX($E626,$E627)),IF($E626=$E627,MIN($F626,$F627),$F626+(sn_N-$E626)*($F627-$F626)/($E627-$E626)),"")</f>
        <v/>
      </c>
      <c r="J626">
        <f>MAX(-fyd_sn,MIN(fyd_sn,200000*0.002*(1-$C626*(7*J$6-3*sn_h)/(4*sn_h))))-fcd_sn*(1-MIN(1,MAX(0,$C626*(7*J$6-3*sn_h)/(4*sn_h)))^2)</f>
        <v/>
      </c>
      <c r="K626">
        <f>MAX(-fyd_sn,MIN(fyd_sn,200000*0.002*(1-$C626*(7*K$6-3*sn_h)/(4*sn_h))))-fcd_sn*(1-MIN(1,MAX(0,$C626*(7*K$6-3*sn_h)/(4*sn_h)))^2)</f>
        <v/>
      </c>
    </row>
    <row r="627">
      <c r="B627" s="55" t="n">
        <v>196</v>
      </c>
      <c r="C627" s="56">
        <f>IF(196&lt;posS_sn,1-196/200,IF(196=posS_sn,tstS_sn,1-(196-1)/200))</f>
        <v/>
      </c>
      <c r="D627" s="59">
        <f>IF($C627&gt;=1,sn_h,3/7*sn_h+4/7*sn_h/MAX($C627,1E-12))</f>
        <v/>
      </c>
      <c r="E627" s="57">
        <f>(fcd_sn*sn_b*sn_h*(3/7+4/7*(1-$C627^2/3))+SUMPRODUCT($J$5:$K$5,$J627:$K627))/1000</f>
        <v/>
      </c>
      <c r="F627" s="57">
        <f>((fcd_sn*sn_b*(3/14*sn_h*(sn_h-3/7*sn_h)+4/7*sn_h*(sn_h/2-3/7*sn_h)*(1-$C627^2/3)-16/49*sn_h^2*(1/2-$C627^2/4))+SUMPRODUCT($J$5:$K$5,$J627:$K627,$J$7:$K$7))/1E6)</f>
        <v/>
      </c>
      <c r="G627" s="57">
        <f>IF(AND(MIN($E627,$E628)&lt;=sn_N,sn_N&lt;=MAX($E627,$E628)),IF($E627=$E628,MAX($F627,$F628),$F627+(sn_N-$E627)*($F628-$F627)/($E628-$E627)),"")</f>
        <v/>
      </c>
      <c r="H627" s="57">
        <f>IF(AND(MIN($E627,$E628)&lt;=sn_N,sn_N&lt;=MAX($E627,$E628)),IF($E627=$E628,MIN($F627,$F628),$F627+(sn_N-$E627)*($F628-$F627)/($E628-$E627)),"")</f>
        <v/>
      </c>
      <c r="J627">
        <f>MAX(-fyd_sn,MIN(fyd_sn,200000*0.002*(1-$C627*(7*J$6-3*sn_h)/(4*sn_h))))-fcd_sn*(1-MIN(1,MAX(0,$C627*(7*J$6-3*sn_h)/(4*sn_h)))^2)</f>
        <v/>
      </c>
      <c r="K627">
        <f>MAX(-fyd_sn,MIN(fyd_sn,200000*0.002*(1-$C627*(7*K$6-3*sn_h)/(4*sn_h))))-fcd_sn*(1-MIN(1,MAX(0,$C627*(7*K$6-3*sn_h)/(4*sn_h)))^2)</f>
        <v/>
      </c>
    </row>
    <row r="628">
      <c r="B628" s="55" t="n">
        <v>197</v>
      </c>
      <c r="C628" s="56">
        <f>IF(197&lt;posS_sn,1-197/200,IF(197=posS_sn,tstS_sn,1-(197-1)/200))</f>
        <v/>
      </c>
      <c r="D628" s="59">
        <f>IF($C628&gt;=1,sn_h,3/7*sn_h+4/7*sn_h/MAX($C628,1E-12))</f>
        <v/>
      </c>
      <c r="E628" s="57">
        <f>(fcd_sn*sn_b*sn_h*(3/7+4/7*(1-$C628^2/3))+SUMPRODUCT($J$5:$K$5,$J628:$K628))/1000</f>
        <v/>
      </c>
      <c r="F628" s="57">
        <f>((fcd_sn*sn_b*(3/14*sn_h*(sn_h-3/7*sn_h)+4/7*sn_h*(sn_h/2-3/7*sn_h)*(1-$C628^2/3)-16/49*sn_h^2*(1/2-$C628^2/4))+SUMPRODUCT($J$5:$K$5,$J628:$K628,$J$7:$K$7))/1E6)</f>
        <v/>
      </c>
      <c r="G628" s="57">
        <f>IF(AND(MIN($E628,$E629)&lt;=sn_N,sn_N&lt;=MAX($E628,$E629)),IF($E628=$E629,MAX($F628,$F629),$F628+(sn_N-$E628)*($F629-$F628)/($E629-$E628)),"")</f>
        <v/>
      </c>
      <c r="H628" s="57">
        <f>IF(AND(MIN($E628,$E629)&lt;=sn_N,sn_N&lt;=MAX($E628,$E629)),IF($E628=$E629,MIN($F628,$F629),$F628+(sn_N-$E628)*($F629-$F628)/($E629-$E628)),"")</f>
        <v/>
      </c>
      <c r="J628">
        <f>MAX(-fyd_sn,MIN(fyd_sn,200000*0.002*(1-$C628*(7*J$6-3*sn_h)/(4*sn_h))))-fcd_sn*(1-MIN(1,MAX(0,$C628*(7*J$6-3*sn_h)/(4*sn_h)))^2)</f>
        <v/>
      </c>
      <c r="K628">
        <f>MAX(-fyd_sn,MIN(fyd_sn,200000*0.002*(1-$C628*(7*K$6-3*sn_h)/(4*sn_h))))-fcd_sn*(1-MIN(1,MAX(0,$C628*(7*K$6-3*sn_h)/(4*sn_h)))^2)</f>
        <v/>
      </c>
    </row>
    <row r="629">
      <c r="B629" s="55" t="n">
        <v>198</v>
      </c>
      <c r="C629" s="56">
        <f>IF(198&lt;posS_sn,1-198/200,IF(198=posS_sn,tstS_sn,1-(198-1)/200))</f>
        <v/>
      </c>
      <c r="D629" s="59">
        <f>IF($C629&gt;=1,sn_h,3/7*sn_h+4/7*sn_h/MAX($C629,1E-12))</f>
        <v/>
      </c>
      <c r="E629" s="57">
        <f>(fcd_sn*sn_b*sn_h*(3/7+4/7*(1-$C629^2/3))+SUMPRODUCT($J$5:$K$5,$J629:$K629))/1000</f>
        <v/>
      </c>
      <c r="F629" s="57">
        <f>((fcd_sn*sn_b*(3/14*sn_h*(sn_h-3/7*sn_h)+4/7*sn_h*(sn_h/2-3/7*sn_h)*(1-$C629^2/3)-16/49*sn_h^2*(1/2-$C629^2/4))+SUMPRODUCT($J$5:$K$5,$J629:$K629,$J$7:$K$7))/1E6)</f>
        <v/>
      </c>
      <c r="G629" s="57">
        <f>IF(AND(MIN($E629,$E630)&lt;=sn_N,sn_N&lt;=MAX($E629,$E630)),IF($E629=$E630,MAX($F629,$F630),$F629+(sn_N-$E629)*($F630-$F629)/($E630-$E629)),"")</f>
        <v/>
      </c>
      <c r="H629" s="57">
        <f>IF(AND(MIN($E629,$E630)&lt;=sn_N,sn_N&lt;=MAX($E629,$E630)),IF($E629=$E630,MIN($F629,$F630),$F629+(sn_N-$E629)*($F630-$F629)/($E630-$E629)),"")</f>
        <v/>
      </c>
      <c r="J629">
        <f>MAX(-fyd_sn,MIN(fyd_sn,200000*0.002*(1-$C629*(7*J$6-3*sn_h)/(4*sn_h))))-fcd_sn*(1-MIN(1,MAX(0,$C629*(7*J$6-3*sn_h)/(4*sn_h)))^2)</f>
        <v/>
      </c>
      <c r="K629">
        <f>MAX(-fyd_sn,MIN(fyd_sn,200000*0.002*(1-$C629*(7*K$6-3*sn_h)/(4*sn_h))))-fcd_sn*(1-MIN(1,MAX(0,$C629*(7*K$6-3*sn_h)/(4*sn_h)))^2)</f>
        <v/>
      </c>
    </row>
    <row r="630">
      <c r="B630" s="55" t="n">
        <v>199</v>
      </c>
      <c r="C630" s="56">
        <f>IF(199&lt;posS_sn,1-199/200,IF(199=posS_sn,tstS_sn,1-(199-1)/200))</f>
        <v/>
      </c>
      <c r="D630" s="59">
        <f>IF($C630&gt;=1,sn_h,3/7*sn_h+4/7*sn_h/MAX($C630,1E-12))</f>
        <v/>
      </c>
      <c r="E630" s="57">
        <f>(fcd_sn*sn_b*sn_h*(3/7+4/7*(1-$C630^2/3))+SUMPRODUCT($J$5:$K$5,$J630:$K630))/1000</f>
        <v/>
      </c>
      <c r="F630" s="57">
        <f>((fcd_sn*sn_b*(3/14*sn_h*(sn_h-3/7*sn_h)+4/7*sn_h*(sn_h/2-3/7*sn_h)*(1-$C630^2/3)-16/49*sn_h^2*(1/2-$C630^2/4))+SUMPRODUCT($J$5:$K$5,$J630:$K630,$J$7:$K$7))/1E6)</f>
        <v/>
      </c>
      <c r="G630" s="57">
        <f>IF(AND(MIN($E630,$E631)&lt;=sn_N,sn_N&lt;=MAX($E630,$E631)),IF($E630=$E631,MAX($F630,$F631),$F630+(sn_N-$E630)*($F631-$F630)/($E631-$E630)),"")</f>
        <v/>
      </c>
      <c r="H630" s="57">
        <f>IF(AND(MIN($E630,$E631)&lt;=sn_N,sn_N&lt;=MAX($E630,$E631)),IF($E630=$E631,MIN($F630,$F631),$F630+(sn_N-$E630)*($F631-$F630)/($E631-$E630)),"")</f>
        <v/>
      </c>
      <c r="J630">
        <f>MAX(-fyd_sn,MIN(fyd_sn,200000*0.002*(1-$C630*(7*J$6-3*sn_h)/(4*sn_h))))-fcd_sn*(1-MIN(1,MAX(0,$C630*(7*J$6-3*sn_h)/(4*sn_h)))^2)</f>
        <v/>
      </c>
      <c r="K630">
        <f>MAX(-fyd_sn,MIN(fyd_sn,200000*0.002*(1-$C630*(7*K$6-3*sn_h)/(4*sn_h))))-fcd_sn*(1-MIN(1,MAX(0,$C630*(7*K$6-3*sn_h)/(4*sn_h)))^2)</f>
        <v/>
      </c>
    </row>
    <row r="631">
      <c r="B631" s="55" t="n">
        <v>200</v>
      </c>
      <c r="C631" s="56">
        <f>IF(200&lt;posS_sn,1-200/200,IF(200=posS_sn,tstS_sn,1-(200-1)/200))</f>
        <v/>
      </c>
      <c r="D631" s="59">
        <f>IF($C631&gt;=1,sn_h,3/7*sn_h+4/7*sn_h/MAX($C631,1E-12))</f>
        <v/>
      </c>
      <c r="E631" s="57">
        <f>(fcd_sn*sn_b*sn_h*(3/7+4/7*(1-$C631^2/3))+SUMPRODUCT($J$5:$K$5,$J631:$K631))/1000</f>
        <v/>
      </c>
      <c r="F631" s="57">
        <f>((fcd_sn*sn_b*(3/14*sn_h*(sn_h-3/7*sn_h)+4/7*sn_h*(sn_h/2-3/7*sn_h)*(1-$C631^2/3)-16/49*sn_h^2*(1/2-$C631^2/4))+SUMPRODUCT($J$5:$K$5,$J631:$K631,$J$7:$K$7))/1E6)</f>
        <v/>
      </c>
      <c r="G631" s="57">
        <f>IF(AND(MIN($E631,$E632)&lt;=sn_N,sn_N&lt;=MAX($E631,$E632)),IF($E631=$E632,MAX($F631,$F632),$F631+(sn_N-$E631)*($F632-$F631)/($E632-$E631)),"")</f>
        <v/>
      </c>
      <c r="H631" s="57">
        <f>IF(AND(MIN($E631,$E632)&lt;=sn_N,sn_N&lt;=MAX($E631,$E632)),IF($E631=$E632,MIN($F631,$F632),$F631+(sn_N-$E631)*($F632-$F631)/($E632-$E631)),"")</f>
        <v/>
      </c>
      <c r="J631">
        <f>MAX(-fyd_sn,MIN(fyd_sn,200000*0.002*(1-$C631*(7*J$6-3*sn_h)/(4*sn_h))))-fcd_sn*(1-MIN(1,MAX(0,$C631*(7*J$6-3*sn_h)/(4*sn_h)))^2)</f>
        <v/>
      </c>
      <c r="K631">
        <f>MAX(-fyd_sn,MIN(fyd_sn,200000*0.002*(1-$C631*(7*K$6-3*sn_h)/(4*sn_h))))-fcd_sn*(1-MIN(1,MAX(0,$C631*(7*K$6-3*sn_h)/(4*sn_h)))^2)</f>
        <v/>
      </c>
    </row>
    <row r="632">
      <c r="B632" s="55" t="n">
        <v>201</v>
      </c>
      <c r="C632" s="56">
        <f>IF(201&lt;posS_sn,1-201/200,IF(201=posS_sn,tstS_sn,1-(201-1)/200))</f>
        <v/>
      </c>
      <c r="D632" s="59">
        <f>IF($C632&gt;=1,sn_h,3/7*sn_h+4/7*sn_h/MAX($C632,1E-12))</f>
        <v/>
      </c>
      <c r="E632" s="57">
        <f>(fcd_sn*sn_b*sn_h*(3/7+4/7*(1-$C632^2/3))+SUMPRODUCT($J$5:$K$5,$J632:$K632))/1000</f>
        <v/>
      </c>
      <c r="F632" s="57">
        <f>((fcd_sn*sn_b*(3/14*sn_h*(sn_h-3/7*sn_h)+4/7*sn_h*(sn_h/2-3/7*sn_h)*(1-$C632^2/3)-16/49*sn_h^2*(1/2-$C632^2/4))+SUMPRODUCT($J$5:$K$5,$J632:$K632,$J$7:$K$7))/1E6)</f>
        <v/>
      </c>
      <c r="G632" s="57" t="n"/>
      <c r="H632" s="57" t="n"/>
      <c r="J632">
        <f>MAX(-fyd_sn,MIN(fyd_sn,200000*0.002*(1-$C632*(7*J$6-3*sn_h)/(4*sn_h))))-fcd_sn*(1-MIN(1,MAX(0,$C632*(7*J$6-3*sn_h)/(4*sn_h)))^2)</f>
        <v/>
      </c>
      <c r="K632">
        <f>MAX(-fyd_sn,MIN(fyd_sn,200000*0.002*(1-$C632*(7*K$6-3*sn_h)/(4*sn_h))))-fcd_sn*(1-MIN(1,MAX(0,$C632*(7*K$6-3*sn_h)/(4*sn_h)))^2)</f>
        <v/>
      </c>
    </row>
    <row r="634">
      <c r="B634" s="54" t="inlineStr">
        <is>
          <t>Top face compressed  ·  4. root in the bracket of the largest moment</t>
        </is>
      </c>
    </row>
    <row r="635">
      <c r="B635" s="48" t="inlineStr">
        <is>
          <t>step</t>
        </is>
      </c>
      <c r="C635" s="48" t="inlineStr">
        <is>
          <t>t (N &lt; NEd)</t>
        </is>
      </c>
      <c r="D635" s="48" t="inlineStr">
        <is>
          <t>t (N ≥ NEd)</t>
        </is>
      </c>
      <c r="E635" s="48" t="inlineStr">
        <is>
          <t>t</t>
        </is>
      </c>
      <c r="F635" s="48" t="inlineStr">
        <is>
          <t>N (kN)</t>
        </is>
      </c>
      <c r="G635" s="48" t="inlineStr">
        <is>
          <t>M signed</t>
        </is>
      </c>
    </row>
    <row r="636">
      <c r="B636" s="55" t="n">
        <v>1</v>
      </c>
      <c r="C636" s="56">
        <f>IF(INDEX(finS_N,$I636)&lt;=INDEX(finS_N,$I636+1),INDEX(finS_t,$I636),INDEX(finS_t,$I636+1))</f>
        <v/>
      </c>
      <c r="D636" s="56">
        <f>IF(INDEX(finS_N,$I636)&lt;=INDEX(finS_N,$I636+1),INDEX(finS_t,$I636+1),INDEX(finS_t,$I636))</f>
        <v/>
      </c>
      <c r="E636" s="56">
        <f>($C636+$D636)/2</f>
        <v/>
      </c>
      <c r="F636" s="60">
        <f>(fcd_sn*sn_b*sn_h*(3/7+4/7*(1-$E636^2/3))+SUMPRODUCT($J$5:$K$5,$J636:$K636))/1000</f>
        <v/>
      </c>
      <c r="G636" s="60">
        <f>((fcd_sn*sn_b*(3/14*sn_h*(sn_h-3/7*sn_h)+4/7*sn_h*(sn_h/2-3/7*sn_h)*(1-$E636^2/3)-16/49*sn_h^2*(1/2-$E636^2/4))+SUMPRODUCT($J$5:$K$5,$J636:$K636,$J$7:$K$7))/1E6)</f>
        <v/>
      </c>
      <c r="I636">
        <f>IF(cntS_sn&gt;0,MATCH(MAX(finS_hi),finS_hi,0),1)</f>
        <v/>
      </c>
      <c r="J636">
        <f>MAX(-fyd_sn,MIN(fyd_sn,200000*0.002*(1-$E636*(7*J$6-3*sn_h)/(4*sn_h))))-fcd_sn*(1-MIN(1,MAX(0,$E636*(7*J$6-3*sn_h)/(4*sn_h)))^2)</f>
        <v/>
      </c>
      <c r="K636">
        <f>MAX(-fyd_sn,MIN(fyd_sn,200000*0.002*(1-$E636*(7*K$6-3*sn_h)/(4*sn_h))))-fcd_sn*(1-MIN(1,MAX(0,$E636*(7*K$6-3*sn_h)/(4*sn_h)))^2)</f>
        <v/>
      </c>
    </row>
    <row r="637">
      <c r="B637" s="55" t="n">
        <v>2</v>
      </c>
      <c r="C637" s="56">
        <f>IF($F636&lt;sn_N,$E636,$C636)</f>
        <v/>
      </c>
      <c r="D637" s="56">
        <f>IF($F636&lt;sn_N,$D636,$E636)</f>
        <v/>
      </c>
      <c r="E637" s="56">
        <f>($C637+$D637)/2</f>
        <v/>
      </c>
      <c r="F637" s="60">
        <f>(fcd_sn*sn_b*sn_h*(3/7+4/7*(1-$E637^2/3))+SUMPRODUCT($J$5:$K$5,$J637:$K637))/1000</f>
        <v/>
      </c>
      <c r="G637" s="60">
        <f>((fcd_sn*sn_b*(3/14*sn_h*(sn_h-3/7*sn_h)+4/7*sn_h*(sn_h/2-3/7*sn_h)*(1-$E637^2/3)-16/49*sn_h^2*(1/2-$E637^2/4))+SUMPRODUCT($J$5:$K$5,$J637:$K637,$J$7:$K$7))/1E6)</f>
        <v/>
      </c>
      <c r="J637">
        <f>MAX(-fyd_sn,MIN(fyd_sn,200000*0.002*(1-$E637*(7*J$6-3*sn_h)/(4*sn_h))))-fcd_sn*(1-MIN(1,MAX(0,$E637*(7*J$6-3*sn_h)/(4*sn_h)))^2)</f>
        <v/>
      </c>
      <c r="K637">
        <f>MAX(-fyd_sn,MIN(fyd_sn,200000*0.002*(1-$E637*(7*K$6-3*sn_h)/(4*sn_h))))-fcd_sn*(1-MIN(1,MAX(0,$E637*(7*K$6-3*sn_h)/(4*sn_h)))^2)</f>
        <v/>
      </c>
    </row>
    <row r="638">
      <c r="B638" s="55" t="n">
        <v>3</v>
      </c>
      <c r="C638" s="56">
        <f>IF($F637&lt;sn_N,$E637,$C637)</f>
        <v/>
      </c>
      <c r="D638" s="56">
        <f>IF($F637&lt;sn_N,$D637,$E637)</f>
        <v/>
      </c>
      <c r="E638" s="56">
        <f>($C638+$D638)/2</f>
        <v/>
      </c>
      <c r="F638" s="60">
        <f>(fcd_sn*sn_b*sn_h*(3/7+4/7*(1-$E638^2/3))+SUMPRODUCT($J$5:$K$5,$J638:$K638))/1000</f>
        <v/>
      </c>
      <c r="G638" s="60">
        <f>((fcd_sn*sn_b*(3/14*sn_h*(sn_h-3/7*sn_h)+4/7*sn_h*(sn_h/2-3/7*sn_h)*(1-$E638^2/3)-16/49*sn_h^2*(1/2-$E638^2/4))+SUMPRODUCT($J$5:$K$5,$J638:$K638,$J$7:$K$7))/1E6)</f>
        <v/>
      </c>
      <c r="J638">
        <f>MAX(-fyd_sn,MIN(fyd_sn,200000*0.002*(1-$E638*(7*J$6-3*sn_h)/(4*sn_h))))-fcd_sn*(1-MIN(1,MAX(0,$E638*(7*J$6-3*sn_h)/(4*sn_h)))^2)</f>
        <v/>
      </c>
      <c r="K638">
        <f>MAX(-fyd_sn,MIN(fyd_sn,200000*0.002*(1-$E638*(7*K$6-3*sn_h)/(4*sn_h))))-fcd_sn*(1-MIN(1,MAX(0,$E638*(7*K$6-3*sn_h)/(4*sn_h)))^2)</f>
        <v/>
      </c>
    </row>
    <row r="639">
      <c r="B639" s="55" t="n">
        <v>4</v>
      </c>
      <c r="C639" s="56">
        <f>IF($F638&lt;sn_N,$E638,$C638)</f>
        <v/>
      </c>
      <c r="D639" s="56">
        <f>IF($F638&lt;sn_N,$D638,$E638)</f>
        <v/>
      </c>
      <c r="E639" s="56">
        <f>($C639+$D639)/2</f>
        <v/>
      </c>
      <c r="F639" s="60">
        <f>(fcd_sn*sn_b*sn_h*(3/7+4/7*(1-$E639^2/3))+SUMPRODUCT($J$5:$K$5,$J639:$K639))/1000</f>
        <v/>
      </c>
      <c r="G639" s="60">
        <f>((fcd_sn*sn_b*(3/14*sn_h*(sn_h-3/7*sn_h)+4/7*sn_h*(sn_h/2-3/7*sn_h)*(1-$E639^2/3)-16/49*sn_h^2*(1/2-$E639^2/4))+SUMPRODUCT($J$5:$K$5,$J639:$K639,$J$7:$K$7))/1E6)</f>
        <v/>
      </c>
      <c r="J639">
        <f>MAX(-fyd_sn,MIN(fyd_sn,200000*0.002*(1-$E639*(7*J$6-3*sn_h)/(4*sn_h))))-fcd_sn*(1-MIN(1,MAX(0,$E639*(7*J$6-3*sn_h)/(4*sn_h)))^2)</f>
        <v/>
      </c>
      <c r="K639">
        <f>MAX(-fyd_sn,MIN(fyd_sn,200000*0.002*(1-$E639*(7*K$6-3*sn_h)/(4*sn_h))))-fcd_sn*(1-MIN(1,MAX(0,$E639*(7*K$6-3*sn_h)/(4*sn_h)))^2)</f>
        <v/>
      </c>
    </row>
    <row r="640">
      <c r="B640" s="55" t="n">
        <v>5</v>
      </c>
      <c r="C640" s="56">
        <f>IF($F639&lt;sn_N,$E639,$C639)</f>
        <v/>
      </c>
      <c r="D640" s="56">
        <f>IF($F639&lt;sn_N,$D639,$E639)</f>
        <v/>
      </c>
      <c r="E640" s="56">
        <f>($C640+$D640)/2</f>
        <v/>
      </c>
      <c r="F640" s="60">
        <f>(fcd_sn*sn_b*sn_h*(3/7+4/7*(1-$E640^2/3))+SUMPRODUCT($J$5:$K$5,$J640:$K640))/1000</f>
        <v/>
      </c>
      <c r="G640" s="60">
        <f>((fcd_sn*sn_b*(3/14*sn_h*(sn_h-3/7*sn_h)+4/7*sn_h*(sn_h/2-3/7*sn_h)*(1-$E640^2/3)-16/49*sn_h^2*(1/2-$E640^2/4))+SUMPRODUCT($J$5:$K$5,$J640:$K640,$J$7:$K$7))/1E6)</f>
        <v/>
      </c>
      <c r="J640">
        <f>MAX(-fyd_sn,MIN(fyd_sn,200000*0.002*(1-$E640*(7*J$6-3*sn_h)/(4*sn_h))))-fcd_sn*(1-MIN(1,MAX(0,$E640*(7*J$6-3*sn_h)/(4*sn_h)))^2)</f>
        <v/>
      </c>
      <c r="K640">
        <f>MAX(-fyd_sn,MIN(fyd_sn,200000*0.002*(1-$E640*(7*K$6-3*sn_h)/(4*sn_h))))-fcd_sn*(1-MIN(1,MAX(0,$E640*(7*K$6-3*sn_h)/(4*sn_h)))^2)</f>
        <v/>
      </c>
    </row>
    <row r="641">
      <c r="B641" s="55" t="n">
        <v>6</v>
      </c>
      <c r="C641" s="56">
        <f>IF($F640&lt;sn_N,$E640,$C640)</f>
        <v/>
      </c>
      <c r="D641" s="56">
        <f>IF($F640&lt;sn_N,$D640,$E640)</f>
        <v/>
      </c>
      <c r="E641" s="56">
        <f>($C641+$D641)/2</f>
        <v/>
      </c>
      <c r="F641" s="60">
        <f>(fcd_sn*sn_b*sn_h*(3/7+4/7*(1-$E641^2/3))+SUMPRODUCT($J$5:$K$5,$J641:$K641))/1000</f>
        <v/>
      </c>
      <c r="G641" s="60">
        <f>((fcd_sn*sn_b*(3/14*sn_h*(sn_h-3/7*sn_h)+4/7*sn_h*(sn_h/2-3/7*sn_h)*(1-$E641^2/3)-16/49*sn_h^2*(1/2-$E641^2/4))+SUMPRODUCT($J$5:$K$5,$J641:$K641,$J$7:$K$7))/1E6)</f>
        <v/>
      </c>
      <c r="J641">
        <f>MAX(-fyd_sn,MIN(fyd_sn,200000*0.002*(1-$E641*(7*J$6-3*sn_h)/(4*sn_h))))-fcd_sn*(1-MIN(1,MAX(0,$E641*(7*J$6-3*sn_h)/(4*sn_h)))^2)</f>
        <v/>
      </c>
      <c r="K641">
        <f>MAX(-fyd_sn,MIN(fyd_sn,200000*0.002*(1-$E641*(7*K$6-3*sn_h)/(4*sn_h))))-fcd_sn*(1-MIN(1,MAX(0,$E641*(7*K$6-3*sn_h)/(4*sn_h)))^2)</f>
        <v/>
      </c>
    </row>
    <row r="642">
      <c r="B642" s="55" t="n">
        <v>7</v>
      </c>
      <c r="C642" s="56">
        <f>IF($F641&lt;sn_N,$E641,$C641)</f>
        <v/>
      </c>
      <c r="D642" s="56">
        <f>IF($F641&lt;sn_N,$D641,$E641)</f>
        <v/>
      </c>
      <c r="E642" s="56">
        <f>($C642+$D642)/2</f>
        <v/>
      </c>
      <c r="F642" s="60">
        <f>(fcd_sn*sn_b*sn_h*(3/7+4/7*(1-$E642^2/3))+SUMPRODUCT($J$5:$K$5,$J642:$K642))/1000</f>
        <v/>
      </c>
      <c r="G642" s="60">
        <f>((fcd_sn*sn_b*(3/14*sn_h*(sn_h-3/7*sn_h)+4/7*sn_h*(sn_h/2-3/7*sn_h)*(1-$E642^2/3)-16/49*sn_h^2*(1/2-$E642^2/4))+SUMPRODUCT($J$5:$K$5,$J642:$K642,$J$7:$K$7))/1E6)</f>
        <v/>
      </c>
      <c r="J642">
        <f>MAX(-fyd_sn,MIN(fyd_sn,200000*0.002*(1-$E642*(7*J$6-3*sn_h)/(4*sn_h))))-fcd_sn*(1-MIN(1,MAX(0,$E642*(7*J$6-3*sn_h)/(4*sn_h)))^2)</f>
        <v/>
      </c>
      <c r="K642">
        <f>MAX(-fyd_sn,MIN(fyd_sn,200000*0.002*(1-$E642*(7*K$6-3*sn_h)/(4*sn_h))))-fcd_sn*(1-MIN(1,MAX(0,$E642*(7*K$6-3*sn_h)/(4*sn_h)))^2)</f>
        <v/>
      </c>
    </row>
    <row r="643">
      <c r="B643" s="55" t="n">
        <v>8</v>
      </c>
      <c r="C643" s="56">
        <f>IF($F642&lt;sn_N,$E642,$C642)</f>
        <v/>
      </c>
      <c r="D643" s="56">
        <f>IF($F642&lt;sn_N,$D642,$E642)</f>
        <v/>
      </c>
      <c r="E643" s="56">
        <f>($C643+$D643)/2</f>
        <v/>
      </c>
      <c r="F643" s="60">
        <f>(fcd_sn*sn_b*sn_h*(3/7+4/7*(1-$E643^2/3))+SUMPRODUCT($J$5:$K$5,$J643:$K643))/1000</f>
        <v/>
      </c>
      <c r="G643" s="60">
        <f>((fcd_sn*sn_b*(3/14*sn_h*(sn_h-3/7*sn_h)+4/7*sn_h*(sn_h/2-3/7*sn_h)*(1-$E643^2/3)-16/49*sn_h^2*(1/2-$E643^2/4))+SUMPRODUCT($J$5:$K$5,$J643:$K643,$J$7:$K$7))/1E6)</f>
        <v/>
      </c>
      <c r="J643">
        <f>MAX(-fyd_sn,MIN(fyd_sn,200000*0.002*(1-$E643*(7*J$6-3*sn_h)/(4*sn_h))))-fcd_sn*(1-MIN(1,MAX(0,$E643*(7*J$6-3*sn_h)/(4*sn_h)))^2)</f>
        <v/>
      </c>
      <c r="K643">
        <f>MAX(-fyd_sn,MIN(fyd_sn,200000*0.002*(1-$E643*(7*K$6-3*sn_h)/(4*sn_h))))-fcd_sn*(1-MIN(1,MAX(0,$E643*(7*K$6-3*sn_h)/(4*sn_h)))^2)</f>
        <v/>
      </c>
    </row>
    <row r="644">
      <c r="B644" s="55" t="n">
        <v>9</v>
      </c>
      <c r="C644" s="56">
        <f>IF($F643&lt;sn_N,$E643,$C643)</f>
        <v/>
      </c>
      <c r="D644" s="56">
        <f>IF($F643&lt;sn_N,$D643,$E643)</f>
        <v/>
      </c>
      <c r="E644" s="56">
        <f>($C644+$D644)/2</f>
        <v/>
      </c>
      <c r="F644" s="60">
        <f>(fcd_sn*sn_b*sn_h*(3/7+4/7*(1-$E644^2/3))+SUMPRODUCT($J$5:$K$5,$J644:$K644))/1000</f>
        <v/>
      </c>
      <c r="G644" s="60">
        <f>((fcd_sn*sn_b*(3/14*sn_h*(sn_h-3/7*sn_h)+4/7*sn_h*(sn_h/2-3/7*sn_h)*(1-$E644^2/3)-16/49*sn_h^2*(1/2-$E644^2/4))+SUMPRODUCT($J$5:$K$5,$J644:$K644,$J$7:$K$7))/1E6)</f>
        <v/>
      </c>
      <c r="J644">
        <f>MAX(-fyd_sn,MIN(fyd_sn,200000*0.002*(1-$E644*(7*J$6-3*sn_h)/(4*sn_h))))-fcd_sn*(1-MIN(1,MAX(0,$E644*(7*J$6-3*sn_h)/(4*sn_h)))^2)</f>
        <v/>
      </c>
      <c r="K644">
        <f>MAX(-fyd_sn,MIN(fyd_sn,200000*0.002*(1-$E644*(7*K$6-3*sn_h)/(4*sn_h))))-fcd_sn*(1-MIN(1,MAX(0,$E644*(7*K$6-3*sn_h)/(4*sn_h)))^2)</f>
        <v/>
      </c>
    </row>
    <row r="645">
      <c r="B645" s="55" t="n">
        <v>10</v>
      </c>
      <c r="C645" s="56">
        <f>IF($F644&lt;sn_N,$E644,$C644)</f>
        <v/>
      </c>
      <c r="D645" s="56">
        <f>IF($F644&lt;sn_N,$D644,$E644)</f>
        <v/>
      </c>
      <c r="E645" s="56">
        <f>($C645+$D645)/2</f>
        <v/>
      </c>
      <c r="F645" s="60">
        <f>(fcd_sn*sn_b*sn_h*(3/7+4/7*(1-$E645^2/3))+SUMPRODUCT($J$5:$K$5,$J645:$K645))/1000</f>
        <v/>
      </c>
      <c r="G645" s="60">
        <f>((fcd_sn*sn_b*(3/14*sn_h*(sn_h-3/7*sn_h)+4/7*sn_h*(sn_h/2-3/7*sn_h)*(1-$E645^2/3)-16/49*sn_h^2*(1/2-$E645^2/4))+SUMPRODUCT($J$5:$K$5,$J645:$K645,$J$7:$K$7))/1E6)</f>
        <v/>
      </c>
      <c r="J645">
        <f>MAX(-fyd_sn,MIN(fyd_sn,200000*0.002*(1-$E645*(7*J$6-3*sn_h)/(4*sn_h))))-fcd_sn*(1-MIN(1,MAX(0,$E645*(7*J$6-3*sn_h)/(4*sn_h)))^2)</f>
        <v/>
      </c>
      <c r="K645">
        <f>MAX(-fyd_sn,MIN(fyd_sn,200000*0.002*(1-$E645*(7*K$6-3*sn_h)/(4*sn_h))))-fcd_sn*(1-MIN(1,MAX(0,$E645*(7*K$6-3*sn_h)/(4*sn_h)))^2)</f>
        <v/>
      </c>
    </row>
    <row r="646">
      <c r="B646" s="55" t="n">
        <v>11</v>
      </c>
      <c r="C646" s="56">
        <f>IF($F645&lt;sn_N,$E645,$C645)</f>
        <v/>
      </c>
      <c r="D646" s="56">
        <f>IF($F645&lt;sn_N,$D645,$E645)</f>
        <v/>
      </c>
      <c r="E646" s="56">
        <f>($C646+$D646)/2</f>
        <v/>
      </c>
      <c r="F646" s="60">
        <f>(fcd_sn*sn_b*sn_h*(3/7+4/7*(1-$E646^2/3))+SUMPRODUCT($J$5:$K$5,$J646:$K646))/1000</f>
        <v/>
      </c>
      <c r="G646" s="60">
        <f>((fcd_sn*sn_b*(3/14*sn_h*(sn_h-3/7*sn_h)+4/7*sn_h*(sn_h/2-3/7*sn_h)*(1-$E646^2/3)-16/49*sn_h^2*(1/2-$E646^2/4))+SUMPRODUCT($J$5:$K$5,$J646:$K646,$J$7:$K$7))/1E6)</f>
        <v/>
      </c>
      <c r="J646">
        <f>MAX(-fyd_sn,MIN(fyd_sn,200000*0.002*(1-$E646*(7*J$6-3*sn_h)/(4*sn_h))))-fcd_sn*(1-MIN(1,MAX(0,$E646*(7*J$6-3*sn_h)/(4*sn_h)))^2)</f>
        <v/>
      </c>
      <c r="K646">
        <f>MAX(-fyd_sn,MIN(fyd_sn,200000*0.002*(1-$E646*(7*K$6-3*sn_h)/(4*sn_h))))-fcd_sn*(1-MIN(1,MAX(0,$E646*(7*K$6-3*sn_h)/(4*sn_h)))^2)</f>
        <v/>
      </c>
    </row>
    <row r="647">
      <c r="B647" s="55" t="n">
        <v>12</v>
      </c>
      <c r="C647" s="56">
        <f>IF($F646&lt;sn_N,$E646,$C646)</f>
        <v/>
      </c>
      <c r="D647" s="56">
        <f>IF($F646&lt;sn_N,$D646,$E646)</f>
        <v/>
      </c>
      <c r="E647" s="56">
        <f>($C647+$D647)/2</f>
        <v/>
      </c>
      <c r="F647" s="60">
        <f>(fcd_sn*sn_b*sn_h*(3/7+4/7*(1-$E647^2/3))+SUMPRODUCT($J$5:$K$5,$J647:$K647))/1000</f>
        <v/>
      </c>
      <c r="G647" s="60">
        <f>((fcd_sn*sn_b*(3/14*sn_h*(sn_h-3/7*sn_h)+4/7*sn_h*(sn_h/2-3/7*sn_h)*(1-$E647^2/3)-16/49*sn_h^2*(1/2-$E647^2/4))+SUMPRODUCT($J$5:$K$5,$J647:$K647,$J$7:$K$7))/1E6)</f>
        <v/>
      </c>
      <c r="J647">
        <f>MAX(-fyd_sn,MIN(fyd_sn,200000*0.002*(1-$E647*(7*J$6-3*sn_h)/(4*sn_h))))-fcd_sn*(1-MIN(1,MAX(0,$E647*(7*J$6-3*sn_h)/(4*sn_h)))^2)</f>
        <v/>
      </c>
      <c r="K647">
        <f>MAX(-fyd_sn,MIN(fyd_sn,200000*0.002*(1-$E647*(7*K$6-3*sn_h)/(4*sn_h))))-fcd_sn*(1-MIN(1,MAX(0,$E647*(7*K$6-3*sn_h)/(4*sn_h)))^2)</f>
        <v/>
      </c>
    </row>
    <row r="648">
      <c r="B648" s="55" t="n">
        <v>13</v>
      </c>
      <c r="C648" s="56">
        <f>IF($F647&lt;sn_N,$E647,$C647)</f>
        <v/>
      </c>
      <c r="D648" s="56">
        <f>IF($F647&lt;sn_N,$D647,$E647)</f>
        <v/>
      </c>
      <c r="E648" s="56">
        <f>($C648+$D648)/2</f>
        <v/>
      </c>
      <c r="F648" s="60">
        <f>(fcd_sn*sn_b*sn_h*(3/7+4/7*(1-$E648^2/3))+SUMPRODUCT($J$5:$K$5,$J648:$K648))/1000</f>
        <v/>
      </c>
      <c r="G648" s="60">
        <f>((fcd_sn*sn_b*(3/14*sn_h*(sn_h-3/7*sn_h)+4/7*sn_h*(sn_h/2-3/7*sn_h)*(1-$E648^2/3)-16/49*sn_h^2*(1/2-$E648^2/4))+SUMPRODUCT($J$5:$K$5,$J648:$K648,$J$7:$K$7))/1E6)</f>
        <v/>
      </c>
      <c r="J648">
        <f>MAX(-fyd_sn,MIN(fyd_sn,200000*0.002*(1-$E648*(7*J$6-3*sn_h)/(4*sn_h))))-fcd_sn*(1-MIN(1,MAX(0,$E648*(7*J$6-3*sn_h)/(4*sn_h)))^2)</f>
        <v/>
      </c>
      <c r="K648">
        <f>MAX(-fyd_sn,MIN(fyd_sn,200000*0.002*(1-$E648*(7*K$6-3*sn_h)/(4*sn_h))))-fcd_sn*(1-MIN(1,MAX(0,$E648*(7*K$6-3*sn_h)/(4*sn_h)))^2)</f>
        <v/>
      </c>
    </row>
    <row r="649">
      <c r="B649" s="55" t="n">
        <v>14</v>
      </c>
      <c r="C649" s="56">
        <f>IF($F648&lt;sn_N,$E648,$C648)</f>
        <v/>
      </c>
      <c r="D649" s="56">
        <f>IF($F648&lt;sn_N,$D648,$E648)</f>
        <v/>
      </c>
      <c r="E649" s="56">
        <f>($C649+$D649)/2</f>
        <v/>
      </c>
      <c r="F649" s="60">
        <f>(fcd_sn*sn_b*sn_h*(3/7+4/7*(1-$E649^2/3))+SUMPRODUCT($J$5:$K$5,$J649:$K649))/1000</f>
        <v/>
      </c>
      <c r="G649" s="60">
        <f>((fcd_sn*sn_b*(3/14*sn_h*(sn_h-3/7*sn_h)+4/7*sn_h*(sn_h/2-3/7*sn_h)*(1-$E649^2/3)-16/49*sn_h^2*(1/2-$E649^2/4))+SUMPRODUCT($J$5:$K$5,$J649:$K649,$J$7:$K$7))/1E6)</f>
        <v/>
      </c>
      <c r="J649">
        <f>MAX(-fyd_sn,MIN(fyd_sn,200000*0.002*(1-$E649*(7*J$6-3*sn_h)/(4*sn_h))))-fcd_sn*(1-MIN(1,MAX(0,$E649*(7*J$6-3*sn_h)/(4*sn_h)))^2)</f>
        <v/>
      </c>
      <c r="K649">
        <f>MAX(-fyd_sn,MIN(fyd_sn,200000*0.002*(1-$E649*(7*K$6-3*sn_h)/(4*sn_h))))-fcd_sn*(1-MIN(1,MAX(0,$E649*(7*K$6-3*sn_h)/(4*sn_h)))^2)</f>
        <v/>
      </c>
    </row>
    <row r="650">
      <c r="B650" s="55" t="n">
        <v>15</v>
      </c>
      <c r="C650" s="56">
        <f>IF($F649&lt;sn_N,$E649,$C649)</f>
        <v/>
      </c>
      <c r="D650" s="56">
        <f>IF($F649&lt;sn_N,$D649,$E649)</f>
        <v/>
      </c>
      <c r="E650" s="56">
        <f>($C650+$D650)/2</f>
        <v/>
      </c>
      <c r="F650" s="60">
        <f>(fcd_sn*sn_b*sn_h*(3/7+4/7*(1-$E650^2/3))+SUMPRODUCT($J$5:$K$5,$J650:$K650))/1000</f>
        <v/>
      </c>
      <c r="G650" s="60">
        <f>((fcd_sn*sn_b*(3/14*sn_h*(sn_h-3/7*sn_h)+4/7*sn_h*(sn_h/2-3/7*sn_h)*(1-$E650^2/3)-16/49*sn_h^2*(1/2-$E650^2/4))+SUMPRODUCT($J$5:$K$5,$J650:$K650,$J$7:$K$7))/1E6)</f>
        <v/>
      </c>
      <c r="J650">
        <f>MAX(-fyd_sn,MIN(fyd_sn,200000*0.002*(1-$E650*(7*J$6-3*sn_h)/(4*sn_h))))-fcd_sn*(1-MIN(1,MAX(0,$E650*(7*J$6-3*sn_h)/(4*sn_h)))^2)</f>
        <v/>
      </c>
      <c r="K650">
        <f>MAX(-fyd_sn,MIN(fyd_sn,200000*0.002*(1-$E650*(7*K$6-3*sn_h)/(4*sn_h))))-fcd_sn*(1-MIN(1,MAX(0,$E650*(7*K$6-3*sn_h)/(4*sn_h)))^2)</f>
        <v/>
      </c>
    </row>
    <row r="651">
      <c r="B651" s="55" t="n">
        <v>16</v>
      </c>
      <c r="C651" s="56">
        <f>IF($F650&lt;sn_N,$E650,$C650)</f>
        <v/>
      </c>
      <c r="D651" s="56">
        <f>IF($F650&lt;sn_N,$D650,$E650)</f>
        <v/>
      </c>
      <c r="E651" s="56">
        <f>($C651+$D651)/2</f>
        <v/>
      </c>
      <c r="F651" s="60">
        <f>(fcd_sn*sn_b*sn_h*(3/7+4/7*(1-$E651^2/3))+SUMPRODUCT($J$5:$K$5,$J651:$K651))/1000</f>
        <v/>
      </c>
      <c r="G651" s="60">
        <f>((fcd_sn*sn_b*(3/14*sn_h*(sn_h-3/7*sn_h)+4/7*sn_h*(sn_h/2-3/7*sn_h)*(1-$E651^2/3)-16/49*sn_h^2*(1/2-$E651^2/4))+SUMPRODUCT($J$5:$K$5,$J651:$K651,$J$7:$K$7))/1E6)</f>
        <v/>
      </c>
      <c r="J651">
        <f>MAX(-fyd_sn,MIN(fyd_sn,200000*0.002*(1-$E651*(7*J$6-3*sn_h)/(4*sn_h))))-fcd_sn*(1-MIN(1,MAX(0,$E651*(7*J$6-3*sn_h)/(4*sn_h)))^2)</f>
        <v/>
      </c>
      <c r="K651">
        <f>MAX(-fyd_sn,MIN(fyd_sn,200000*0.002*(1-$E651*(7*K$6-3*sn_h)/(4*sn_h))))-fcd_sn*(1-MIN(1,MAX(0,$E651*(7*K$6-3*sn_h)/(4*sn_h)))^2)</f>
        <v/>
      </c>
    </row>
    <row r="652">
      <c r="B652" s="55" t="n">
        <v>17</v>
      </c>
      <c r="C652" s="56">
        <f>IF($F651&lt;sn_N,$E651,$C651)</f>
        <v/>
      </c>
      <c r="D652" s="56">
        <f>IF($F651&lt;sn_N,$D651,$E651)</f>
        <v/>
      </c>
      <c r="E652" s="56">
        <f>($C652+$D652)/2</f>
        <v/>
      </c>
      <c r="F652" s="60">
        <f>(fcd_sn*sn_b*sn_h*(3/7+4/7*(1-$E652^2/3))+SUMPRODUCT($J$5:$K$5,$J652:$K652))/1000</f>
        <v/>
      </c>
      <c r="G652" s="60">
        <f>((fcd_sn*sn_b*(3/14*sn_h*(sn_h-3/7*sn_h)+4/7*sn_h*(sn_h/2-3/7*sn_h)*(1-$E652^2/3)-16/49*sn_h^2*(1/2-$E652^2/4))+SUMPRODUCT($J$5:$K$5,$J652:$K652,$J$7:$K$7))/1E6)</f>
        <v/>
      </c>
      <c r="J652">
        <f>MAX(-fyd_sn,MIN(fyd_sn,200000*0.002*(1-$E652*(7*J$6-3*sn_h)/(4*sn_h))))-fcd_sn*(1-MIN(1,MAX(0,$E652*(7*J$6-3*sn_h)/(4*sn_h)))^2)</f>
        <v/>
      </c>
      <c r="K652">
        <f>MAX(-fyd_sn,MIN(fyd_sn,200000*0.002*(1-$E652*(7*K$6-3*sn_h)/(4*sn_h))))-fcd_sn*(1-MIN(1,MAX(0,$E652*(7*K$6-3*sn_h)/(4*sn_h)))^2)</f>
        <v/>
      </c>
    </row>
    <row r="653">
      <c r="B653" s="55" t="n">
        <v>18</v>
      </c>
      <c r="C653" s="56">
        <f>IF($F652&lt;sn_N,$E652,$C652)</f>
        <v/>
      </c>
      <c r="D653" s="56">
        <f>IF($F652&lt;sn_N,$D652,$E652)</f>
        <v/>
      </c>
      <c r="E653" s="56">
        <f>($C653+$D653)/2</f>
        <v/>
      </c>
      <c r="F653" s="60">
        <f>(fcd_sn*sn_b*sn_h*(3/7+4/7*(1-$E653^2/3))+SUMPRODUCT($J$5:$K$5,$J653:$K653))/1000</f>
        <v/>
      </c>
      <c r="G653" s="60">
        <f>((fcd_sn*sn_b*(3/14*sn_h*(sn_h-3/7*sn_h)+4/7*sn_h*(sn_h/2-3/7*sn_h)*(1-$E653^2/3)-16/49*sn_h^2*(1/2-$E653^2/4))+SUMPRODUCT($J$5:$K$5,$J653:$K653,$J$7:$K$7))/1E6)</f>
        <v/>
      </c>
      <c r="J653">
        <f>MAX(-fyd_sn,MIN(fyd_sn,200000*0.002*(1-$E653*(7*J$6-3*sn_h)/(4*sn_h))))-fcd_sn*(1-MIN(1,MAX(0,$E653*(7*J$6-3*sn_h)/(4*sn_h)))^2)</f>
        <v/>
      </c>
      <c r="K653">
        <f>MAX(-fyd_sn,MIN(fyd_sn,200000*0.002*(1-$E653*(7*K$6-3*sn_h)/(4*sn_h))))-fcd_sn*(1-MIN(1,MAX(0,$E653*(7*K$6-3*sn_h)/(4*sn_h)))^2)</f>
        <v/>
      </c>
    </row>
    <row r="654">
      <c r="B654" s="55" t="n">
        <v>19</v>
      </c>
      <c r="C654" s="56">
        <f>IF($F653&lt;sn_N,$E653,$C653)</f>
        <v/>
      </c>
      <c r="D654" s="56">
        <f>IF($F653&lt;sn_N,$D653,$E653)</f>
        <v/>
      </c>
      <c r="E654" s="56">
        <f>($C654+$D654)/2</f>
        <v/>
      </c>
      <c r="F654" s="60">
        <f>(fcd_sn*sn_b*sn_h*(3/7+4/7*(1-$E654^2/3))+SUMPRODUCT($J$5:$K$5,$J654:$K654))/1000</f>
        <v/>
      </c>
      <c r="G654" s="60">
        <f>((fcd_sn*sn_b*(3/14*sn_h*(sn_h-3/7*sn_h)+4/7*sn_h*(sn_h/2-3/7*sn_h)*(1-$E654^2/3)-16/49*sn_h^2*(1/2-$E654^2/4))+SUMPRODUCT($J$5:$K$5,$J654:$K654,$J$7:$K$7))/1E6)</f>
        <v/>
      </c>
      <c r="J654">
        <f>MAX(-fyd_sn,MIN(fyd_sn,200000*0.002*(1-$E654*(7*J$6-3*sn_h)/(4*sn_h))))-fcd_sn*(1-MIN(1,MAX(0,$E654*(7*J$6-3*sn_h)/(4*sn_h)))^2)</f>
        <v/>
      </c>
      <c r="K654">
        <f>MAX(-fyd_sn,MIN(fyd_sn,200000*0.002*(1-$E654*(7*K$6-3*sn_h)/(4*sn_h))))-fcd_sn*(1-MIN(1,MAX(0,$E654*(7*K$6-3*sn_h)/(4*sn_h)))^2)</f>
        <v/>
      </c>
    </row>
    <row r="655">
      <c r="B655" s="55" t="n">
        <v>20</v>
      </c>
      <c r="C655" s="56">
        <f>IF($F654&lt;sn_N,$E654,$C654)</f>
        <v/>
      </c>
      <c r="D655" s="56">
        <f>IF($F654&lt;sn_N,$D654,$E654)</f>
        <v/>
      </c>
      <c r="E655" s="56">
        <f>($C655+$D655)/2</f>
        <v/>
      </c>
      <c r="F655" s="60">
        <f>(fcd_sn*sn_b*sn_h*(3/7+4/7*(1-$E655^2/3))+SUMPRODUCT($J$5:$K$5,$J655:$K655))/1000</f>
        <v/>
      </c>
      <c r="G655" s="60">
        <f>((fcd_sn*sn_b*(3/14*sn_h*(sn_h-3/7*sn_h)+4/7*sn_h*(sn_h/2-3/7*sn_h)*(1-$E655^2/3)-16/49*sn_h^2*(1/2-$E655^2/4))+SUMPRODUCT($J$5:$K$5,$J655:$K655,$J$7:$K$7))/1E6)</f>
        <v/>
      </c>
      <c r="J655">
        <f>MAX(-fyd_sn,MIN(fyd_sn,200000*0.002*(1-$E655*(7*J$6-3*sn_h)/(4*sn_h))))-fcd_sn*(1-MIN(1,MAX(0,$E655*(7*J$6-3*sn_h)/(4*sn_h)))^2)</f>
        <v/>
      </c>
      <c r="K655">
        <f>MAX(-fyd_sn,MIN(fyd_sn,200000*0.002*(1-$E655*(7*K$6-3*sn_h)/(4*sn_h))))-fcd_sn*(1-MIN(1,MAX(0,$E655*(7*K$6-3*sn_h)/(4*sn_h)))^2)</f>
        <v/>
      </c>
    </row>
    <row r="656">
      <c r="B656" s="55" t="n">
        <v>21</v>
      </c>
      <c r="C656" s="56">
        <f>IF($F655&lt;sn_N,$E655,$C655)</f>
        <v/>
      </c>
      <c r="D656" s="56">
        <f>IF($F655&lt;sn_N,$D655,$E655)</f>
        <v/>
      </c>
      <c r="E656" s="56">
        <f>($C656+$D656)/2</f>
        <v/>
      </c>
      <c r="F656" s="60">
        <f>(fcd_sn*sn_b*sn_h*(3/7+4/7*(1-$E656^2/3))+SUMPRODUCT($J$5:$K$5,$J656:$K656))/1000</f>
        <v/>
      </c>
      <c r="G656" s="60">
        <f>((fcd_sn*sn_b*(3/14*sn_h*(sn_h-3/7*sn_h)+4/7*sn_h*(sn_h/2-3/7*sn_h)*(1-$E656^2/3)-16/49*sn_h^2*(1/2-$E656^2/4))+SUMPRODUCT($J$5:$K$5,$J656:$K656,$J$7:$K$7))/1E6)</f>
        <v/>
      </c>
      <c r="J656">
        <f>MAX(-fyd_sn,MIN(fyd_sn,200000*0.002*(1-$E656*(7*J$6-3*sn_h)/(4*sn_h))))-fcd_sn*(1-MIN(1,MAX(0,$E656*(7*J$6-3*sn_h)/(4*sn_h)))^2)</f>
        <v/>
      </c>
      <c r="K656">
        <f>MAX(-fyd_sn,MIN(fyd_sn,200000*0.002*(1-$E656*(7*K$6-3*sn_h)/(4*sn_h))))-fcd_sn*(1-MIN(1,MAX(0,$E656*(7*K$6-3*sn_h)/(4*sn_h)))^2)</f>
        <v/>
      </c>
    </row>
    <row r="657">
      <c r="B657" s="55" t="n">
        <v>22</v>
      </c>
      <c r="C657" s="56">
        <f>IF($F656&lt;sn_N,$E656,$C656)</f>
        <v/>
      </c>
      <c r="D657" s="56">
        <f>IF($F656&lt;sn_N,$D656,$E656)</f>
        <v/>
      </c>
      <c r="E657" s="56">
        <f>($C657+$D657)/2</f>
        <v/>
      </c>
      <c r="F657" s="60">
        <f>(fcd_sn*sn_b*sn_h*(3/7+4/7*(1-$E657^2/3))+SUMPRODUCT($J$5:$K$5,$J657:$K657))/1000</f>
        <v/>
      </c>
      <c r="G657" s="60">
        <f>((fcd_sn*sn_b*(3/14*sn_h*(sn_h-3/7*sn_h)+4/7*sn_h*(sn_h/2-3/7*sn_h)*(1-$E657^2/3)-16/49*sn_h^2*(1/2-$E657^2/4))+SUMPRODUCT($J$5:$K$5,$J657:$K657,$J$7:$K$7))/1E6)</f>
        <v/>
      </c>
      <c r="J657">
        <f>MAX(-fyd_sn,MIN(fyd_sn,200000*0.002*(1-$E657*(7*J$6-3*sn_h)/(4*sn_h))))-fcd_sn*(1-MIN(1,MAX(0,$E657*(7*J$6-3*sn_h)/(4*sn_h)))^2)</f>
        <v/>
      </c>
      <c r="K657">
        <f>MAX(-fyd_sn,MIN(fyd_sn,200000*0.002*(1-$E657*(7*K$6-3*sn_h)/(4*sn_h))))-fcd_sn*(1-MIN(1,MAX(0,$E657*(7*K$6-3*sn_h)/(4*sn_h)))^2)</f>
        <v/>
      </c>
    </row>
    <row r="658">
      <c r="B658" s="55" t="n">
        <v>23</v>
      </c>
      <c r="C658" s="56">
        <f>IF($F657&lt;sn_N,$E657,$C657)</f>
        <v/>
      </c>
      <c r="D658" s="56">
        <f>IF($F657&lt;sn_N,$D657,$E657)</f>
        <v/>
      </c>
      <c r="E658" s="56">
        <f>($C658+$D658)/2</f>
        <v/>
      </c>
      <c r="F658" s="60">
        <f>(fcd_sn*sn_b*sn_h*(3/7+4/7*(1-$E658^2/3))+SUMPRODUCT($J$5:$K$5,$J658:$K658))/1000</f>
        <v/>
      </c>
      <c r="G658" s="60">
        <f>((fcd_sn*sn_b*(3/14*sn_h*(sn_h-3/7*sn_h)+4/7*sn_h*(sn_h/2-3/7*sn_h)*(1-$E658^2/3)-16/49*sn_h^2*(1/2-$E658^2/4))+SUMPRODUCT($J$5:$K$5,$J658:$K658,$J$7:$K$7))/1E6)</f>
        <v/>
      </c>
      <c r="J658">
        <f>MAX(-fyd_sn,MIN(fyd_sn,200000*0.002*(1-$E658*(7*J$6-3*sn_h)/(4*sn_h))))-fcd_sn*(1-MIN(1,MAX(0,$E658*(7*J$6-3*sn_h)/(4*sn_h)))^2)</f>
        <v/>
      </c>
      <c r="K658">
        <f>MAX(-fyd_sn,MIN(fyd_sn,200000*0.002*(1-$E658*(7*K$6-3*sn_h)/(4*sn_h))))-fcd_sn*(1-MIN(1,MAX(0,$E658*(7*K$6-3*sn_h)/(4*sn_h)))^2)</f>
        <v/>
      </c>
    </row>
    <row r="659">
      <c r="B659" s="55" t="n">
        <v>24</v>
      </c>
      <c r="C659" s="56">
        <f>IF($F658&lt;sn_N,$E658,$C658)</f>
        <v/>
      </c>
      <c r="D659" s="56">
        <f>IF($F658&lt;sn_N,$D658,$E658)</f>
        <v/>
      </c>
      <c r="E659" s="56">
        <f>($C659+$D659)/2</f>
        <v/>
      </c>
      <c r="F659" s="60">
        <f>(fcd_sn*sn_b*sn_h*(3/7+4/7*(1-$E659^2/3))+SUMPRODUCT($J$5:$K$5,$J659:$K659))/1000</f>
        <v/>
      </c>
      <c r="G659" s="60">
        <f>((fcd_sn*sn_b*(3/14*sn_h*(sn_h-3/7*sn_h)+4/7*sn_h*(sn_h/2-3/7*sn_h)*(1-$E659^2/3)-16/49*sn_h^2*(1/2-$E659^2/4))+SUMPRODUCT($J$5:$K$5,$J659:$K659,$J$7:$K$7))/1E6)</f>
        <v/>
      </c>
      <c r="J659">
        <f>MAX(-fyd_sn,MIN(fyd_sn,200000*0.002*(1-$E659*(7*J$6-3*sn_h)/(4*sn_h))))-fcd_sn*(1-MIN(1,MAX(0,$E659*(7*J$6-3*sn_h)/(4*sn_h)))^2)</f>
        <v/>
      </c>
      <c r="K659">
        <f>MAX(-fyd_sn,MIN(fyd_sn,200000*0.002*(1-$E659*(7*K$6-3*sn_h)/(4*sn_h))))-fcd_sn*(1-MIN(1,MAX(0,$E659*(7*K$6-3*sn_h)/(4*sn_h)))^2)</f>
        <v/>
      </c>
    </row>
    <row r="660">
      <c r="B660" s="55" t="n">
        <v>25</v>
      </c>
      <c r="C660" s="56">
        <f>IF($F659&lt;sn_N,$E659,$C659)</f>
        <v/>
      </c>
      <c r="D660" s="56">
        <f>IF($F659&lt;sn_N,$D659,$E659)</f>
        <v/>
      </c>
      <c r="E660" s="56">
        <f>($C660+$D660)/2</f>
        <v/>
      </c>
      <c r="F660" s="60">
        <f>(fcd_sn*sn_b*sn_h*(3/7+4/7*(1-$E660^2/3))+SUMPRODUCT($J$5:$K$5,$J660:$K660))/1000</f>
        <v/>
      </c>
      <c r="G660" s="60">
        <f>((fcd_sn*sn_b*(3/14*sn_h*(sn_h-3/7*sn_h)+4/7*sn_h*(sn_h/2-3/7*sn_h)*(1-$E660^2/3)-16/49*sn_h^2*(1/2-$E660^2/4))+SUMPRODUCT($J$5:$K$5,$J660:$K660,$J$7:$K$7))/1E6)</f>
        <v/>
      </c>
      <c r="J660">
        <f>MAX(-fyd_sn,MIN(fyd_sn,200000*0.002*(1-$E660*(7*J$6-3*sn_h)/(4*sn_h))))-fcd_sn*(1-MIN(1,MAX(0,$E660*(7*J$6-3*sn_h)/(4*sn_h)))^2)</f>
        <v/>
      </c>
      <c r="K660">
        <f>MAX(-fyd_sn,MIN(fyd_sn,200000*0.002*(1-$E660*(7*K$6-3*sn_h)/(4*sn_h))))-fcd_sn*(1-MIN(1,MAX(0,$E660*(7*K$6-3*sn_h)/(4*sn_h)))^2)</f>
        <v/>
      </c>
    </row>
    <row r="661">
      <c r="B661" s="55" t="n">
        <v>26</v>
      </c>
      <c r="C661" s="56">
        <f>IF($F660&lt;sn_N,$E660,$C660)</f>
        <v/>
      </c>
      <c r="D661" s="56">
        <f>IF($F660&lt;sn_N,$D660,$E660)</f>
        <v/>
      </c>
      <c r="E661" s="56">
        <f>($C661+$D661)/2</f>
        <v/>
      </c>
      <c r="F661" s="60">
        <f>(fcd_sn*sn_b*sn_h*(3/7+4/7*(1-$E661^2/3))+SUMPRODUCT($J$5:$K$5,$J661:$K661))/1000</f>
        <v/>
      </c>
      <c r="G661" s="60">
        <f>((fcd_sn*sn_b*(3/14*sn_h*(sn_h-3/7*sn_h)+4/7*sn_h*(sn_h/2-3/7*sn_h)*(1-$E661^2/3)-16/49*sn_h^2*(1/2-$E661^2/4))+SUMPRODUCT($J$5:$K$5,$J661:$K661,$J$7:$K$7))/1E6)</f>
        <v/>
      </c>
      <c r="J661">
        <f>MAX(-fyd_sn,MIN(fyd_sn,200000*0.002*(1-$E661*(7*J$6-3*sn_h)/(4*sn_h))))-fcd_sn*(1-MIN(1,MAX(0,$E661*(7*J$6-3*sn_h)/(4*sn_h)))^2)</f>
        <v/>
      </c>
      <c r="K661">
        <f>MAX(-fyd_sn,MIN(fyd_sn,200000*0.002*(1-$E661*(7*K$6-3*sn_h)/(4*sn_h))))-fcd_sn*(1-MIN(1,MAX(0,$E661*(7*K$6-3*sn_h)/(4*sn_h)))^2)</f>
        <v/>
      </c>
    </row>
    <row r="662">
      <c r="B662" s="55" t="n">
        <v>27</v>
      </c>
      <c r="C662" s="56">
        <f>IF($F661&lt;sn_N,$E661,$C661)</f>
        <v/>
      </c>
      <c r="D662" s="56">
        <f>IF($F661&lt;sn_N,$D661,$E661)</f>
        <v/>
      </c>
      <c r="E662" s="56">
        <f>($C662+$D662)/2</f>
        <v/>
      </c>
      <c r="F662" s="60">
        <f>(fcd_sn*sn_b*sn_h*(3/7+4/7*(1-$E662^2/3))+SUMPRODUCT($J$5:$K$5,$J662:$K662))/1000</f>
        <v/>
      </c>
      <c r="G662" s="60">
        <f>((fcd_sn*sn_b*(3/14*sn_h*(sn_h-3/7*sn_h)+4/7*sn_h*(sn_h/2-3/7*sn_h)*(1-$E662^2/3)-16/49*sn_h^2*(1/2-$E662^2/4))+SUMPRODUCT($J$5:$K$5,$J662:$K662,$J$7:$K$7))/1E6)</f>
        <v/>
      </c>
      <c r="J662">
        <f>MAX(-fyd_sn,MIN(fyd_sn,200000*0.002*(1-$E662*(7*J$6-3*sn_h)/(4*sn_h))))-fcd_sn*(1-MIN(1,MAX(0,$E662*(7*J$6-3*sn_h)/(4*sn_h)))^2)</f>
        <v/>
      </c>
      <c r="K662">
        <f>MAX(-fyd_sn,MIN(fyd_sn,200000*0.002*(1-$E662*(7*K$6-3*sn_h)/(4*sn_h))))-fcd_sn*(1-MIN(1,MAX(0,$E662*(7*K$6-3*sn_h)/(4*sn_h)))^2)</f>
        <v/>
      </c>
    </row>
    <row r="663">
      <c r="B663" s="55" t="n">
        <v>28</v>
      </c>
      <c r="C663" s="56">
        <f>IF($F662&lt;sn_N,$E662,$C662)</f>
        <v/>
      </c>
      <c r="D663" s="56">
        <f>IF($F662&lt;sn_N,$D662,$E662)</f>
        <v/>
      </c>
      <c r="E663" s="56">
        <f>($C663+$D663)/2</f>
        <v/>
      </c>
      <c r="F663" s="60">
        <f>(fcd_sn*sn_b*sn_h*(3/7+4/7*(1-$E663^2/3))+SUMPRODUCT($J$5:$K$5,$J663:$K663))/1000</f>
        <v/>
      </c>
      <c r="G663" s="60">
        <f>((fcd_sn*sn_b*(3/14*sn_h*(sn_h-3/7*sn_h)+4/7*sn_h*(sn_h/2-3/7*sn_h)*(1-$E663^2/3)-16/49*sn_h^2*(1/2-$E663^2/4))+SUMPRODUCT($J$5:$K$5,$J663:$K663,$J$7:$K$7))/1E6)</f>
        <v/>
      </c>
      <c r="J663">
        <f>MAX(-fyd_sn,MIN(fyd_sn,200000*0.002*(1-$E663*(7*J$6-3*sn_h)/(4*sn_h))))-fcd_sn*(1-MIN(1,MAX(0,$E663*(7*J$6-3*sn_h)/(4*sn_h)))^2)</f>
        <v/>
      </c>
      <c r="K663">
        <f>MAX(-fyd_sn,MIN(fyd_sn,200000*0.002*(1-$E663*(7*K$6-3*sn_h)/(4*sn_h))))-fcd_sn*(1-MIN(1,MAX(0,$E663*(7*K$6-3*sn_h)/(4*sn_h)))^2)</f>
        <v/>
      </c>
    </row>
    <row r="664">
      <c r="B664" s="55" t="n">
        <v>29</v>
      </c>
      <c r="C664" s="56">
        <f>IF($F663&lt;sn_N,$E663,$C663)</f>
        <v/>
      </c>
      <c r="D664" s="56">
        <f>IF($F663&lt;sn_N,$D663,$E663)</f>
        <v/>
      </c>
      <c r="E664" s="56">
        <f>($C664+$D664)/2</f>
        <v/>
      </c>
      <c r="F664" s="60">
        <f>(fcd_sn*sn_b*sn_h*(3/7+4/7*(1-$E664^2/3))+SUMPRODUCT($J$5:$K$5,$J664:$K664))/1000</f>
        <v/>
      </c>
      <c r="G664" s="60">
        <f>((fcd_sn*sn_b*(3/14*sn_h*(sn_h-3/7*sn_h)+4/7*sn_h*(sn_h/2-3/7*sn_h)*(1-$E664^2/3)-16/49*sn_h^2*(1/2-$E664^2/4))+SUMPRODUCT($J$5:$K$5,$J664:$K664,$J$7:$K$7))/1E6)</f>
        <v/>
      </c>
      <c r="J664">
        <f>MAX(-fyd_sn,MIN(fyd_sn,200000*0.002*(1-$E664*(7*J$6-3*sn_h)/(4*sn_h))))-fcd_sn*(1-MIN(1,MAX(0,$E664*(7*J$6-3*sn_h)/(4*sn_h)))^2)</f>
        <v/>
      </c>
      <c r="K664">
        <f>MAX(-fyd_sn,MIN(fyd_sn,200000*0.002*(1-$E664*(7*K$6-3*sn_h)/(4*sn_h))))-fcd_sn*(1-MIN(1,MAX(0,$E664*(7*K$6-3*sn_h)/(4*sn_h)))^2)</f>
        <v/>
      </c>
    </row>
    <row r="665">
      <c r="B665" s="55" t="n">
        <v>30</v>
      </c>
      <c r="C665" s="56">
        <f>IF($F664&lt;sn_N,$E664,$C664)</f>
        <v/>
      </c>
      <c r="D665" s="56">
        <f>IF($F664&lt;sn_N,$D664,$E664)</f>
        <v/>
      </c>
      <c r="E665" s="56">
        <f>($C665+$D665)/2</f>
        <v/>
      </c>
      <c r="F665" s="60">
        <f>(fcd_sn*sn_b*sn_h*(3/7+4/7*(1-$E665^2/3))+SUMPRODUCT($J$5:$K$5,$J665:$K665))/1000</f>
        <v/>
      </c>
      <c r="G665" s="60">
        <f>((fcd_sn*sn_b*(3/14*sn_h*(sn_h-3/7*sn_h)+4/7*sn_h*(sn_h/2-3/7*sn_h)*(1-$E665^2/3)-16/49*sn_h^2*(1/2-$E665^2/4))+SUMPRODUCT($J$5:$K$5,$J665:$K665,$J$7:$K$7))/1E6)</f>
        <v/>
      </c>
      <c r="J665">
        <f>MAX(-fyd_sn,MIN(fyd_sn,200000*0.002*(1-$E665*(7*J$6-3*sn_h)/(4*sn_h))))-fcd_sn*(1-MIN(1,MAX(0,$E665*(7*J$6-3*sn_h)/(4*sn_h)))^2)</f>
        <v/>
      </c>
      <c r="K665">
        <f>MAX(-fyd_sn,MIN(fyd_sn,200000*0.002*(1-$E665*(7*K$6-3*sn_h)/(4*sn_h))))-fcd_sn*(1-MIN(1,MAX(0,$E665*(7*K$6-3*sn_h)/(4*sn_h)))^2)</f>
        <v/>
      </c>
    </row>
    <row r="666">
      <c r="B666" s="55" t="n">
        <v>31</v>
      </c>
      <c r="C666" s="56">
        <f>IF($F665&lt;sn_N,$E665,$C665)</f>
        <v/>
      </c>
      <c r="D666" s="56">
        <f>IF($F665&lt;sn_N,$D665,$E665)</f>
        <v/>
      </c>
      <c r="E666" s="56">
        <f>($C666+$D666)/2</f>
        <v/>
      </c>
      <c r="F666" s="60">
        <f>(fcd_sn*sn_b*sn_h*(3/7+4/7*(1-$E666^2/3))+SUMPRODUCT($J$5:$K$5,$J666:$K666))/1000</f>
        <v/>
      </c>
      <c r="G666" s="60">
        <f>((fcd_sn*sn_b*(3/14*sn_h*(sn_h-3/7*sn_h)+4/7*sn_h*(sn_h/2-3/7*sn_h)*(1-$E666^2/3)-16/49*sn_h^2*(1/2-$E666^2/4))+SUMPRODUCT($J$5:$K$5,$J666:$K666,$J$7:$K$7))/1E6)</f>
        <v/>
      </c>
      <c r="J666">
        <f>MAX(-fyd_sn,MIN(fyd_sn,200000*0.002*(1-$E666*(7*J$6-3*sn_h)/(4*sn_h))))-fcd_sn*(1-MIN(1,MAX(0,$E666*(7*J$6-3*sn_h)/(4*sn_h)))^2)</f>
        <v/>
      </c>
      <c r="K666">
        <f>MAX(-fyd_sn,MIN(fyd_sn,200000*0.002*(1-$E666*(7*K$6-3*sn_h)/(4*sn_h))))-fcd_sn*(1-MIN(1,MAX(0,$E666*(7*K$6-3*sn_h)/(4*sn_h)))^2)</f>
        <v/>
      </c>
    </row>
    <row r="667">
      <c r="B667" s="55" t="n">
        <v>32</v>
      </c>
      <c r="C667" s="56">
        <f>IF($F666&lt;sn_N,$E666,$C666)</f>
        <v/>
      </c>
      <c r="D667" s="56">
        <f>IF($F666&lt;sn_N,$D666,$E666)</f>
        <v/>
      </c>
      <c r="E667" s="56">
        <f>($C667+$D667)/2</f>
        <v/>
      </c>
      <c r="F667" s="60">
        <f>(fcd_sn*sn_b*sn_h*(3/7+4/7*(1-$E667^2/3))+SUMPRODUCT($J$5:$K$5,$J667:$K667))/1000</f>
        <v/>
      </c>
      <c r="G667" s="60">
        <f>((fcd_sn*sn_b*(3/14*sn_h*(sn_h-3/7*sn_h)+4/7*sn_h*(sn_h/2-3/7*sn_h)*(1-$E667^2/3)-16/49*sn_h^2*(1/2-$E667^2/4))+SUMPRODUCT($J$5:$K$5,$J667:$K667,$J$7:$K$7))/1E6)</f>
        <v/>
      </c>
      <c r="J667">
        <f>MAX(-fyd_sn,MIN(fyd_sn,200000*0.002*(1-$E667*(7*J$6-3*sn_h)/(4*sn_h))))-fcd_sn*(1-MIN(1,MAX(0,$E667*(7*J$6-3*sn_h)/(4*sn_h)))^2)</f>
        <v/>
      </c>
      <c r="K667">
        <f>MAX(-fyd_sn,MIN(fyd_sn,200000*0.002*(1-$E667*(7*K$6-3*sn_h)/(4*sn_h))))-fcd_sn*(1-MIN(1,MAX(0,$E667*(7*K$6-3*sn_h)/(4*sn_h)))^2)</f>
        <v/>
      </c>
    </row>
    <row r="668">
      <c r="B668" s="55" t="n">
        <v>33</v>
      </c>
      <c r="C668" s="56">
        <f>IF($F667&lt;sn_N,$E667,$C667)</f>
        <v/>
      </c>
      <c r="D668" s="56">
        <f>IF($F667&lt;sn_N,$D667,$E667)</f>
        <v/>
      </c>
      <c r="E668" s="56">
        <f>($C668+$D668)/2</f>
        <v/>
      </c>
      <c r="F668" s="60">
        <f>(fcd_sn*sn_b*sn_h*(3/7+4/7*(1-$E668^2/3))+SUMPRODUCT($J$5:$K$5,$J668:$K668))/1000</f>
        <v/>
      </c>
      <c r="G668" s="60">
        <f>((fcd_sn*sn_b*(3/14*sn_h*(sn_h-3/7*sn_h)+4/7*sn_h*(sn_h/2-3/7*sn_h)*(1-$E668^2/3)-16/49*sn_h^2*(1/2-$E668^2/4))+SUMPRODUCT($J$5:$K$5,$J668:$K668,$J$7:$K$7))/1E6)</f>
        <v/>
      </c>
      <c r="J668">
        <f>MAX(-fyd_sn,MIN(fyd_sn,200000*0.002*(1-$E668*(7*J$6-3*sn_h)/(4*sn_h))))-fcd_sn*(1-MIN(1,MAX(0,$E668*(7*J$6-3*sn_h)/(4*sn_h)))^2)</f>
        <v/>
      </c>
      <c r="K668">
        <f>MAX(-fyd_sn,MIN(fyd_sn,200000*0.002*(1-$E668*(7*K$6-3*sn_h)/(4*sn_h))))-fcd_sn*(1-MIN(1,MAX(0,$E668*(7*K$6-3*sn_h)/(4*sn_h)))^2)</f>
        <v/>
      </c>
    </row>
    <row r="669">
      <c r="B669" s="55" t="n">
        <v>34</v>
      </c>
      <c r="C669" s="56">
        <f>IF($F668&lt;sn_N,$E668,$C668)</f>
        <v/>
      </c>
      <c r="D669" s="56">
        <f>IF($F668&lt;sn_N,$D668,$E668)</f>
        <v/>
      </c>
      <c r="E669" s="56">
        <f>($C669+$D669)/2</f>
        <v/>
      </c>
      <c r="F669" s="60">
        <f>(fcd_sn*sn_b*sn_h*(3/7+4/7*(1-$E669^2/3))+SUMPRODUCT($J$5:$K$5,$J669:$K669))/1000</f>
        <v/>
      </c>
      <c r="G669" s="60">
        <f>((fcd_sn*sn_b*(3/14*sn_h*(sn_h-3/7*sn_h)+4/7*sn_h*(sn_h/2-3/7*sn_h)*(1-$E669^2/3)-16/49*sn_h^2*(1/2-$E669^2/4))+SUMPRODUCT($J$5:$K$5,$J669:$K669,$J$7:$K$7))/1E6)</f>
        <v/>
      </c>
      <c r="J669">
        <f>MAX(-fyd_sn,MIN(fyd_sn,200000*0.002*(1-$E669*(7*J$6-3*sn_h)/(4*sn_h))))-fcd_sn*(1-MIN(1,MAX(0,$E669*(7*J$6-3*sn_h)/(4*sn_h)))^2)</f>
        <v/>
      </c>
      <c r="K669">
        <f>MAX(-fyd_sn,MIN(fyd_sn,200000*0.002*(1-$E669*(7*K$6-3*sn_h)/(4*sn_h))))-fcd_sn*(1-MIN(1,MAX(0,$E669*(7*K$6-3*sn_h)/(4*sn_h)))^2)</f>
        <v/>
      </c>
    </row>
    <row r="670">
      <c r="B670" s="55" t="n">
        <v>35</v>
      </c>
      <c r="C670" s="56">
        <f>IF($F669&lt;sn_N,$E669,$C669)</f>
        <v/>
      </c>
      <c r="D670" s="56">
        <f>IF($F669&lt;sn_N,$D669,$E669)</f>
        <v/>
      </c>
      <c r="E670" s="56">
        <f>($C670+$D670)/2</f>
        <v/>
      </c>
      <c r="F670" s="60">
        <f>(fcd_sn*sn_b*sn_h*(3/7+4/7*(1-$E670^2/3))+SUMPRODUCT($J$5:$K$5,$J670:$K670))/1000</f>
        <v/>
      </c>
      <c r="G670" s="60">
        <f>((fcd_sn*sn_b*(3/14*sn_h*(sn_h-3/7*sn_h)+4/7*sn_h*(sn_h/2-3/7*sn_h)*(1-$E670^2/3)-16/49*sn_h^2*(1/2-$E670^2/4))+SUMPRODUCT($J$5:$K$5,$J670:$K670,$J$7:$K$7))/1E6)</f>
        <v/>
      </c>
      <c r="J670">
        <f>MAX(-fyd_sn,MIN(fyd_sn,200000*0.002*(1-$E670*(7*J$6-3*sn_h)/(4*sn_h))))-fcd_sn*(1-MIN(1,MAX(0,$E670*(7*J$6-3*sn_h)/(4*sn_h)))^2)</f>
        <v/>
      </c>
      <c r="K670">
        <f>MAX(-fyd_sn,MIN(fyd_sn,200000*0.002*(1-$E670*(7*K$6-3*sn_h)/(4*sn_h))))-fcd_sn*(1-MIN(1,MAX(0,$E670*(7*K$6-3*sn_h)/(4*sn_h)))^2)</f>
        <v/>
      </c>
    </row>
    <row r="671">
      <c r="B671" s="55" t="n">
        <v>36</v>
      </c>
      <c r="C671" s="56">
        <f>IF($F670&lt;sn_N,$E670,$C670)</f>
        <v/>
      </c>
      <c r="D671" s="56">
        <f>IF($F670&lt;sn_N,$D670,$E670)</f>
        <v/>
      </c>
      <c r="E671" s="56">
        <f>($C671+$D671)/2</f>
        <v/>
      </c>
      <c r="F671" s="60">
        <f>(fcd_sn*sn_b*sn_h*(3/7+4/7*(1-$E671^2/3))+SUMPRODUCT($J$5:$K$5,$J671:$K671))/1000</f>
        <v/>
      </c>
      <c r="G671" s="60">
        <f>((fcd_sn*sn_b*(3/14*sn_h*(sn_h-3/7*sn_h)+4/7*sn_h*(sn_h/2-3/7*sn_h)*(1-$E671^2/3)-16/49*sn_h^2*(1/2-$E671^2/4))+SUMPRODUCT($J$5:$K$5,$J671:$K671,$J$7:$K$7))/1E6)</f>
        <v/>
      </c>
      <c r="J671">
        <f>MAX(-fyd_sn,MIN(fyd_sn,200000*0.002*(1-$E671*(7*J$6-3*sn_h)/(4*sn_h))))-fcd_sn*(1-MIN(1,MAX(0,$E671*(7*J$6-3*sn_h)/(4*sn_h)))^2)</f>
        <v/>
      </c>
      <c r="K671">
        <f>MAX(-fyd_sn,MIN(fyd_sn,200000*0.002*(1-$E671*(7*K$6-3*sn_h)/(4*sn_h))))-fcd_sn*(1-MIN(1,MAX(0,$E671*(7*K$6-3*sn_h)/(4*sn_h)))^2)</f>
        <v/>
      </c>
    </row>
    <row r="672">
      <c r="B672" s="55" t="n">
        <v>37</v>
      </c>
      <c r="C672" s="56">
        <f>IF($F671&lt;sn_N,$E671,$C671)</f>
        <v/>
      </c>
      <c r="D672" s="56">
        <f>IF($F671&lt;sn_N,$D671,$E671)</f>
        <v/>
      </c>
      <c r="E672" s="56">
        <f>($C672+$D672)/2</f>
        <v/>
      </c>
      <c r="F672" s="60">
        <f>(fcd_sn*sn_b*sn_h*(3/7+4/7*(1-$E672^2/3))+SUMPRODUCT($J$5:$K$5,$J672:$K672))/1000</f>
        <v/>
      </c>
      <c r="G672" s="60">
        <f>((fcd_sn*sn_b*(3/14*sn_h*(sn_h-3/7*sn_h)+4/7*sn_h*(sn_h/2-3/7*sn_h)*(1-$E672^2/3)-16/49*sn_h^2*(1/2-$E672^2/4))+SUMPRODUCT($J$5:$K$5,$J672:$K672,$J$7:$K$7))/1E6)</f>
        <v/>
      </c>
      <c r="J672">
        <f>MAX(-fyd_sn,MIN(fyd_sn,200000*0.002*(1-$E672*(7*J$6-3*sn_h)/(4*sn_h))))-fcd_sn*(1-MIN(1,MAX(0,$E672*(7*J$6-3*sn_h)/(4*sn_h)))^2)</f>
        <v/>
      </c>
      <c r="K672">
        <f>MAX(-fyd_sn,MIN(fyd_sn,200000*0.002*(1-$E672*(7*K$6-3*sn_h)/(4*sn_h))))-fcd_sn*(1-MIN(1,MAX(0,$E672*(7*K$6-3*sn_h)/(4*sn_h)))^2)</f>
        <v/>
      </c>
    </row>
    <row r="673">
      <c r="B673" s="55" t="n">
        <v>38</v>
      </c>
      <c r="C673" s="56">
        <f>IF($F672&lt;sn_N,$E672,$C672)</f>
        <v/>
      </c>
      <c r="D673" s="56">
        <f>IF($F672&lt;sn_N,$D672,$E672)</f>
        <v/>
      </c>
      <c r="E673" s="56">
        <f>($C673+$D673)/2</f>
        <v/>
      </c>
      <c r="F673" s="60">
        <f>(fcd_sn*sn_b*sn_h*(3/7+4/7*(1-$E673^2/3))+SUMPRODUCT($J$5:$K$5,$J673:$K673))/1000</f>
        <v/>
      </c>
      <c r="G673" s="60">
        <f>((fcd_sn*sn_b*(3/14*sn_h*(sn_h-3/7*sn_h)+4/7*sn_h*(sn_h/2-3/7*sn_h)*(1-$E673^2/3)-16/49*sn_h^2*(1/2-$E673^2/4))+SUMPRODUCT($J$5:$K$5,$J673:$K673,$J$7:$K$7))/1E6)</f>
        <v/>
      </c>
      <c r="J673">
        <f>MAX(-fyd_sn,MIN(fyd_sn,200000*0.002*(1-$E673*(7*J$6-3*sn_h)/(4*sn_h))))-fcd_sn*(1-MIN(1,MAX(0,$E673*(7*J$6-3*sn_h)/(4*sn_h)))^2)</f>
        <v/>
      </c>
      <c r="K673">
        <f>MAX(-fyd_sn,MIN(fyd_sn,200000*0.002*(1-$E673*(7*K$6-3*sn_h)/(4*sn_h))))-fcd_sn*(1-MIN(1,MAX(0,$E673*(7*K$6-3*sn_h)/(4*sn_h)))^2)</f>
        <v/>
      </c>
    </row>
    <row r="674">
      <c r="B674" s="55" t="n">
        <v>39</v>
      </c>
      <c r="C674" s="56">
        <f>IF($F673&lt;sn_N,$E673,$C673)</f>
        <v/>
      </c>
      <c r="D674" s="56">
        <f>IF($F673&lt;sn_N,$D673,$E673)</f>
        <v/>
      </c>
      <c r="E674" s="56">
        <f>($C674+$D674)/2</f>
        <v/>
      </c>
      <c r="F674" s="60">
        <f>(fcd_sn*sn_b*sn_h*(3/7+4/7*(1-$E674^2/3))+SUMPRODUCT($J$5:$K$5,$J674:$K674))/1000</f>
        <v/>
      </c>
      <c r="G674" s="60">
        <f>((fcd_sn*sn_b*(3/14*sn_h*(sn_h-3/7*sn_h)+4/7*sn_h*(sn_h/2-3/7*sn_h)*(1-$E674^2/3)-16/49*sn_h^2*(1/2-$E674^2/4))+SUMPRODUCT($J$5:$K$5,$J674:$K674,$J$7:$K$7))/1E6)</f>
        <v/>
      </c>
      <c r="J674">
        <f>MAX(-fyd_sn,MIN(fyd_sn,200000*0.002*(1-$E674*(7*J$6-3*sn_h)/(4*sn_h))))-fcd_sn*(1-MIN(1,MAX(0,$E674*(7*J$6-3*sn_h)/(4*sn_h)))^2)</f>
        <v/>
      </c>
      <c r="K674">
        <f>MAX(-fyd_sn,MIN(fyd_sn,200000*0.002*(1-$E674*(7*K$6-3*sn_h)/(4*sn_h))))-fcd_sn*(1-MIN(1,MAX(0,$E674*(7*K$6-3*sn_h)/(4*sn_h)))^2)</f>
        <v/>
      </c>
    </row>
    <row r="675">
      <c r="B675" s="55" t="n">
        <v>40</v>
      </c>
      <c r="C675" s="56">
        <f>IF($F674&lt;sn_N,$E674,$C674)</f>
        <v/>
      </c>
      <c r="D675" s="56">
        <f>IF($F674&lt;sn_N,$D674,$E674)</f>
        <v/>
      </c>
      <c r="E675" s="56">
        <f>($C675+$D675)/2</f>
        <v/>
      </c>
      <c r="F675" s="60">
        <f>(fcd_sn*sn_b*sn_h*(3/7+4/7*(1-$E675^2/3))+SUMPRODUCT($J$5:$K$5,$J675:$K675))/1000</f>
        <v/>
      </c>
      <c r="G675" s="60">
        <f>((fcd_sn*sn_b*(3/14*sn_h*(sn_h-3/7*sn_h)+4/7*sn_h*(sn_h/2-3/7*sn_h)*(1-$E675^2/3)-16/49*sn_h^2*(1/2-$E675^2/4))+SUMPRODUCT($J$5:$K$5,$J675:$K675,$J$7:$K$7))/1E6)</f>
        <v/>
      </c>
      <c r="J675">
        <f>MAX(-fyd_sn,MIN(fyd_sn,200000*0.002*(1-$E675*(7*J$6-3*sn_h)/(4*sn_h))))-fcd_sn*(1-MIN(1,MAX(0,$E675*(7*J$6-3*sn_h)/(4*sn_h)))^2)</f>
        <v/>
      </c>
      <c r="K675">
        <f>MAX(-fyd_sn,MIN(fyd_sn,200000*0.002*(1-$E675*(7*K$6-3*sn_h)/(4*sn_h))))-fcd_sn*(1-MIN(1,MAX(0,$E675*(7*K$6-3*sn_h)/(4*sn_h)))^2)</f>
        <v/>
      </c>
    </row>
    <row r="676">
      <c r="B676" s="55" t="n">
        <v>41</v>
      </c>
      <c r="C676" s="56">
        <f>IF($F675&lt;sn_N,$E675,$C675)</f>
        <v/>
      </c>
      <c r="D676" s="56">
        <f>IF($F675&lt;sn_N,$D675,$E675)</f>
        <v/>
      </c>
      <c r="E676" s="56">
        <f>($C676+$D676)/2</f>
        <v/>
      </c>
      <c r="F676" s="60">
        <f>(fcd_sn*sn_b*sn_h*(3/7+4/7*(1-$E676^2/3))+SUMPRODUCT($J$5:$K$5,$J676:$K676))/1000</f>
        <v/>
      </c>
      <c r="G676" s="60">
        <f>((fcd_sn*sn_b*(3/14*sn_h*(sn_h-3/7*sn_h)+4/7*sn_h*(sn_h/2-3/7*sn_h)*(1-$E676^2/3)-16/49*sn_h^2*(1/2-$E676^2/4))+SUMPRODUCT($J$5:$K$5,$J676:$K676,$J$7:$K$7))/1E6)</f>
        <v/>
      </c>
      <c r="J676">
        <f>MAX(-fyd_sn,MIN(fyd_sn,200000*0.002*(1-$E676*(7*J$6-3*sn_h)/(4*sn_h))))-fcd_sn*(1-MIN(1,MAX(0,$E676*(7*J$6-3*sn_h)/(4*sn_h)))^2)</f>
        <v/>
      </c>
      <c r="K676">
        <f>MAX(-fyd_sn,MIN(fyd_sn,200000*0.002*(1-$E676*(7*K$6-3*sn_h)/(4*sn_h))))-fcd_sn*(1-MIN(1,MAX(0,$E676*(7*K$6-3*sn_h)/(4*sn_h)))^2)</f>
        <v/>
      </c>
    </row>
    <row r="677">
      <c r="B677" s="55" t="n">
        <v>42</v>
      </c>
      <c r="C677" s="56">
        <f>IF($F676&lt;sn_N,$E676,$C676)</f>
        <v/>
      </c>
      <c r="D677" s="56">
        <f>IF($F676&lt;sn_N,$D676,$E676)</f>
        <v/>
      </c>
      <c r="E677" s="56">
        <f>($C677+$D677)/2</f>
        <v/>
      </c>
      <c r="F677" s="60">
        <f>(fcd_sn*sn_b*sn_h*(3/7+4/7*(1-$E677^2/3))+SUMPRODUCT($J$5:$K$5,$J677:$K677))/1000</f>
        <v/>
      </c>
      <c r="G677" s="60">
        <f>((fcd_sn*sn_b*(3/14*sn_h*(sn_h-3/7*sn_h)+4/7*sn_h*(sn_h/2-3/7*sn_h)*(1-$E677^2/3)-16/49*sn_h^2*(1/2-$E677^2/4))+SUMPRODUCT($J$5:$K$5,$J677:$K677,$J$7:$K$7))/1E6)</f>
        <v/>
      </c>
      <c r="J677">
        <f>MAX(-fyd_sn,MIN(fyd_sn,200000*0.002*(1-$E677*(7*J$6-3*sn_h)/(4*sn_h))))-fcd_sn*(1-MIN(1,MAX(0,$E677*(7*J$6-3*sn_h)/(4*sn_h)))^2)</f>
        <v/>
      </c>
      <c r="K677">
        <f>MAX(-fyd_sn,MIN(fyd_sn,200000*0.002*(1-$E677*(7*K$6-3*sn_h)/(4*sn_h))))-fcd_sn*(1-MIN(1,MAX(0,$E677*(7*K$6-3*sn_h)/(4*sn_h)))^2)</f>
        <v/>
      </c>
    </row>
    <row r="678">
      <c r="B678" s="55" t="n">
        <v>43</v>
      </c>
      <c r="C678" s="56">
        <f>IF($F677&lt;sn_N,$E677,$C677)</f>
        <v/>
      </c>
      <c r="D678" s="56">
        <f>IF($F677&lt;sn_N,$D677,$E677)</f>
        <v/>
      </c>
      <c r="E678" s="56">
        <f>($C678+$D678)/2</f>
        <v/>
      </c>
      <c r="F678" s="60">
        <f>(fcd_sn*sn_b*sn_h*(3/7+4/7*(1-$E678^2/3))+SUMPRODUCT($J$5:$K$5,$J678:$K678))/1000</f>
        <v/>
      </c>
      <c r="G678" s="60">
        <f>((fcd_sn*sn_b*(3/14*sn_h*(sn_h-3/7*sn_h)+4/7*sn_h*(sn_h/2-3/7*sn_h)*(1-$E678^2/3)-16/49*sn_h^2*(1/2-$E678^2/4))+SUMPRODUCT($J$5:$K$5,$J678:$K678,$J$7:$K$7))/1E6)</f>
        <v/>
      </c>
      <c r="J678">
        <f>MAX(-fyd_sn,MIN(fyd_sn,200000*0.002*(1-$E678*(7*J$6-3*sn_h)/(4*sn_h))))-fcd_sn*(1-MIN(1,MAX(0,$E678*(7*J$6-3*sn_h)/(4*sn_h)))^2)</f>
        <v/>
      </c>
      <c r="K678">
        <f>MAX(-fyd_sn,MIN(fyd_sn,200000*0.002*(1-$E678*(7*K$6-3*sn_h)/(4*sn_h))))-fcd_sn*(1-MIN(1,MAX(0,$E678*(7*K$6-3*sn_h)/(4*sn_h)))^2)</f>
        <v/>
      </c>
    </row>
    <row r="679">
      <c r="B679" s="55" t="n">
        <v>44</v>
      </c>
      <c r="C679" s="56">
        <f>IF($F678&lt;sn_N,$E678,$C678)</f>
        <v/>
      </c>
      <c r="D679" s="56">
        <f>IF($F678&lt;sn_N,$D678,$E678)</f>
        <v/>
      </c>
      <c r="E679" s="56">
        <f>($C679+$D679)/2</f>
        <v/>
      </c>
      <c r="F679" s="60">
        <f>(fcd_sn*sn_b*sn_h*(3/7+4/7*(1-$E679^2/3))+SUMPRODUCT($J$5:$K$5,$J679:$K679))/1000</f>
        <v/>
      </c>
      <c r="G679" s="60">
        <f>((fcd_sn*sn_b*(3/14*sn_h*(sn_h-3/7*sn_h)+4/7*sn_h*(sn_h/2-3/7*sn_h)*(1-$E679^2/3)-16/49*sn_h^2*(1/2-$E679^2/4))+SUMPRODUCT($J$5:$K$5,$J679:$K679,$J$7:$K$7))/1E6)</f>
        <v/>
      </c>
      <c r="J679">
        <f>MAX(-fyd_sn,MIN(fyd_sn,200000*0.002*(1-$E679*(7*J$6-3*sn_h)/(4*sn_h))))-fcd_sn*(1-MIN(1,MAX(0,$E679*(7*J$6-3*sn_h)/(4*sn_h)))^2)</f>
        <v/>
      </c>
      <c r="K679">
        <f>MAX(-fyd_sn,MIN(fyd_sn,200000*0.002*(1-$E679*(7*K$6-3*sn_h)/(4*sn_h))))-fcd_sn*(1-MIN(1,MAX(0,$E679*(7*K$6-3*sn_h)/(4*sn_h)))^2)</f>
        <v/>
      </c>
    </row>
    <row r="680">
      <c r="B680" s="55" t="n">
        <v>45</v>
      </c>
      <c r="C680" s="56">
        <f>IF($F679&lt;sn_N,$E679,$C679)</f>
        <v/>
      </c>
      <c r="D680" s="56">
        <f>IF($F679&lt;sn_N,$D679,$E679)</f>
        <v/>
      </c>
      <c r="E680" s="56">
        <f>($C680+$D680)/2</f>
        <v/>
      </c>
      <c r="F680" s="60">
        <f>(fcd_sn*sn_b*sn_h*(3/7+4/7*(1-$E680^2/3))+SUMPRODUCT($J$5:$K$5,$J680:$K680))/1000</f>
        <v/>
      </c>
      <c r="G680" s="60">
        <f>((fcd_sn*sn_b*(3/14*sn_h*(sn_h-3/7*sn_h)+4/7*sn_h*(sn_h/2-3/7*sn_h)*(1-$E680^2/3)-16/49*sn_h^2*(1/2-$E680^2/4))+SUMPRODUCT($J$5:$K$5,$J680:$K680,$J$7:$K$7))/1E6)</f>
        <v/>
      </c>
      <c r="J680">
        <f>MAX(-fyd_sn,MIN(fyd_sn,200000*0.002*(1-$E680*(7*J$6-3*sn_h)/(4*sn_h))))-fcd_sn*(1-MIN(1,MAX(0,$E680*(7*J$6-3*sn_h)/(4*sn_h)))^2)</f>
        <v/>
      </c>
      <c r="K680">
        <f>MAX(-fyd_sn,MIN(fyd_sn,200000*0.002*(1-$E680*(7*K$6-3*sn_h)/(4*sn_h))))-fcd_sn*(1-MIN(1,MAX(0,$E680*(7*K$6-3*sn_h)/(4*sn_h)))^2)</f>
        <v/>
      </c>
    </row>
    <row r="681">
      <c r="B681" s="55" t="n">
        <v>46</v>
      </c>
      <c r="C681" s="56">
        <f>IF($F680&lt;sn_N,$E680,$C680)</f>
        <v/>
      </c>
      <c r="D681" s="56">
        <f>IF($F680&lt;sn_N,$D680,$E680)</f>
        <v/>
      </c>
      <c r="E681" s="56">
        <f>($C681+$D681)/2</f>
        <v/>
      </c>
      <c r="F681" s="60">
        <f>(fcd_sn*sn_b*sn_h*(3/7+4/7*(1-$E681^2/3))+SUMPRODUCT($J$5:$K$5,$J681:$K681))/1000</f>
        <v/>
      </c>
      <c r="G681" s="60">
        <f>((fcd_sn*sn_b*(3/14*sn_h*(sn_h-3/7*sn_h)+4/7*sn_h*(sn_h/2-3/7*sn_h)*(1-$E681^2/3)-16/49*sn_h^2*(1/2-$E681^2/4))+SUMPRODUCT($J$5:$K$5,$J681:$K681,$J$7:$K$7))/1E6)</f>
        <v/>
      </c>
      <c r="J681">
        <f>MAX(-fyd_sn,MIN(fyd_sn,200000*0.002*(1-$E681*(7*J$6-3*sn_h)/(4*sn_h))))-fcd_sn*(1-MIN(1,MAX(0,$E681*(7*J$6-3*sn_h)/(4*sn_h)))^2)</f>
        <v/>
      </c>
      <c r="K681">
        <f>MAX(-fyd_sn,MIN(fyd_sn,200000*0.002*(1-$E681*(7*K$6-3*sn_h)/(4*sn_h))))-fcd_sn*(1-MIN(1,MAX(0,$E681*(7*K$6-3*sn_h)/(4*sn_h)))^2)</f>
        <v/>
      </c>
    </row>
    <row r="682">
      <c r="B682" s="55" t="n">
        <v>47</v>
      </c>
      <c r="C682" s="56">
        <f>IF($F681&lt;sn_N,$E681,$C681)</f>
        <v/>
      </c>
      <c r="D682" s="56">
        <f>IF($F681&lt;sn_N,$D681,$E681)</f>
        <v/>
      </c>
      <c r="E682" s="56">
        <f>($C682+$D682)/2</f>
        <v/>
      </c>
      <c r="F682" s="60">
        <f>(fcd_sn*sn_b*sn_h*(3/7+4/7*(1-$E682^2/3))+SUMPRODUCT($J$5:$K$5,$J682:$K682))/1000</f>
        <v/>
      </c>
      <c r="G682" s="60">
        <f>((fcd_sn*sn_b*(3/14*sn_h*(sn_h-3/7*sn_h)+4/7*sn_h*(sn_h/2-3/7*sn_h)*(1-$E682^2/3)-16/49*sn_h^2*(1/2-$E682^2/4))+SUMPRODUCT($J$5:$K$5,$J682:$K682,$J$7:$K$7))/1E6)</f>
        <v/>
      </c>
      <c r="J682">
        <f>MAX(-fyd_sn,MIN(fyd_sn,200000*0.002*(1-$E682*(7*J$6-3*sn_h)/(4*sn_h))))-fcd_sn*(1-MIN(1,MAX(0,$E682*(7*J$6-3*sn_h)/(4*sn_h)))^2)</f>
        <v/>
      </c>
      <c r="K682">
        <f>MAX(-fyd_sn,MIN(fyd_sn,200000*0.002*(1-$E682*(7*K$6-3*sn_h)/(4*sn_h))))-fcd_sn*(1-MIN(1,MAX(0,$E682*(7*K$6-3*sn_h)/(4*sn_h)))^2)</f>
        <v/>
      </c>
    </row>
    <row r="683">
      <c r="B683" s="55" t="n">
        <v>48</v>
      </c>
      <c r="C683" s="56">
        <f>IF($F682&lt;sn_N,$E682,$C682)</f>
        <v/>
      </c>
      <c r="D683" s="56">
        <f>IF($F682&lt;sn_N,$D682,$E682)</f>
        <v/>
      </c>
      <c r="E683" s="56">
        <f>($C683+$D683)/2</f>
        <v/>
      </c>
      <c r="F683" s="60">
        <f>(fcd_sn*sn_b*sn_h*(3/7+4/7*(1-$E683^2/3))+SUMPRODUCT($J$5:$K$5,$J683:$K683))/1000</f>
        <v/>
      </c>
      <c r="G683" s="60">
        <f>((fcd_sn*sn_b*(3/14*sn_h*(sn_h-3/7*sn_h)+4/7*sn_h*(sn_h/2-3/7*sn_h)*(1-$E683^2/3)-16/49*sn_h^2*(1/2-$E683^2/4))+SUMPRODUCT($J$5:$K$5,$J683:$K683,$J$7:$K$7))/1E6)</f>
        <v/>
      </c>
      <c r="J683">
        <f>MAX(-fyd_sn,MIN(fyd_sn,200000*0.002*(1-$E683*(7*J$6-3*sn_h)/(4*sn_h))))-fcd_sn*(1-MIN(1,MAX(0,$E683*(7*J$6-3*sn_h)/(4*sn_h)))^2)</f>
        <v/>
      </c>
      <c r="K683">
        <f>MAX(-fyd_sn,MIN(fyd_sn,200000*0.002*(1-$E683*(7*K$6-3*sn_h)/(4*sn_h))))-fcd_sn*(1-MIN(1,MAX(0,$E683*(7*K$6-3*sn_h)/(4*sn_h)))^2)</f>
        <v/>
      </c>
    </row>
    <row r="684">
      <c r="B684" s="55" t="n">
        <v>49</v>
      </c>
      <c r="C684" s="56">
        <f>IF($F683&lt;sn_N,$E683,$C683)</f>
        <v/>
      </c>
      <c r="D684" s="56">
        <f>IF($F683&lt;sn_N,$D683,$E683)</f>
        <v/>
      </c>
      <c r="E684" s="56">
        <f>($C684+$D684)/2</f>
        <v/>
      </c>
      <c r="F684" s="60">
        <f>(fcd_sn*sn_b*sn_h*(3/7+4/7*(1-$E684^2/3))+SUMPRODUCT($J$5:$K$5,$J684:$K684))/1000</f>
        <v/>
      </c>
      <c r="G684" s="60">
        <f>((fcd_sn*sn_b*(3/14*sn_h*(sn_h-3/7*sn_h)+4/7*sn_h*(sn_h/2-3/7*sn_h)*(1-$E684^2/3)-16/49*sn_h^2*(1/2-$E684^2/4))+SUMPRODUCT($J$5:$K$5,$J684:$K684,$J$7:$K$7))/1E6)</f>
        <v/>
      </c>
      <c r="J684">
        <f>MAX(-fyd_sn,MIN(fyd_sn,200000*0.002*(1-$E684*(7*J$6-3*sn_h)/(4*sn_h))))-fcd_sn*(1-MIN(1,MAX(0,$E684*(7*J$6-3*sn_h)/(4*sn_h)))^2)</f>
        <v/>
      </c>
      <c r="K684">
        <f>MAX(-fyd_sn,MIN(fyd_sn,200000*0.002*(1-$E684*(7*K$6-3*sn_h)/(4*sn_h))))-fcd_sn*(1-MIN(1,MAX(0,$E684*(7*K$6-3*sn_h)/(4*sn_h)))^2)</f>
        <v/>
      </c>
    </row>
    <row r="685">
      <c r="B685" s="55" t="n">
        <v>50</v>
      </c>
      <c r="C685" s="56">
        <f>IF($F684&lt;sn_N,$E684,$C684)</f>
        <v/>
      </c>
      <c r="D685" s="56">
        <f>IF($F684&lt;sn_N,$D684,$E684)</f>
        <v/>
      </c>
      <c r="E685" s="56">
        <f>($C685+$D685)/2</f>
        <v/>
      </c>
      <c r="F685" s="60">
        <f>(fcd_sn*sn_b*sn_h*(3/7+4/7*(1-$E685^2/3))+SUMPRODUCT($J$5:$K$5,$J685:$K685))/1000</f>
        <v/>
      </c>
      <c r="G685" s="60">
        <f>((fcd_sn*sn_b*(3/14*sn_h*(sn_h-3/7*sn_h)+4/7*sn_h*(sn_h/2-3/7*sn_h)*(1-$E685^2/3)-16/49*sn_h^2*(1/2-$E685^2/4))+SUMPRODUCT($J$5:$K$5,$J685:$K685,$J$7:$K$7))/1E6)</f>
        <v/>
      </c>
      <c r="J685">
        <f>MAX(-fyd_sn,MIN(fyd_sn,200000*0.002*(1-$E685*(7*J$6-3*sn_h)/(4*sn_h))))-fcd_sn*(1-MIN(1,MAX(0,$E685*(7*J$6-3*sn_h)/(4*sn_h)))^2)</f>
        <v/>
      </c>
      <c r="K685">
        <f>MAX(-fyd_sn,MIN(fyd_sn,200000*0.002*(1-$E685*(7*K$6-3*sn_h)/(4*sn_h))))-fcd_sn*(1-MIN(1,MAX(0,$E685*(7*K$6-3*sn_h)/(4*sn_h)))^2)</f>
        <v/>
      </c>
    </row>
    <row r="687">
      <c r="B687" s="54" t="inlineStr">
        <is>
          <t>Top face compressed  ·  4. root in the bracket of the smallest moment</t>
        </is>
      </c>
    </row>
    <row r="688">
      <c r="B688" s="48" t="inlineStr">
        <is>
          <t>step</t>
        </is>
      </c>
      <c r="C688" s="48" t="inlineStr">
        <is>
          <t>t (N &lt; NEd)</t>
        </is>
      </c>
      <c r="D688" s="48" t="inlineStr">
        <is>
          <t>t (N ≥ NEd)</t>
        </is>
      </c>
      <c r="E688" s="48" t="inlineStr">
        <is>
          <t>t</t>
        </is>
      </c>
      <c r="F688" s="48" t="inlineStr">
        <is>
          <t>N (kN)</t>
        </is>
      </c>
      <c r="G688" s="48" t="inlineStr">
        <is>
          <t>M signed</t>
        </is>
      </c>
    </row>
    <row r="689">
      <c r="B689" s="55" t="n">
        <v>1</v>
      </c>
      <c r="C689" s="56">
        <f>IF(INDEX(finS_N,$I689)&lt;=INDEX(finS_N,$I689+1),INDEX(finS_t,$I689),INDEX(finS_t,$I689+1))</f>
        <v/>
      </c>
      <c r="D689" s="56">
        <f>IF(INDEX(finS_N,$I689)&lt;=INDEX(finS_N,$I689+1),INDEX(finS_t,$I689+1),INDEX(finS_t,$I689))</f>
        <v/>
      </c>
      <c r="E689" s="56">
        <f>($C689+$D689)/2</f>
        <v/>
      </c>
      <c r="F689" s="60">
        <f>(fcd_sn*sn_b*sn_h*(3/7+4/7*(1-$E689^2/3))+SUMPRODUCT($J$5:$K$5,$J689:$K689))/1000</f>
        <v/>
      </c>
      <c r="G689" s="60">
        <f>((fcd_sn*sn_b*(3/14*sn_h*(sn_h-3/7*sn_h)+4/7*sn_h*(sn_h/2-3/7*sn_h)*(1-$E689^2/3)-16/49*sn_h^2*(1/2-$E689^2/4))+SUMPRODUCT($J$5:$K$5,$J689:$K689,$J$7:$K$7))/1E6)</f>
        <v/>
      </c>
      <c r="I689">
        <f>IF(cntS_sn&gt;0,MATCH(MIN(finS_lo),finS_lo,0),1)</f>
        <v/>
      </c>
      <c r="J689">
        <f>MAX(-fyd_sn,MIN(fyd_sn,200000*0.002*(1-$E689*(7*J$6-3*sn_h)/(4*sn_h))))-fcd_sn*(1-MIN(1,MAX(0,$E689*(7*J$6-3*sn_h)/(4*sn_h)))^2)</f>
        <v/>
      </c>
      <c r="K689">
        <f>MAX(-fyd_sn,MIN(fyd_sn,200000*0.002*(1-$E689*(7*K$6-3*sn_h)/(4*sn_h))))-fcd_sn*(1-MIN(1,MAX(0,$E689*(7*K$6-3*sn_h)/(4*sn_h)))^2)</f>
        <v/>
      </c>
    </row>
    <row r="690">
      <c r="B690" s="55" t="n">
        <v>2</v>
      </c>
      <c r="C690" s="56">
        <f>IF($F689&lt;sn_N,$E689,$C689)</f>
        <v/>
      </c>
      <c r="D690" s="56">
        <f>IF($F689&lt;sn_N,$D689,$E689)</f>
        <v/>
      </c>
      <c r="E690" s="56">
        <f>($C690+$D690)/2</f>
        <v/>
      </c>
      <c r="F690" s="60">
        <f>(fcd_sn*sn_b*sn_h*(3/7+4/7*(1-$E690^2/3))+SUMPRODUCT($J$5:$K$5,$J690:$K690))/1000</f>
        <v/>
      </c>
      <c r="G690" s="60">
        <f>((fcd_sn*sn_b*(3/14*sn_h*(sn_h-3/7*sn_h)+4/7*sn_h*(sn_h/2-3/7*sn_h)*(1-$E690^2/3)-16/49*sn_h^2*(1/2-$E690^2/4))+SUMPRODUCT($J$5:$K$5,$J690:$K690,$J$7:$K$7))/1E6)</f>
        <v/>
      </c>
      <c r="J690">
        <f>MAX(-fyd_sn,MIN(fyd_sn,200000*0.002*(1-$E690*(7*J$6-3*sn_h)/(4*sn_h))))-fcd_sn*(1-MIN(1,MAX(0,$E690*(7*J$6-3*sn_h)/(4*sn_h)))^2)</f>
        <v/>
      </c>
      <c r="K690">
        <f>MAX(-fyd_sn,MIN(fyd_sn,200000*0.002*(1-$E690*(7*K$6-3*sn_h)/(4*sn_h))))-fcd_sn*(1-MIN(1,MAX(0,$E690*(7*K$6-3*sn_h)/(4*sn_h)))^2)</f>
        <v/>
      </c>
    </row>
    <row r="691">
      <c r="B691" s="55" t="n">
        <v>3</v>
      </c>
      <c r="C691" s="56">
        <f>IF($F690&lt;sn_N,$E690,$C690)</f>
        <v/>
      </c>
      <c r="D691" s="56">
        <f>IF($F690&lt;sn_N,$D690,$E690)</f>
        <v/>
      </c>
      <c r="E691" s="56">
        <f>($C691+$D691)/2</f>
        <v/>
      </c>
      <c r="F691" s="60">
        <f>(fcd_sn*sn_b*sn_h*(3/7+4/7*(1-$E691^2/3))+SUMPRODUCT($J$5:$K$5,$J691:$K691))/1000</f>
        <v/>
      </c>
      <c r="G691" s="60">
        <f>((fcd_sn*sn_b*(3/14*sn_h*(sn_h-3/7*sn_h)+4/7*sn_h*(sn_h/2-3/7*sn_h)*(1-$E691^2/3)-16/49*sn_h^2*(1/2-$E691^2/4))+SUMPRODUCT($J$5:$K$5,$J691:$K691,$J$7:$K$7))/1E6)</f>
        <v/>
      </c>
      <c r="J691">
        <f>MAX(-fyd_sn,MIN(fyd_sn,200000*0.002*(1-$E691*(7*J$6-3*sn_h)/(4*sn_h))))-fcd_sn*(1-MIN(1,MAX(0,$E691*(7*J$6-3*sn_h)/(4*sn_h)))^2)</f>
        <v/>
      </c>
      <c r="K691">
        <f>MAX(-fyd_sn,MIN(fyd_sn,200000*0.002*(1-$E691*(7*K$6-3*sn_h)/(4*sn_h))))-fcd_sn*(1-MIN(1,MAX(0,$E691*(7*K$6-3*sn_h)/(4*sn_h)))^2)</f>
        <v/>
      </c>
    </row>
    <row r="692">
      <c r="B692" s="55" t="n">
        <v>4</v>
      </c>
      <c r="C692" s="56">
        <f>IF($F691&lt;sn_N,$E691,$C691)</f>
        <v/>
      </c>
      <c r="D692" s="56">
        <f>IF($F691&lt;sn_N,$D691,$E691)</f>
        <v/>
      </c>
      <c r="E692" s="56">
        <f>($C692+$D692)/2</f>
        <v/>
      </c>
      <c r="F692" s="60">
        <f>(fcd_sn*sn_b*sn_h*(3/7+4/7*(1-$E692^2/3))+SUMPRODUCT($J$5:$K$5,$J692:$K692))/1000</f>
        <v/>
      </c>
      <c r="G692" s="60">
        <f>((fcd_sn*sn_b*(3/14*sn_h*(sn_h-3/7*sn_h)+4/7*sn_h*(sn_h/2-3/7*sn_h)*(1-$E692^2/3)-16/49*sn_h^2*(1/2-$E692^2/4))+SUMPRODUCT($J$5:$K$5,$J692:$K692,$J$7:$K$7))/1E6)</f>
        <v/>
      </c>
      <c r="J692">
        <f>MAX(-fyd_sn,MIN(fyd_sn,200000*0.002*(1-$E692*(7*J$6-3*sn_h)/(4*sn_h))))-fcd_sn*(1-MIN(1,MAX(0,$E692*(7*J$6-3*sn_h)/(4*sn_h)))^2)</f>
        <v/>
      </c>
      <c r="K692">
        <f>MAX(-fyd_sn,MIN(fyd_sn,200000*0.002*(1-$E692*(7*K$6-3*sn_h)/(4*sn_h))))-fcd_sn*(1-MIN(1,MAX(0,$E692*(7*K$6-3*sn_h)/(4*sn_h)))^2)</f>
        <v/>
      </c>
    </row>
    <row r="693">
      <c r="B693" s="55" t="n">
        <v>5</v>
      </c>
      <c r="C693" s="56">
        <f>IF($F692&lt;sn_N,$E692,$C692)</f>
        <v/>
      </c>
      <c r="D693" s="56">
        <f>IF($F692&lt;sn_N,$D692,$E692)</f>
        <v/>
      </c>
      <c r="E693" s="56">
        <f>($C693+$D693)/2</f>
        <v/>
      </c>
      <c r="F693" s="60">
        <f>(fcd_sn*sn_b*sn_h*(3/7+4/7*(1-$E693^2/3))+SUMPRODUCT($J$5:$K$5,$J693:$K693))/1000</f>
        <v/>
      </c>
      <c r="G693" s="60">
        <f>((fcd_sn*sn_b*(3/14*sn_h*(sn_h-3/7*sn_h)+4/7*sn_h*(sn_h/2-3/7*sn_h)*(1-$E693^2/3)-16/49*sn_h^2*(1/2-$E693^2/4))+SUMPRODUCT($J$5:$K$5,$J693:$K693,$J$7:$K$7))/1E6)</f>
        <v/>
      </c>
      <c r="J693">
        <f>MAX(-fyd_sn,MIN(fyd_sn,200000*0.002*(1-$E693*(7*J$6-3*sn_h)/(4*sn_h))))-fcd_sn*(1-MIN(1,MAX(0,$E693*(7*J$6-3*sn_h)/(4*sn_h)))^2)</f>
        <v/>
      </c>
      <c r="K693">
        <f>MAX(-fyd_sn,MIN(fyd_sn,200000*0.002*(1-$E693*(7*K$6-3*sn_h)/(4*sn_h))))-fcd_sn*(1-MIN(1,MAX(0,$E693*(7*K$6-3*sn_h)/(4*sn_h)))^2)</f>
        <v/>
      </c>
    </row>
    <row r="694">
      <c r="B694" s="55" t="n">
        <v>6</v>
      </c>
      <c r="C694" s="56">
        <f>IF($F693&lt;sn_N,$E693,$C693)</f>
        <v/>
      </c>
      <c r="D694" s="56">
        <f>IF($F693&lt;sn_N,$D693,$E693)</f>
        <v/>
      </c>
      <c r="E694" s="56">
        <f>($C694+$D694)/2</f>
        <v/>
      </c>
      <c r="F694" s="60">
        <f>(fcd_sn*sn_b*sn_h*(3/7+4/7*(1-$E694^2/3))+SUMPRODUCT($J$5:$K$5,$J694:$K694))/1000</f>
        <v/>
      </c>
      <c r="G694" s="60">
        <f>((fcd_sn*sn_b*(3/14*sn_h*(sn_h-3/7*sn_h)+4/7*sn_h*(sn_h/2-3/7*sn_h)*(1-$E694^2/3)-16/49*sn_h^2*(1/2-$E694^2/4))+SUMPRODUCT($J$5:$K$5,$J694:$K694,$J$7:$K$7))/1E6)</f>
        <v/>
      </c>
      <c r="J694">
        <f>MAX(-fyd_sn,MIN(fyd_sn,200000*0.002*(1-$E694*(7*J$6-3*sn_h)/(4*sn_h))))-fcd_sn*(1-MIN(1,MAX(0,$E694*(7*J$6-3*sn_h)/(4*sn_h)))^2)</f>
        <v/>
      </c>
      <c r="K694">
        <f>MAX(-fyd_sn,MIN(fyd_sn,200000*0.002*(1-$E694*(7*K$6-3*sn_h)/(4*sn_h))))-fcd_sn*(1-MIN(1,MAX(0,$E694*(7*K$6-3*sn_h)/(4*sn_h)))^2)</f>
        <v/>
      </c>
    </row>
    <row r="695">
      <c r="B695" s="55" t="n">
        <v>7</v>
      </c>
      <c r="C695" s="56">
        <f>IF($F694&lt;sn_N,$E694,$C694)</f>
        <v/>
      </c>
      <c r="D695" s="56">
        <f>IF($F694&lt;sn_N,$D694,$E694)</f>
        <v/>
      </c>
      <c r="E695" s="56">
        <f>($C695+$D695)/2</f>
        <v/>
      </c>
      <c r="F695" s="60">
        <f>(fcd_sn*sn_b*sn_h*(3/7+4/7*(1-$E695^2/3))+SUMPRODUCT($J$5:$K$5,$J695:$K695))/1000</f>
        <v/>
      </c>
      <c r="G695" s="60">
        <f>((fcd_sn*sn_b*(3/14*sn_h*(sn_h-3/7*sn_h)+4/7*sn_h*(sn_h/2-3/7*sn_h)*(1-$E695^2/3)-16/49*sn_h^2*(1/2-$E695^2/4))+SUMPRODUCT($J$5:$K$5,$J695:$K695,$J$7:$K$7))/1E6)</f>
        <v/>
      </c>
      <c r="J695">
        <f>MAX(-fyd_sn,MIN(fyd_sn,200000*0.002*(1-$E695*(7*J$6-3*sn_h)/(4*sn_h))))-fcd_sn*(1-MIN(1,MAX(0,$E695*(7*J$6-3*sn_h)/(4*sn_h)))^2)</f>
        <v/>
      </c>
      <c r="K695">
        <f>MAX(-fyd_sn,MIN(fyd_sn,200000*0.002*(1-$E695*(7*K$6-3*sn_h)/(4*sn_h))))-fcd_sn*(1-MIN(1,MAX(0,$E695*(7*K$6-3*sn_h)/(4*sn_h)))^2)</f>
        <v/>
      </c>
    </row>
    <row r="696">
      <c r="B696" s="55" t="n">
        <v>8</v>
      </c>
      <c r="C696" s="56">
        <f>IF($F695&lt;sn_N,$E695,$C695)</f>
        <v/>
      </c>
      <c r="D696" s="56">
        <f>IF($F695&lt;sn_N,$D695,$E695)</f>
        <v/>
      </c>
      <c r="E696" s="56">
        <f>($C696+$D696)/2</f>
        <v/>
      </c>
      <c r="F696" s="60">
        <f>(fcd_sn*sn_b*sn_h*(3/7+4/7*(1-$E696^2/3))+SUMPRODUCT($J$5:$K$5,$J696:$K696))/1000</f>
        <v/>
      </c>
      <c r="G696" s="60">
        <f>((fcd_sn*sn_b*(3/14*sn_h*(sn_h-3/7*sn_h)+4/7*sn_h*(sn_h/2-3/7*sn_h)*(1-$E696^2/3)-16/49*sn_h^2*(1/2-$E696^2/4))+SUMPRODUCT($J$5:$K$5,$J696:$K696,$J$7:$K$7))/1E6)</f>
        <v/>
      </c>
      <c r="J696">
        <f>MAX(-fyd_sn,MIN(fyd_sn,200000*0.002*(1-$E696*(7*J$6-3*sn_h)/(4*sn_h))))-fcd_sn*(1-MIN(1,MAX(0,$E696*(7*J$6-3*sn_h)/(4*sn_h)))^2)</f>
        <v/>
      </c>
      <c r="K696">
        <f>MAX(-fyd_sn,MIN(fyd_sn,200000*0.002*(1-$E696*(7*K$6-3*sn_h)/(4*sn_h))))-fcd_sn*(1-MIN(1,MAX(0,$E696*(7*K$6-3*sn_h)/(4*sn_h)))^2)</f>
        <v/>
      </c>
    </row>
    <row r="697">
      <c r="B697" s="55" t="n">
        <v>9</v>
      </c>
      <c r="C697" s="56">
        <f>IF($F696&lt;sn_N,$E696,$C696)</f>
        <v/>
      </c>
      <c r="D697" s="56">
        <f>IF($F696&lt;sn_N,$D696,$E696)</f>
        <v/>
      </c>
      <c r="E697" s="56">
        <f>($C697+$D697)/2</f>
        <v/>
      </c>
      <c r="F697" s="60">
        <f>(fcd_sn*sn_b*sn_h*(3/7+4/7*(1-$E697^2/3))+SUMPRODUCT($J$5:$K$5,$J697:$K697))/1000</f>
        <v/>
      </c>
      <c r="G697" s="60">
        <f>((fcd_sn*sn_b*(3/14*sn_h*(sn_h-3/7*sn_h)+4/7*sn_h*(sn_h/2-3/7*sn_h)*(1-$E697^2/3)-16/49*sn_h^2*(1/2-$E697^2/4))+SUMPRODUCT($J$5:$K$5,$J697:$K697,$J$7:$K$7))/1E6)</f>
        <v/>
      </c>
      <c r="J697">
        <f>MAX(-fyd_sn,MIN(fyd_sn,200000*0.002*(1-$E697*(7*J$6-3*sn_h)/(4*sn_h))))-fcd_sn*(1-MIN(1,MAX(0,$E697*(7*J$6-3*sn_h)/(4*sn_h)))^2)</f>
        <v/>
      </c>
      <c r="K697">
        <f>MAX(-fyd_sn,MIN(fyd_sn,200000*0.002*(1-$E697*(7*K$6-3*sn_h)/(4*sn_h))))-fcd_sn*(1-MIN(1,MAX(0,$E697*(7*K$6-3*sn_h)/(4*sn_h)))^2)</f>
        <v/>
      </c>
    </row>
    <row r="698">
      <c r="B698" s="55" t="n">
        <v>10</v>
      </c>
      <c r="C698" s="56">
        <f>IF($F697&lt;sn_N,$E697,$C697)</f>
        <v/>
      </c>
      <c r="D698" s="56">
        <f>IF($F697&lt;sn_N,$D697,$E697)</f>
        <v/>
      </c>
      <c r="E698" s="56">
        <f>($C698+$D698)/2</f>
        <v/>
      </c>
      <c r="F698" s="60">
        <f>(fcd_sn*sn_b*sn_h*(3/7+4/7*(1-$E698^2/3))+SUMPRODUCT($J$5:$K$5,$J698:$K698))/1000</f>
        <v/>
      </c>
      <c r="G698" s="60">
        <f>((fcd_sn*sn_b*(3/14*sn_h*(sn_h-3/7*sn_h)+4/7*sn_h*(sn_h/2-3/7*sn_h)*(1-$E698^2/3)-16/49*sn_h^2*(1/2-$E698^2/4))+SUMPRODUCT($J$5:$K$5,$J698:$K698,$J$7:$K$7))/1E6)</f>
        <v/>
      </c>
      <c r="J698">
        <f>MAX(-fyd_sn,MIN(fyd_sn,200000*0.002*(1-$E698*(7*J$6-3*sn_h)/(4*sn_h))))-fcd_sn*(1-MIN(1,MAX(0,$E698*(7*J$6-3*sn_h)/(4*sn_h)))^2)</f>
        <v/>
      </c>
      <c r="K698">
        <f>MAX(-fyd_sn,MIN(fyd_sn,200000*0.002*(1-$E698*(7*K$6-3*sn_h)/(4*sn_h))))-fcd_sn*(1-MIN(1,MAX(0,$E698*(7*K$6-3*sn_h)/(4*sn_h)))^2)</f>
        <v/>
      </c>
    </row>
    <row r="699">
      <c r="B699" s="55" t="n">
        <v>11</v>
      </c>
      <c r="C699" s="56">
        <f>IF($F698&lt;sn_N,$E698,$C698)</f>
        <v/>
      </c>
      <c r="D699" s="56">
        <f>IF($F698&lt;sn_N,$D698,$E698)</f>
        <v/>
      </c>
      <c r="E699" s="56">
        <f>($C699+$D699)/2</f>
        <v/>
      </c>
      <c r="F699" s="60">
        <f>(fcd_sn*sn_b*sn_h*(3/7+4/7*(1-$E699^2/3))+SUMPRODUCT($J$5:$K$5,$J699:$K699))/1000</f>
        <v/>
      </c>
      <c r="G699" s="60">
        <f>((fcd_sn*sn_b*(3/14*sn_h*(sn_h-3/7*sn_h)+4/7*sn_h*(sn_h/2-3/7*sn_h)*(1-$E699^2/3)-16/49*sn_h^2*(1/2-$E699^2/4))+SUMPRODUCT($J$5:$K$5,$J699:$K699,$J$7:$K$7))/1E6)</f>
        <v/>
      </c>
      <c r="J699">
        <f>MAX(-fyd_sn,MIN(fyd_sn,200000*0.002*(1-$E699*(7*J$6-3*sn_h)/(4*sn_h))))-fcd_sn*(1-MIN(1,MAX(0,$E699*(7*J$6-3*sn_h)/(4*sn_h)))^2)</f>
        <v/>
      </c>
      <c r="K699">
        <f>MAX(-fyd_sn,MIN(fyd_sn,200000*0.002*(1-$E699*(7*K$6-3*sn_h)/(4*sn_h))))-fcd_sn*(1-MIN(1,MAX(0,$E699*(7*K$6-3*sn_h)/(4*sn_h)))^2)</f>
        <v/>
      </c>
    </row>
    <row r="700">
      <c r="B700" s="55" t="n">
        <v>12</v>
      </c>
      <c r="C700" s="56">
        <f>IF($F699&lt;sn_N,$E699,$C699)</f>
        <v/>
      </c>
      <c r="D700" s="56">
        <f>IF($F699&lt;sn_N,$D699,$E699)</f>
        <v/>
      </c>
      <c r="E700" s="56">
        <f>($C700+$D700)/2</f>
        <v/>
      </c>
      <c r="F700" s="60">
        <f>(fcd_sn*sn_b*sn_h*(3/7+4/7*(1-$E700^2/3))+SUMPRODUCT($J$5:$K$5,$J700:$K700))/1000</f>
        <v/>
      </c>
      <c r="G700" s="60">
        <f>((fcd_sn*sn_b*(3/14*sn_h*(sn_h-3/7*sn_h)+4/7*sn_h*(sn_h/2-3/7*sn_h)*(1-$E700^2/3)-16/49*sn_h^2*(1/2-$E700^2/4))+SUMPRODUCT($J$5:$K$5,$J700:$K700,$J$7:$K$7))/1E6)</f>
        <v/>
      </c>
      <c r="J700">
        <f>MAX(-fyd_sn,MIN(fyd_sn,200000*0.002*(1-$E700*(7*J$6-3*sn_h)/(4*sn_h))))-fcd_sn*(1-MIN(1,MAX(0,$E700*(7*J$6-3*sn_h)/(4*sn_h)))^2)</f>
        <v/>
      </c>
      <c r="K700">
        <f>MAX(-fyd_sn,MIN(fyd_sn,200000*0.002*(1-$E700*(7*K$6-3*sn_h)/(4*sn_h))))-fcd_sn*(1-MIN(1,MAX(0,$E700*(7*K$6-3*sn_h)/(4*sn_h)))^2)</f>
        <v/>
      </c>
    </row>
    <row r="701">
      <c r="B701" s="55" t="n">
        <v>13</v>
      </c>
      <c r="C701" s="56">
        <f>IF($F700&lt;sn_N,$E700,$C700)</f>
        <v/>
      </c>
      <c r="D701" s="56">
        <f>IF($F700&lt;sn_N,$D700,$E700)</f>
        <v/>
      </c>
      <c r="E701" s="56">
        <f>($C701+$D701)/2</f>
        <v/>
      </c>
      <c r="F701" s="60">
        <f>(fcd_sn*sn_b*sn_h*(3/7+4/7*(1-$E701^2/3))+SUMPRODUCT($J$5:$K$5,$J701:$K701))/1000</f>
        <v/>
      </c>
      <c r="G701" s="60">
        <f>((fcd_sn*sn_b*(3/14*sn_h*(sn_h-3/7*sn_h)+4/7*sn_h*(sn_h/2-3/7*sn_h)*(1-$E701^2/3)-16/49*sn_h^2*(1/2-$E701^2/4))+SUMPRODUCT($J$5:$K$5,$J701:$K701,$J$7:$K$7))/1E6)</f>
        <v/>
      </c>
      <c r="J701">
        <f>MAX(-fyd_sn,MIN(fyd_sn,200000*0.002*(1-$E701*(7*J$6-3*sn_h)/(4*sn_h))))-fcd_sn*(1-MIN(1,MAX(0,$E701*(7*J$6-3*sn_h)/(4*sn_h)))^2)</f>
        <v/>
      </c>
      <c r="K701">
        <f>MAX(-fyd_sn,MIN(fyd_sn,200000*0.002*(1-$E701*(7*K$6-3*sn_h)/(4*sn_h))))-fcd_sn*(1-MIN(1,MAX(0,$E701*(7*K$6-3*sn_h)/(4*sn_h)))^2)</f>
        <v/>
      </c>
    </row>
    <row r="702">
      <c r="B702" s="55" t="n">
        <v>14</v>
      </c>
      <c r="C702" s="56">
        <f>IF($F701&lt;sn_N,$E701,$C701)</f>
        <v/>
      </c>
      <c r="D702" s="56">
        <f>IF($F701&lt;sn_N,$D701,$E701)</f>
        <v/>
      </c>
      <c r="E702" s="56">
        <f>($C702+$D702)/2</f>
        <v/>
      </c>
      <c r="F702" s="60">
        <f>(fcd_sn*sn_b*sn_h*(3/7+4/7*(1-$E702^2/3))+SUMPRODUCT($J$5:$K$5,$J702:$K702))/1000</f>
        <v/>
      </c>
      <c r="G702" s="60">
        <f>((fcd_sn*sn_b*(3/14*sn_h*(sn_h-3/7*sn_h)+4/7*sn_h*(sn_h/2-3/7*sn_h)*(1-$E702^2/3)-16/49*sn_h^2*(1/2-$E702^2/4))+SUMPRODUCT($J$5:$K$5,$J702:$K702,$J$7:$K$7))/1E6)</f>
        <v/>
      </c>
      <c r="J702">
        <f>MAX(-fyd_sn,MIN(fyd_sn,200000*0.002*(1-$E702*(7*J$6-3*sn_h)/(4*sn_h))))-fcd_sn*(1-MIN(1,MAX(0,$E702*(7*J$6-3*sn_h)/(4*sn_h)))^2)</f>
        <v/>
      </c>
      <c r="K702">
        <f>MAX(-fyd_sn,MIN(fyd_sn,200000*0.002*(1-$E702*(7*K$6-3*sn_h)/(4*sn_h))))-fcd_sn*(1-MIN(1,MAX(0,$E702*(7*K$6-3*sn_h)/(4*sn_h)))^2)</f>
        <v/>
      </c>
    </row>
    <row r="703">
      <c r="B703" s="55" t="n">
        <v>15</v>
      </c>
      <c r="C703" s="56">
        <f>IF($F702&lt;sn_N,$E702,$C702)</f>
        <v/>
      </c>
      <c r="D703" s="56">
        <f>IF($F702&lt;sn_N,$D702,$E702)</f>
        <v/>
      </c>
      <c r="E703" s="56">
        <f>($C703+$D703)/2</f>
        <v/>
      </c>
      <c r="F703" s="60">
        <f>(fcd_sn*sn_b*sn_h*(3/7+4/7*(1-$E703^2/3))+SUMPRODUCT($J$5:$K$5,$J703:$K703))/1000</f>
        <v/>
      </c>
      <c r="G703" s="60">
        <f>((fcd_sn*sn_b*(3/14*sn_h*(sn_h-3/7*sn_h)+4/7*sn_h*(sn_h/2-3/7*sn_h)*(1-$E703^2/3)-16/49*sn_h^2*(1/2-$E703^2/4))+SUMPRODUCT($J$5:$K$5,$J703:$K703,$J$7:$K$7))/1E6)</f>
        <v/>
      </c>
      <c r="J703">
        <f>MAX(-fyd_sn,MIN(fyd_sn,200000*0.002*(1-$E703*(7*J$6-3*sn_h)/(4*sn_h))))-fcd_sn*(1-MIN(1,MAX(0,$E703*(7*J$6-3*sn_h)/(4*sn_h)))^2)</f>
        <v/>
      </c>
      <c r="K703">
        <f>MAX(-fyd_sn,MIN(fyd_sn,200000*0.002*(1-$E703*(7*K$6-3*sn_h)/(4*sn_h))))-fcd_sn*(1-MIN(1,MAX(0,$E703*(7*K$6-3*sn_h)/(4*sn_h)))^2)</f>
        <v/>
      </c>
    </row>
    <row r="704">
      <c r="B704" s="55" t="n">
        <v>16</v>
      </c>
      <c r="C704" s="56">
        <f>IF($F703&lt;sn_N,$E703,$C703)</f>
        <v/>
      </c>
      <c r="D704" s="56">
        <f>IF($F703&lt;sn_N,$D703,$E703)</f>
        <v/>
      </c>
      <c r="E704" s="56">
        <f>($C704+$D704)/2</f>
        <v/>
      </c>
      <c r="F704" s="60">
        <f>(fcd_sn*sn_b*sn_h*(3/7+4/7*(1-$E704^2/3))+SUMPRODUCT($J$5:$K$5,$J704:$K704))/1000</f>
        <v/>
      </c>
      <c r="G704" s="60">
        <f>((fcd_sn*sn_b*(3/14*sn_h*(sn_h-3/7*sn_h)+4/7*sn_h*(sn_h/2-3/7*sn_h)*(1-$E704^2/3)-16/49*sn_h^2*(1/2-$E704^2/4))+SUMPRODUCT($J$5:$K$5,$J704:$K704,$J$7:$K$7))/1E6)</f>
        <v/>
      </c>
      <c r="J704">
        <f>MAX(-fyd_sn,MIN(fyd_sn,200000*0.002*(1-$E704*(7*J$6-3*sn_h)/(4*sn_h))))-fcd_sn*(1-MIN(1,MAX(0,$E704*(7*J$6-3*sn_h)/(4*sn_h)))^2)</f>
        <v/>
      </c>
      <c r="K704">
        <f>MAX(-fyd_sn,MIN(fyd_sn,200000*0.002*(1-$E704*(7*K$6-3*sn_h)/(4*sn_h))))-fcd_sn*(1-MIN(1,MAX(0,$E704*(7*K$6-3*sn_h)/(4*sn_h)))^2)</f>
        <v/>
      </c>
    </row>
    <row r="705">
      <c r="B705" s="55" t="n">
        <v>17</v>
      </c>
      <c r="C705" s="56">
        <f>IF($F704&lt;sn_N,$E704,$C704)</f>
        <v/>
      </c>
      <c r="D705" s="56">
        <f>IF($F704&lt;sn_N,$D704,$E704)</f>
        <v/>
      </c>
      <c r="E705" s="56">
        <f>($C705+$D705)/2</f>
        <v/>
      </c>
      <c r="F705" s="60">
        <f>(fcd_sn*sn_b*sn_h*(3/7+4/7*(1-$E705^2/3))+SUMPRODUCT($J$5:$K$5,$J705:$K705))/1000</f>
        <v/>
      </c>
      <c r="G705" s="60">
        <f>((fcd_sn*sn_b*(3/14*sn_h*(sn_h-3/7*sn_h)+4/7*sn_h*(sn_h/2-3/7*sn_h)*(1-$E705^2/3)-16/49*sn_h^2*(1/2-$E705^2/4))+SUMPRODUCT($J$5:$K$5,$J705:$K705,$J$7:$K$7))/1E6)</f>
        <v/>
      </c>
      <c r="J705">
        <f>MAX(-fyd_sn,MIN(fyd_sn,200000*0.002*(1-$E705*(7*J$6-3*sn_h)/(4*sn_h))))-fcd_sn*(1-MIN(1,MAX(0,$E705*(7*J$6-3*sn_h)/(4*sn_h)))^2)</f>
        <v/>
      </c>
      <c r="K705">
        <f>MAX(-fyd_sn,MIN(fyd_sn,200000*0.002*(1-$E705*(7*K$6-3*sn_h)/(4*sn_h))))-fcd_sn*(1-MIN(1,MAX(0,$E705*(7*K$6-3*sn_h)/(4*sn_h)))^2)</f>
        <v/>
      </c>
    </row>
    <row r="706">
      <c r="B706" s="55" t="n">
        <v>18</v>
      </c>
      <c r="C706" s="56">
        <f>IF($F705&lt;sn_N,$E705,$C705)</f>
        <v/>
      </c>
      <c r="D706" s="56">
        <f>IF($F705&lt;sn_N,$D705,$E705)</f>
        <v/>
      </c>
      <c r="E706" s="56">
        <f>($C706+$D706)/2</f>
        <v/>
      </c>
      <c r="F706" s="60">
        <f>(fcd_sn*sn_b*sn_h*(3/7+4/7*(1-$E706^2/3))+SUMPRODUCT($J$5:$K$5,$J706:$K706))/1000</f>
        <v/>
      </c>
      <c r="G706" s="60">
        <f>((fcd_sn*sn_b*(3/14*sn_h*(sn_h-3/7*sn_h)+4/7*sn_h*(sn_h/2-3/7*sn_h)*(1-$E706^2/3)-16/49*sn_h^2*(1/2-$E706^2/4))+SUMPRODUCT($J$5:$K$5,$J706:$K706,$J$7:$K$7))/1E6)</f>
        <v/>
      </c>
      <c r="J706">
        <f>MAX(-fyd_sn,MIN(fyd_sn,200000*0.002*(1-$E706*(7*J$6-3*sn_h)/(4*sn_h))))-fcd_sn*(1-MIN(1,MAX(0,$E706*(7*J$6-3*sn_h)/(4*sn_h)))^2)</f>
        <v/>
      </c>
      <c r="K706">
        <f>MAX(-fyd_sn,MIN(fyd_sn,200000*0.002*(1-$E706*(7*K$6-3*sn_h)/(4*sn_h))))-fcd_sn*(1-MIN(1,MAX(0,$E706*(7*K$6-3*sn_h)/(4*sn_h)))^2)</f>
        <v/>
      </c>
    </row>
    <row r="707">
      <c r="B707" s="55" t="n">
        <v>19</v>
      </c>
      <c r="C707" s="56">
        <f>IF($F706&lt;sn_N,$E706,$C706)</f>
        <v/>
      </c>
      <c r="D707" s="56">
        <f>IF($F706&lt;sn_N,$D706,$E706)</f>
        <v/>
      </c>
      <c r="E707" s="56">
        <f>($C707+$D707)/2</f>
        <v/>
      </c>
      <c r="F707" s="60">
        <f>(fcd_sn*sn_b*sn_h*(3/7+4/7*(1-$E707^2/3))+SUMPRODUCT($J$5:$K$5,$J707:$K707))/1000</f>
        <v/>
      </c>
      <c r="G707" s="60">
        <f>((fcd_sn*sn_b*(3/14*sn_h*(sn_h-3/7*sn_h)+4/7*sn_h*(sn_h/2-3/7*sn_h)*(1-$E707^2/3)-16/49*sn_h^2*(1/2-$E707^2/4))+SUMPRODUCT($J$5:$K$5,$J707:$K707,$J$7:$K$7))/1E6)</f>
        <v/>
      </c>
      <c r="J707">
        <f>MAX(-fyd_sn,MIN(fyd_sn,200000*0.002*(1-$E707*(7*J$6-3*sn_h)/(4*sn_h))))-fcd_sn*(1-MIN(1,MAX(0,$E707*(7*J$6-3*sn_h)/(4*sn_h)))^2)</f>
        <v/>
      </c>
      <c r="K707">
        <f>MAX(-fyd_sn,MIN(fyd_sn,200000*0.002*(1-$E707*(7*K$6-3*sn_h)/(4*sn_h))))-fcd_sn*(1-MIN(1,MAX(0,$E707*(7*K$6-3*sn_h)/(4*sn_h)))^2)</f>
        <v/>
      </c>
    </row>
    <row r="708">
      <c r="B708" s="55" t="n">
        <v>20</v>
      </c>
      <c r="C708" s="56">
        <f>IF($F707&lt;sn_N,$E707,$C707)</f>
        <v/>
      </c>
      <c r="D708" s="56">
        <f>IF($F707&lt;sn_N,$D707,$E707)</f>
        <v/>
      </c>
      <c r="E708" s="56">
        <f>($C708+$D708)/2</f>
        <v/>
      </c>
      <c r="F708" s="60">
        <f>(fcd_sn*sn_b*sn_h*(3/7+4/7*(1-$E708^2/3))+SUMPRODUCT($J$5:$K$5,$J708:$K708))/1000</f>
        <v/>
      </c>
      <c r="G708" s="60">
        <f>((fcd_sn*sn_b*(3/14*sn_h*(sn_h-3/7*sn_h)+4/7*sn_h*(sn_h/2-3/7*sn_h)*(1-$E708^2/3)-16/49*sn_h^2*(1/2-$E708^2/4))+SUMPRODUCT($J$5:$K$5,$J708:$K708,$J$7:$K$7))/1E6)</f>
        <v/>
      </c>
      <c r="J708">
        <f>MAX(-fyd_sn,MIN(fyd_sn,200000*0.002*(1-$E708*(7*J$6-3*sn_h)/(4*sn_h))))-fcd_sn*(1-MIN(1,MAX(0,$E708*(7*J$6-3*sn_h)/(4*sn_h)))^2)</f>
        <v/>
      </c>
      <c r="K708">
        <f>MAX(-fyd_sn,MIN(fyd_sn,200000*0.002*(1-$E708*(7*K$6-3*sn_h)/(4*sn_h))))-fcd_sn*(1-MIN(1,MAX(0,$E708*(7*K$6-3*sn_h)/(4*sn_h)))^2)</f>
        <v/>
      </c>
    </row>
    <row r="709">
      <c r="B709" s="55" t="n">
        <v>21</v>
      </c>
      <c r="C709" s="56">
        <f>IF($F708&lt;sn_N,$E708,$C708)</f>
        <v/>
      </c>
      <c r="D709" s="56">
        <f>IF($F708&lt;sn_N,$D708,$E708)</f>
        <v/>
      </c>
      <c r="E709" s="56">
        <f>($C709+$D709)/2</f>
        <v/>
      </c>
      <c r="F709" s="60">
        <f>(fcd_sn*sn_b*sn_h*(3/7+4/7*(1-$E709^2/3))+SUMPRODUCT($J$5:$K$5,$J709:$K709))/1000</f>
        <v/>
      </c>
      <c r="G709" s="60">
        <f>((fcd_sn*sn_b*(3/14*sn_h*(sn_h-3/7*sn_h)+4/7*sn_h*(sn_h/2-3/7*sn_h)*(1-$E709^2/3)-16/49*sn_h^2*(1/2-$E709^2/4))+SUMPRODUCT($J$5:$K$5,$J709:$K709,$J$7:$K$7))/1E6)</f>
        <v/>
      </c>
      <c r="J709">
        <f>MAX(-fyd_sn,MIN(fyd_sn,200000*0.002*(1-$E709*(7*J$6-3*sn_h)/(4*sn_h))))-fcd_sn*(1-MIN(1,MAX(0,$E709*(7*J$6-3*sn_h)/(4*sn_h)))^2)</f>
        <v/>
      </c>
      <c r="K709">
        <f>MAX(-fyd_sn,MIN(fyd_sn,200000*0.002*(1-$E709*(7*K$6-3*sn_h)/(4*sn_h))))-fcd_sn*(1-MIN(1,MAX(0,$E709*(7*K$6-3*sn_h)/(4*sn_h)))^2)</f>
        <v/>
      </c>
    </row>
    <row r="710">
      <c r="B710" s="55" t="n">
        <v>22</v>
      </c>
      <c r="C710" s="56">
        <f>IF($F709&lt;sn_N,$E709,$C709)</f>
        <v/>
      </c>
      <c r="D710" s="56">
        <f>IF($F709&lt;sn_N,$D709,$E709)</f>
        <v/>
      </c>
      <c r="E710" s="56">
        <f>($C710+$D710)/2</f>
        <v/>
      </c>
      <c r="F710" s="60">
        <f>(fcd_sn*sn_b*sn_h*(3/7+4/7*(1-$E710^2/3))+SUMPRODUCT($J$5:$K$5,$J710:$K710))/1000</f>
        <v/>
      </c>
      <c r="G710" s="60">
        <f>((fcd_sn*sn_b*(3/14*sn_h*(sn_h-3/7*sn_h)+4/7*sn_h*(sn_h/2-3/7*sn_h)*(1-$E710^2/3)-16/49*sn_h^2*(1/2-$E710^2/4))+SUMPRODUCT($J$5:$K$5,$J710:$K710,$J$7:$K$7))/1E6)</f>
        <v/>
      </c>
      <c r="J710">
        <f>MAX(-fyd_sn,MIN(fyd_sn,200000*0.002*(1-$E710*(7*J$6-3*sn_h)/(4*sn_h))))-fcd_sn*(1-MIN(1,MAX(0,$E710*(7*J$6-3*sn_h)/(4*sn_h)))^2)</f>
        <v/>
      </c>
      <c r="K710">
        <f>MAX(-fyd_sn,MIN(fyd_sn,200000*0.002*(1-$E710*(7*K$6-3*sn_h)/(4*sn_h))))-fcd_sn*(1-MIN(1,MAX(0,$E710*(7*K$6-3*sn_h)/(4*sn_h)))^2)</f>
        <v/>
      </c>
    </row>
    <row r="711">
      <c r="B711" s="55" t="n">
        <v>23</v>
      </c>
      <c r="C711" s="56">
        <f>IF($F710&lt;sn_N,$E710,$C710)</f>
        <v/>
      </c>
      <c r="D711" s="56">
        <f>IF($F710&lt;sn_N,$D710,$E710)</f>
        <v/>
      </c>
      <c r="E711" s="56">
        <f>($C711+$D711)/2</f>
        <v/>
      </c>
      <c r="F711" s="60">
        <f>(fcd_sn*sn_b*sn_h*(3/7+4/7*(1-$E711^2/3))+SUMPRODUCT($J$5:$K$5,$J711:$K711))/1000</f>
        <v/>
      </c>
      <c r="G711" s="60">
        <f>((fcd_sn*sn_b*(3/14*sn_h*(sn_h-3/7*sn_h)+4/7*sn_h*(sn_h/2-3/7*sn_h)*(1-$E711^2/3)-16/49*sn_h^2*(1/2-$E711^2/4))+SUMPRODUCT($J$5:$K$5,$J711:$K711,$J$7:$K$7))/1E6)</f>
        <v/>
      </c>
      <c r="J711">
        <f>MAX(-fyd_sn,MIN(fyd_sn,200000*0.002*(1-$E711*(7*J$6-3*sn_h)/(4*sn_h))))-fcd_sn*(1-MIN(1,MAX(0,$E711*(7*J$6-3*sn_h)/(4*sn_h)))^2)</f>
        <v/>
      </c>
      <c r="K711">
        <f>MAX(-fyd_sn,MIN(fyd_sn,200000*0.002*(1-$E711*(7*K$6-3*sn_h)/(4*sn_h))))-fcd_sn*(1-MIN(1,MAX(0,$E711*(7*K$6-3*sn_h)/(4*sn_h)))^2)</f>
        <v/>
      </c>
    </row>
    <row r="712">
      <c r="B712" s="55" t="n">
        <v>24</v>
      </c>
      <c r="C712" s="56">
        <f>IF($F711&lt;sn_N,$E711,$C711)</f>
        <v/>
      </c>
      <c r="D712" s="56">
        <f>IF($F711&lt;sn_N,$D711,$E711)</f>
        <v/>
      </c>
      <c r="E712" s="56">
        <f>($C712+$D712)/2</f>
        <v/>
      </c>
      <c r="F712" s="60">
        <f>(fcd_sn*sn_b*sn_h*(3/7+4/7*(1-$E712^2/3))+SUMPRODUCT($J$5:$K$5,$J712:$K712))/1000</f>
        <v/>
      </c>
      <c r="G712" s="60">
        <f>((fcd_sn*sn_b*(3/14*sn_h*(sn_h-3/7*sn_h)+4/7*sn_h*(sn_h/2-3/7*sn_h)*(1-$E712^2/3)-16/49*sn_h^2*(1/2-$E712^2/4))+SUMPRODUCT($J$5:$K$5,$J712:$K712,$J$7:$K$7))/1E6)</f>
        <v/>
      </c>
      <c r="J712">
        <f>MAX(-fyd_sn,MIN(fyd_sn,200000*0.002*(1-$E712*(7*J$6-3*sn_h)/(4*sn_h))))-fcd_sn*(1-MIN(1,MAX(0,$E712*(7*J$6-3*sn_h)/(4*sn_h)))^2)</f>
        <v/>
      </c>
      <c r="K712">
        <f>MAX(-fyd_sn,MIN(fyd_sn,200000*0.002*(1-$E712*(7*K$6-3*sn_h)/(4*sn_h))))-fcd_sn*(1-MIN(1,MAX(0,$E712*(7*K$6-3*sn_h)/(4*sn_h)))^2)</f>
        <v/>
      </c>
    </row>
    <row r="713">
      <c r="B713" s="55" t="n">
        <v>25</v>
      </c>
      <c r="C713" s="56">
        <f>IF($F712&lt;sn_N,$E712,$C712)</f>
        <v/>
      </c>
      <c r="D713" s="56">
        <f>IF($F712&lt;sn_N,$D712,$E712)</f>
        <v/>
      </c>
      <c r="E713" s="56">
        <f>($C713+$D713)/2</f>
        <v/>
      </c>
      <c r="F713" s="60">
        <f>(fcd_sn*sn_b*sn_h*(3/7+4/7*(1-$E713^2/3))+SUMPRODUCT($J$5:$K$5,$J713:$K713))/1000</f>
        <v/>
      </c>
      <c r="G713" s="60">
        <f>((fcd_sn*sn_b*(3/14*sn_h*(sn_h-3/7*sn_h)+4/7*sn_h*(sn_h/2-3/7*sn_h)*(1-$E713^2/3)-16/49*sn_h^2*(1/2-$E713^2/4))+SUMPRODUCT($J$5:$K$5,$J713:$K713,$J$7:$K$7))/1E6)</f>
        <v/>
      </c>
      <c r="J713">
        <f>MAX(-fyd_sn,MIN(fyd_sn,200000*0.002*(1-$E713*(7*J$6-3*sn_h)/(4*sn_h))))-fcd_sn*(1-MIN(1,MAX(0,$E713*(7*J$6-3*sn_h)/(4*sn_h)))^2)</f>
        <v/>
      </c>
      <c r="K713">
        <f>MAX(-fyd_sn,MIN(fyd_sn,200000*0.002*(1-$E713*(7*K$6-3*sn_h)/(4*sn_h))))-fcd_sn*(1-MIN(1,MAX(0,$E713*(7*K$6-3*sn_h)/(4*sn_h)))^2)</f>
        <v/>
      </c>
    </row>
    <row r="714">
      <c r="B714" s="55" t="n">
        <v>26</v>
      </c>
      <c r="C714" s="56">
        <f>IF($F713&lt;sn_N,$E713,$C713)</f>
        <v/>
      </c>
      <c r="D714" s="56">
        <f>IF($F713&lt;sn_N,$D713,$E713)</f>
        <v/>
      </c>
      <c r="E714" s="56">
        <f>($C714+$D714)/2</f>
        <v/>
      </c>
      <c r="F714" s="60">
        <f>(fcd_sn*sn_b*sn_h*(3/7+4/7*(1-$E714^2/3))+SUMPRODUCT($J$5:$K$5,$J714:$K714))/1000</f>
        <v/>
      </c>
      <c r="G714" s="60">
        <f>((fcd_sn*sn_b*(3/14*sn_h*(sn_h-3/7*sn_h)+4/7*sn_h*(sn_h/2-3/7*sn_h)*(1-$E714^2/3)-16/49*sn_h^2*(1/2-$E714^2/4))+SUMPRODUCT($J$5:$K$5,$J714:$K714,$J$7:$K$7))/1E6)</f>
        <v/>
      </c>
      <c r="J714">
        <f>MAX(-fyd_sn,MIN(fyd_sn,200000*0.002*(1-$E714*(7*J$6-3*sn_h)/(4*sn_h))))-fcd_sn*(1-MIN(1,MAX(0,$E714*(7*J$6-3*sn_h)/(4*sn_h)))^2)</f>
        <v/>
      </c>
      <c r="K714">
        <f>MAX(-fyd_sn,MIN(fyd_sn,200000*0.002*(1-$E714*(7*K$6-3*sn_h)/(4*sn_h))))-fcd_sn*(1-MIN(1,MAX(0,$E714*(7*K$6-3*sn_h)/(4*sn_h)))^2)</f>
        <v/>
      </c>
    </row>
    <row r="715">
      <c r="B715" s="55" t="n">
        <v>27</v>
      </c>
      <c r="C715" s="56">
        <f>IF($F714&lt;sn_N,$E714,$C714)</f>
        <v/>
      </c>
      <c r="D715" s="56">
        <f>IF($F714&lt;sn_N,$D714,$E714)</f>
        <v/>
      </c>
      <c r="E715" s="56">
        <f>($C715+$D715)/2</f>
        <v/>
      </c>
      <c r="F715" s="60">
        <f>(fcd_sn*sn_b*sn_h*(3/7+4/7*(1-$E715^2/3))+SUMPRODUCT($J$5:$K$5,$J715:$K715))/1000</f>
        <v/>
      </c>
      <c r="G715" s="60">
        <f>((fcd_sn*sn_b*(3/14*sn_h*(sn_h-3/7*sn_h)+4/7*sn_h*(sn_h/2-3/7*sn_h)*(1-$E715^2/3)-16/49*sn_h^2*(1/2-$E715^2/4))+SUMPRODUCT($J$5:$K$5,$J715:$K715,$J$7:$K$7))/1E6)</f>
        <v/>
      </c>
      <c r="J715">
        <f>MAX(-fyd_sn,MIN(fyd_sn,200000*0.002*(1-$E715*(7*J$6-3*sn_h)/(4*sn_h))))-fcd_sn*(1-MIN(1,MAX(0,$E715*(7*J$6-3*sn_h)/(4*sn_h)))^2)</f>
        <v/>
      </c>
      <c r="K715">
        <f>MAX(-fyd_sn,MIN(fyd_sn,200000*0.002*(1-$E715*(7*K$6-3*sn_h)/(4*sn_h))))-fcd_sn*(1-MIN(1,MAX(0,$E715*(7*K$6-3*sn_h)/(4*sn_h)))^2)</f>
        <v/>
      </c>
    </row>
    <row r="716">
      <c r="B716" s="55" t="n">
        <v>28</v>
      </c>
      <c r="C716" s="56">
        <f>IF($F715&lt;sn_N,$E715,$C715)</f>
        <v/>
      </c>
      <c r="D716" s="56">
        <f>IF($F715&lt;sn_N,$D715,$E715)</f>
        <v/>
      </c>
      <c r="E716" s="56">
        <f>($C716+$D716)/2</f>
        <v/>
      </c>
      <c r="F716" s="60">
        <f>(fcd_sn*sn_b*sn_h*(3/7+4/7*(1-$E716^2/3))+SUMPRODUCT($J$5:$K$5,$J716:$K716))/1000</f>
        <v/>
      </c>
      <c r="G716" s="60">
        <f>((fcd_sn*sn_b*(3/14*sn_h*(sn_h-3/7*sn_h)+4/7*sn_h*(sn_h/2-3/7*sn_h)*(1-$E716^2/3)-16/49*sn_h^2*(1/2-$E716^2/4))+SUMPRODUCT($J$5:$K$5,$J716:$K716,$J$7:$K$7))/1E6)</f>
        <v/>
      </c>
      <c r="J716">
        <f>MAX(-fyd_sn,MIN(fyd_sn,200000*0.002*(1-$E716*(7*J$6-3*sn_h)/(4*sn_h))))-fcd_sn*(1-MIN(1,MAX(0,$E716*(7*J$6-3*sn_h)/(4*sn_h)))^2)</f>
        <v/>
      </c>
      <c r="K716">
        <f>MAX(-fyd_sn,MIN(fyd_sn,200000*0.002*(1-$E716*(7*K$6-3*sn_h)/(4*sn_h))))-fcd_sn*(1-MIN(1,MAX(0,$E716*(7*K$6-3*sn_h)/(4*sn_h)))^2)</f>
        <v/>
      </c>
    </row>
    <row r="717">
      <c r="B717" s="55" t="n">
        <v>29</v>
      </c>
      <c r="C717" s="56">
        <f>IF($F716&lt;sn_N,$E716,$C716)</f>
        <v/>
      </c>
      <c r="D717" s="56">
        <f>IF($F716&lt;sn_N,$D716,$E716)</f>
        <v/>
      </c>
      <c r="E717" s="56">
        <f>($C717+$D717)/2</f>
        <v/>
      </c>
      <c r="F717" s="60">
        <f>(fcd_sn*sn_b*sn_h*(3/7+4/7*(1-$E717^2/3))+SUMPRODUCT($J$5:$K$5,$J717:$K717))/1000</f>
        <v/>
      </c>
      <c r="G717" s="60">
        <f>((fcd_sn*sn_b*(3/14*sn_h*(sn_h-3/7*sn_h)+4/7*sn_h*(sn_h/2-3/7*sn_h)*(1-$E717^2/3)-16/49*sn_h^2*(1/2-$E717^2/4))+SUMPRODUCT($J$5:$K$5,$J717:$K717,$J$7:$K$7))/1E6)</f>
        <v/>
      </c>
      <c r="J717">
        <f>MAX(-fyd_sn,MIN(fyd_sn,200000*0.002*(1-$E717*(7*J$6-3*sn_h)/(4*sn_h))))-fcd_sn*(1-MIN(1,MAX(0,$E717*(7*J$6-3*sn_h)/(4*sn_h)))^2)</f>
        <v/>
      </c>
      <c r="K717">
        <f>MAX(-fyd_sn,MIN(fyd_sn,200000*0.002*(1-$E717*(7*K$6-3*sn_h)/(4*sn_h))))-fcd_sn*(1-MIN(1,MAX(0,$E717*(7*K$6-3*sn_h)/(4*sn_h)))^2)</f>
        <v/>
      </c>
    </row>
    <row r="718">
      <c r="B718" s="55" t="n">
        <v>30</v>
      </c>
      <c r="C718" s="56">
        <f>IF($F717&lt;sn_N,$E717,$C717)</f>
        <v/>
      </c>
      <c r="D718" s="56">
        <f>IF($F717&lt;sn_N,$D717,$E717)</f>
        <v/>
      </c>
      <c r="E718" s="56">
        <f>($C718+$D718)/2</f>
        <v/>
      </c>
      <c r="F718" s="60">
        <f>(fcd_sn*sn_b*sn_h*(3/7+4/7*(1-$E718^2/3))+SUMPRODUCT($J$5:$K$5,$J718:$K718))/1000</f>
        <v/>
      </c>
      <c r="G718" s="60">
        <f>((fcd_sn*sn_b*(3/14*sn_h*(sn_h-3/7*sn_h)+4/7*sn_h*(sn_h/2-3/7*sn_h)*(1-$E718^2/3)-16/49*sn_h^2*(1/2-$E718^2/4))+SUMPRODUCT($J$5:$K$5,$J718:$K718,$J$7:$K$7))/1E6)</f>
        <v/>
      </c>
      <c r="J718">
        <f>MAX(-fyd_sn,MIN(fyd_sn,200000*0.002*(1-$E718*(7*J$6-3*sn_h)/(4*sn_h))))-fcd_sn*(1-MIN(1,MAX(0,$E718*(7*J$6-3*sn_h)/(4*sn_h)))^2)</f>
        <v/>
      </c>
      <c r="K718">
        <f>MAX(-fyd_sn,MIN(fyd_sn,200000*0.002*(1-$E718*(7*K$6-3*sn_h)/(4*sn_h))))-fcd_sn*(1-MIN(1,MAX(0,$E718*(7*K$6-3*sn_h)/(4*sn_h)))^2)</f>
        <v/>
      </c>
    </row>
    <row r="719">
      <c r="B719" s="55" t="n">
        <v>31</v>
      </c>
      <c r="C719" s="56">
        <f>IF($F718&lt;sn_N,$E718,$C718)</f>
        <v/>
      </c>
      <c r="D719" s="56">
        <f>IF($F718&lt;sn_N,$D718,$E718)</f>
        <v/>
      </c>
      <c r="E719" s="56">
        <f>($C719+$D719)/2</f>
        <v/>
      </c>
      <c r="F719" s="60">
        <f>(fcd_sn*sn_b*sn_h*(3/7+4/7*(1-$E719^2/3))+SUMPRODUCT($J$5:$K$5,$J719:$K719))/1000</f>
        <v/>
      </c>
      <c r="G719" s="60">
        <f>((fcd_sn*sn_b*(3/14*sn_h*(sn_h-3/7*sn_h)+4/7*sn_h*(sn_h/2-3/7*sn_h)*(1-$E719^2/3)-16/49*sn_h^2*(1/2-$E719^2/4))+SUMPRODUCT($J$5:$K$5,$J719:$K719,$J$7:$K$7))/1E6)</f>
        <v/>
      </c>
      <c r="J719">
        <f>MAX(-fyd_sn,MIN(fyd_sn,200000*0.002*(1-$E719*(7*J$6-3*sn_h)/(4*sn_h))))-fcd_sn*(1-MIN(1,MAX(0,$E719*(7*J$6-3*sn_h)/(4*sn_h)))^2)</f>
        <v/>
      </c>
      <c r="K719">
        <f>MAX(-fyd_sn,MIN(fyd_sn,200000*0.002*(1-$E719*(7*K$6-3*sn_h)/(4*sn_h))))-fcd_sn*(1-MIN(1,MAX(0,$E719*(7*K$6-3*sn_h)/(4*sn_h)))^2)</f>
        <v/>
      </c>
    </row>
    <row r="720">
      <c r="B720" s="55" t="n">
        <v>32</v>
      </c>
      <c r="C720" s="56">
        <f>IF($F719&lt;sn_N,$E719,$C719)</f>
        <v/>
      </c>
      <c r="D720" s="56">
        <f>IF($F719&lt;sn_N,$D719,$E719)</f>
        <v/>
      </c>
      <c r="E720" s="56">
        <f>($C720+$D720)/2</f>
        <v/>
      </c>
      <c r="F720" s="60">
        <f>(fcd_sn*sn_b*sn_h*(3/7+4/7*(1-$E720^2/3))+SUMPRODUCT($J$5:$K$5,$J720:$K720))/1000</f>
        <v/>
      </c>
      <c r="G720" s="60">
        <f>((fcd_sn*sn_b*(3/14*sn_h*(sn_h-3/7*sn_h)+4/7*sn_h*(sn_h/2-3/7*sn_h)*(1-$E720^2/3)-16/49*sn_h^2*(1/2-$E720^2/4))+SUMPRODUCT($J$5:$K$5,$J720:$K720,$J$7:$K$7))/1E6)</f>
        <v/>
      </c>
      <c r="J720">
        <f>MAX(-fyd_sn,MIN(fyd_sn,200000*0.002*(1-$E720*(7*J$6-3*sn_h)/(4*sn_h))))-fcd_sn*(1-MIN(1,MAX(0,$E720*(7*J$6-3*sn_h)/(4*sn_h)))^2)</f>
        <v/>
      </c>
      <c r="K720">
        <f>MAX(-fyd_sn,MIN(fyd_sn,200000*0.002*(1-$E720*(7*K$6-3*sn_h)/(4*sn_h))))-fcd_sn*(1-MIN(1,MAX(0,$E720*(7*K$6-3*sn_h)/(4*sn_h)))^2)</f>
        <v/>
      </c>
    </row>
    <row r="721">
      <c r="B721" s="55" t="n">
        <v>33</v>
      </c>
      <c r="C721" s="56">
        <f>IF($F720&lt;sn_N,$E720,$C720)</f>
        <v/>
      </c>
      <c r="D721" s="56">
        <f>IF($F720&lt;sn_N,$D720,$E720)</f>
        <v/>
      </c>
      <c r="E721" s="56">
        <f>($C721+$D721)/2</f>
        <v/>
      </c>
      <c r="F721" s="60">
        <f>(fcd_sn*sn_b*sn_h*(3/7+4/7*(1-$E721^2/3))+SUMPRODUCT($J$5:$K$5,$J721:$K721))/1000</f>
        <v/>
      </c>
      <c r="G721" s="60">
        <f>((fcd_sn*sn_b*(3/14*sn_h*(sn_h-3/7*sn_h)+4/7*sn_h*(sn_h/2-3/7*sn_h)*(1-$E721^2/3)-16/49*sn_h^2*(1/2-$E721^2/4))+SUMPRODUCT($J$5:$K$5,$J721:$K721,$J$7:$K$7))/1E6)</f>
        <v/>
      </c>
      <c r="J721">
        <f>MAX(-fyd_sn,MIN(fyd_sn,200000*0.002*(1-$E721*(7*J$6-3*sn_h)/(4*sn_h))))-fcd_sn*(1-MIN(1,MAX(0,$E721*(7*J$6-3*sn_h)/(4*sn_h)))^2)</f>
        <v/>
      </c>
      <c r="K721">
        <f>MAX(-fyd_sn,MIN(fyd_sn,200000*0.002*(1-$E721*(7*K$6-3*sn_h)/(4*sn_h))))-fcd_sn*(1-MIN(1,MAX(0,$E721*(7*K$6-3*sn_h)/(4*sn_h)))^2)</f>
        <v/>
      </c>
    </row>
    <row r="722">
      <c r="B722" s="55" t="n">
        <v>34</v>
      </c>
      <c r="C722" s="56">
        <f>IF($F721&lt;sn_N,$E721,$C721)</f>
        <v/>
      </c>
      <c r="D722" s="56">
        <f>IF($F721&lt;sn_N,$D721,$E721)</f>
        <v/>
      </c>
      <c r="E722" s="56">
        <f>($C722+$D722)/2</f>
        <v/>
      </c>
      <c r="F722" s="60">
        <f>(fcd_sn*sn_b*sn_h*(3/7+4/7*(1-$E722^2/3))+SUMPRODUCT($J$5:$K$5,$J722:$K722))/1000</f>
        <v/>
      </c>
      <c r="G722" s="60">
        <f>((fcd_sn*sn_b*(3/14*sn_h*(sn_h-3/7*sn_h)+4/7*sn_h*(sn_h/2-3/7*sn_h)*(1-$E722^2/3)-16/49*sn_h^2*(1/2-$E722^2/4))+SUMPRODUCT($J$5:$K$5,$J722:$K722,$J$7:$K$7))/1E6)</f>
        <v/>
      </c>
      <c r="J722">
        <f>MAX(-fyd_sn,MIN(fyd_sn,200000*0.002*(1-$E722*(7*J$6-3*sn_h)/(4*sn_h))))-fcd_sn*(1-MIN(1,MAX(0,$E722*(7*J$6-3*sn_h)/(4*sn_h)))^2)</f>
        <v/>
      </c>
      <c r="K722">
        <f>MAX(-fyd_sn,MIN(fyd_sn,200000*0.002*(1-$E722*(7*K$6-3*sn_h)/(4*sn_h))))-fcd_sn*(1-MIN(1,MAX(0,$E722*(7*K$6-3*sn_h)/(4*sn_h)))^2)</f>
        <v/>
      </c>
    </row>
    <row r="723">
      <c r="B723" s="55" t="n">
        <v>35</v>
      </c>
      <c r="C723" s="56">
        <f>IF($F722&lt;sn_N,$E722,$C722)</f>
        <v/>
      </c>
      <c r="D723" s="56">
        <f>IF($F722&lt;sn_N,$D722,$E722)</f>
        <v/>
      </c>
      <c r="E723" s="56">
        <f>($C723+$D723)/2</f>
        <v/>
      </c>
      <c r="F723" s="60">
        <f>(fcd_sn*sn_b*sn_h*(3/7+4/7*(1-$E723^2/3))+SUMPRODUCT($J$5:$K$5,$J723:$K723))/1000</f>
        <v/>
      </c>
      <c r="G723" s="60">
        <f>((fcd_sn*sn_b*(3/14*sn_h*(sn_h-3/7*sn_h)+4/7*sn_h*(sn_h/2-3/7*sn_h)*(1-$E723^2/3)-16/49*sn_h^2*(1/2-$E723^2/4))+SUMPRODUCT($J$5:$K$5,$J723:$K723,$J$7:$K$7))/1E6)</f>
        <v/>
      </c>
      <c r="J723">
        <f>MAX(-fyd_sn,MIN(fyd_sn,200000*0.002*(1-$E723*(7*J$6-3*sn_h)/(4*sn_h))))-fcd_sn*(1-MIN(1,MAX(0,$E723*(7*J$6-3*sn_h)/(4*sn_h)))^2)</f>
        <v/>
      </c>
      <c r="K723">
        <f>MAX(-fyd_sn,MIN(fyd_sn,200000*0.002*(1-$E723*(7*K$6-3*sn_h)/(4*sn_h))))-fcd_sn*(1-MIN(1,MAX(0,$E723*(7*K$6-3*sn_h)/(4*sn_h)))^2)</f>
        <v/>
      </c>
    </row>
    <row r="724">
      <c r="B724" s="55" t="n">
        <v>36</v>
      </c>
      <c r="C724" s="56">
        <f>IF($F723&lt;sn_N,$E723,$C723)</f>
        <v/>
      </c>
      <c r="D724" s="56">
        <f>IF($F723&lt;sn_N,$D723,$E723)</f>
        <v/>
      </c>
      <c r="E724" s="56">
        <f>($C724+$D724)/2</f>
        <v/>
      </c>
      <c r="F724" s="60">
        <f>(fcd_sn*sn_b*sn_h*(3/7+4/7*(1-$E724^2/3))+SUMPRODUCT($J$5:$K$5,$J724:$K724))/1000</f>
        <v/>
      </c>
      <c r="G724" s="60">
        <f>((fcd_sn*sn_b*(3/14*sn_h*(sn_h-3/7*sn_h)+4/7*sn_h*(sn_h/2-3/7*sn_h)*(1-$E724^2/3)-16/49*sn_h^2*(1/2-$E724^2/4))+SUMPRODUCT($J$5:$K$5,$J724:$K724,$J$7:$K$7))/1E6)</f>
        <v/>
      </c>
      <c r="J724">
        <f>MAX(-fyd_sn,MIN(fyd_sn,200000*0.002*(1-$E724*(7*J$6-3*sn_h)/(4*sn_h))))-fcd_sn*(1-MIN(1,MAX(0,$E724*(7*J$6-3*sn_h)/(4*sn_h)))^2)</f>
        <v/>
      </c>
      <c r="K724">
        <f>MAX(-fyd_sn,MIN(fyd_sn,200000*0.002*(1-$E724*(7*K$6-3*sn_h)/(4*sn_h))))-fcd_sn*(1-MIN(1,MAX(0,$E724*(7*K$6-3*sn_h)/(4*sn_h)))^2)</f>
        <v/>
      </c>
    </row>
    <row r="725">
      <c r="B725" s="55" t="n">
        <v>37</v>
      </c>
      <c r="C725" s="56">
        <f>IF($F724&lt;sn_N,$E724,$C724)</f>
        <v/>
      </c>
      <c r="D725" s="56">
        <f>IF($F724&lt;sn_N,$D724,$E724)</f>
        <v/>
      </c>
      <c r="E725" s="56">
        <f>($C725+$D725)/2</f>
        <v/>
      </c>
      <c r="F725" s="60">
        <f>(fcd_sn*sn_b*sn_h*(3/7+4/7*(1-$E725^2/3))+SUMPRODUCT($J$5:$K$5,$J725:$K725))/1000</f>
        <v/>
      </c>
      <c r="G725" s="60">
        <f>((fcd_sn*sn_b*(3/14*sn_h*(sn_h-3/7*sn_h)+4/7*sn_h*(sn_h/2-3/7*sn_h)*(1-$E725^2/3)-16/49*sn_h^2*(1/2-$E725^2/4))+SUMPRODUCT($J$5:$K$5,$J725:$K725,$J$7:$K$7))/1E6)</f>
        <v/>
      </c>
      <c r="J725">
        <f>MAX(-fyd_sn,MIN(fyd_sn,200000*0.002*(1-$E725*(7*J$6-3*sn_h)/(4*sn_h))))-fcd_sn*(1-MIN(1,MAX(0,$E725*(7*J$6-3*sn_h)/(4*sn_h)))^2)</f>
        <v/>
      </c>
      <c r="K725">
        <f>MAX(-fyd_sn,MIN(fyd_sn,200000*0.002*(1-$E725*(7*K$6-3*sn_h)/(4*sn_h))))-fcd_sn*(1-MIN(1,MAX(0,$E725*(7*K$6-3*sn_h)/(4*sn_h)))^2)</f>
        <v/>
      </c>
    </row>
    <row r="726">
      <c r="B726" s="55" t="n">
        <v>38</v>
      </c>
      <c r="C726" s="56">
        <f>IF($F725&lt;sn_N,$E725,$C725)</f>
        <v/>
      </c>
      <c r="D726" s="56">
        <f>IF($F725&lt;sn_N,$D725,$E725)</f>
        <v/>
      </c>
      <c r="E726" s="56">
        <f>($C726+$D726)/2</f>
        <v/>
      </c>
      <c r="F726" s="60">
        <f>(fcd_sn*sn_b*sn_h*(3/7+4/7*(1-$E726^2/3))+SUMPRODUCT($J$5:$K$5,$J726:$K726))/1000</f>
        <v/>
      </c>
      <c r="G726" s="60">
        <f>((fcd_sn*sn_b*(3/14*sn_h*(sn_h-3/7*sn_h)+4/7*sn_h*(sn_h/2-3/7*sn_h)*(1-$E726^2/3)-16/49*sn_h^2*(1/2-$E726^2/4))+SUMPRODUCT($J$5:$K$5,$J726:$K726,$J$7:$K$7))/1E6)</f>
        <v/>
      </c>
      <c r="J726">
        <f>MAX(-fyd_sn,MIN(fyd_sn,200000*0.002*(1-$E726*(7*J$6-3*sn_h)/(4*sn_h))))-fcd_sn*(1-MIN(1,MAX(0,$E726*(7*J$6-3*sn_h)/(4*sn_h)))^2)</f>
        <v/>
      </c>
      <c r="K726">
        <f>MAX(-fyd_sn,MIN(fyd_sn,200000*0.002*(1-$E726*(7*K$6-3*sn_h)/(4*sn_h))))-fcd_sn*(1-MIN(1,MAX(0,$E726*(7*K$6-3*sn_h)/(4*sn_h)))^2)</f>
        <v/>
      </c>
    </row>
    <row r="727">
      <c r="B727" s="55" t="n">
        <v>39</v>
      </c>
      <c r="C727" s="56">
        <f>IF($F726&lt;sn_N,$E726,$C726)</f>
        <v/>
      </c>
      <c r="D727" s="56">
        <f>IF($F726&lt;sn_N,$D726,$E726)</f>
        <v/>
      </c>
      <c r="E727" s="56">
        <f>($C727+$D727)/2</f>
        <v/>
      </c>
      <c r="F727" s="60">
        <f>(fcd_sn*sn_b*sn_h*(3/7+4/7*(1-$E727^2/3))+SUMPRODUCT($J$5:$K$5,$J727:$K727))/1000</f>
        <v/>
      </c>
      <c r="G727" s="60">
        <f>((fcd_sn*sn_b*(3/14*sn_h*(sn_h-3/7*sn_h)+4/7*sn_h*(sn_h/2-3/7*sn_h)*(1-$E727^2/3)-16/49*sn_h^2*(1/2-$E727^2/4))+SUMPRODUCT($J$5:$K$5,$J727:$K727,$J$7:$K$7))/1E6)</f>
        <v/>
      </c>
      <c r="J727">
        <f>MAX(-fyd_sn,MIN(fyd_sn,200000*0.002*(1-$E727*(7*J$6-3*sn_h)/(4*sn_h))))-fcd_sn*(1-MIN(1,MAX(0,$E727*(7*J$6-3*sn_h)/(4*sn_h)))^2)</f>
        <v/>
      </c>
      <c r="K727">
        <f>MAX(-fyd_sn,MIN(fyd_sn,200000*0.002*(1-$E727*(7*K$6-3*sn_h)/(4*sn_h))))-fcd_sn*(1-MIN(1,MAX(0,$E727*(7*K$6-3*sn_h)/(4*sn_h)))^2)</f>
        <v/>
      </c>
    </row>
    <row r="728">
      <c r="B728" s="55" t="n">
        <v>40</v>
      </c>
      <c r="C728" s="56">
        <f>IF($F727&lt;sn_N,$E727,$C727)</f>
        <v/>
      </c>
      <c r="D728" s="56">
        <f>IF($F727&lt;sn_N,$D727,$E727)</f>
        <v/>
      </c>
      <c r="E728" s="56">
        <f>($C728+$D728)/2</f>
        <v/>
      </c>
      <c r="F728" s="60">
        <f>(fcd_sn*sn_b*sn_h*(3/7+4/7*(1-$E728^2/3))+SUMPRODUCT($J$5:$K$5,$J728:$K728))/1000</f>
        <v/>
      </c>
      <c r="G728" s="60">
        <f>((fcd_sn*sn_b*(3/14*sn_h*(sn_h-3/7*sn_h)+4/7*sn_h*(sn_h/2-3/7*sn_h)*(1-$E728^2/3)-16/49*sn_h^2*(1/2-$E728^2/4))+SUMPRODUCT($J$5:$K$5,$J728:$K728,$J$7:$K$7))/1E6)</f>
        <v/>
      </c>
      <c r="J728">
        <f>MAX(-fyd_sn,MIN(fyd_sn,200000*0.002*(1-$E728*(7*J$6-3*sn_h)/(4*sn_h))))-fcd_sn*(1-MIN(1,MAX(0,$E728*(7*J$6-3*sn_h)/(4*sn_h)))^2)</f>
        <v/>
      </c>
      <c r="K728">
        <f>MAX(-fyd_sn,MIN(fyd_sn,200000*0.002*(1-$E728*(7*K$6-3*sn_h)/(4*sn_h))))-fcd_sn*(1-MIN(1,MAX(0,$E728*(7*K$6-3*sn_h)/(4*sn_h)))^2)</f>
        <v/>
      </c>
    </row>
    <row r="729">
      <c r="B729" s="55" t="n">
        <v>41</v>
      </c>
      <c r="C729" s="56">
        <f>IF($F728&lt;sn_N,$E728,$C728)</f>
        <v/>
      </c>
      <c r="D729" s="56">
        <f>IF($F728&lt;sn_N,$D728,$E728)</f>
        <v/>
      </c>
      <c r="E729" s="56">
        <f>($C729+$D729)/2</f>
        <v/>
      </c>
      <c r="F729" s="60">
        <f>(fcd_sn*sn_b*sn_h*(3/7+4/7*(1-$E729^2/3))+SUMPRODUCT($J$5:$K$5,$J729:$K729))/1000</f>
        <v/>
      </c>
      <c r="G729" s="60">
        <f>((fcd_sn*sn_b*(3/14*sn_h*(sn_h-3/7*sn_h)+4/7*sn_h*(sn_h/2-3/7*sn_h)*(1-$E729^2/3)-16/49*sn_h^2*(1/2-$E729^2/4))+SUMPRODUCT($J$5:$K$5,$J729:$K729,$J$7:$K$7))/1E6)</f>
        <v/>
      </c>
      <c r="J729">
        <f>MAX(-fyd_sn,MIN(fyd_sn,200000*0.002*(1-$E729*(7*J$6-3*sn_h)/(4*sn_h))))-fcd_sn*(1-MIN(1,MAX(0,$E729*(7*J$6-3*sn_h)/(4*sn_h)))^2)</f>
        <v/>
      </c>
      <c r="K729">
        <f>MAX(-fyd_sn,MIN(fyd_sn,200000*0.002*(1-$E729*(7*K$6-3*sn_h)/(4*sn_h))))-fcd_sn*(1-MIN(1,MAX(0,$E729*(7*K$6-3*sn_h)/(4*sn_h)))^2)</f>
        <v/>
      </c>
    </row>
    <row r="730">
      <c r="B730" s="55" t="n">
        <v>42</v>
      </c>
      <c r="C730" s="56">
        <f>IF($F729&lt;sn_N,$E729,$C729)</f>
        <v/>
      </c>
      <c r="D730" s="56">
        <f>IF($F729&lt;sn_N,$D729,$E729)</f>
        <v/>
      </c>
      <c r="E730" s="56">
        <f>($C730+$D730)/2</f>
        <v/>
      </c>
      <c r="F730" s="60">
        <f>(fcd_sn*sn_b*sn_h*(3/7+4/7*(1-$E730^2/3))+SUMPRODUCT($J$5:$K$5,$J730:$K730))/1000</f>
        <v/>
      </c>
      <c r="G730" s="60">
        <f>((fcd_sn*sn_b*(3/14*sn_h*(sn_h-3/7*sn_h)+4/7*sn_h*(sn_h/2-3/7*sn_h)*(1-$E730^2/3)-16/49*sn_h^2*(1/2-$E730^2/4))+SUMPRODUCT($J$5:$K$5,$J730:$K730,$J$7:$K$7))/1E6)</f>
        <v/>
      </c>
      <c r="J730">
        <f>MAX(-fyd_sn,MIN(fyd_sn,200000*0.002*(1-$E730*(7*J$6-3*sn_h)/(4*sn_h))))-fcd_sn*(1-MIN(1,MAX(0,$E730*(7*J$6-3*sn_h)/(4*sn_h)))^2)</f>
        <v/>
      </c>
      <c r="K730">
        <f>MAX(-fyd_sn,MIN(fyd_sn,200000*0.002*(1-$E730*(7*K$6-3*sn_h)/(4*sn_h))))-fcd_sn*(1-MIN(1,MAX(0,$E730*(7*K$6-3*sn_h)/(4*sn_h)))^2)</f>
        <v/>
      </c>
    </row>
    <row r="731">
      <c r="B731" s="55" t="n">
        <v>43</v>
      </c>
      <c r="C731" s="56">
        <f>IF($F730&lt;sn_N,$E730,$C730)</f>
        <v/>
      </c>
      <c r="D731" s="56">
        <f>IF($F730&lt;sn_N,$D730,$E730)</f>
        <v/>
      </c>
      <c r="E731" s="56">
        <f>($C731+$D731)/2</f>
        <v/>
      </c>
      <c r="F731" s="60">
        <f>(fcd_sn*sn_b*sn_h*(3/7+4/7*(1-$E731^2/3))+SUMPRODUCT($J$5:$K$5,$J731:$K731))/1000</f>
        <v/>
      </c>
      <c r="G731" s="60">
        <f>((fcd_sn*sn_b*(3/14*sn_h*(sn_h-3/7*sn_h)+4/7*sn_h*(sn_h/2-3/7*sn_h)*(1-$E731^2/3)-16/49*sn_h^2*(1/2-$E731^2/4))+SUMPRODUCT($J$5:$K$5,$J731:$K731,$J$7:$K$7))/1E6)</f>
        <v/>
      </c>
      <c r="J731">
        <f>MAX(-fyd_sn,MIN(fyd_sn,200000*0.002*(1-$E731*(7*J$6-3*sn_h)/(4*sn_h))))-fcd_sn*(1-MIN(1,MAX(0,$E731*(7*J$6-3*sn_h)/(4*sn_h)))^2)</f>
        <v/>
      </c>
      <c r="K731">
        <f>MAX(-fyd_sn,MIN(fyd_sn,200000*0.002*(1-$E731*(7*K$6-3*sn_h)/(4*sn_h))))-fcd_sn*(1-MIN(1,MAX(0,$E731*(7*K$6-3*sn_h)/(4*sn_h)))^2)</f>
        <v/>
      </c>
    </row>
    <row r="732">
      <c r="B732" s="55" t="n">
        <v>44</v>
      </c>
      <c r="C732" s="56">
        <f>IF($F731&lt;sn_N,$E731,$C731)</f>
        <v/>
      </c>
      <c r="D732" s="56">
        <f>IF($F731&lt;sn_N,$D731,$E731)</f>
        <v/>
      </c>
      <c r="E732" s="56">
        <f>($C732+$D732)/2</f>
        <v/>
      </c>
      <c r="F732" s="60">
        <f>(fcd_sn*sn_b*sn_h*(3/7+4/7*(1-$E732^2/3))+SUMPRODUCT($J$5:$K$5,$J732:$K732))/1000</f>
        <v/>
      </c>
      <c r="G732" s="60">
        <f>((fcd_sn*sn_b*(3/14*sn_h*(sn_h-3/7*sn_h)+4/7*sn_h*(sn_h/2-3/7*sn_h)*(1-$E732^2/3)-16/49*sn_h^2*(1/2-$E732^2/4))+SUMPRODUCT($J$5:$K$5,$J732:$K732,$J$7:$K$7))/1E6)</f>
        <v/>
      </c>
      <c r="J732">
        <f>MAX(-fyd_sn,MIN(fyd_sn,200000*0.002*(1-$E732*(7*J$6-3*sn_h)/(4*sn_h))))-fcd_sn*(1-MIN(1,MAX(0,$E732*(7*J$6-3*sn_h)/(4*sn_h)))^2)</f>
        <v/>
      </c>
      <c r="K732">
        <f>MAX(-fyd_sn,MIN(fyd_sn,200000*0.002*(1-$E732*(7*K$6-3*sn_h)/(4*sn_h))))-fcd_sn*(1-MIN(1,MAX(0,$E732*(7*K$6-3*sn_h)/(4*sn_h)))^2)</f>
        <v/>
      </c>
    </row>
    <row r="733">
      <c r="B733" s="55" t="n">
        <v>45</v>
      </c>
      <c r="C733" s="56">
        <f>IF($F732&lt;sn_N,$E732,$C732)</f>
        <v/>
      </c>
      <c r="D733" s="56">
        <f>IF($F732&lt;sn_N,$D732,$E732)</f>
        <v/>
      </c>
      <c r="E733" s="56">
        <f>($C733+$D733)/2</f>
        <v/>
      </c>
      <c r="F733" s="60">
        <f>(fcd_sn*sn_b*sn_h*(3/7+4/7*(1-$E733^2/3))+SUMPRODUCT($J$5:$K$5,$J733:$K733))/1000</f>
        <v/>
      </c>
      <c r="G733" s="60">
        <f>((fcd_sn*sn_b*(3/14*sn_h*(sn_h-3/7*sn_h)+4/7*sn_h*(sn_h/2-3/7*sn_h)*(1-$E733^2/3)-16/49*sn_h^2*(1/2-$E733^2/4))+SUMPRODUCT($J$5:$K$5,$J733:$K733,$J$7:$K$7))/1E6)</f>
        <v/>
      </c>
      <c r="J733">
        <f>MAX(-fyd_sn,MIN(fyd_sn,200000*0.002*(1-$E733*(7*J$6-3*sn_h)/(4*sn_h))))-fcd_sn*(1-MIN(1,MAX(0,$E733*(7*J$6-3*sn_h)/(4*sn_h)))^2)</f>
        <v/>
      </c>
      <c r="K733">
        <f>MAX(-fyd_sn,MIN(fyd_sn,200000*0.002*(1-$E733*(7*K$6-3*sn_h)/(4*sn_h))))-fcd_sn*(1-MIN(1,MAX(0,$E733*(7*K$6-3*sn_h)/(4*sn_h)))^2)</f>
        <v/>
      </c>
    </row>
    <row r="734">
      <c r="B734" s="55" t="n">
        <v>46</v>
      </c>
      <c r="C734" s="56">
        <f>IF($F733&lt;sn_N,$E733,$C733)</f>
        <v/>
      </c>
      <c r="D734" s="56">
        <f>IF($F733&lt;sn_N,$D733,$E733)</f>
        <v/>
      </c>
      <c r="E734" s="56">
        <f>($C734+$D734)/2</f>
        <v/>
      </c>
      <c r="F734" s="60">
        <f>(fcd_sn*sn_b*sn_h*(3/7+4/7*(1-$E734^2/3))+SUMPRODUCT($J$5:$K$5,$J734:$K734))/1000</f>
        <v/>
      </c>
      <c r="G734" s="60">
        <f>((fcd_sn*sn_b*(3/14*sn_h*(sn_h-3/7*sn_h)+4/7*sn_h*(sn_h/2-3/7*sn_h)*(1-$E734^2/3)-16/49*sn_h^2*(1/2-$E734^2/4))+SUMPRODUCT($J$5:$K$5,$J734:$K734,$J$7:$K$7))/1E6)</f>
        <v/>
      </c>
      <c r="J734">
        <f>MAX(-fyd_sn,MIN(fyd_sn,200000*0.002*(1-$E734*(7*J$6-3*sn_h)/(4*sn_h))))-fcd_sn*(1-MIN(1,MAX(0,$E734*(7*J$6-3*sn_h)/(4*sn_h)))^2)</f>
        <v/>
      </c>
      <c r="K734">
        <f>MAX(-fyd_sn,MIN(fyd_sn,200000*0.002*(1-$E734*(7*K$6-3*sn_h)/(4*sn_h))))-fcd_sn*(1-MIN(1,MAX(0,$E734*(7*K$6-3*sn_h)/(4*sn_h)))^2)</f>
        <v/>
      </c>
    </row>
    <row r="735">
      <c r="B735" s="55" t="n">
        <v>47</v>
      </c>
      <c r="C735" s="56">
        <f>IF($F734&lt;sn_N,$E734,$C734)</f>
        <v/>
      </c>
      <c r="D735" s="56">
        <f>IF($F734&lt;sn_N,$D734,$E734)</f>
        <v/>
      </c>
      <c r="E735" s="56">
        <f>($C735+$D735)/2</f>
        <v/>
      </c>
      <c r="F735" s="60">
        <f>(fcd_sn*sn_b*sn_h*(3/7+4/7*(1-$E735^2/3))+SUMPRODUCT($J$5:$K$5,$J735:$K735))/1000</f>
        <v/>
      </c>
      <c r="G735" s="60">
        <f>((fcd_sn*sn_b*(3/14*sn_h*(sn_h-3/7*sn_h)+4/7*sn_h*(sn_h/2-3/7*sn_h)*(1-$E735^2/3)-16/49*sn_h^2*(1/2-$E735^2/4))+SUMPRODUCT($J$5:$K$5,$J735:$K735,$J$7:$K$7))/1E6)</f>
        <v/>
      </c>
      <c r="J735">
        <f>MAX(-fyd_sn,MIN(fyd_sn,200000*0.002*(1-$E735*(7*J$6-3*sn_h)/(4*sn_h))))-fcd_sn*(1-MIN(1,MAX(0,$E735*(7*J$6-3*sn_h)/(4*sn_h)))^2)</f>
        <v/>
      </c>
      <c r="K735">
        <f>MAX(-fyd_sn,MIN(fyd_sn,200000*0.002*(1-$E735*(7*K$6-3*sn_h)/(4*sn_h))))-fcd_sn*(1-MIN(1,MAX(0,$E735*(7*K$6-3*sn_h)/(4*sn_h)))^2)</f>
        <v/>
      </c>
    </row>
    <row r="736">
      <c r="B736" s="55" t="n">
        <v>48</v>
      </c>
      <c r="C736" s="56">
        <f>IF($F735&lt;sn_N,$E735,$C735)</f>
        <v/>
      </c>
      <c r="D736" s="56">
        <f>IF($F735&lt;sn_N,$D735,$E735)</f>
        <v/>
      </c>
      <c r="E736" s="56">
        <f>($C736+$D736)/2</f>
        <v/>
      </c>
      <c r="F736" s="60">
        <f>(fcd_sn*sn_b*sn_h*(3/7+4/7*(1-$E736^2/3))+SUMPRODUCT($J$5:$K$5,$J736:$K736))/1000</f>
        <v/>
      </c>
      <c r="G736" s="60">
        <f>((fcd_sn*sn_b*(3/14*sn_h*(sn_h-3/7*sn_h)+4/7*sn_h*(sn_h/2-3/7*sn_h)*(1-$E736^2/3)-16/49*sn_h^2*(1/2-$E736^2/4))+SUMPRODUCT($J$5:$K$5,$J736:$K736,$J$7:$K$7))/1E6)</f>
        <v/>
      </c>
      <c r="J736">
        <f>MAX(-fyd_sn,MIN(fyd_sn,200000*0.002*(1-$E736*(7*J$6-3*sn_h)/(4*sn_h))))-fcd_sn*(1-MIN(1,MAX(0,$E736*(7*J$6-3*sn_h)/(4*sn_h)))^2)</f>
        <v/>
      </c>
      <c r="K736">
        <f>MAX(-fyd_sn,MIN(fyd_sn,200000*0.002*(1-$E736*(7*K$6-3*sn_h)/(4*sn_h))))-fcd_sn*(1-MIN(1,MAX(0,$E736*(7*K$6-3*sn_h)/(4*sn_h)))^2)</f>
        <v/>
      </c>
    </row>
    <row r="737">
      <c r="B737" s="55" t="n">
        <v>49</v>
      </c>
      <c r="C737" s="56">
        <f>IF($F736&lt;sn_N,$E736,$C736)</f>
        <v/>
      </c>
      <c r="D737" s="56">
        <f>IF($F736&lt;sn_N,$D736,$E736)</f>
        <v/>
      </c>
      <c r="E737" s="56">
        <f>($C737+$D737)/2</f>
        <v/>
      </c>
      <c r="F737" s="60">
        <f>(fcd_sn*sn_b*sn_h*(3/7+4/7*(1-$E737^2/3))+SUMPRODUCT($J$5:$K$5,$J737:$K737))/1000</f>
        <v/>
      </c>
      <c r="G737" s="60">
        <f>((fcd_sn*sn_b*(3/14*sn_h*(sn_h-3/7*sn_h)+4/7*sn_h*(sn_h/2-3/7*sn_h)*(1-$E737^2/3)-16/49*sn_h^2*(1/2-$E737^2/4))+SUMPRODUCT($J$5:$K$5,$J737:$K737,$J$7:$K$7))/1E6)</f>
        <v/>
      </c>
      <c r="J737">
        <f>MAX(-fyd_sn,MIN(fyd_sn,200000*0.002*(1-$E737*(7*J$6-3*sn_h)/(4*sn_h))))-fcd_sn*(1-MIN(1,MAX(0,$E737*(7*J$6-3*sn_h)/(4*sn_h)))^2)</f>
        <v/>
      </c>
      <c r="K737">
        <f>MAX(-fyd_sn,MIN(fyd_sn,200000*0.002*(1-$E737*(7*K$6-3*sn_h)/(4*sn_h))))-fcd_sn*(1-MIN(1,MAX(0,$E737*(7*K$6-3*sn_h)/(4*sn_h)))^2)</f>
        <v/>
      </c>
    </row>
    <row r="738">
      <c r="B738" s="55" t="n">
        <v>50</v>
      </c>
      <c r="C738" s="56">
        <f>IF($F737&lt;sn_N,$E737,$C737)</f>
        <v/>
      </c>
      <c r="D738" s="56">
        <f>IF($F737&lt;sn_N,$D737,$E737)</f>
        <v/>
      </c>
      <c r="E738" s="56">
        <f>($C738+$D738)/2</f>
        <v/>
      </c>
      <c r="F738" s="60">
        <f>(fcd_sn*sn_b*sn_h*(3/7+4/7*(1-$E738^2/3))+SUMPRODUCT($J$5:$K$5,$J738:$K738))/1000</f>
        <v/>
      </c>
      <c r="G738" s="60">
        <f>((fcd_sn*sn_b*(3/14*sn_h*(sn_h-3/7*sn_h)+4/7*sn_h*(sn_h/2-3/7*sn_h)*(1-$E738^2/3)-16/49*sn_h^2*(1/2-$E738^2/4))+SUMPRODUCT($J$5:$K$5,$J738:$K738,$J$7:$K$7))/1E6)</f>
        <v/>
      </c>
      <c r="J738">
        <f>MAX(-fyd_sn,MIN(fyd_sn,200000*0.002*(1-$E738*(7*J$6-3*sn_h)/(4*sn_h))))-fcd_sn*(1-MIN(1,MAX(0,$E738*(7*J$6-3*sn_h)/(4*sn_h)))^2)</f>
        <v/>
      </c>
      <c r="K738">
        <f>MAX(-fyd_sn,MIN(fyd_sn,200000*0.002*(1-$E738*(7*K$6-3*sn_h)/(4*sn_h))))-fcd_sn*(1-MIN(1,MAX(0,$E738*(7*K$6-3*sn_h)/(4*sn_h)))^2)</f>
        <v/>
      </c>
    </row>
    <row r="741">
      <c r="B741" s="54" t="inlineStr">
        <is>
          <t>Bottom face compressed, x ≥ h  ·  1. scan</t>
        </is>
      </c>
    </row>
    <row r="742">
      <c r="B742" s="48" t="inlineStr">
        <is>
          <t>k</t>
        </is>
      </c>
      <c r="C742" s="48" t="inlineStr">
        <is>
          <t>t</t>
        </is>
      </c>
      <c r="D742" s="48" t="inlineStr">
        <is>
          <t>x (mm)</t>
        </is>
      </c>
      <c r="E742" s="48" t="inlineStr">
        <is>
          <t>N (kN)</t>
        </is>
      </c>
      <c r="F742" s="48" t="inlineStr">
        <is>
          <t>M signed</t>
        </is>
      </c>
    </row>
    <row r="743">
      <c r="B743" s="55" t="n">
        <v>0</v>
      </c>
      <c r="C743" s="58">
        <f>1-0/200</f>
        <v/>
      </c>
      <c r="D743" s="59">
        <f>IF($C743&gt;=1,sn_h,3/7*sn_h+4/7*sn_h/MAX($C743,1E-12))</f>
        <v/>
      </c>
      <c r="E743" s="57">
        <f>(fcd_sn*sn_b*sn_h*(3/7+4/7*(1-$C743^2/3))+SUMPRODUCT($J$8:$K$8,$J743:$K743))/1000</f>
        <v/>
      </c>
      <c r="F743" s="57">
        <f>-((fcd_sn*sn_b*(3/14*sn_h*(sn_h-3/7*sn_h)+4/7*sn_h*(sn_h/2-3/7*sn_h)*(1-$C743^2/3)-16/49*sn_h^2*(1/2-$C743^2/4))+SUMPRODUCT($J$8:$K$8,$J743:$K743,$J$10:$K$10))/1E6)</f>
        <v/>
      </c>
      <c r="J743">
        <f>MAX(-fyd_sn,MIN(fyd_sn,200000*0.002*(1-$C743*(7*J$9-3*sn_h)/(4*sn_h))))-fcd_sn*(1-MIN(1,MAX(0,$C743*(7*J$9-3*sn_h)/(4*sn_h)))^2)</f>
        <v/>
      </c>
      <c r="K743">
        <f>MAX(-fyd_sn,MIN(fyd_sn,200000*0.002*(1-$C743*(7*K$9-3*sn_h)/(4*sn_h))))-fcd_sn*(1-MIN(1,MAX(0,$C743*(7*K$9-3*sn_h)/(4*sn_h)))^2)</f>
        <v/>
      </c>
    </row>
    <row r="744">
      <c r="B744" s="55" t="n">
        <v>1</v>
      </c>
      <c r="C744" s="58">
        <f>1-1/200</f>
        <v/>
      </c>
      <c r="D744" s="59">
        <f>IF($C744&gt;=1,sn_h,3/7*sn_h+4/7*sn_h/MAX($C744,1E-12))</f>
        <v/>
      </c>
      <c r="E744" s="57">
        <f>(fcd_sn*sn_b*sn_h*(3/7+4/7*(1-$C744^2/3))+SUMPRODUCT($J$8:$K$8,$J744:$K744))/1000</f>
        <v/>
      </c>
      <c r="F744" s="57">
        <f>-((fcd_sn*sn_b*(3/14*sn_h*(sn_h-3/7*sn_h)+4/7*sn_h*(sn_h/2-3/7*sn_h)*(1-$C744^2/3)-16/49*sn_h^2*(1/2-$C744^2/4))+SUMPRODUCT($J$8:$K$8,$J744:$K744,$J$10:$K$10))/1E6)</f>
        <v/>
      </c>
      <c r="J744">
        <f>MAX(-fyd_sn,MIN(fyd_sn,200000*0.002*(1-$C744*(7*J$9-3*sn_h)/(4*sn_h))))-fcd_sn*(1-MIN(1,MAX(0,$C744*(7*J$9-3*sn_h)/(4*sn_h)))^2)</f>
        <v/>
      </c>
      <c r="K744">
        <f>MAX(-fyd_sn,MIN(fyd_sn,200000*0.002*(1-$C744*(7*K$9-3*sn_h)/(4*sn_h))))-fcd_sn*(1-MIN(1,MAX(0,$C744*(7*K$9-3*sn_h)/(4*sn_h)))^2)</f>
        <v/>
      </c>
    </row>
    <row r="745">
      <c r="B745" s="55" t="n">
        <v>2</v>
      </c>
      <c r="C745" s="58">
        <f>1-2/200</f>
        <v/>
      </c>
      <c r="D745" s="59">
        <f>IF($C745&gt;=1,sn_h,3/7*sn_h+4/7*sn_h/MAX($C745,1E-12))</f>
        <v/>
      </c>
      <c r="E745" s="57">
        <f>(fcd_sn*sn_b*sn_h*(3/7+4/7*(1-$C745^2/3))+SUMPRODUCT($J$8:$K$8,$J745:$K745))/1000</f>
        <v/>
      </c>
      <c r="F745" s="57">
        <f>-((fcd_sn*sn_b*(3/14*sn_h*(sn_h-3/7*sn_h)+4/7*sn_h*(sn_h/2-3/7*sn_h)*(1-$C745^2/3)-16/49*sn_h^2*(1/2-$C745^2/4))+SUMPRODUCT($J$8:$K$8,$J745:$K745,$J$10:$K$10))/1E6)</f>
        <v/>
      </c>
      <c r="J745">
        <f>MAX(-fyd_sn,MIN(fyd_sn,200000*0.002*(1-$C745*(7*J$9-3*sn_h)/(4*sn_h))))-fcd_sn*(1-MIN(1,MAX(0,$C745*(7*J$9-3*sn_h)/(4*sn_h)))^2)</f>
        <v/>
      </c>
      <c r="K745">
        <f>MAX(-fyd_sn,MIN(fyd_sn,200000*0.002*(1-$C745*(7*K$9-3*sn_h)/(4*sn_h))))-fcd_sn*(1-MIN(1,MAX(0,$C745*(7*K$9-3*sn_h)/(4*sn_h)))^2)</f>
        <v/>
      </c>
    </row>
    <row r="746">
      <c r="B746" s="55" t="n">
        <v>3</v>
      </c>
      <c r="C746" s="58">
        <f>1-3/200</f>
        <v/>
      </c>
      <c r="D746" s="59">
        <f>IF($C746&gt;=1,sn_h,3/7*sn_h+4/7*sn_h/MAX($C746,1E-12))</f>
        <v/>
      </c>
      <c r="E746" s="57">
        <f>(fcd_sn*sn_b*sn_h*(3/7+4/7*(1-$C746^2/3))+SUMPRODUCT($J$8:$K$8,$J746:$K746))/1000</f>
        <v/>
      </c>
      <c r="F746" s="57">
        <f>-((fcd_sn*sn_b*(3/14*sn_h*(sn_h-3/7*sn_h)+4/7*sn_h*(sn_h/2-3/7*sn_h)*(1-$C746^2/3)-16/49*sn_h^2*(1/2-$C746^2/4))+SUMPRODUCT($J$8:$K$8,$J746:$K746,$J$10:$K$10))/1E6)</f>
        <v/>
      </c>
      <c r="J746">
        <f>MAX(-fyd_sn,MIN(fyd_sn,200000*0.002*(1-$C746*(7*J$9-3*sn_h)/(4*sn_h))))-fcd_sn*(1-MIN(1,MAX(0,$C746*(7*J$9-3*sn_h)/(4*sn_h)))^2)</f>
        <v/>
      </c>
      <c r="K746">
        <f>MAX(-fyd_sn,MIN(fyd_sn,200000*0.002*(1-$C746*(7*K$9-3*sn_h)/(4*sn_h))))-fcd_sn*(1-MIN(1,MAX(0,$C746*(7*K$9-3*sn_h)/(4*sn_h)))^2)</f>
        <v/>
      </c>
    </row>
    <row r="747">
      <c r="B747" s="55" t="n">
        <v>4</v>
      </c>
      <c r="C747" s="58">
        <f>1-4/200</f>
        <v/>
      </c>
      <c r="D747" s="59">
        <f>IF($C747&gt;=1,sn_h,3/7*sn_h+4/7*sn_h/MAX($C747,1E-12))</f>
        <v/>
      </c>
      <c r="E747" s="57">
        <f>(fcd_sn*sn_b*sn_h*(3/7+4/7*(1-$C747^2/3))+SUMPRODUCT($J$8:$K$8,$J747:$K747))/1000</f>
        <v/>
      </c>
      <c r="F747" s="57">
        <f>-((fcd_sn*sn_b*(3/14*sn_h*(sn_h-3/7*sn_h)+4/7*sn_h*(sn_h/2-3/7*sn_h)*(1-$C747^2/3)-16/49*sn_h^2*(1/2-$C747^2/4))+SUMPRODUCT($J$8:$K$8,$J747:$K747,$J$10:$K$10))/1E6)</f>
        <v/>
      </c>
      <c r="J747">
        <f>MAX(-fyd_sn,MIN(fyd_sn,200000*0.002*(1-$C747*(7*J$9-3*sn_h)/(4*sn_h))))-fcd_sn*(1-MIN(1,MAX(0,$C747*(7*J$9-3*sn_h)/(4*sn_h)))^2)</f>
        <v/>
      </c>
      <c r="K747">
        <f>MAX(-fyd_sn,MIN(fyd_sn,200000*0.002*(1-$C747*(7*K$9-3*sn_h)/(4*sn_h))))-fcd_sn*(1-MIN(1,MAX(0,$C747*(7*K$9-3*sn_h)/(4*sn_h)))^2)</f>
        <v/>
      </c>
    </row>
    <row r="748">
      <c r="B748" s="55" t="n">
        <v>5</v>
      </c>
      <c r="C748" s="58">
        <f>1-5/200</f>
        <v/>
      </c>
      <c r="D748" s="59">
        <f>IF($C748&gt;=1,sn_h,3/7*sn_h+4/7*sn_h/MAX($C748,1E-12))</f>
        <v/>
      </c>
      <c r="E748" s="57">
        <f>(fcd_sn*sn_b*sn_h*(3/7+4/7*(1-$C748^2/3))+SUMPRODUCT($J$8:$K$8,$J748:$K748))/1000</f>
        <v/>
      </c>
      <c r="F748" s="57">
        <f>-((fcd_sn*sn_b*(3/14*sn_h*(sn_h-3/7*sn_h)+4/7*sn_h*(sn_h/2-3/7*sn_h)*(1-$C748^2/3)-16/49*sn_h^2*(1/2-$C748^2/4))+SUMPRODUCT($J$8:$K$8,$J748:$K748,$J$10:$K$10))/1E6)</f>
        <v/>
      </c>
      <c r="J748">
        <f>MAX(-fyd_sn,MIN(fyd_sn,200000*0.002*(1-$C748*(7*J$9-3*sn_h)/(4*sn_h))))-fcd_sn*(1-MIN(1,MAX(0,$C748*(7*J$9-3*sn_h)/(4*sn_h)))^2)</f>
        <v/>
      </c>
      <c r="K748">
        <f>MAX(-fyd_sn,MIN(fyd_sn,200000*0.002*(1-$C748*(7*K$9-3*sn_h)/(4*sn_h))))-fcd_sn*(1-MIN(1,MAX(0,$C748*(7*K$9-3*sn_h)/(4*sn_h)))^2)</f>
        <v/>
      </c>
    </row>
    <row r="749">
      <c r="B749" s="55" t="n">
        <v>6</v>
      </c>
      <c r="C749" s="58">
        <f>1-6/200</f>
        <v/>
      </c>
      <c r="D749" s="59">
        <f>IF($C749&gt;=1,sn_h,3/7*sn_h+4/7*sn_h/MAX($C749,1E-12))</f>
        <v/>
      </c>
      <c r="E749" s="57">
        <f>(fcd_sn*sn_b*sn_h*(3/7+4/7*(1-$C749^2/3))+SUMPRODUCT($J$8:$K$8,$J749:$K749))/1000</f>
        <v/>
      </c>
      <c r="F749" s="57">
        <f>-((fcd_sn*sn_b*(3/14*sn_h*(sn_h-3/7*sn_h)+4/7*sn_h*(sn_h/2-3/7*sn_h)*(1-$C749^2/3)-16/49*sn_h^2*(1/2-$C749^2/4))+SUMPRODUCT($J$8:$K$8,$J749:$K749,$J$10:$K$10))/1E6)</f>
        <v/>
      </c>
      <c r="J749">
        <f>MAX(-fyd_sn,MIN(fyd_sn,200000*0.002*(1-$C749*(7*J$9-3*sn_h)/(4*sn_h))))-fcd_sn*(1-MIN(1,MAX(0,$C749*(7*J$9-3*sn_h)/(4*sn_h)))^2)</f>
        <v/>
      </c>
      <c r="K749">
        <f>MAX(-fyd_sn,MIN(fyd_sn,200000*0.002*(1-$C749*(7*K$9-3*sn_h)/(4*sn_h))))-fcd_sn*(1-MIN(1,MAX(0,$C749*(7*K$9-3*sn_h)/(4*sn_h)))^2)</f>
        <v/>
      </c>
    </row>
    <row r="750">
      <c r="B750" s="55" t="n">
        <v>7</v>
      </c>
      <c r="C750" s="58">
        <f>1-7/200</f>
        <v/>
      </c>
      <c r="D750" s="59">
        <f>IF($C750&gt;=1,sn_h,3/7*sn_h+4/7*sn_h/MAX($C750,1E-12))</f>
        <v/>
      </c>
      <c r="E750" s="57">
        <f>(fcd_sn*sn_b*sn_h*(3/7+4/7*(1-$C750^2/3))+SUMPRODUCT($J$8:$K$8,$J750:$K750))/1000</f>
        <v/>
      </c>
      <c r="F750" s="57">
        <f>-((fcd_sn*sn_b*(3/14*sn_h*(sn_h-3/7*sn_h)+4/7*sn_h*(sn_h/2-3/7*sn_h)*(1-$C750^2/3)-16/49*sn_h^2*(1/2-$C750^2/4))+SUMPRODUCT($J$8:$K$8,$J750:$K750,$J$10:$K$10))/1E6)</f>
        <v/>
      </c>
      <c r="J750">
        <f>MAX(-fyd_sn,MIN(fyd_sn,200000*0.002*(1-$C750*(7*J$9-3*sn_h)/(4*sn_h))))-fcd_sn*(1-MIN(1,MAX(0,$C750*(7*J$9-3*sn_h)/(4*sn_h)))^2)</f>
        <v/>
      </c>
      <c r="K750">
        <f>MAX(-fyd_sn,MIN(fyd_sn,200000*0.002*(1-$C750*(7*K$9-3*sn_h)/(4*sn_h))))-fcd_sn*(1-MIN(1,MAX(0,$C750*(7*K$9-3*sn_h)/(4*sn_h)))^2)</f>
        <v/>
      </c>
    </row>
    <row r="751">
      <c r="B751" s="55" t="n">
        <v>8</v>
      </c>
      <c r="C751" s="58">
        <f>1-8/200</f>
        <v/>
      </c>
      <c r="D751" s="59">
        <f>IF($C751&gt;=1,sn_h,3/7*sn_h+4/7*sn_h/MAX($C751,1E-12))</f>
        <v/>
      </c>
      <c r="E751" s="57">
        <f>(fcd_sn*sn_b*sn_h*(3/7+4/7*(1-$C751^2/3))+SUMPRODUCT($J$8:$K$8,$J751:$K751))/1000</f>
        <v/>
      </c>
      <c r="F751" s="57">
        <f>-((fcd_sn*sn_b*(3/14*sn_h*(sn_h-3/7*sn_h)+4/7*sn_h*(sn_h/2-3/7*sn_h)*(1-$C751^2/3)-16/49*sn_h^2*(1/2-$C751^2/4))+SUMPRODUCT($J$8:$K$8,$J751:$K751,$J$10:$K$10))/1E6)</f>
        <v/>
      </c>
      <c r="J751">
        <f>MAX(-fyd_sn,MIN(fyd_sn,200000*0.002*(1-$C751*(7*J$9-3*sn_h)/(4*sn_h))))-fcd_sn*(1-MIN(1,MAX(0,$C751*(7*J$9-3*sn_h)/(4*sn_h)))^2)</f>
        <v/>
      </c>
      <c r="K751">
        <f>MAX(-fyd_sn,MIN(fyd_sn,200000*0.002*(1-$C751*(7*K$9-3*sn_h)/(4*sn_h))))-fcd_sn*(1-MIN(1,MAX(0,$C751*(7*K$9-3*sn_h)/(4*sn_h)))^2)</f>
        <v/>
      </c>
    </row>
    <row r="752">
      <c r="B752" s="55" t="n">
        <v>9</v>
      </c>
      <c r="C752" s="58">
        <f>1-9/200</f>
        <v/>
      </c>
      <c r="D752" s="59">
        <f>IF($C752&gt;=1,sn_h,3/7*sn_h+4/7*sn_h/MAX($C752,1E-12))</f>
        <v/>
      </c>
      <c r="E752" s="57">
        <f>(fcd_sn*sn_b*sn_h*(3/7+4/7*(1-$C752^2/3))+SUMPRODUCT($J$8:$K$8,$J752:$K752))/1000</f>
        <v/>
      </c>
      <c r="F752" s="57">
        <f>-((fcd_sn*sn_b*(3/14*sn_h*(sn_h-3/7*sn_h)+4/7*sn_h*(sn_h/2-3/7*sn_h)*(1-$C752^2/3)-16/49*sn_h^2*(1/2-$C752^2/4))+SUMPRODUCT($J$8:$K$8,$J752:$K752,$J$10:$K$10))/1E6)</f>
        <v/>
      </c>
      <c r="J752">
        <f>MAX(-fyd_sn,MIN(fyd_sn,200000*0.002*(1-$C752*(7*J$9-3*sn_h)/(4*sn_h))))-fcd_sn*(1-MIN(1,MAX(0,$C752*(7*J$9-3*sn_h)/(4*sn_h)))^2)</f>
        <v/>
      </c>
      <c r="K752">
        <f>MAX(-fyd_sn,MIN(fyd_sn,200000*0.002*(1-$C752*(7*K$9-3*sn_h)/(4*sn_h))))-fcd_sn*(1-MIN(1,MAX(0,$C752*(7*K$9-3*sn_h)/(4*sn_h)))^2)</f>
        <v/>
      </c>
    </row>
    <row r="753">
      <c r="B753" s="55" t="n">
        <v>10</v>
      </c>
      <c r="C753" s="58">
        <f>1-10/200</f>
        <v/>
      </c>
      <c r="D753" s="59">
        <f>IF($C753&gt;=1,sn_h,3/7*sn_h+4/7*sn_h/MAX($C753,1E-12))</f>
        <v/>
      </c>
      <c r="E753" s="57">
        <f>(fcd_sn*sn_b*sn_h*(3/7+4/7*(1-$C753^2/3))+SUMPRODUCT($J$8:$K$8,$J753:$K753))/1000</f>
        <v/>
      </c>
      <c r="F753" s="57">
        <f>-((fcd_sn*sn_b*(3/14*sn_h*(sn_h-3/7*sn_h)+4/7*sn_h*(sn_h/2-3/7*sn_h)*(1-$C753^2/3)-16/49*sn_h^2*(1/2-$C753^2/4))+SUMPRODUCT($J$8:$K$8,$J753:$K753,$J$10:$K$10))/1E6)</f>
        <v/>
      </c>
      <c r="J753">
        <f>MAX(-fyd_sn,MIN(fyd_sn,200000*0.002*(1-$C753*(7*J$9-3*sn_h)/(4*sn_h))))-fcd_sn*(1-MIN(1,MAX(0,$C753*(7*J$9-3*sn_h)/(4*sn_h)))^2)</f>
        <v/>
      </c>
      <c r="K753">
        <f>MAX(-fyd_sn,MIN(fyd_sn,200000*0.002*(1-$C753*(7*K$9-3*sn_h)/(4*sn_h))))-fcd_sn*(1-MIN(1,MAX(0,$C753*(7*K$9-3*sn_h)/(4*sn_h)))^2)</f>
        <v/>
      </c>
    </row>
    <row r="754">
      <c r="B754" s="55" t="n">
        <v>11</v>
      </c>
      <c r="C754" s="58">
        <f>1-11/200</f>
        <v/>
      </c>
      <c r="D754" s="59">
        <f>IF($C754&gt;=1,sn_h,3/7*sn_h+4/7*sn_h/MAX($C754,1E-12))</f>
        <v/>
      </c>
      <c r="E754" s="57">
        <f>(fcd_sn*sn_b*sn_h*(3/7+4/7*(1-$C754^2/3))+SUMPRODUCT($J$8:$K$8,$J754:$K754))/1000</f>
        <v/>
      </c>
      <c r="F754" s="57">
        <f>-((fcd_sn*sn_b*(3/14*sn_h*(sn_h-3/7*sn_h)+4/7*sn_h*(sn_h/2-3/7*sn_h)*(1-$C754^2/3)-16/49*sn_h^2*(1/2-$C754^2/4))+SUMPRODUCT($J$8:$K$8,$J754:$K754,$J$10:$K$10))/1E6)</f>
        <v/>
      </c>
      <c r="J754">
        <f>MAX(-fyd_sn,MIN(fyd_sn,200000*0.002*(1-$C754*(7*J$9-3*sn_h)/(4*sn_h))))-fcd_sn*(1-MIN(1,MAX(0,$C754*(7*J$9-3*sn_h)/(4*sn_h)))^2)</f>
        <v/>
      </c>
      <c r="K754">
        <f>MAX(-fyd_sn,MIN(fyd_sn,200000*0.002*(1-$C754*(7*K$9-3*sn_h)/(4*sn_h))))-fcd_sn*(1-MIN(1,MAX(0,$C754*(7*K$9-3*sn_h)/(4*sn_h)))^2)</f>
        <v/>
      </c>
    </row>
    <row r="755">
      <c r="B755" s="55" t="n">
        <v>12</v>
      </c>
      <c r="C755" s="58">
        <f>1-12/200</f>
        <v/>
      </c>
      <c r="D755" s="59">
        <f>IF($C755&gt;=1,sn_h,3/7*sn_h+4/7*sn_h/MAX($C755,1E-12))</f>
        <v/>
      </c>
      <c r="E755" s="57">
        <f>(fcd_sn*sn_b*sn_h*(3/7+4/7*(1-$C755^2/3))+SUMPRODUCT($J$8:$K$8,$J755:$K755))/1000</f>
        <v/>
      </c>
      <c r="F755" s="57">
        <f>-((fcd_sn*sn_b*(3/14*sn_h*(sn_h-3/7*sn_h)+4/7*sn_h*(sn_h/2-3/7*sn_h)*(1-$C755^2/3)-16/49*sn_h^2*(1/2-$C755^2/4))+SUMPRODUCT($J$8:$K$8,$J755:$K755,$J$10:$K$10))/1E6)</f>
        <v/>
      </c>
      <c r="J755">
        <f>MAX(-fyd_sn,MIN(fyd_sn,200000*0.002*(1-$C755*(7*J$9-3*sn_h)/(4*sn_h))))-fcd_sn*(1-MIN(1,MAX(0,$C755*(7*J$9-3*sn_h)/(4*sn_h)))^2)</f>
        <v/>
      </c>
      <c r="K755">
        <f>MAX(-fyd_sn,MIN(fyd_sn,200000*0.002*(1-$C755*(7*K$9-3*sn_h)/(4*sn_h))))-fcd_sn*(1-MIN(1,MAX(0,$C755*(7*K$9-3*sn_h)/(4*sn_h)))^2)</f>
        <v/>
      </c>
    </row>
    <row r="756">
      <c r="B756" s="55" t="n">
        <v>13</v>
      </c>
      <c r="C756" s="58">
        <f>1-13/200</f>
        <v/>
      </c>
      <c r="D756" s="59">
        <f>IF($C756&gt;=1,sn_h,3/7*sn_h+4/7*sn_h/MAX($C756,1E-12))</f>
        <v/>
      </c>
      <c r="E756" s="57">
        <f>(fcd_sn*sn_b*sn_h*(3/7+4/7*(1-$C756^2/3))+SUMPRODUCT($J$8:$K$8,$J756:$K756))/1000</f>
        <v/>
      </c>
      <c r="F756" s="57">
        <f>-((fcd_sn*sn_b*(3/14*sn_h*(sn_h-3/7*sn_h)+4/7*sn_h*(sn_h/2-3/7*sn_h)*(1-$C756^2/3)-16/49*sn_h^2*(1/2-$C756^2/4))+SUMPRODUCT($J$8:$K$8,$J756:$K756,$J$10:$K$10))/1E6)</f>
        <v/>
      </c>
      <c r="J756">
        <f>MAX(-fyd_sn,MIN(fyd_sn,200000*0.002*(1-$C756*(7*J$9-3*sn_h)/(4*sn_h))))-fcd_sn*(1-MIN(1,MAX(0,$C756*(7*J$9-3*sn_h)/(4*sn_h)))^2)</f>
        <v/>
      </c>
      <c r="K756">
        <f>MAX(-fyd_sn,MIN(fyd_sn,200000*0.002*(1-$C756*(7*K$9-3*sn_h)/(4*sn_h))))-fcd_sn*(1-MIN(1,MAX(0,$C756*(7*K$9-3*sn_h)/(4*sn_h)))^2)</f>
        <v/>
      </c>
    </row>
    <row r="757">
      <c r="B757" s="55" t="n">
        <v>14</v>
      </c>
      <c r="C757" s="58">
        <f>1-14/200</f>
        <v/>
      </c>
      <c r="D757" s="59">
        <f>IF($C757&gt;=1,sn_h,3/7*sn_h+4/7*sn_h/MAX($C757,1E-12))</f>
        <v/>
      </c>
      <c r="E757" s="57">
        <f>(fcd_sn*sn_b*sn_h*(3/7+4/7*(1-$C757^2/3))+SUMPRODUCT($J$8:$K$8,$J757:$K757))/1000</f>
        <v/>
      </c>
      <c r="F757" s="57">
        <f>-((fcd_sn*sn_b*(3/14*sn_h*(sn_h-3/7*sn_h)+4/7*sn_h*(sn_h/2-3/7*sn_h)*(1-$C757^2/3)-16/49*sn_h^2*(1/2-$C757^2/4))+SUMPRODUCT($J$8:$K$8,$J757:$K757,$J$10:$K$10))/1E6)</f>
        <v/>
      </c>
      <c r="J757">
        <f>MAX(-fyd_sn,MIN(fyd_sn,200000*0.002*(1-$C757*(7*J$9-3*sn_h)/(4*sn_h))))-fcd_sn*(1-MIN(1,MAX(0,$C757*(7*J$9-3*sn_h)/(4*sn_h)))^2)</f>
        <v/>
      </c>
      <c r="K757">
        <f>MAX(-fyd_sn,MIN(fyd_sn,200000*0.002*(1-$C757*(7*K$9-3*sn_h)/(4*sn_h))))-fcd_sn*(1-MIN(1,MAX(0,$C757*(7*K$9-3*sn_h)/(4*sn_h)))^2)</f>
        <v/>
      </c>
    </row>
    <row r="758">
      <c r="B758" s="55" t="n">
        <v>15</v>
      </c>
      <c r="C758" s="58">
        <f>1-15/200</f>
        <v/>
      </c>
      <c r="D758" s="59">
        <f>IF($C758&gt;=1,sn_h,3/7*sn_h+4/7*sn_h/MAX($C758,1E-12))</f>
        <v/>
      </c>
      <c r="E758" s="57">
        <f>(fcd_sn*sn_b*sn_h*(3/7+4/7*(1-$C758^2/3))+SUMPRODUCT($J$8:$K$8,$J758:$K758))/1000</f>
        <v/>
      </c>
      <c r="F758" s="57">
        <f>-((fcd_sn*sn_b*(3/14*sn_h*(sn_h-3/7*sn_h)+4/7*sn_h*(sn_h/2-3/7*sn_h)*(1-$C758^2/3)-16/49*sn_h^2*(1/2-$C758^2/4))+SUMPRODUCT($J$8:$K$8,$J758:$K758,$J$10:$K$10))/1E6)</f>
        <v/>
      </c>
      <c r="J758">
        <f>MAX(-fyd_sn,MIN(fyd_sn,200000*0.002*(1-$C758*(7*J$9-3*sn_h)/(4*sn_h))))-fcd_sn*(1-MIN(1,MAX(0,$C758*(7*J$9-3*sn_h)/(4*sn_h)))^2)</f>
        <v/>
      </c>
      <c r="K758">
        <f>MAX(-fyd_sn,MIN(fyd_sn,200000*0.002*(1-$C758*(7*K$9-3*sn_h)/(4*sn_h))))-fcd_sn*(1-MIN(1,MAX(0,$C758*(7*K$9-3*sn_h)/(4*sn_h)))^2)</f>
        <v/>
      </c>
    </row>
    <row r="759">
      <c r="B759" s="55" t="n">
        <v>16</v>
      </c>
      <c r="C759" s="58">
        <f>1-16/200</f>
        <v/>
      </c>
      <c r="D759" s="59">
        <f>IF($C759&gt;=1,sn_h,3/7*sn_h+4/7*sn_h/MAX($C759,1E-12))</f>
        <v/>
      </c>
      <c r="E759" s="57">
        <f>(fcd_sn*sn_b*sn_h*(3/7+4/7*(1-$C759^2/3))+SUMPRODUCT($J$8:$K$8,$J759:$K759))/1000</f>
        <v/>
      </c>
      <c r="F759" s="57">
        <f>-((fcd_sn*sn_b*(3/14*sn_h*(sn_h-3/7*sn_h)+4/7*sn_h*(sn_h/2-3/7*sn_h)*(1-$C759^2/3)-16/49*sn_h^2*(1/2-$C759^2/4))+SUMPRODUCT($J$8:$K$8,$J759:$K759,$J$10:$K$10))/1E6)</f>
        <v/>
      </c>
      <c r="J759">
        <f>MAX(-fyd_sn,MIN(fyd_sn,200000*0.002*(1-$C759*(7*J$9-3*sn_h)/(4*sn_h))))-fcd_sn*(1-MIN(1,MAX(0,$C759*(7*J$9-3*sn_h)/(4*sn_h)))^2)</f>
        <v/>
      </c>
      <c r="K759">
        <f>MAX(-fyd_sn,MIN(fyd_sn,200000*0.002*(1-$C759*(7*K$9-3*sn_h)/(4*sn_h))))-fcd_sn*(1-MIN(1,MAX(0,$C759*(7*K$9-3*sn_h)/(4*sn_h)))^2)</f>
        <v/>
      </c>
    </row>
    <row r="760">
      <c r="B760" s="55" t="n">
        <v>17</v>
      </c>
      <c r="C760" s="58">
        <f>1-17/200</f>
        <v/>
      </c>
      <c r="D760" s="59">
        <f>IF($C760&gt;=1,sn_h,3/7*sn_h+4/7*sn_h/MAX($C760,1E-12))</f>
        <v/>
      </c>
      <c r="E760" s="57">
        <f>(fcd_sn*sn_b*sn_h*(3/7+4/7*(1-$C760^2/3))+SUMPRODUCT($J$8:$K$8,$J760:$K760))/1000</f>
        <v/>
      </c>
      <c r="F760" s="57">
        <f>-((fcd_sn*sn_b*(3/14*sn_h*(sn_h-3/7*sn_h)+4/7*sn_h*(sn_h/2-3/7*sn_h)*(1-$C760^2/3)-16/49*sn_h^2*(1/2-$C760^2/4))+SUMPRODUCT($J$8:$K$8,$J760:$K760,$J$10:$K$10))/1E6)</f>
        <v/>
      </c>
      <c r="J760">
        <f>MAX(-fyd_sn,MIN(fyd_sn,200000*0.002*(1-$C760*(7*J$9-3*sn_h)/(4*sn_h))))-fcd_sn*(1-MIN(1,MAX(0,$C760*(7*J$9-3*sn_h)/(4*sn_h)))^2)</f>
        <v/>
      </c>
      <c r="K760">
        <f>MAX(-fyd_sn,MIN(fyd_sn,200000*0.002*(1-$C760*(7*K$9-3*sn_h)/(4*sn_h))))-fcd_sn*(1-MIN(1,MAX(0,$C760*(7*K$9-3*sn_h)/(4*sn_h)))^2)</f>
        <v/>
      </c>
    </row>
    <row r="761">
      <c r="B761" s="55" t="n">
        <v>18</v>
      </c>
      <c r="C761" s="58">
        <f>1-18/200</f>
        <v/>
      </c>
      <c r="D761" s="59">
        <f>IF($C761&gt;=1,sn_h,3/7*sn_h+4/7*sn_h/MAX($C761,1E-12))</f>
        <v/>
      </c>
      <c r="E761" s="57">
        <f>(fcd_sn*sn_b*sn_h*(3/7+4/7*(1-$C761^2/3))+SUMPRODUCT($J$8:$K$8,$J761:$K761))/1000</f>
        <v/>
      </c>
      <c r="F761" s="57">
        <f>-((fcd_sn*sn_b*(3/14*sn_h*(sn_h-3/7*sn_h)+4/7*sn_h*(sn_h/2-3/7*sn_h)*(1-$C761^2/3)-16/49*sn_h^2*(1/2-$C761^2/4))+SUMPRODUCT($J$8:$K$8,$J761:$K761,$J$10:$K$10))/1E6)</f>
        <v/>
      </c>
      <c r="J761">
        <f>MAX(-fyd_sn,MIN(fyd_sn,200000*0.002*(1-$C761*(7*J$9-3*sn_h)/(4*sn_h))))-fcd_sn*(1-MIN(1,MAX(0,$C761*(7*J$9-3*sn_h)/(4*sn_h)))^2)</f>
        <v/>
      </c>
      <c r="K761">
        <f>MAX(-fyd_sn,MIN(fyd_sn,200000*0.002*(1-$C761*(7*K$9-3*sn_h)/(4*sn_h))))-fcd_sn*(1-MIN(1,MAX(0,$C761*(7*K$9-3*sn_h)/(4*sn_h)))^2)</f>
        <v/>
      </c>
    </row>
    <row r="762">
      <c r="B762" s="55" t="n">
        <v>19</v>
      </c>
      <c r="C762" s="58">
        <f>1-19/200</f>
        <v/>
      </c>
      <c r="D762" s="59">
        <f>IF($C762&gt;=1,sn_h,3/7*sn_h+4/7*sn_h/MAX($C762,1E-12))</f>
        <v/>
      </c>
      <c r="E762" s="57">
        <f>(fcd_sn*sn_b*sn_h*(3/7+4/7*(1-$C762^2/3))+SUMPRODUCT($J$8:$K$8,$J762:$K762))/1000</f>
        <v/>
      </c>
      <c r="F762" s="57">
        <f>-((fcd_sn*sn_b*(3/14*sn_h*(sn_h-3/7*sn_h)+4/7*sn_h*(sn_h/2-3/7*sn_h)*(1-$C762^2/3)-16/49*sn_h^2*(1/2-$C762^2/4))+SUMPRODUCT($J$8:$K$8,$J762:$K762,$J$10:$K$10))/1E6)</f>
        <v/>
      </c>
      <c r="J762">
        <f>MAX(-fyd_sn,MIN(fyd_sn,200000*0.002*(1-$C762*(7*J$9-3*sn_h)/(4*sn_h))))-fcd_sn*(1-MIN(1,MAX(0,$C762*(7*J$9-3*sn_h)/(4*sn_h)))^2)</f>
        <v/>
      </c>
      <c r="K762">
        <f>MAX(-fyd_sn,MIN(fyd_sn,200000*0.002*(1-$C762*(7*K$9-3*sn_h)/(4*sn_h))))-fcd_sn*(1-MIN(1,MAX(0,$C762*(7*K$9-3*sn_h)/(4*sn_h)))^2)</f>
        <v/>
      </c>
    </row>
    <row r="763">
      <c r="B763" s="55" t="n">
        <v>20</v>
      </c>
      <c r="C763" s="58">
        <f>1-20/200</f>
        <v/>
      </c>
      <c r="D763" s="59">
        <f>IF($C763&gt;=1,sn_h,3/7*sn_h+4/7*sn_h/MAX($C763,1E-12))</f>
        <v/>
      </c>
      <c r="E763" s="57">
        <f>(fcd_sn*sn_b*sn_h*(3/7+4/7*(1-$C763^2/3))+SUMPRODUCT($J$8:$K$8,$J763:$K763))/1000</f>
        <v/>
      </c>
      <c r="F763" s="57">
        <f>-((fcd_sn*sn_b*(3/14*sn_h*(sn_h-3/7*sn_h)+4/7*sn_h*(sn_h/2-3/7*sn_h)*(1-$C763^2/3)-16/49*sn_h^2*(1/2-$C763^2/4))+SUMPRODUCT($J$8:$K$8,$J763:$K763,$J$10:$K$10))/1E6)</f>
        <v/>
      </c>
      <c r="J763">
        <f>MAX(-fyd_sn,MIN(fyd_sn,200000*0.002*(1-$C763*(7*J$9-3*sn_h)/(4*sn_h))))-fcd_sn*(1-MIN(1,MAX(0,$C763*(7*J$9-3*sn_h)/(4*sn_h)))^2)</f>
        <v/>
      </c>
      <c r="K763">
        <f>MAX(-fyd_sn,MIN(fyd_sn,200000*0.002*(1-$C763*(7*K$9-3*sn_h)/(4*sn_h))))-fcd_sn*(1-MIN(1,MAX(0,$C763*(7*K$9-3*sn_h)/(4*sn_h)))^2)</f>
        <v/>
      </c>
    </row>
    <row r="764">
      <c r="B764" s="55" t="n">
        <v>21</v>
      </c>
      <c r="C764" s="58">
        <f>1-21/200</f>
        <v/>
      </c>
      <c r="D764" s="59">
        <f>IF($C764&gt;=1,sn_h,3/7*sn_h+4/7*sn_h/MAX($C764,1E-12))</f>
        <v/>
      </c>
      <c r="E764" s="57">
        <f>(fcd_sn*sn_b*sn_h*(3/7+4/7*(1-$C764^2/3))+SUMPRODUCT($J$8:$K$8,$J764:$K764))/1000</f>
        <v/>
      </c>
      <c r="F764" s="57">
        <f>-((fcd_sn*sn_b*(3/14*sn_h*(sn_h-3/7*sn_h)+4/7*sn_h*(sn_h/2-3/7*sn_h)*(1-$C764^2/3)-16/49*sn_h^2*(1/2-$C764^2/4))+SUMPRODUCT($J$8:$K$8,$J764:$K764,$J$10:$K$10))/1E6)</f>
        <v/>
      </c>
      <c r="J764">
        <f>MAX(-fyd_sn,MIN(fyd_sn,200000*0.002*(1-$C764*(7*J$9-3*sn_h)/(4*sn_h))))-fcd_sn*(1-MIN(1,MAX(0,$C764*(7*J$9-3*sn_h)/(4*sn_h)))^2)</f>
        <v/>
      </c>
      <c r="K764">
        <f>MAX(-fyd_sn,MIN(fyd_sn,200000*0.002*(1-$C764*(7*K$9-3*sn_h)/(4*sn_h))))-fcd_sn*(1-MIN(1,MAX(0,$C764*(7*K$9-3*sn_h)/(4*sn_h)))^2)</f>
        <v/>
      </c>
    </row>
    <row r="765">
      <c r="B765" s="55" t="n">
        <v>22</v>
      </c>
      <c r="C765" s="58">
        <f>1-22/200</f>
        <v/>
      </c>
      <c r="D765" s="59">
        <f>IF($C765&gt;=1,sn_h,3/7*sn_h+4/7*sn_h/MAX($C765,1E-12))</f>
        <v/>
      </c>
      <c r="E765" s="57">
        <f>(fcd_sn*sn_b*sn_h*(3/7+4/7*(1-$C765^2/3))+SUMPRODUCT($J$8:$K$8,$J765:$K765))/1000</f>
        <v/>
      </c>
      <c r="F765" s="57">
        <f>-((fcd_sn*sn_b*(3/14*sn_h*(sn_h-3/7*sn_h)+4/7*sn_h*(sn_h/2-3/7*sn_h)*(1-$C765^2/3)-16/49*sn_h^2*(1/2-$C765^2/4))+SUMPRODUCT($J$8:$K$8,$J765:$K765,$J$10:$K$10))/1E6)</f>
        <v/>
      </c>
      <c r="J765">
        <f>MAX(-fyd_sn,MIN(fyd_sn,200000*0.002*(1-$C765*(7*J$9-3*sn_h)/(4*sn_h))))-fcd_sn*(1-MIN(1,MAX(0,$C765*(7*J$9-3*sn_h)/(4*sn_h)))^2)</f>
        <v/>
      </c>
      <c r="K765">
        <f>MAX(-fyd_sn,MIN(fyd_sn,200000*0.002*(1-$C765*(7*K$9-3*sn_h)/(4*sn_h))))-fcd_sn*(1-MIN(1,MAX(0,$C765*(7*K$9-3*sn_h)/(4*sn_h)))^2)</f>
        <v/>
      </c>
    </row>
    <row r="766">
      <c r="B766" s="55" t="n">
        <v>23</v>
      </c>
      <c r="C766" s="58">
        <f>1-23/200</f>
        <v/>
      </c>
      <c r="D766" s="59">
        <f>IF($C766&gt;=1,sn_h,3/7*sn_h+4/7*sn_h/MAX($C766,1E-12))</f>
        <v/>
      </c>
      <c r="E766" s="57">
        <f>(fcd_sn*sn_b*sn_h*(3/7+4/7*(1-$C766^2/3))+SUMPRODUCT($J$8:$K$8,$J766:$K766))/1000</f>
        <v/>
      </c>
      <c r="F766" s="57">
        <f>-((fcd_sn*sn_b*(3/14*sn_h*(sn_h-3/7*sn_h)+4/7*sn_h*(sn_h/2-3/7*sn_h)*(1-$C766^2/3)-16/49*sn_h^2*(1/2-$C766^2/4))+SUMPRODUCT($J$8:$K$8,$J766:$K766,$J$10:$K$10))/1E6)</f>
        <v/>
      </c>
      <c r="J766">
        <f>MAX(-fyd_sn,MIN(fyd_sn,200000*0.002*(1-$C766*(7*J$9-3*sn_h)/(4*sn_h))))-fcd_sn*(1-MIN(1,MAX(0,$C766*(7*J$9-3*sn_h)/(4*sn_h)))^2)</f>
        <v/>
      </c>
      <c r="K766">
        <f>MAX(-fyd_sn,MIN(fyd_sn,200000*0.002*(1-$C766*(7*K$9-3*sn_h)/(4*sn_h))))-fcd_sn*(1-MIN(1,MAX(0,$C766*(7*K$9-3*sn_h)/(4*sn_h)))^2)</f>
        <v/>
      </c>
    </row>
    <row r="767">
      <c r="B767" s="55" t="n">
        <v>24</v>
      </c>
      <c r="C767" s="58">
        <f>1-24/200</f>
        <v/>
      </c>
      <c r="D767" s="59">
        <f>IF($C767&gt;=1,sn_h,3/7*sn_h+4/7*sn_h/MAX($C767,1E-12))</f>
        <v/>
      </c>
      <c r="E767" s="57">
        <f>(fcd_sn*sn_b*sn_h*(3/7+4/7*(1-$C767^2/3))+SUMPRODUCT($J$8:$K$8,$J767:$K767))/1000</f>
        <v/>
      </c>
      <c r="F767" s="57">
        <f>-((fcd_sn*sn_b*(3/14*sn_h*(sn_h-3/7*sn_h)+4/7*sn_h*(sn_h/2-3/7*sn_h)*(1-$C767^2/3)-16/49*sn_h^2*(1/2-$C767^2/4))+SUMPRODUCT($J$8:$K$8,$J767:$K767,$J$10:$K$10))/1E6)</f>
        <v/>
      </c>
      <c r="J767">
        <f>MAX(-fyd_sn,MIN(fyd_sn,200000*0.002*(1-$C767*(7*J$9-3*sn_h)/(4*sn_h))))-fcd_sn*(1-MIN(1,MAX(0,$C767*(7*J$9-3*sn_h)/(4*sn_h)))^2)</f>
        <v/>
      </c>
      <c r="K767">
        <f>MAX(-fyd_sn,MIN(fyd_sn,200000*0.002*(1-$C767*(7*K$9-3*sn_h)/(4*sn_h))))-fcd_sn*(1-MIN(1,MAX(0,$C767*(7*K$9-3*sn_h)/(4*sn_h)))^2)</f>
        <v/>
      </c>
    </row>
    <row r="768">
      <c r="B768" s="55" t="n">
        <v>25</v>
      </c>
      <c r="C768" s="58">
        <f>1-25/200</f>
        <v/>
      </c>
      <c r="D768" s="59">
        <f>IF($C768&gt;=1,sn_h,3/7*sn_h+4/7*sn_h/MAX($C768,1E-12))</f>
        <v/>
      </c>
      <c r="E768" s="57">
        <f>(fcd_sn*sn_b*sn_h*(3/7+4/7*(1-$C768^2/3))+SUMPRODUCT($J$8:$K$8,$J768:$K768))/1000</f>
        <v/>
      </c>
      <c r="F768" s="57">
        <f>-((fcd_sn*sn_b*(3/14*sn_h*(sn_h-3/7*sn_h)+4/7*sn_h*(sn_h/2-3/7*sn_h)*(1-$C768^2/3)-16/49*sn_h^2*(1/2-$C768^2/4))+SUMPRODUCT($J$8:$K$8,$J768:$K768,$J$10:$K$10))/1E6)</f>
        <v/>
      </c>
      <c r="J768">
        <f>MAX(-fyd_sn,MIN(fyd_sn,200000*0.002*(1-$C768*(7*J$9-3*sn_h)/(4*sn_h))))-fcd_sn*(1-MIN(1,MAX(0,$C768*(7*J$9-3*sn_h)/(4*sn_h)))^2)</f>
        <v/>
      </c>
      <c r="K768">
        <f>MAX(-fyd_sn,MIN(fyd_sn,200000*0.002*(1-$C768*(7*K$9-3*sn_h)/(4*sn_h))))-fcd_sn*(1-MIN(1,MAX(0,$C768*(7*K$9-3*sn_h)/(4*sn_h)))^2)</f>
        <v/>
      </c>
    </row>
    <row r="769">
      <c r="B769" s="55" t="n">
        <v>26</v>
      </c>
      <c r="C769" s="58">
        <f>1-26/200</f>
        <v/>
      </c>
      <c r="D769" s="59">
        <f>IF($C769&gt;=1,sn_h,3/7*sn_h+4/7*sn_h/MAX($C769,1E-12))</f>
        <v/>
      </c>
      <c r="E769" s="57">
        <f>(fcd_sn*sn_b*sn_h*(3/7+4/7*(1-$C769^2/3))+SUMPRODUCT($J$8:$K$8,$J769:$K769))/1000</f>
        <v/>
      </c>
      <c r="F769" s="57">
        <f>-((fcd_sn*sn_b*(3/14*sn_h*(sn_h-3/7*sn_h)+4/7*sn_h*(sn_h/2-3/7*sn_h)*(1-$C769^2/3)-16/49*sn_h^2*(1/2-$C769^2/4))+SUMPRODUCT($J$8:$K$8,$J769:$K769,$J$10:$K$10))/1E6)</f>
        <v/>
      </c>
      <c r="J769">
        <f>MAX(-fyd_sn,MIN(fyd_sn,200000*0.002*(1-$C769*(7*J$9-3*sn_h)/(4*sn_h))))-fcd_sn*(1-MIN(1,MAX(0,$C769*(7*J$9-3*sn_h)/(4*sn_h)))^2)</f>
        <v/>
      </c>
      <c r="K769">
        <f>MAX(-fyd_sn,MIN(fyd_sn,200000*0.002*(1-$C769*(7*K$9-3*sn_h)/(4*sn_h))))-fcd_sn*(1-MIN(1,MAX(0,$C769*(7*K$9-3*sn_h)/(4*sn_h)))^2)</f>
        <v/>
      </c>
    </row>
    <row r="770">
      <c r="B770" s="55" t="n">
        <v>27</v>
      </c>
      <c r="C770" s="58">
        <f>1-27/200</f>
        <v/>
      </c>
      <c r="D770" s="59">
        <f>IF($C770&gt;=1,sn_h,3/7*sn_h+4/7*sn_h/MAX($C770,1E-12))</f>
        <v/>
      </c>
      <c r="E770" s="57">
        <f>(fcd_sn*sn_b*sn_h*(3/7+4/7*(1-$C770^2/3))+SUMPRODUCT($J$8:$K$8,$J770:$K770))/1000</f>
        <v/>
      </c>
      <c r="F770" s="57">
        <f>-((fcd_sn*sn_b*(3/14*sn_h*(sn_h-3/7*sn_h)+4/7*sn_h*(sn_h/2-3/7*sn_h)*(1-$C770^2/3)-16/49*sn_h^2*(1/2-$C770^2/4))+SUMPRODUCT($J$8:$K$8,$J770:$K770,$J$10:$K$10))/1E6)</f>
        <v/>
      </c>
      <c r="J770">
        <f>MAX(-fyd_sn,MIN(fyd_sn,200000*0.002*(1-$C770*(7*J$9-3*sn_h)/(4*sn_h))))-fcd_sn*(1-MIN(1,MAX(0,$C770*(7*J$9-3*sn_h)/(4*sn_h)))^2)</f>
        <v/>
      </c>
      <c r="K770">
        <f>MAX(-fyd_sn,MIN(fyd_sn,200000*0.002*(1-$C770*(7*K$9-3*sn_h)/(4*sn_h))))-fcd_sn*(1-MIN(1,MAX(0,$C770*(7*K$9-3*sn_h)/(4*sn_h)))^2)</f>
        <v/>
      </c>
    </row>
    <row r="771">
      <c r="B771" s="55" t="n">
        <v>28</v>
      </c>
      <c r="C771" s="58">
        <f>1-28/200</f>
        <v/>
      </c>
      <c r="D771" s="59">
        <f>IF($C771&gt;=1,sn_h,3/7*sn_h+4/7*sn_h/MAX($C771,1E-12))</f>
        <v/>
      </c>
      <c r="E771" s="57">
        <f>(fcd_sn*sn_b*sn_h*(3/7+4/7*(1-$C771^2/3))+SUMPRODUCT($J$8:$K$8,$J771:$K771))/1000</f>
        <v/>
      </c>
      <c r="F771" s="57">
        <f>-((fcd_sn*sn_b*(3/14*sn_h*(sn_h-3/7*sn_h)+4/7*sn_h*(sn_h/2-3/7*sn_h)*(1-$C771^2/3)-16/49*sn_h^2*(1/2-$C771^2/4))+SUMPRODUCT($J$8:$K$8,$J771:$K771,$J$10:$K$10))/1E6)</f>
        <v/>
      </c>
      <c r="J771">
        <f>MAX(-fyd_sn,MIN(fyd_sn,200000*0.002*(1-$C771*(7*J$9-3*sn_h)/(4*sn_h))))-fcd_sn*(1-MIN(1,MAX(0,$C771*(7*J$9-3*sn_h)/(4*sn_h)))^2)</f>
        <v/>
      </c>
      <c r="K771">
        <f>MAX(-fyd_sn,MIN(fyd_sn,200000*0.002*(1-$C771*(7*K$9-3*sn_h)/(4*sn_h))))-fcd_sn*(1-MIN(1,MAX(0,$C771*(7*K$9-3*sn_h)/(4*sn_h)))^2)</f>
        <v/>
      </c>
    </row>
    <row r="772">
      <c r="B772" s="55" t="n">
        <v>29</v>
      </c>
      <c r="C772" s="58">
        <f>1-29/200</f>
        <v/>
      </c>
      <c r="D772" s="59">
        <f>IF($C772&gt;=1,sn_h,3/7*sn_h+4/7*sn_h/MAX($C772,1E-12))</f>
        <v/>
      </c>
      <c r="E772" s="57">
        <f>(fcd_sn*sn_b*sn_h*(3/7+4/7*(1-$C772^2/3))+SUMPRODUCT($J$8:$K$8,$J772:$K772))/1000</f>
        <v/>
      </c>
      <c r="F772" s="57">
        <f>-((fcd_sn*sn_b*(3/14*sn_h*(sn_h-3/7*sn_h)+4/7*sn_h*(sn_h/2-3/7*sn_h)*(1-$C772^2/3)-16/49*sn_h^2*(1/2-$C772^2/4))+SUMPRODUCT($J$8:$K$8,$J772:$K772,$J$10:$K$10))/1E6)</f>
        <v/>
      </c>
      <c r="J772">
        <f>MAX(-fyd_sn,MIN(fyd_sn,200000*0.002*(1-$C772*(7*J$9-3*sn_h)/(4*sn_h))))-fcd_sn*(1-MIN(1,MAX(0,$C772*(7*J$9-3*sn_h)/(4*sn_h)))^2)</f>
        <v/>
      </c>
      <c r="K772">
        <f>MAX(-fyd_sn,MIN(fyd_sn,200000*0.002*(1-$C772*(7*K$9-3*sn_h)/(4*sn_h))))-fcd_sn*(1-MIN(1,MAX(0,$C772*(7*K$9-3*sn_h)/(4*sn_h)))^2)</f>
        <v/>
      </c>
    </row>
    <row r="773">
      <c r="B773" s="55" t="n">
        <v>30</v>
      </c>
      <c r="C773" s="58">
        <f>1-30/200</f>
        <v/>
      </c>
      <c r="D773" s="59">
        <f>IF($C773&gt;=1,sn_h,3/7*sn_h+4/7*sn_h/MAX($C773,1E-12))</f>
        <v/>
      </c>
      <c r="E773" s="57">
        <f>(fcd_sn*sn_b*sn_h*(3/7+4/7*(1-$C773^2/3))+SUMPRODUCT($J$8:$K$8,$J773:$K773))/1000</f>
        <v/>
      </c>
      <c r="F773" s="57">
        <f>-((fcd_sn*sn_b*(3/14*sn_h*(sn_h-3/7*sn_h)+4/7*sn_h*(sn_h/2-3/7*sn_h)*(1-$C773^2/3)-16/49*sn_h^2*(1/2-$C773^2/4))+SUMPRODUCT($J$8:$K$8,$J773:$K773,$J$10:$K$10))/1E6)</f>
        <v/>
      </c>
      <c r="J773">
        <f>MAX(-fyd_sn,MIN(fyd_sn,200000*0.002*(1-$C773*(7*J$9-3*sn_h)/(4*sn_h))))-fcd_sn*(1-MIN(1,MAX(0,$C773*(7*J$9-3*sn_h)/(4*sn_h)))^2)</f>
        <v/>
      </c>
      <c r="K773">
        <f>MAX(-fyd_sn,MIN(fyd_sn,200000*0.002*(1-$C773*(7*K$9-3*sn_h)/(4*sn_h))))-fcd_sn*(1-MIN(1,MAX(0,$C773*(7*K$9-3*sn_h)/(4*sn_h)))^2)</f>
        <v/>
      </c>
    </row>
    <row r="774">
      <c r="B774" s="55" t="n">
        <v>31</v>
      </c>
      <c r="C774" s="58">
        <f>1-31/200</f>
        <v/>
      </c>
      <c r="D774" s="59">
        <f>IF($C774&gt;=1,sn_h,3/7*sn_h+4/7*sn_h/MAX($C774,1E-12))</f>
        <v/>
      </c>
      <c r="E774" s="57">
        <f>(fcd_sn*sn_b*sn_h*(3/7+4/7*(1-$C774^2/3))+SUMPRODUCT($J$8:$K$8,$J774:$K774))/1000</f>
        <v/>
      </c>
      <c r="F774" s="57">
        <f>-((fcd_sn*sn_b*(3/14*sn_h*(sn_h-3/7*sn_h)+4/7*sn_h*(sn_h/2-3/7*sn_h)*(1-$C774^2/3)-16/49*sn_h^2*(1/2-$C774^2/4))+SUMPRODUCT($J$8:$K$8,$J774:$K774,$J$10:$K$10))/1E6)</f>
        <v/>
      </c>
      <c r="J774">
        <f>MAX(-fyd_sn,MIN(fyd_sn,200000*0.002*(1-$C774*(7*J$9-3*sn_h)/(4*sn_h))))-fcd_sn*(1-MIN(1,MAX(0,$C774*(7*J$9-3*sn_h)/(4*sn_h)))^2)</f>
        <v/>
      </c>
      <c r="K774">
        <f>MAX(-fyd_sn,MIN(fyd_sn,200000*0.002*(1-$C774*(7*K$9-3*sn_h)/(4*sn_h))))-fcd_sn*(1-MIN(1,MAX(0,$C774*(7*K$9-3*sn_h)/(4*sn_h)))^2)</f>
        <v/>
      </c>
    </row>
    <row r="775">
      <c r="B775" s="55" t="n">
        <v>32</v>
      </c>
      <c r="C775" s="58">
        <f>1-32/200</f>
        <v/>
      </c>
      <c r="D775" s="59">
        <f>IF($C775&gt;=1,sn_h,3/7*sn_h+4/7*sn_h/MAX($C775,1E-12))</f>
        <v/>
      </c>
      <c r="E775" s="57">
        <f>(fcd_sn*sn_b*sn_h*(3/7+4/7*(1-$C775^2/3))+SUMPRODUCT($J$8:$K$8,$J775:$K775))/1000</f>
        <v/>
      </c>
      <c r="F775" s="57">
        <f>-((fcd_sn*sn_b*(3/14*sn_h*(sn_h-3/7*sn_h)+4/7*sn_h*(sn_h/2-3/7*sn_h)*(1-$C775^2/3)-16/49*sn_h^2*(1/2-$C775^2/4))+SUMPRODUCT($J$8:$K$8,$J775:$K775,$J$10:$K$10))/1E6)</f>
        <v/>
      </c>
      <c r="J775">
        <f>MAX(-fyd_sn,MIN(fyd_sn,200000*0.002*(1-$C775*(7*J$9-3*sn_h)/(4*sn_h))))-fcd_sn*(1-MIN(1,MAX(0,$C775*(7*J$9-3*sn_h)/(4*sn_h)))^2)</f>
        <v/>
      </c>
      <c r="K775">
        <f>MAX(-fyd_sn,MIN(fyd_sn,200000*0.002*(1-$C775*(7*K$9-3*sn_h)/(4*sn_h))))-fcd_sn*(1-MIN(1,MAX(0,$C775*(7*K$9-3*sn_h)/(4*sn_h)))^2)</f>
        <v/>
      </c>
    </row>
    <row r="776">
      <c r="B776" s="55" t="n">
        <v>33</v>
      </c>
      <c r="C776" s="58">
        <f>1-33/200</f>
        <v/>
      </c>
      <c r="D776" s="59">
        <f>IF($C776&gt;=1,sn_h,3/7*sn_h+4/7*sn_h/MAX($C776,1E-12))</f>
        <v/>
      </c>
      <c r="E776" s="57">
        <f>(fcd_sn*sn_b*sn_h*(3/7+4/7*(1-$C776^2/3))+SUMPRODUCT($J$8:$K$8,$J776:$K776))/1000</f>
        <v/>
      </c>
      <c r="F776" s="57">
        <f>-((fcd_sn*sn_b*(3/14*sn_h*(sn_h-3/7*sn_h)+4/7*sn_h*(sn_h/2-3/7*sn_h)*(1-$C776^2/3)-16/49*sn_h^2*(1/2-$C776^2/4))+SUMPRODUCT($J$8:$K$8,$J776:$K776,$J$10:$K$10))/1E6)</f>
        <v/>
      </c>
      <c r="J776">
        <f>MAX(-fyd_sn,MIN(fyd_sn,200000*0.002*(1-$C776*(7*J$9-3*sn_h)/(4*sn_h))))-fcd_sn*(1-MIN(1,MAX(0,$C776*(7*J$9-3*sn_h)/(4*sn_h)))^2)</f>
        <v/>
      </c>
      <c r="K776">
        <f>MAX(-fyd_sn,MIN(fyd_sn,200000*0.002*(1-$C776*(7*K$9-3*sn_h)/(4*sn_h))))-fcd_sn*(1-MIN(1,MAX(0,$C776*(7*K$9-3*sn_h)/(4*sn_h)))^2)</f>
        <v/>
      </c>
    </row>
    <row r="777">
      <c r="B777" s="55" t="n">
        <v>34</v>
      </c>
      <c r="C777" s="58">
        <f>1-34/200</f>
        <v/>
      </c>
      <c r="D777" s="59">
        <f>IF($C777&gt;=1,sn_h,3/7*sn_h+4/7*sn_h/MAX($C777,1E-12))</f>
        <v/>
      </c>
      <c r="E777" s="57">
        <f>(fcd_sn*sn_b*sn_h*(3/7+4/7*(1-$C777^2/3))+SUMPRODUCT($J$8:$K$8,$J777:$K777))/1000</f>
        <v/>
      </c>
      <c r="F777" s="57">
        <f>-((fcd_sn*sn_b*(3/14*sn_h*(sn_h-3/7*sn_h)+4/7*sn_h*(sn_h/2-3/7*sn_h)*(1-$C777^2/3)-16/49*sn_h^2*(1/2-$C777^2/4))+SUMPRODUCT($J$8:$K$8,$J777:$K777,$J$10:$K$10))/1E6)</f>
        <v/>
      </c>
      <c r="J777">
        <f>MAX(-fyd_sn,MIN(fyd_sn,200000*0.002*(1-$C777*(7*J$9-3*sn_h)/(4*sn_h))))-fcd_sn*(1-MIN(1,MAX(0,$C777*(7*J$9-3*sn_h)/(4*sn_h)))^2)</f>
        <v/>
      </c>
      <c r="K777">
        <f>MAX(-fyd_sn,MIN(fyd_sn,200000*0.002*(1-$C777*(7*K$9-3*sn_h)/(4*sn_h))))-fcd_sn*(1-MIN(1,MAX(0,$C777*(7*K$9-3*sn_h)/(4*sn_h)))^2)</f>
        <v/>
      </c>
    </row>
    <row r="778">
      <c r="B778" s="55" t="n">
        <v>35</v>
      </c>
      <c r="C778" s="58">
        <f>1-35/200</f>
        <v/>
      </c>
      <c r="D778" s="59">
        <f>IF($C778&gt;=1,sn_h,3/7*sn_h+4/7*sn_h/MAX($C778,1E-12))</f>
        <v/>
      </c>
      <c r="E778" s="57">
        <f>(fcd_sn*sn_b*sn_h*(3/7+4/7*(1-$C778^2/3))+SUMPRODUCT($J$8:$K$8,$J778:$K778))/1000</f>
        <v/>
      </c>
      <c r="F778" s="57">
        <f>-((fcd_sn*sn_b*(3/14*sn_h*(sn_h-3/7*sn_h)+4/7*sn_h*(sn_h/2-3/7*sn_h)*(1-$C778^2/3)-16/49*sn_h^2*(1/2-$C778^2/4))+SUMPRODUCT($J$8:$K$8,$J778:$K778,$J$10:$K$10))/1E6)</f>
        <v/>
      </c>
      <c r="J778">
        <f>MAX(-fyd_sn,MIN(fyd_sn,200000*0.002*(1-$C778*(7*J$9-3*sn_h)/(4*sn_h))))-fcd_sn*(1-MIN(1,MAX(0,$C778*(7*J$9-3*sn_h)/(4*sn_h)))^2)</f>
        <v/>
      </c>
      <c r="K778">
        <f>MAX(-fyd_sn,MIN(fyd_sn,200000*0.002*(1-$C778*(7*K$9-3*sn_h)/(4*sn_h))))-fcd_sn*(1-MIN(1,MAX(0,$C778*(7*K$9-3*sn_h)/(4*sn_h)))^2)</f>
        <v/>
      </c>
    </row>
    <row r="779">
      <c r="B779" s="55" t="n">
        <v>36</v>
      </c>
      <c r="C779" s="58">
        <f>1-36/200</f>
        <v/>
      </c>
      <c r="D779" s="59">
        <f>IF($C779&gt;=1,sn_h,3/7*sn_h+4/7*sn_h/MAX($C779,1E-12))</f>
        <v/>
      </c>
      <c r="E779" s="57">
        <f>(fcd_sn*sn_b*sn_h*(3/7+4/7*(1-$C779^2/3))+SUMPRODUCT($J$8:$K$8,$J779:$K779))/1000</f>
        <v/>
      </c>
      <c r="F779" s="57">
        <f>-((fcd_sn*sn_b*(3/14*sn_h*(sn_h-3/7*sn_h)+4/7*sn_h*(sn_h/2-3/7*sn_h)*(1-$C779^2/3)-16/49*sn_h^2*(1/2-$C779^2/4))+SUMPRODUCT($J$8:$K$8,$J779:$K779,$J$10:$K$10))/1E6)</f>
        <v/>
      </c>
      <c r="J779">
        <f>MAX(-fyd_sn,MIN(fyd_sn,200000*0.002*(1-$C779*(7*J$9-3*sn_h)/(4*sn_h))))-fcd_sn*(1-MIN(1,MAX(0,$C779*(7*J$9-3*sn_h)/(4*sn_h)))^2)</f>
        <v/>
      </c>
      <c r="K779">
        <f>MAX(-fyd_sn,MIN(fyd_sn,200000*0.002*(1-$C779*(7*K$9-3*sn_h)/(4*sn_h))))-fcd_sn*(1-MIN(1,MAX(0,$C779*(7*K$9-3*sn_h)/(4*sn_h)))^2)</f>
        <v/>
      </c>
    </row>
    <row r="780">
      <c r="B780" s="55" t="n">
        <v>37</v>
      </c>
      <c r="C780" s="58">
        <f>1-37/200</f>
        <v/>
      </c>
      <c r="D780" s="59">
        <f>IF($C780&gt;=1,sn_h,3/7*sn_h+4/7*sn_h/MAX($C780,1E-12))</f>
        <v/>
      </c>
      <c r="E780" s="57">
        <f>(fcd_sn*sn_b*sn_h*(3/7+4/7*(1-$C780^2/3))+SUMPRODUCT($J$8:$K$8,$J780:$K780))/1000</f>
        <v/>
      </c>
      <c r="F780" s="57">
        <f>-((fcd_sn*sn_b*(3/14*sn_h*(sn_h-3/7*sn_h)+4/7*sn_h*(sn_h/2-3/7*sn_h)*(1-$C780^2/3)-16/49*sn_h^2*(1/2-$C780^2/4))+SUMPRODUCT($J$8:$K$8,$J780:$K780,$J$10:$K$10))/1E6)</f>
        <v/>
      </c>
      <c r="J780">
        <f>MAX(-fyd_sn,MIN(fyd_sn,200000*0.002*(1-$C780*(7*J$9-3*sn_h)/(4*sn_h))))-fcd_sn*(1-MIN(1,MAX(0,$C780*(7*J$9-3*sn_h)/(4*sn_h)))^2)</f>
        <v/>
      </c>
      <c r="K780">
        <f>MAX(-fyd_sn,MIN(fyd_sn,200000*0.002*(1-$C780*(7*K$9-3*sn_h)/(4*sn_h))))-fcd_sn*(1-MIN(1,MAX(0,$C780*(7*K$9-3*sn_h)/(4*sn_h)))^2)</f>
        <v/>
      </c>
    </row>
    <row r="781">
      <c r="B781" s="55" t="n">
        <v>38</v>
      </c>
      <c r="C781" s="58">
        <f>1-38/200</f>
        <v/>
      </c>
      <c r="D781" s="59">
        <f>IF($C781&gt;=1,sn_h,3/7*sn_h+4/7*sn_h/MAX($C781,1E-12))</f>
        <v/>
      </c>
      <c r="E781" s="57">
        <f>(fcd_sn*sn_b*sn_h*(3/7+4/7*(1-$C781^2/3))+SUMPRODUCT($J$8:$K$8,$J781:$K781))/1000</f>
        <v/>
      </c>
      <c r="F781" s="57">
        <f>-((fcd_sn*sn_b*(3/14*sn_h*(sn_h-3/7*sn_h)+4/7*sn_h*(sn_h/2-3/7*sn_h)*(1-$C781^2/3)-16/49*sn_h^2*(1/2-$C781^2/4))+SUMPRODUCT($J$8:$K$8,$J781:$K781,$J$10:$K$10))/1E6)</f>
        <v/>
      </c>
      <c r="J781">
        <f>MAX(-fyd_sn,MIN(fyd_sn,200000*0.002*(1-$C781*(7*J$9-3*sn_h)/(4*sn_h))))-fcd_sn*(1-MIN(1,MAX(0,$C781*(7*J$9-3*sn_h)/(4*sn_h)))^2)</f>
        <v/>
      </c>
      <c r="K781">
        <f>MAX(-fyd_sn,MIN(fyd_sn,200000*0.002*(1-$C781*(7*K$9-3*sn_h)/(4*sn_h))))-fcd_sn*(1-MIN(1,MAX(0,$C781*(7*K$9-3*sn_h)/(4*sn_h)))^2)</f>
        <v/>
      </c>
    </row>
    <row r="782">
      <c r="B782" s="55" t="n">
        <v>39</v>
      </c>
      <c r="C782" s="58">
        <f>1-39/200</f>
        <v/>
      </c>
      <c r="D782" s="59">
        <f>IF($C782&gt;=1,sn_h,3/7*sn_h+4/7*sn_h/MAX($C782,1E-12))</f>
        <v/>
      </c>
      <c r="E782" s="57">
        <f>(fcd_sn*sn_b*sn_h*(3/7+4/7*(1-$C782^2/3))+SUMPRODUCT($J$8:$K$8,$J782:$K782))/1000</f>
        <v/>
      </c>
      <c r="F782" s="57">
        <f>-((fcd_sn*sn_b*(3/14*sn_h*(sn_h-3/7*sn_h)+4/7*sn_h*(sn_h/2-3/7*sn_h)*(1-$C782^2/3)-16/49*sn_h^2*(1/2-$C782^2/4))+SUMPRODUCT($J$8:$K$8,$J782:$K782,$J$10:$K$10))/1E6)</f>
        <v/>
      </c>
      <c r="J782">
        <f>MAX(-fyd_sn,MIN(fyd_sn,200000*0.002*(1-$C782*(7*J$9-3*sn_h)/(4*sn_h))))-fcd_sn*(1-MIN(1,MAX(0,$C782*(7*J$9-3*sn_h)/(4*sn_h)))^2)</f>
        <v/>
      </c>
      <c r="K782">
        <f>MAX(-fyd_sn,MIN(fyd_sn,200000*0.002*(1-$C782*(7*K$9-3*sn_h)/(4*sn_h))))-fcd_sn*(1-MIN(1,MAX(0,$C782*(7*K$9-3*sn_h)/(4*sn_h)))^2)</f>
        <v/>
      </c>
    </row>
    <row r="783">
      <c r="B783" s="55" t="n">
        <v>40</v>
      </c>
      <c r="C783" s="58">
        <f>1-40/200</f>
        <v/>
      </c>
      <c r="D783" s="59">
        <f>IF($C783&gt;=1,sn_h,3/7*sn_h+4/7*sn_h/MAX($C783,1E-12))</f>
        <v/>
      </c>
      <c r="E783" s="57">
        <f>(fcd_sn*sn_b*sn_h*(3/7+4/7*(1-$C783^2/3))+SUMPRODUCT($J$8:$K$8,$J783:$K783))/1000</f>
        <v/>
      </c>
      <c r="F783" s="57">
        <f>-((fcd_sn*sn_b*(3/14*sn_h*(sn_h-3/7*sn_h)+4/7*sn_h*(sn_h/2-3/7*sn_h)*(1-$C783^2/3)-16/49*sn_h^2*(1/2-$C783^2/4))+SUMPRODUCT($J$8:$K$8,$J783:$K783,$J$10:$K$10))/1E6)</f>
        <v/>
      </c>
      <c r="J783">
        <f>MAX(-fyd_sn,MIN(fyd_sn,200000*0.002*(1-$C783*(7*J$9-3*sn_h)/(4*sn_h))))-fcd_sn*(1-MIN(1,MAX(0,$C783*(7*J$9-3*sn_h)/(4*sn_h)))^2)</f>
        <v/>
      </c>
      <c r="K783">
        <f>MAX(-fyd_sn,MIN(fyd_sn,200000*0.002*(1-$C783*(7*K$9-3*sn_h)/(4*sn_h))))-fcd_sn*(1-MIN(1,MAX(0,$C783*(7*K$9-3*sn_h)/(4*sn_h)))^2)</f>
        <v/>
      </c>
    </row>
    <row r="784">
      <c r="B784" s="55" t="n">
        <v>41</v>
      </c>
      <c r="C784" s="58">
        <f>1-41/200</f>
        <v/>
      </c>
      <c r="D784" s="59">
        <f>IF($C784&gt;=1,sn_h,3/7*sn_h+4/7*sn_h/MAX($C784,1E-12))</f>
        <v/>
      </c>
      <c r="E784" s="57">
        <f>(fcd_sn*sn_b*sn_h*(3/7+4/7*(1-$C784^2/3))+SUMPRODUCT($J$8:$K$8,$J784:$K784))/1000</f>
        <v/>
      </c>
      <c r="F784" s="57">
        <f>-((fcd_sn*sn_b*(3/14*sn_h*(sn_h-3/7*sn_h)+4/7*sn_h*(sn_h/2-3/7*sn_h)*(1-$C784^2/3)-16/49*sn_h^2*(1/2-$C784^2/4))+SUMPRODUCT($J$8:$K$8,$J784:$K784,$J$10:$K$10))/1E6)</f>
        <v/>
      </c>
      <c r="J784">
        <f>MAX(-fyd_sn,MIN(fyd_sn,200000*0.002*(1-$C784*(7*J$9-3*sn_h)/(4*sn_h))))-fcd_sn*(1-MIN(1,MAX(0,$C784*(7*J$9-3*sn_h)/(4*sn_h)))^2)</f>
        <v/>
      </c>
      <c r="K784">
        <f>MAX(-fyd_sn,MIN(fyd_sn,200000*0.002*(1-$C784*(7*K$9-3*sn_h)/(4*sn_h))))-fcd_sn*(1-MIN(1,MAX(0,$C784*(7*K$9-3*sn_h)/(4*sn_h)))^2)</f>
        <v/>
      </c>
    </row>
    <row r="785">
      <c r="B785" s="55" t="n">
        <v>42</v>
      </c>
      <c r="C785" s="58">
        <f>1-42/200</f>
        <v/>
      </c>
      <c r="D785" s="59">
        <f>IF($C785&gt;=1,sn_h,3/7*sn_h+4/7*sn_h/MAX($C785,1E-12))</f>
        <v/>
      </c>
      <c r="E785" s="57">
        <f>(fcd_sn*sn_b*sn_h*(3/7+4/7*(1-$C785^2/3))+SUMPRODUCT($J$8:$K$8,$J785:$K785))/1000</f>
        <v/>
      </c>
      <c r="F785" s="57">
        <f>-((fcd_sn*sn_b*(3/14*sn_h*(sn_h-3/7*sn_h)+4/7*sn_h*(sn_h/2-3/7*sn_h)*(1-$C785^2/3)-16/49*sn_h^2*(1/2-$C785^2/4))+SUMPRODUCT($J$8:$K$8,$J785:$K785,$J$10:$K$10))/1E6)</f>
        <v/>
      </c>
      <c r="J785">
        <f>MAX(-fyd_sn,MIN(fyd_sn,200000*0.002*(1-$C785*(7*J$9-3*sn_h)/(4*sn_h))))-fcd_sn*(1-MIN(1,MAX(0,$C785*(7*J$9-3*sn_h)/(4*sn_h)))^2)</f>
        <v/>
      </c>
      <c r="K785">
        <f>MAX(-fyd_sn,MIN(fyd_sn,200000*0.002*(1-$C785*(7*K$9-3*sn_h)/(4*sn_h))))-fcd_sn*(1-MIN(1,MAX(0,$C785*(7*K$9-3*sn_h)/(4*sn_h)))^2)</f>
        <v/>
      </c>
    </row>
    <row r="786">
      <c r="B786" s="55" t="n">
        <v>43</v>
      </c>
      <c r="C786" s="58">
        <f>1-43/200</f>
        <v/>
      </c>
      <c r="D786" s="59">
        <f>IF($C786&gt;=1,sn_h,3/7*sn_h+4/7*sn_h/MAX($C786,1E-12))</f>
        <v/>
      </c>
      <c r="E786" s="57">
        <f>(fcd_sn*sn_b*sn_h*(3/7+4/7*(1-$C786^2/3))+SUMPRODUCT($J$8:$K$8,$J786:$K786))/1000</f>
        <v/>
      </c>
      <c r="F786" s="57">
        <f>-((fcd_sn*sn_b*(3/14*sn_h*(sn_h-3/7*sn_h)+4/7*sn_h*(sn_h/2-3/7*sn_h)*(1-$C786^2/3)-16/49*sn_h^2*(1/2-$C786^2/4))+SUMPRODUCT($J$8:$K$8,$J786:$K786,$J$10:$K$10))/1E6)</f>
        <v/>
      </c>
      <c r="J786">
        <f>MAX(-fyd_sn,MIN(fyd_sn,200000*0.002*(1-$C786*(7*J$9-3*sn_h)/(4*sn_h))))-fcd_sn*(1-MIN(1,MAX(0,$C786*(7*J$9-3*sn_h)/(4*sn_h)))^2)</f>
        <v/>
      </c>
      <c r="K786">
        <f>MAX(-fyd_sn,MIN(fyd_sn,200000*0.002*(1-$C786*(7*K$9-3*sn_h)/(4*sn_h))))-fcd_sn*(1-MIN(1,MAX(0,$C786*(7*K$9-3*sn_h)/(4*sn_h)))^2)</f>
        <v/>
      </c>
    </row>
    <row r="787">
      <c r="B787" s="55" t="n">
        <v>44</v>
      </c>
      <c r="C787" s="58">
        <f>1-44/200</f>
        <v/>
      </c>
      <c r="D787" s="59">
        <f>IF($C787&gt;=1,sn_h,3/7*sn_h+4/7*sn_h/MAX($C787,1E-12))</f>
        <v/>
      </c>
      <c r="E787" s="57">
        <f>(fcd_sn*sn_b*sn_h*(3/7+4/7*(1-$C787^2/3))+SUMPRODUCT($J$8:$K$8,$J787:$K787))/1000</f>
        <v/>
      </c>
      <c r="F787" s="57">
        <f>-((fcd_sn*sn_b*(3/14*sn_h*(sn_h-3/7*sn_h)+4/7*sn_h*(sn_h/2-3/7*sn_h)*(1-$C787^2/3)-16/49*sn_h^2*(1/2-$C787^2/4))+SUMPRODUCT($J$8:$K$8,$J787:$K787,$J$10:$K$10))/1E6)</f>
        <v/>
      </c>
      <c r="J787">
        <f>MAX(-fyd_sn,MIN(fyd_sn,200000*0.002*(1-$C787*(7*J$9-3*sn_h)/(4*sn_h))))-fcd_sn*(1-MIN(1,MAX(0,$C787*(7*J$9-3*sn_h)/(4*sn_h)))^2)</f>
        <v/>
      </c>
      <c r="K787">
        <f>MAX(-fyd_sn,MIN(fyd_sn,200000*0.002*(1-$C787*(7*K$9-3*sn_h)/(4*sn_h))))-fcd_sn*(1-MIN(1,MAX(0,$C787*(7*K$9-3*sn_h)/(4*sn_h)))^2)</f>
        <v/>
      </c>
    </row>
    <row r="788">
      <c r="B788" s="55" t="n">
        <v>45</v>
      </c>
      <c r="C788" s="58">
        <f>1-45/200</f>
        <v/>
      </c>
      <c r="D788" s="59">
        <f>IF($C788&gt;=1,sn_h,3/7*sn_h+4/7*sn_h/MAX($C788,1E-12))</f>
        <v/>
      </c>
      <c r="E788" s="57">
        <f>(fcd_sn*sn_b*sn_h*(3/7+4/7*(1-$C788^2/3))+SUMPRODUCT($J$8:$K$8,$J788:$K788))/1000</f>
        <v/>
      </c>
      <c r="F788" s="57">
        <f>-((fcd_sn*sn_b*(3/14*sn_h*(sn_h-3/7*sn_h)+4/7*sn_h*(sn_h/2-3/7*sn_h)*(1-$C788^2/3)-16/49*sn_h^2*(1/2-$C788^2/4))+SUMPRODUCT($J$8:$K$8,$J788:$K788,$J$10:$K$10))/1E6)</f>
        <v/>
      </c>
      <c r="J788">
        <f>MAX(-fyd_sn,MIN(fyd_sn,200000*0.002*(1-$C788*(7*J$9-3*sn_h)/(4*sn_h))))-fcd_sn*(1-MIN(1,MAX(0,$C788*(7*J$9-3*sn_h)/(4*sn_h)))^2)</f>
        <v/>
      </c>
      <c r="K788">
        <f>MAX(-fyd_sn,MIN(fyd_sn,200000*0.002*(1-$C788*(7*K$9-3*sn_h)/(4*sn_h))))-fcd_sn*(1-MIN(1,MAX(0,$C788*(7*K$9-3*sn_h)/(4*sn_h)))^2)</f>
        <v/>
      </c>
    </row>
    <row r="789">
      <c r="B789" s="55" t="n">
        <v>46</v>
      </c>
      <c r="C789" s="58">
        <f>1-46/200</f>
        <v/>
      </c>
      <c r="D789" s="59">
        <f>IF($C789&gt;=1,sn_h,3/7*sn_h+4/7*sn_h/MAX($C789,1E-12))</f>
        <v/>
      </c>
      <c r="E789" s="57">
        <f>(fcd_sn*sn_b*sn_h*(3/7+4/7*(1-$C789^2/3))+SUMPRODUCT($J$8:$K$8,$J789:$K789))/1000</f>
        <v/>
      </c>
      <c r="F789" s="57">
        <f>-((fcd_sn*sn_b*(3/14*sn_h*(sn_h-3/7*sn_h)+4/7*sn_h*(sn_h/2-3/7*sn_h)*(1-$C789^2/3)-16/49*sn_h^2*(1/2-$C789^2/4))+SUMPRODUCT($J$8:$K$8,$J789:$K789,$J$10:$K$10))/1E6)</f>
        <v/>
      </c>
      <c r="J789">
        <f>MAX(-fyd_sn,MIN(fyd_sn,200000*0.002*(1-$C789*(7*J$9-3*sn_h)/(4*sn_h))))-fcd_sn*(1-MIN(1,MAX(0,$C789*(7*J$9-3*sn_h)/(4*sn_h)))^2)</f>
        <v/>
      </c>
      <c r="K789">
        <f>MAX(-fyd_sn,MIN(fyd_sn,200000*0.002*(1-$C789*(7*K$9-3*sn_h)/(4*sn_h))))-fcd_sn*(1-MIN(1,MAX(0,$C789*(7*K$9-3*sn_h)/(4*sn_h)))^2)</f>
        <v/>
      </c>
    </row>
    <row r="790">
      <c r="B790" s="55" t="n">
        <v>47</v>
      </c>
      <c r="C790" s="58">
        <f>1-47/200</f>
        <v/>
      </c>
      <c r="D790" s="59">
        <f>IF($C790&gt;=1,sn_h,3/7*sn_h+4/7*sn_h/MAX($C790,1E-12))</f>
        <v/>
      </c>
      <c r="E790" s="57">
        <f>(fcd_sn*sn_b*sn_h*(3/7+4/7*(1-$C790^2/3))+SUMPRODUCT($J$8:$K$8,$J790:$K790))/1000</f>
        <v/>
      </c>
      <c r="F790" s="57">
        <f>-((fcd_sn*sn_b*(3/14*sn_h*(sn_h-3/7*sn_h)+4/7*sn_h*(sn_h/2-3/7*sn_h)*(1-$C790^2/3)-16/49*sn_h^2*(1/2-$C790^2/4))+SUMPRODUCT($J$8:$K$8,$J790:$K790,$J$10:$K$10))/1E6)</f>
        <v/>
      </c>
      <c r="J790">
        <f>MAX(-fyd_sn,MIN(fyd_sn,200000*0.002*(1-$C790*(7*J$9-3*sn_h)/(4*sn_h))))-fcd_sn*(1-MIN(1,MAX(0,$C790*(7*J$9-3*sn_h)/(4*sn_h)))^2)</f>
        <v/>
      </c>
      <c r="K790">
        <f>MAX(-fyd_sn,MIN(fyd_sn,200000*0.002*(1-$C790*(7*K$9-3*sn_h)/(4*sn_h))))-fcd_sn*(1-MIN(1,MAX(0,$C790*(7*K$9-3*sn_h)/(4*sn_h)))^2)</f>
        <v/>
      </c>
    </row>
    <row r="791">
      <c r="B791" s="55" t="n">
        <v>48</v>
      </c>
      <c r="C791" s="58">
        <f>1-48/200</f>
        <v/>
      </c>
      <c r="D791" s="59">
        <f>IF($C791&gt;=1,sn_h,3/7*sn_h+4/7*sn_h/MAX($C791,1E-12))</f>
        <v/>
      </c>
      <c r="E791" s="57">
        <f>(fcd_sn*sn_b*sn_h*(3/7+4/7*(1-$C791^2/3))+SUMPRODUCT($J$8:$K$8,$J791:$K791))/1000</f>
        <v/>
      </c>
      <c r="F791" s="57">
        <f>-((fcd_sn*sn_b*(3/14*sn_h*(sn_h-3/7*sn_h)+4/7*sn_h*(sn_h/2-3/7*sn_h)*(1-$C791^2/3)-16/49*sn_h^2*(1/2-$C791^2/4))+SUMPRODUCT($J$8:$K$8,$J791:$K791,$J$10:$K$10))/1E6)</f>
        <v/>
      </c>
      <c r="J791">
        <f>MAX(-fyd_sn,MIN(fyd_sn,200000*0.002*(1-$C791*(7*J$9-3*sn_h)/(4*sn_h))))-fcd_sn*(1-MIN(1,MAX(0,$C791*(7*J$9-3*sn_h)/(4*sn_h)))^2)</f>
        <v/>
      </c>
      <c r="K791">
        <f>MAX(-fyd_sn,MIN(fyd_sn,200000*0.002*(1-$C791*(7*K$9-3*sn_h)/(4*sn_h))))-fcd_sn*(1-MIN(1,MAX(0,$C791*(7*K$9-3*sn_h)/(4*sn_h)))^2)</f>
        <v/>
      </c>
    </row>
    <row r="792">
      <c r="B792" s="55" t="n">
        <v>49</v>
      </c>
      <c r="C792" s="58">
        <f>1-49/200</f>
        <v/>
      </c>
      <c r="D792" s="59">
        <f>IF($C792&gt;=1,sn_h,3/7*sn_h+4/7*sn_h/MAX($C792,1E-12))</f>
        <v/>
      </c>
      <c r="E792" s="57">
        <f>(fcd_sn*sn_b*sn_h*(3/7+4/7*(1-$C792^2/3))+SUMPRODUCT($J$8:$K$8,$J792:$K792))/1000</f>
        <v/>
      </c>
      <c r="F792" s="57">
        <f>-((fcd_sn*sn_b*(3/14*sn_h*(sn_h-3/7*sn_h)+4/7*sn_h*(sn_h/2-3/7*sn_h)*(1-$C792^2/3)-16/49*sn_h^2*(1/2-$C792^2/4))+SUMPRODUCT($J$8:$K$8,$J792:$K792,$J$10:$K$10))/1E6)</f>
        <v/>
      </c>
      <c r="J792">
        <f>MAX(-fyd_sn,MIN(fyd_sn,200000*0.002*(1-$C792*(7*J$9-3*sn_h)/(4*sn_h))))-fcd_sn*(1-MIN(1,MAX(0,$C792*(7*J$9-3*sn_h)/(4*sn_h)))^2)</f>
        <v/>
      </c>
      <c r="K792">
        <f>MAX(-fyd_sn,MIN(fyd_sn,200000*0.002*(1-$C792*(7*K$9-3*sn_h)/(4*sn_h))))-fcd_sn*(1-MIN(1,MAX(0,$C792*(7*K$9-3*sn_h)/(4*sn_h)))^2)</f>
        <v/>
      </c>
    </row>
    <row r="793">
      <c r="B793" s="55" t="n">
        <v>50</v>
      </c>
      <c r="C793" s="58">
        <f>1-50/200</f>
        <v/>
      </c>
      <c r="D793" s="59">
        <f>IF($C793&gt;=1,sn_h,3/7*sn_h+4/7*sn_h/MAX($C793,1E-12))</f>
        <v/>
      </c>
      <c r="E793" s="57">
        <f>(fcd_sn*sn_b*sn_h*(3/7+4/7*(1-$C793^2/3))+SUMPRODUCT($J$8:$K$8,$J793:$K793))/1000</f>
        <v/>
      </c>
      <c r="F793" s="57">
        <f>-((fcd_sn*sn_b*(3/14*sn_h*(sn_h-3/7*sn_h)+4/7*sn_h*(sn_h/2-3/7*sn_h)*(1-$C793^2/3)-16/49*sn_h^2*(1/2-$C793^2/4))+SUMPRODUCT($J$8:$K$8,$J793:$K793,$J$10:$K$10))/1E6)</f>
        <v/>
      </c>
      <c r="J793">
        <f>MAX(-fyd_sn,MIN(fyd_sn,200000*0.002*(1-$C793*(7*J$9-3*sn_h)/(4*sn_h))))-fcd_sn*(1-MIN(1,MAX(0,$C793*(7*J$9-3*sn_h)/(4*sn_h)))^2)</f>
        <v/>
      </c>
      <c r="K793">
        <f>MAX(-fyd_sn,MIN(fyd_sn,200000*0.002*(1-$C793*(7*K$9-3*sn_h)/(4*sn_h))))-fcd_sn*(1-MIN(1,MAX(0,$C793*(7*K$9-3*sn_h)/(4*sn_h)))^2)</f>
        <v/>
      </c>
    </row>
    <row r="794">
      <c r="B794" s="55" t="n">
        <v>51</v>
      </c>
      <c r="C794" s="58">
        <f>1-51/200</f>
        <v/>
      </c>
      <c r="D794" s="59">
        <f>IF($C794&gt;=1,sn_h,3/7*sn_h+4/7*sn_h/MAX($C794,1E-12))</f>
        <v/>
      </c>
      <c r="E794" s="57">
        <f>(fcd_sn*sn_b*sn_h*(3/7+4/7*(1-$C794^2/3))+SUMPRODUCT($J$8:$K$8,$J794:$K794))/1000</f>
        <v/>
      </c>
      <c r="F794" s="57">
        <f>-((fcd_sn*sn_b*(3/14*sn_h*(sn_h-3/7*sn_h)+4/7*sn_h*(sn_h/2-3/7*sn_h)*(1-$C794^2/3)-16/49*sn_h^2*(1/2-$C794^2/4))+SUMPRODUCT($J$8:$K$8,$J794:$K794,$J$10:$K$10))/1E6)</f>
        <v/>
      </c>
      <c r="J794">
        <f>MAX(-fyd_sn,MIN(fyd_sn,200000*0.002*(1-$C794*(7*J$9-3*sn_h)/(4*sn_h))))-fcd_sn*(1-MIN(1,MAX(0,$C794*(7*J$9-3*sn_h)/(4*sn_h)))^2)</f>
        <v/>
      </c>
      <c r="K794">
        <f>MAX(-fyd_sn,MIN(fyd_sn,200000*0.002*(1-$C794*(7*K$9-3*sn_h)/(4*sn_h))))-fcd_sn*(1-MIN(1,MAX(0,$C794*(7*K$9-3*sn_h)/(4*sn_h)))^2)</f>
        <v/>
      </c>
    </row>
    <row r="795">
      <c r="B795" s="55" t="n">
        <v>52</v>
      </c>
      <c r="C795" s="58">
        <f>1-52/200</f>
        <v/>
      </c>
      <c r="D795" s="59">
        <f>IF($C795&gt;=1,sn_h,3/7*sn_h+4/7*sn_h/MAX($C795,1E-12))</f>
        <v/>
      </c>
      <c r="E795" s="57">
        <f>(fcd_sn*sn_b*sn_h*(3/7+4/7*(1-$C795^2/3))+SUMPRODUCT($J$8:$K$8,$J795:$K795))/1000</f>
        <v/>
      </c>
      <c r="F795" s="57">
        <f>-((fcd_sn*sn_b*(3/14*sn_h*(sn_h-3/7*sn_h)+4/7*sn_h*(sn_h/2-3/7*sn_h)*(1-$C795^2/3)-16/49*sn_h^2*(1/2-$C795^2/4))+SUMPRODUCT($J$8:$K$8,$J795:$K795,$J$10:$K$10))/1E6)</f>
        <v/>
      </c>
      <c r="J795">
        <f>MAX(-fyd_sn,MIN(fyd_sn,200000*0.002*(1-$C795*(7*J$9-3*sn_h)/(4*sn_h))))-fcd_sn*(1-MIN(1,MAX(0,$C795*(7*J$9-3*sn_h)/(4*sn_h)))^2)</f>
        <v/>
      </c>
      <c r="K795">
        <f>MAX(-fyd_sn,MIN(fyd_sn,200000*0.002*(1-$C795*(7*K$9-3*sn_h)/(4*sn_h))))-fcd_sn*(1-MIN(1,MAX(0,$C795*(7*K$9-3*sn_h)/(4*sn_h)))^2)</f>
        <v/>
      </c>
    </row>
    <row r="796">
      <c r="B796" s="55" t="n">
        <v>53</v>
      </c>
      <c r="C796" s="58">
        <f>1-53/200</f>
        <v/>
      </c>
      <c r="D796" s="59">
        <f>IF($C796&gt;=1,sn_h,3/7*sn_h+4/7*sn_h/MAX($C796,1E-12))</f>
        <v/>
      </c>
      <c r="E796" s="57">
        <f>(fcd_sn*sn_b*sn_h*(3/7+4/7*(1-$C796^2/3))+SUMPRODUCT($J$8:$K$8,$J796:$K796))/1000</f>
        <v/>
      </c>
      <c r="F796" s="57">
        <f>-((fcd_sn*sn_b*(3/14*sn_h*(sn_h-3/7*sn_h)+4/7*sn_h*(sn_h/2-3/7*sn_h)*(1-$C796^2/3)-16/49*sn_h^2*(1/2-$C796^2/4))+SUMPRODUCT($J$8:$K$8,$J796:$K796,$J$10:$K$10))/1E6)</f>
        <v/>
      </c>
      <c r="J796">
        <f>MAX(-fyd_sn,MIN(fyd_sn,200000*0.002*(1-$C796*(7*J$9-3*sn_h)/(4*sn_h))))-fcd_sn*(1-MIN(1,MAX(0,$C796*(7*J$9-3*sn_h)/(4*sn_h)))^2)</f>
        <v/>
      </c>
      <c r="K796">
        <f>MAX(-fyd_sn,MIN(fyd_sn,200000*0.002*(1-$C796*(7*K$9-3*sn_h)/(4*sn_h))))-fcd_sn*(1-MIN(1,MAX(0,$C796*(7*K$9-3*sn_h)/(4*sn_h)))^2)</f>
        <v/>
      </c>
    </row>
    <row r="797">
      <c r="B797" s="55" t="n">
        <v>54</v>
      </c>
      <c r="C797" s="58">
        <f>1-54/200</f>
        <v/>
      </c>
      <c r="D797" s="59">
        <f>IF($C797&gt;=1,sn_h,3/7*sn_h+4/7*sn_h/MAX($C797,1E-12))</f>
        <v/>
      </c>
      <c r="E797" s="57">
        <f>(fcd_sn*sn_b*sn_h*(3/7+4/7*(1-$C797^2/3))+SUMPRODUCT($J$8:$K$8,$J797:$K797))/1000</f>
        <v/>
      </c>
      <c r="F797" s="57">
        <f>-((fcd_sn*sn_b*(3/14*sn_h*(sn_h-3/7*sn_h)+4/7*sn_h*(sn_h/2-3/7*sn_h)*(1-$C797^2/3)-16/49*sn_h^2*(1/2-$C797^2/4))+SUMPRODUCT($J$8:$K$8,$J797:$K797,$J$10:$K$10))/1E6)</f>
        <v/>
      </c>
      <c r="J797">
        <f>MAX(-fyd_sn,MIN(fyd_sn,200000*0.002*(1-$C797*(7*J$9-3*sn_h)/(4*sn_h))))-fcd_sn*(1-MIN(1,MAX(0,$C797*(7*J$9-3*sn_h)/(4*sn_h)))^2)</f>
        <v/>
      </c>
      <c r="K797">
        <f>MAX(-fyd_sn,MIN(fyd_sn,200000*0.002*(1-$C797*(7*K$9-3*sn_h)/(4*sn_h))))-fcd_sn*(1-MIN(1,MAX(0,$C797*(7*K$9-3*sn_h)/(4*sn_h)))^2)</f>
        <v/>
      </c>
    </row>
    <row r="798">
      <c r="B798" s="55" t="n">
        <v>55</v>
      </c>
      <c r="C798" s="58">
        <f>1-55/200</f>
        <v/>
      </c>
      <c r="D798" s="59">
        <f>IF($C798&gt;=1,sn_h,3/7*sn_h+4/7*sn_h/MAX($C798,1E-12))</f>
        <v/>
      </c>
      <c r="E798" s="57">
        <f>(fcd_sn*sn_b*sn_h*(3/7+4/7*(1-$C798^2/3))+SUMPRODUCT($J$8:$K$8,$J798:$K798))/1000</f>
        <v/>
      </c>
      <c r="F798" s="57">
        <f>-((fcd_sn*sn_b*(3/14*sn_h*(sn_h-3/7*sn_h)+4/7*sn_h*(sn_h/2-3/7*sn_h)*(1-$C798^2/3)-16/49*sn_h^2*(1/2-$C798^2/4))+SUMPRODUCT($J$8:$K$8,$J798:$K798,$J$10:$K$10))/1E6)</f>
        <v/>
      </c>
      <c r="J798">
        <f>MAX(-fyd_sn,MIN(fyd_sn,200000*0.002*(1-$C798*(7*J$9-3*sn_h)/(4*sn_h))))-fcd_sn*(1-MIN(1,MAX(0,$C798*(7*J$9-3*sn_h)/(4*sn_h)))^2)</f>
        <v/>
      </c>
      <c r="K798">
        <f>MAX(-fyd_sn,MIN(fyd_sn,200000*0.002*(1-$C798*(7*K$9-3*sn_h)/(4*sn_h))))-fcd_sn*(1-MIN(1,MAX(0,$C798*(7*K$9-3*sn_h)/(4*sn_h)))^2)</f>
        <v/>
      </c>
    </row>
    <row r="799">
      <c r="B799" s="55" t="n">
        <v>56</v>
      </c>
      <c r="C799" s="58">
        <f>1-56/200</f>
        <v/>
      </c>
      <c r="D799" s="59">
        <f>IF($C799&gt;=1,sn_h,3/7*sn_h+4/7*sn_h/MAX($C799,1E-12))</f>
        <v/>
      </c>
      <c r="E799" s="57">
        <f>(fcd_sn*sn_b*sn_h*(3/7+4/7*(1-$C799^2/3))+SUMPRODUCT($J$8:$K$8,$J799:$K799))/1000</f>
        <v/>
      </c>
      <c r="F799" s="57">
        <f>-((fcd_sn*sn_b*(3/14*sn_h*(sn_h-3/7*sn_h)+4/7*sn_h*(sn_h/2-3/7*sn_h)*(1-$C799^2/3)-16/49*sn_h^2*(1/2-$C799^2/4))+SUMPRODUCT($J$8:$K$8,$J799:$K799,$J$10:$K$10))/1E6)</f>
        <v/>
      </c>
      <c r="J799">
        <f>MAX(-fyd_sn,MIN(fyd_sn,200000*0.002*(1-$C799*(7*J$9-3*sn_h)/(4*sn_h))))-fcd_sn*(1-MIN(1,MAX(0,$C799*(7*J$9-3*sn_h)/(4*sn_h)))^2)</f>
        <v/>
      </c>
      <c r="K799">
        <f>MAX(-fyd_sn,MIN(fyd_sn,200000*0.002*(1-$C799*(7*K$9-3*sn_h)/(4*sn_h))))-fcd_sn*(1-MIN(1,MAX(0,$C799*(7*K$9-3*sn_h)/(4*sn_h)))^2)</f>
        <v/>
      </c>
    </row>
    <row r="800">
      <c r="B800" s="55" t="n">
        <v>57</v>
      </c>
      <c r="C800" s="58">
        <f>1-57/200</f>
        <v/>
      </c>
      <c r="D800" s="59">
        <f>IF($C800&gt;=1,sn_h,3/7*sn_h+4/7*sn_h/MAX($C800,1E-12))</f>
        <v/>
      </c>
      <c r="E800" s="57">
        <f>(fcd_sn*sn_b*sn_h*(3/7+4/7*(1-$C800^2/3))+SUMPRODUCT($J$8:$K$8,$J800:$K800))/1000</f>
        <v/>
      </c>
      <c r="F800" s="57">
        <f>-((fcd_sn*sn_b*(3/14*sn_h*(sn_h-3/7*sn_h)+4/7*sn_h*(sn_h/2-3/7*sn_h)*(1-$C800^2/3)-16/49*sn_h^2*(1/2-$C800^2/4))+SUMPRODUCT($J$8:$K$8,$J800:$K800,$J$10:$K$10))/1E6)</f>
        <v/>
      </c>
      <c r="J800">
        <f>MAX(-fyd_sn,MIN(fyd_sn,200000*0.002*(1-$C800*(7*J$9-3*sn_h)/(4*sn_h))))-fcd_sn*(1-MIN(1,MAX(0,$C800*(7*J$9-3*sn_h)/(4*sn_h)))^2)</f>
        <v/>
      </c>
      <c r="K800">
        <f>MAX(-fyd_sn,MIN(fyd_sn,200000*0.002*(1-$C800*(7*K$9-3*sn_h)/(4*sn_h))))-fcd_sn*(1-MIN(1,MAX(0,$C800*(7*K$9-3*sn_h)/(4*sn_h)))^2)</f>
        <v/>
      </c>
    </row>
    <row r="801">
      <c r="B801" s="55" t="n">
        <v>58</v>
      </c>
      <c r="C801" s="58">
        <f>1-58/200</f>
        <v/>
      </c>
      <c r="D801" s="59">
        <f>IF($C801&gt;=1,sn_h,3/7*sn_h+4/7*sn_h/MAX($C801,1E-12))</f>
        <v/>
      </c>
      <c r="E801" s="57">
        <f>(fcd_sn*sn_b*sn_h*(3/7+4/7*(1-$C801^2/3))+SUMPRODUCT($J$8:$K$8,$J801:$K801))/1000</f>
        <v/>
      </c>
      <c r="F801" s="57">
        <f>-((fcd_sn*sn_b*(3/14*sn_h*(sn_h-3/7*sn_h)+4/7*sn_h*(sn_h/2-3/7*sn_h)*(1-$C801^2/3)-16/49*sn_h^2*(1/2-$C801^2/4))+SUMPRODUCT($J$8:$K$8,$J801:$K801,$J$10:$K$10))/1E6)</f>
        <v/>
      </c>
      <c r="J801">
        <f>MAX(-fyd_sn,MIN(fyd_sn,200000*0.002*(1-$C801*(7*J$9-3*sn_h)/(4*sn_h))))-fcd_sn*(1-MIN(1,MAX(0,$C801*(7*J$9-3*sn_h)/(4*sn_h)))^2)</f>
        <v/>
      </c>
      <c r="K801">
        <f>MAX(-fyd_sn,MIN(fyd_sn,200000*0.002*(1-$C801*(7*K$9-3*sn_h)/(4*sn_h))))-fcd_sn*(1-MIN(1,MAX(0,$C801*(7*K$9-3*sn_h)/(4*sn_h)))^2)</f>
        <v/>
      </c>
    </row>
    <row r="802">
      <c r="B802" s="55" t="n">
        <v>59</v>
      </c>
      <c r="C802" s="58">
        <f>1-59/200</f>
        <v/>
      </c>
      <c r="D802" s="59">
        <f>IF($C802&gt;=1,sn_h,3/7*sn_h+4/7*sn_h/MAX($C802,1E-12))</f>
        <v/>
      </c>
      <c r="E802" s="57">
        <f>(fcd_sn*sn_b*sn_h*(3/7+4/7*(1-$C802^2/3))+SUMPRODUCT($J$8:$K$8,$J802:$K802))/1000</f>
        <v/>
      </c>
      <c r="F802" s="57">
        <f>-((fcd_sn*sn_b*(3/14*sn_h*(sn_h-3/7*sn_h)+4/7*sn_h*(sn_h/2-3/7*sn_h)*(1-$C802^2/3)-16/49*sn_h^2*(1/2-$C802^2/4))+SUMPRODUCT($J$8:$K$8,$J802:$K802,$J$10:$K$10))/1E6)</f>
        <v/>
      </c>
      <c r="J802">
        <f>MAX(-fyd_sn,MIN(fyd_sn,200000*0.002*(1-$C802*(7*J$9-3*sn_h)/(4*sn_h))))-fcd_sn*(1-MIN(1,MAX(0,$C802*(7*J$9-3*sn_h)/(4*sn_h)))^2)</f>
        <v/>
      </c>
      <c r="K802">
        <f>MAX(-fyd_sn,MIN(fyd_sn,200000*0.002*(1-$C802*(7*K$9-3*sn_h)/(4*sn_h))))-fcd_sn*(1-MIN(1,MAX(0,$C802*(7*K$9-3*sn_h)/(4*sn_h)))^2)</f>
        <v/>
      </c>
    </row>
    <row r="803">
      <c r="B803" s="55" t="n">
        <v>60</v>
      </c>
      <c r="C803" s="58">
        <f>1-60/200</f>
        <v/>
      </c>
      <c r="D803" s="59">
        <f>IF($C803&gt;=1,sn_h,3/7*sn_h+4/7*sn_h/MAX($C803,1E-12))</f>
        <v/>
      </c>
      <c r="E803" s="57">
        <f>(fcd_sn*sn_b*sn_h*(3/7+4/7*(1-$C803^2/3))+SUMPRODUCT($J$8:$K$8,$J803:$K803))/1000</f>
        <v/>
      </c>
      <c r="F803" s="57">
        <f>-((fcd_sn*sn_b*(3/14*sn_h*(sn_h-3/7*sn_h)+4/7*sn_h*(sn_h/2-3/7*sn_h)*(1-$C803^2/3)-16/49*sn_h^2*(1/2-$C803^2/4))+SUMPRODUCT($J$8:$K$8,$J803:$K803,$J$10:$K$10))/1E6)</f>
        <v/>
      </c>
      <c r="J803">
        <f>MAX(-fyd_sn,MIN(fyd_sn,200000*0.002*(1-$C803*(7*J$9-3*sn_h)/(4*sn_h))))-fcd_sn*(1-MIN(1,MAX(0,$C803*(7*J$9-3*sn_h)/(4*sn_h)))^2)</f>
        <v/>
      </c>
      <c r="K803">
        <f>MAX(-fyd_sn,MIN(fyd_sn,200000*0.002*(1-$C803*(7*K$9-3*sn_h)/(4*sn_h))))-fcd_sn*(1-MIN(1,MAX(0,$C803*(7*K$9-3*sn_h)/(4*sn_h)))^2)</f>
        <v/>
      </c>
    </row>
    <row r="804">
      <c r="B804" s="55" t="n">
        <v>61</v>
      </c>
      <c r="C804" s="58">
        <f>1-61/200</f>
        <v/>
      </c>
      <c r="D804" s="59">
        <f>IF($C804&gt;=1,sn_h,3/7*sn_h+4/7*sn_h/MAX($C804,1E-12))</f>
        <v/>
      </c>
      <c r="E804" s="57">
        <f>(fcd_sn*sn_b*sn_h*(3/7+4/7*(1-$C804^2/3))+SUMPRODUCT($J$8:$K$8,$J804:$K804))/1000</f>
        <v/>
      </c>
      <c r="F804" s="57">
        <f>-((fcd_sn*sn_b*(3/14*sn_h*(sn_h-3/7*sn_h)+4/7*sn_h*(sn_h/2-3/7*sn_h)*(1-$C804^2/3)-16/49*sn_h^2*(1/2-$C804^2/4))+SUMPRODUCT($J$8:$K$8,$J804:$K804,$J$10:$K$10))/1E6)</f>
        <v/>
      </c>
      <c r="J804">
        <f>MAX(-fyd_sn,MIN(fyd_sn,200000*0.002*(1-$C804*(7*J$9-3*sn_h)/(4*sn_h))))-fcd_sn*(1-MIN(1,MAX(0,$C804*(7*J$9-3*sn_h)/(4*sn_h)))^2)</f>
        <v/>
      </c>
      <c r="K804">
        <f>MAX(-fyd_sn,MIN(fyd_sn,200000*0.002*(1-$C804*(7*K$9-3*sn_h)/(4*sn_h))))-fcd_sn*(1-MIN(1,MAX(0,$C804*(7*K$9-3*sn_h)/(4*sn_h)))^2)</f>
        <v/>
      </c>
    </row>
    <row r="805">
      <c r="B805" s="55" t="n">
        <v>62</v>
      </c>
      <c r="C805" s="58">
        <f>1-62/200</f>
        <v/>
      </c>
      <c r="D805" s="59">
        <f>IF($C805&gt;=1,sn_h,3/7*sn_h+4/7*sn_h/MAX($C805,1E-12))</f>
        <v/>
      </c>
      <c r="E805" s="57">
        <f>(fcd_sn*sn_b*sn_h*(3/7+4/7*(1-$C805^2/3))+SUMPRODUCT($J$8:$K$8,$J805:$K805))/1000</f>
        <v/>
      </c>
      <c r="F805" s="57">
        <f>-((fcd_sn*sn_b*(3/14*sn_h*(sn_h-3/7*sn_h)+4/7*sn_h*(sn_h/2-3/7*sn_h)*(1-$C805^2/3)-16/49*sn_h^2*(1/2-$C805^2/4))+SUMPRODUCT($J$8:$K$8,$J805:$K805,$J$10:$K$10))/1E6)</f>
        <v/>
      </c>
      <c r="J805">
        <f>MAX(-fyd_sn,MIN(fyd_sn,200000*0.002*(1-$C805*(7*J$9-3*sn_h)/(4*sn_h))))-fcd_sn*(1-MIN(1,MAX(0,$C805*(7*J$9-3*sn_h)/(4*sn_h)))^2)</f>
        <v/>
      </c>
      <c r="K805">
        <f>MAX(-fyd_sn,MIN(fyd_sn,200000*0.002*(1-$C805*(7*K$9-3*sn_h)/(4*sn_h))))-fcd_sn*(1-MIN(1,MAX(0,$C805*(7*K$9-3*sn_h)/(4*sn_h)))^2)</f>
        <v/>
      </c>
    </row>
    <row r="806">
      <c r="B806" s="55" t="n">
        <v>63</v>
      </c>
      <c r="C806" s="58">
        <f>1-63/200</f>
        <v/>
      </c>
      <c r="D806" s="59">
        <f>IF($C806&gt;=1,sn_h,3/7*sn_h+4/7*sn_h/MAX($C806,1E-12))</f>
        <v/>
      </c>
      <c r="E806" s="57">
        <f>(fcd_sn*sn_b*sn_h*(3/7+4/7*(1-$C806^2/3))+SUMPRODUCT($J$8:$K$8,$J806:$K806))/1000</f>
        <v/>
      </c>
      <c r="F806" s="57">
        <f>-((fcd_sn*sn_b*(3/14*sn_h*(sn_h-3/7*sn_h)+4/7*sn_h*(sn_h/2-3/7*sn_h)*(1-$C806^2/3)-16/49*sn_h^2*(1/2-$C806^2/4))+SUMPRODUCT($J$8:$K$8,$J806:$K806,$J$10:$K$10))/1E6)</f>
        <v/>
      </c>
      <c r="J806">
        <f>MAX(-fyd_sn,MIN(fyd_sn,200000*0.002*(1-$C806*(7*J$9-3*sn_h)/(4*sn_h))))-fcd_sn*(1-MIN(1,MAX(0,$C806*(7*J$9-3*sn_h)/(4*sn_h)))^2)</f>
        <v/>
      </c>
      <c r="K806">
        <f>MAX(-fyd_sn,MIN(fyd_sn,200000*0.002*(1-$C806*(7*K$9-3*sn_h)/(4*sn_h))))-fcd_sn*(1-MIN(1,MAX(0,$C806*(7*K$9-3*sn_h)/(4*sn_h)))^2)</f>
        <v/>
      </c>
    </row>
    <row r="807">
      <c r="B807" s="55" t="n">
        <v>64</v>
      </c>
      <c r="C807" s="58">
        <f>1-64/200</f>
        <v/>
      </c>
      <c r="D807" s="59">
        <f>IF($C807&gt;=1,sn_h,3/7*sn_h+4/7*sn_h/MAX($C807,1E-12))</f>
        <v/>
      </c>
      <c r="E807" s="57">
        <f>(fcd_sn*sn_b*sn_h*(3/7+4/7*(1-$C807^2/3))+SUMPRODUCT($J$8:$K$8,$J807:$K807))/1000</f>
        <v/>
      </c>
      <c r="F807" s="57">
        <f>-((fcd_sn*sn_b*(3/14*sn_h*(sn_h-3/7*sn_h)+4/7*sn_h*(sn_h/2-3/7*sn_h)*(1-$C807^2/3)-16/49*sn_h^2*(1/2-$C807^2/4))+SUMPRODUCT($J$8:$K$8,$J807:$K807,$J$10:$K$10))/1E6)</f>
        <v/>
      </c>
      <c r="J807">
        <f>MAX(-fyd_sn,MIN(fyd_sn,200000*0.002*(1-$C807*(7*J$9-3*sn_h)/(4*sn_h))))-fcd_sn*(1-MIN(1,MAX(0,$C807*(7*J$9-3*sn_h)/(4*sn_h)))^2)</f>
        <v/>
      </c>
      <c r="K807">
        <f>MAX(-fyd_sn,MIN(fyd_sn,200000*0.002*(1-$C807*(7*K$9-3*sn_h)/(4*sn_h))))-fcd_sn*(1-MIN(1,MAX(0,$C807*(7*K$9-3*sn_h)/(4*sn_h)))^2)</f>
        <v/>
      </c>
    </row>
    <row r="808">
      <c r="B808" s="55" t="n">
        <v>65</v>
      </c>
      <c r="C808" s="58">
        <f>1-65/200</f>
        <v/>
      </c>
      <c r="D808" s="59">
        <f>IF($C808&gt;=1,sn_h,3/7*sn_h+4/7*sn_h/MAX($C808,1E-12))</f>
        <v/>
      </c>
      <c r="E808" s="57">
        <f>(fcd_sn*sn_b*sn_h*(3/7+4/7*(1-$C808^2/3))+SUMPRODUCT($J$8:$K$8,$J808:$K808))/1000</f>
        <v/>
      </c>
      <c r="F808" s="57">
        <f>-((fcd_sn*sn_b*(3/14*sn_h*(sn_h-3/7*sn_h)+4/7*sn_h*(sn_h/2-3/7*sn_h)*(1-$C808^2/3)-16/49*sn_h^2*(1/2-$C808^2/4))+SUMPRODUCT($J$8:$K$8,$J808:$K808,$J$10:$K$10))/1E6)</f>
        <v/>
      </c>
      <c r="J808">
        <f>MAX(-fyd_sn,MIN(fyd_sn,200000*0.002*(1-$C808*(7*J$9-3*sn_h)/(4*sn_h))))-fcd_sn*(1-MIN(1,MAX(0,$C808*(7*J$9-3*sn_h)/(4*sn_h)))^2)</f>
        <v/>
      </c>
      <c r="K808">
        <f>MAX(-fyd_sn,MIN(fyd_sn,200000*0.002*(1-$C808*(7*K$9-3*sn_h)/(4*sn_h))))-fcd_sn*(1-MIN(1,MAX(0,$C808*(7*K$9-3*sn_h)/(4*sn_h)))^2)</f>
        <v/>
      </c>
    </row>
    <row r="809">
      <c r="B809" s="55" t="n">
        <v>66</v>
      </c>
      <c r="C809" s="58">
        <f>1-66/200</f>
        <v/>
      </c>
      <c r="D809" s="59">
        <f>IF($C809&gt;=1,sn_h,3/7*sn_h+4/7*sn_h/MAX($C809,1E-12))</f>
        <v/>
      </c>
      <c r="E809" s="57">
        <f>(fcd_sn*sn_b*sn_h*(3/7+4/7*(1-$C809^2/3))+SUMPRODUCT($J$8:$K$8,$J809:$K809))/1000</f>
        <v/>
      </c>
      <c r="F809" s="57">
        <f>-((fcd_sn*sn_b*(3/14*sn_h*(sn_h-3/7*sn_h)+4/7*sn_h*(sn_h/2-3/7*sn_h)*(1-$C809^2/3)-16/49*sn_h^2*(1/2-$C809^2/4))+SUMPRODUCT($J$8:$K$8,$J809:$K809,$J$10:$K$10))/1E6)</f>
        <v/>
      </c>
      <c r="J809">
        <f>MAX(-fyd_sn,MIN(fyd_sn,200000*0.002*(1-$C809*(7*J$9-3*sn_h)/(4*sn_h))))-fcd_sn*(1-MIN(1,MAX(0,$C809*(7*J$9-3*sn_h)/(4*sn_h)))^2)</f>
        <v/>
      </c>
      <c r="K809">
        <f>MAX(-fyd_sn,MIN(fyd_sn,200000*0.002*(1-$C809*(7*K$9-3*sn_h)/(4*sn_h))))-fcd_sn*(1-MIN(1,MAX(0,$C809*(7*K$9-3*sn_h)/(4*sn_h)))^2)</f>
        <v/>
      </c>
    </row>
    <row r="810">
      <c r="B810" s="55" t="n">
        <v>67</v>
      </c>
      <c r="C810" s="58">
        <f>1-67/200</f>
        <v/>
      </c>
      <c r="D810" s="59">
        <f>IF($C810&gt;=1,sn_h,3/7*sn_h+4/7*sn_h/MAX($C810,1E-12))</f>
        <v/>
      </c>
      <c r="E810" s="57">
        <f>(fcd_sn*sn_b*sn_h*(3/7+4/7*(1-$C810^2/3))+SUMPRODUCT($J$8:$K$8,$J810:$K810))/1000</f>
        <v/>
      </c>
      <c r="F810" s="57">
        <f>-((fcd_sn*sn_b*(3/14*sn_h*(sn_h-3/7*sn_h)+4/7*sn_h*(sn_h/2-3/7*sn_h)*(1-$C810^2/3)-16/49*sn_h^2*(1/2-$C810^2/4))+SUMPRODUCT($J$8:$K$8,$J810:$K810,$J$10:$K$10))/1E6)</f>
        <v/>
      </c>
      <c r="J810">
        <f>MAX(-fyd_sn,MIN(fyd_sn,200000*0.002*(1-$C810*(7*J$9-3*sn_h)/(4*sn_h))))-fcd_sn*(1-MIN(1,MAX(0,$C810*(7*J$9-3*sn_h)/(4*sn_h)))^2)</f>
        <v/>
      </c>
      <c r="K810">
        <f>MAX(-fyd_sn,MIN(fyd_sn,200000*0.002*(1-$C810*(7*K$9-3*sn_h)/(4*sn_h))))-fcd_sn*(1-MIN(1,MAX(0,$C810*(7*K$9-3*sn_h)/(4*sn_h)))^2)</f>
        <v/>
      </c>
    </row>
    <row r="811">
      <c r="B811" s="55" t="n">
        <v>68</v>
      </c>
      <c r="C811" s="58">
        <f>1-68/200</f>
        <v/>
      </c>
      <c r="D811" s="59">
        <f>IF($C811&gt;=1,sn_h,3/7*sn_h+4/7*sn_h/MAX($C811,1E-12))</f>
        <v/>
      </c>
      <c r="E811" s="57">
        <f>(fcd_sn*sn_b*sn_h*(3/7+4/7*(1-$C811^2/3))+SUMPRODUCT($J$8:$K$8,$J811:$K811))/1000</f>
        <v/>
      </c>
      <c r="F811" s="57">
        <f>-((fcd_sn*sn_b*(3/14*sn_h*(sn_h-3/7*sn_h)+4/7*sn_h*(sn_h/2-3/7*sn_h)*(1-$C811^2/3)-16/49*sn_h^2*(1/2-$C811^2/4))+SUMPRODUCT($J$8:$K$8,$J811:$K811,$J$10:$K$10))/1E6)</f>
        <v/>
      </c>
      <c r="J811">
        <f>MAX(-fyd_sn,MIN(fyd_sn,200000*0.002*(1-$C811*(7*J$9-3*sn_h)/(4*sn_h))))-fcd_sn*(1-MIN(1,MAX(0,$C811*(7*J$9-3*sn_h)/(4*sn_h)))^2)</f>
        <v/>
      </c>
      <c r="K811">
        <f>MAX(-fyd_sn,MIN(fyd_sn,200000*0.002*(1-$C811*(7*K$9-3*sn_h)/(4*sn_h))))-fcd_sn*(1-MIN(1,MAX(0,$C811*(7*K$9-3*sn_h)/(4*sn_h)))^2)</f>
        <v/>
      </c>
    </row>
    <row r="812">
      <c r="B812" s="55" t="n">
        <v>69</v>
      </c>
      <c r="C812" s="58">
        <f>1-69/200</f>
        <v/>
      </c>
      <c r="D812" s="59">
        <f>IF($C812&gt;=1,sn_h,3/7*sn_h+4/7*sn_h/MAX($C812,1E-12))</f>
        <v/>
      </c>
      <c r="E812" s="57">
        <f>(fcd_sn*sn_b*sn_h*(3/7+4/7*(1-$C812^2/3))+SUMPRODUCT($J$8:$K$8,$J812:$K812))/1000</f>
        <v/>
      </c>
      <c r="F812" s="57">
        <f>-((fcd_sn*sn_b*(3/14*sn_h*(sn_h-3/7*sn_h)+4/7*sn_h*(sn_h/2-3/7*sn_h)*(1-$C812^2/3)-16/49*sn_h^2*(1/2-$C812^2/4))+SUMPRODUCT($J$8:$K$8,$J812:$K812,$J$10:$K$10))/1E6)</f>
        <v/>
      </c>
      <c r="J812">
        <f>MAX(-fyd_sn,MIN(fyd_sn,200000*0.002*(1-$C812*(7*J$9-3*sn_h)/(4*sn_h))))-fcd_sn*(1-MIN(1,MAX(0,$C812*(7*J$9-3*sn_h)/(4*sn_h)))^2)</f>
        <v/>
      </c>
      <c r="K812">
        <f>MAX(-fyd_sn,MIN(fyd_sn,200000*0.002*(1-$C812*(7*K$9-3*sn_h)/(4*sn_h))))-fcd_sn*(1-MIN(1,MAX(0,$C812*(7*K$9-3*sn_h)/(4*sn_h)))^2)</f>
        <v/>
      </c>
    </row>
    <row r="813">
      <c r="B813" s="55" t="n">
        <v>70</v>
      </c>
      <c r="C813" s="58">
        <f>1-70/200</f>
        <v/>
      </c>
      <c r="D813" s="59">
        <f>IF($C813&gt;=1,sn_h,3/7*sn_h+4/7*sn_h/MAX($C813,1E-12))</f>
        <v/>
      </c>
      <c r="E813" s="57">
        <f>(fcd_sn*sn_b*sn_h*(3/7+4/7*(1-$C813^2/3))+SUMPRODUCT($J$8:$K$8,$J813:$K813))/1000</f>
        <v/>
      </c>
      <c r="F813" s="57">
        <f>-((fcd_sn*sn_b*(3/14*sn_h*(sn_h-3/7*sn_h)+4/7*sn_h*(sn_h/2-3/7*sn_h)*(1-$C813^2/3)-16/49*sn_h^2*(1/2-$C813^2/4))+SUMPRODUCT($J$8:$K$8,$J813:$K813,$J$10:$K$10))/1E6)</f>
        <v/>
      </c>
      <c r="J813">
        <f>MAX(-fyd_sn,MIN(fyd_sn,200000*0.002*(1-$C813*(7*J$9-3*sn_h)/(4*sn_h))))-fcd_sn*(1-MIN(1,MAX(0,$C813*(7*J$9-3*sn_h)/(4*sn_h)))^2)</f>
        <v/>
      </c>
      <c r="K813">
        <f>MAX(-fyd_sn,MIN(fyd_sn,200000*0.002*(1-$C813*(7*K$9-3*sn_h)/(4*sn_h))))-fcd_sn*(1-MIN(1,MAX(0,$C813*(7*K$9-3*sn_h)/(4*sn_h)))^2)</f>
        <v/>
      </c>
    </row>
    <row r="814">
      <c r="B814" s="55" t="n">
        <v>71</v>
      </c>
      <c r="C814" s="58">
        <f>1-71/200</f>
        <v/>
      </c>
      <c r="D814" s="59">
        <f>IF($C814&gt;=1,sn_h,3/7*sn_h+4/7*sn_h/MAX($C814,1E-12))</f>
        <v/>
      </c>
      <c r="E814" s="57">
        <f>(fcd_sn*sn_b*sn_h*(3/7+4/7*(1-$C814^2/3))+SUMPRODUCT($J$8:$K$8,$J814:$K814))/1000</f>
        <v/>
      </c>
      <c r="F814" s="57">
        <f>-((fcd_sn*sn_b*(3/14*sn_h*(sn_h-3/7*sn_h)+4/7*sn_h*(sn_h/2-3/7*sn_h)*(1-$C814^2/3)-16/49*sn_h^2*(1/2-$C814^2/4))+SUMPRODUCT($J$8:$K$8,$J814:$K814,$J$10:$K$10))/1E6)</f>
        <v/>
      </c>
      <c r="J814">
        <f>MAX(-fyd_sn,MIN(fyd_sn,200000*0.002*(1-$C814*(7*J$9-3*sn_h)/(4*sn_h))))-fcd_sn*(1-MIN(1,MAX(0,$C814*(7*J$9-3*sn_h)/(4*sn_h)))^2)</f>
        <v/>
      </c>
      <c r="K814">
        <f>MAX(-fyd_sn,MIN(fyd_sn,200000*0.002*(1-$C814*(7*K$9-3*sn_h)/(4*sn_h))))-fcd_sn*(1-MIN(1,MAX(0,$C814*(7*K$9-3*sn_h)/(4*sn_h)))^2)</f>
        <v/>
      </c>
    </row>
    <row r="815">
      <c r="B815" s="55" t="n">
        <v>72</v>
      </c>
      <c r="C815" s="58">
        <f>1-72/200</f>
        <v/>
      </c>
      <c r="D815" s="59">
        <f>IF($C815&gt;=1,sn_h,3/7*sn_h+4/7*sn_h/MAX($C815,1E-12))</f>
        <v/>
      </c>
      <c r="E815" s="57">
        <f>(fcd_sn*sn_b*sn_h*(3/7+4/7*(1-$C815^2/3))+SUMPRODUCT($J$8:$K$8,$J815:$K815))/1000</f>
        <v/>
      </c>
      <c r="F815" s="57">
        <f>-((fcd_sn*sn_b*(3/14*sn_h*(sn_h-3/7*sn_h)+4/7*sn_h*(sn_h/2-3/7*sn_h)*(1-$C815^2/3)-16/49*sn_h^2*(1/2-$C815^2/4))+SUMPRODUCT($J$8:$K$8,$J815:$K815,$J$10:$K$10))/1E6)</f>
        <v/>
      </c>
      <c r="J815">
        <f>MAX(-fyd_sn,MIN(fyd_sn,200000*0.002*(1-$C815*(7*J$9-3*sn_h)/(4*sn_h))))-fcd_sn*(1-MIN(1,MAX(0,$C815*(7*J$9-3*sn_h)/(4*sn_h)))^2)</f>
        <v/>
      </c>
      <c r="K815">
        <f>MAX(-fyd_sn,MIN(fyd_sn,200000*0.002*(1-$C815*(7*K$9-3*sn_h)/(4*sn_h))))-fcd_sn*(1-MIN(1,MAX(0,$C815*(7*K$9-3*sn_h)/(4*sn_h)))^2)</f>
        <v/>
      </c>
    </row>
    <row r="816">
      <c r="B816" s="55" t="n">
        <v>73</v>
      </c>
      <c r="C816" s="58">
        <f>1-73/200</f>
        <v/>
      </c>
      <c r="D816" s="59">
        <f>IF($C816&gt;=1,sn_h,3/7*sn_h+4/7*sn_h/MAX($C816,1E-12))</f>
        <v/>
      </c>
      <c r="E816" s="57">
        <f>(fcd_sn*sn_b*sn_h*(3/7+4/7*(1-$C816^2/3))+SUMPRODUCT($J$8:$K$8,$J816:$K816))/1000</f>
        <v/>
      </c>
      <c r="F816" s="57">
        <f>-((fcd_sn*sn_b*(3/14*sn_h*(sn_h-3/7*sn_h)+4/7*sn_h*(sn_h/2-3/7*sn_h)*(1-$C816^2/3)-16/49*sn_h^2*(1/2-$C816^2/4))+SUMPRODUCT($J$8:$K$8,$J816:$K816,$J$10:$K$10))/1E6)</f>
        <v/>
      </c>
      <c r="J816">
        <f>MAX(-fyd_sn,MIN(fyd_sn,200000*0.002*(1-$C816*(7*J$9-3*sn_h)/(4*sn_h))))-fcd_sn*(1-MIN(1,MAX(0,$C816*(7*J$9-3*sn_h)/(4*sn_h)))^2)</f>
        <v/>
      </c>
      <c r="K816">
        <f>MAX(-fyd_sn,MIN(fyd_sn,200000*0.002*(1-$C816*(7*K$9-3*sn_h)/(4*sn_h))))-fcd_sn*(1-MIN(1,MAX(0,$C816*(7*K$9-3*sn_h)/(4*sn_h)))^2)</f>
        <v/>
      </c>
    </row>
    <row r="817">
      <c r="B817" s="55" t="n">
        <v>74</v>
      </c>
      <c r="C817" s="58">
        <f>1-74/200</f>
        <v/>
      </c>
      <c r="D817" s="59">
        <f>IF($C817&gt;=1,sn_h,3/7*sn_h+4/7*sn_h/MAX($C817,1E-12))</f>
        <v/>
      </c>
      <c r="E817" s="57">
        <f>(fcd_sn*sn_b*sn_h*(3/7+4/7*(1-$C817^2/3))+SUMPRODUCT($J$8:$K$8,$J817:$K817))/1000</f>
        <v/>
      </c>
      <c r="F817" s="57">
        <f>-((fcd_sn*sn_b*(3/14*sn_h*(sn_h-3/7*sn_h)+4/7*sn_h*(sn_h/2-3/7*sn_h)*(1-$C817^2/3)-16/49*sn_h^2*(1/2-$C817^2/4))+SUMPRODUCT($J$8:$K$8,$J817:$K817,$J$10:$K$10))/1E6)</f>
        <v/>
      </c>
      <c r="J817">
        <f>MAX(-fyd_sn,MIN(fyd_sn,200000*0.002*(1-$C817*(7*J$9-3*sn_h)/(4*sn_h))))-fcd_sn*(1-MIN(1,MAX(0,$C817*(7*J$9-3*sn_h)/(4*sn_h)))^2)</f>
        <v/>
      </c>
      <c r="K817">
        <f>MAX(-fyd_sn,MIN(fyd_sn,200000*0.002*(1-$C817*(7*K$9-3*sn_h)/(4*sn_h))))-fcd_sn*(1-MIN(1,MAX(0,$C817*(7*K$9-3*sn_h)/(4*sn_h)))^2)</f>
        <v/>
      </c>
    </row>
    <row r="818">
      <c r="B818" s="55" t="n">
        <v>75</v>
      </c>
      <c r="C818" s="58">
        <f>1-75/200</f>
        <v/>
      </c>
      <c r="D818" s="59">
        <f>IF($C818&gt;=1,sn_h,3/7*sn_h+4/7*sn_h/MAX($C818,1E-12))</f>
        <v/>
      </c>
      <c r="E818" s="57">
        <f>(fcd_sn*sn_b*sn_h*(3/7+4/7*(1-$C818^2/3))+SUMPRODUCT($J$8:$K$8,$J818:$K818))/1000</f>
        <v/>
      </c>
      <c r="F818" s="57">
        <f>-((fcd_sn*sn_b*(3/14*sn_h*(sn_h-3/7*sn_h)+4/7*sn_h*(sn_h/2-3/7*sn_h)*(1-$C818^2/3)-16/49*sn_h^2*(1/2-$C818^2/4))+SUMPRODUCT($J$8:$K$8,$J818:$K818,$J$10:$K$10))/1E6)</f>
        <v/>
      </c>
      <c r="J818">
        <f>MAX(-fyd_sn,MIN(fyd_sn,200000*0.002*(1-$C818*(7*J$9-3*sn_h)/(4*sn_h))))-fcd_sn*(1-MIN(1,MAX(0,$C818*(7*J$9-3*sn_h)/(4*sn_h)))^2)</f>
        <v/>
      </c>
      <c r="K818">
        <f>MAX(-fyd_sn,MIN(fyd_sn,200000*0.002*(1-$C818*(7*K$9-3*sn_h)/(4*sn_h))))-fcd_sn*(1-MIN(1,MAX(0,$C818*(7*K$9-3*sn_h)/(4*sn_h)))^2)</f>
        <v/>
      </c>
    </row>
    <row r="819">
      <c r="B819" s="55" t="n">
        <v>76</v>
      </c>
      <c r="C819" s="58">
        <f>1-76/200</f>
        <v/>
      </c>
      <c r="D819" s="59">
        <f>IF($C819&gt;=1,sn_h,3/7*sn_h+4/7*sn_h/MAX($C819,1E-12))</f>
        <v/>
      </c>
      <c r="E819" s="57">
        <f>(fcd_sn*sn_b*sn_h*(3/7+4/7*(1-$C819^2/3))+SUMPRODUCT($J$8:$K$8,$J819:$K819))/1000</f>
        <v/>
      </c>
      <c r="F819" s="57">
        <f>-((fcd_sn*sn_b*(3/14*sn_h*(sn_h-3/7*sn_h)+4/7*sn_h*(sn_h/2-3/7*sn_h)*(1-$C819^2/3)-16/49*sn_h^2*(1/2-$C819^2/4))+SUMPRODUCT($J$8:$K$8,$J819:$K819,$J$10:$K$10))/1E6)</f>
        <v/>
      </c>
      <c r="J819">
        <f>MAX(-fyd_sn,MIN(fyd_sn,200000*0.002*(1-$C819*(7*J$9-3*sn_h)/(4*sn_h))))-fcd_sn*(1-MIN(1,MAX(0,$C819*(7*J$9-3*sn_h)/(4*sn_h)))^2)</f>
        <v/>
      </c>
      <c r="K819">
        <f>MAX(-fyd_sn,MIN(fyd_sn,200000*0.002*(1-$C819*(7*K$9-3*sn_h)/(4*sn_h))))-fcd_sn*(1-MIN(1,MAX(0,$C819*(7*K$9-3*sn_h)/(4*sn_h)))^2)</f>
        <v/>
      </c>
    </row>
    <row r="820">
      <c r="B820" s="55" t="n">
        <v>77</v>
      </c>
      <c r="C820" s="58">
        <f>1-77/200</f>
        <v/>
      </c>
      <c r="D820" s="59">
        <f>IF($C820&gt;=1,sn_h,3/7*sn_h+4/7*sn_h/MAX($C820,1E-12))</f>
        <v/>
      </c>
      <c r="E820" s="57">
        <f>(fcd_sn*sn_b*sn_h*(3/7+4/7*(1-$C820^2/3))+SUMPRODUCT($J$8:$K$8,$J820:$K820))/1000</f>
        <v/>
      </c>
      <c r="F820" s="57">
        <f>-((fcd_sn*sn_b*(3/14*sn_h*(sn_h-3/7*sn_h)+4/7*sn_h*(sn_h/2-3/7*sn_h)*(1-$C820^2/3)-16/49*sn_h^2*(1/2-$C820^2/4))+SUMPRODUCT($J$8:$K$8,$J820:$K820,$J$10:$K$10))/1E6)</f>
        <v/>
      </c>
      <c r="J820">
        <f>MAX(-fyd_sn,MIN(fyd_sn,200000*0.002*(1-$C820*(7*J$9-3*sn_h)/(4*sn_h))))-fcd_sn*(1-MIN(1,MAX(0,$C820*(7*J$9-3*sn_h)/(4*sn_h)))^2)</f>
        <v/>
      </c>
      <c r="K820">
        <f>MAX(-fyd_sn,MIN(fyd_sn,200000*0.002*(1-$C820*(7*K$9-3*sn_h)/(4*sn_h))))-fcd_sn*(1-MIN(1,MAX(0,$C820*(7*K$9-3*sn_h)/(4*sn_h)))^2)</f>
        <v/>
      </c>
    </row>
    <row r="821">
      <c r="B821" s="55" t="n">
        <v>78</v>
      </c>
      <c r="C821" s="58">
        <f>1-78/200</f>
        <v/>
      </c>
      <c r="D821" s="59">
        <f>IF($C821&gt;=1,sn_h,3/7*sn_h+4/7*sn_h/MAX($C821,1E-12))</f>
        <v/>
      </c>
      <c r="E821" s="57">
        <f>(fcd_sn*sn_b*sn_h*(3/7+4/7*(1-$C821^2/3))+SUMPRODUCT($J$8:$K$8,$J821:$K821))/1000</f>
        <v/>
      </c>
      <c r="F821" s="57">
        <f>-((fcd_sn*sn_b*(3/14*sn_h*(sn_h-3/7*sn_h)+4/7*sn_h*(sn_h/2-3/7*sn_h)*(1-$C821^2/3)-16/49*sn_h^2*(1/2-$C821^2/4))+SUMPRODUCT($J$8:$K$8,$J821:$K821,$J$10:$K$10))/1E6)</f>
        <v/>
      </c>
      <c r="J821">
        <f>MAX(-fyd_sn,MIN(fyd_sn,200000*0.002*(1-$C821*(7*J$9-3*sn_h)/(4*sn_h))))-fcd_sn*(1-MIN(1,MAX(0,$C821*(7*J$9-3*sn_h)/(4*sn_h)))^2)</f>
        <v/>
      </c>
      <c r="K821">
        <f>MAX(-fyd_sn,MIN(fyd_sn,200000*0.002*(1-$C821*(7*K$9-3*sn_h)/(4*sn_h))))-fcd_sn*(1-MIN(1,MAX(0,$C821*(7*K$9-3*sn_h)/(4*sn_h)))^2)</f>
        <v/>
      </c>
    </row>
    <row r="822">
      <c r="B822" s="55" t="n">
        <v>79</v>
      </c>
      <c r="C822" s="58">
        <f>1-79/200</f>
        <v/>
      </c>
      <c r="D822" s="59">
        <f>IF($C822&gt;=1,sn_h,3/7*sn_h+4/7*sn_h/MAX($C822,1E-12))</f>
        <v/>
      </c>
      <c r="E822" s="57">
        <f>(fcd_sn*sn_b*sn_h*(3/7+4/7*(1-$C822^2/3))+SUMPRODUCT($J$8:$K$8,$J822:$K822))/1000</f>
        <v/>
      </c>
      <c r="F822" s="57">
        <f>-((fcd_sn*sn_b*(3/14*sn_h*(sn_h-3/7*sn_h)+4/7*sn_h*(sn_h/2-3/7*sn_h)*(1-$C822^2/3)-16/49*sn_h^2*(1/2-$C822^2/4))+SUMPRODUCT($J$8:$K$8,$J822:$K822,$J$10:$K$10))/1E6)</f>
        <v/>
      </c>
      <c r="J822">
        <f>MAX(-fyd_sn,MIN(fyd_sn,200000*0.002*(1-$C822*(7*J$9-3*sn_h)/(4*sn_h))))-fcd_sn*(1-MIN(1,MAX(0,$C822*(7*J$9-3*sn_h)/(4*sn_h)))^2)</f>
        <v/>
      </c>
      <c r="K822">
        <f>MAX(-fyd_sn,MIN(fyd_sn,200000*0.002*(1-$C822*(7*K$9-3*sn_h)/(4*sn_h))))-fcd_sn*(1-MIN(1,MAX(0,$C822*(7*K$9-3*sn_h)/(4*sn_h)))^2)</f>
        <v/>
      </c>
    </row>
    <row r="823">
      <c r="B823" s="55" t="n">
        <v>80</v>
      </c>
      <c r="C823" s="58">
        <f>1-80/200</f>
        <v/>
      </c>
      <c r="D823" s="59">
        <f>IF($C823&gt;=1,sn_h,3/7*sn_h+4/7*sn_h/MAX($C823,1E-12))</f>
        <v/>
      </c>
      <c r="E823" s="57">
        <f>(fcd_sn*sn_b*sn_h*(3/7+4/7*(1-$C823^2/3))+SUMPRODUCT($J$8:$K$8,$J823:$K823))/1000</f>
        <v/>
      </c>
      <c r="F823" s="57">
        <f>-((fcd_sn*sn_b*(3/14*sn_h*(sn_h-3/7*sn_h)+4/7*sn_h*(sn_h/2-3/7*sn_h)*(1-$C823^2/3)-16/49*sn_h^2*(1/2-$C823^2/4))+SUMPRODUCT($J$8:$K$8,$J823:$K823,$J$10:$K$10))/1E6)</f>
        <v/>
      </c>
      <c r="J823">
        <f>MAX(-fyd_sn,MIN(fyd_sn,200000*0.002*(1-$C823*(7*J$9-3*sn_h)/(4*sn_h))))-fcd_sn*(1-MIN(1,MAX(0,$C823*(7*J$9-3*sn_h)/(4*sn_h)))^2)</f>
        <v/>
      </c>
      <c r="K823">
        <f>MAX(-fyd_sn,MIN(fyd_sn,200000*0.002*(1-$C823*(7*K$9-3*sn_h)/(4*sn_h))))-fcd_sn*(1-MIN(1,MAX(0,$C823*(7*K$9-3*sn_h)/(4*sn_h)))^2)</f>
        <v/>
      </c>
    </row>
    <row r="824">
      <c r="B824" s="55" t="n">
        <v>81</v>
      </c>
      <c r="C824" s="58">
        <f>1-81/200</f>
        <v/>
      </c>
      <c r="D824" s="59">
        <f>IF($C824&gt;=1,sn_h,3/7*sn_h+4/7*sn_h/MAX($C824,1E-12))</f>
        <v/>
      </c>
      <c r="E824" s="57">
        <f>(fcd_sn*sn_b*sn_h*(3/7+4/7*(1-$C824^2/3))+SUMPRODUCT($J$8:$K$8,$J824:$K824))/1000</f>
        <v/>
      </c>
      <c r="F824" s="57">
        <f>-((fcd_sn*sn_b*(3/14*sn_h*(sn_h-3/7*sn_h)+4/7*sn_h*(sn_h/2-3/7*sn_h)*(1-$C824^2/3)-16/49*sn_h^2*(1/2-$C824^2/4))+SUMPRODUCT($J$8:$K$8,$J824:$K824,$J$10:$K$10))/1E6)</f>
        <v/>
      </c>
      <c r="J824">
        <f>MAX(-fyd_sn,MIN(fyd_sn,200000*0.002*(1-$C824*(7*J$9-3*sn_h)/(4*sn_h))))-fcd_sn*(1-MIN(1,MAX(0,$C824*(7*J$9-3*sn_h)/(4*sn_h)))^2)</f>
        <v/>
      </c>
      <c r="K824">
        <f>MAX(-fyd_sn,MIN(fyd_sn,200000*0.002*(1-$C824*(7*K$9-3*sn_h)/(4*sn_h))))-fcd_sn*(1-MIN(1,MAX(0,$C824*(7*K$9-3*sn_h)/(4*sn_h)))^2)</f>
        <v/>
      </c>
    </row>
    <row r="825">
      <c r="B825" s="55" t="n">
        <v>82</v>
      </c>
      <c r="C825" s="58">
        <f>1-82/200</f>
        <v/>
      </c>
      <c r="D825" s="59">
        <f>IF($C825&gt;=1,sn_h,3/7*sn_h+4/7*sn_h/MAX($C825,1E-12))</f>
        <v/>
      </c>
      <c r="E825" s="57">
        <f>(fcd_sn*sn_b*sn_h*(3/7+4/7*(1-$C825^2/3))+SUMPRODUCT($J$8:$K$8,$J825:$K825))/1000</f>
        <v/>
      </c>
      <c r="F825" s="57">
        <f>-((fcd_sn*sn_b*(3/14*sn_h*(sn_h-3/7*sn_h)+4/7*sn_h*(sn_h/2-3/7*sn_h)*(1-$C825^2/3)-16/49*sn_h^2*(1/2-$C825^2/4))+SUMPRODUCT($J$8:$K$8,$J825:$K825,$J$10:$K$10))/1E6)</f>
        <v/>
      </c>
      <c r="J825">
        <f>MAX(-fyd_sn,MIN(fyd_sn,200000*0.002*(1-$C825*(7*J$9-3*sn_h)/(4*sn_h))))-fcd_sn*(1-MIN(1,MAX(0,$C825*(7*J$9-3*sn_h)/(4*sn_h)))^2)</f>
        <v/>
      </c>
      <c r="K825">
        <f>MAX(-fyd_sn,MIN(fyd_sn,200000*0.002*(1-$C825*(7*K$9-3*sn_h)/(4*sn_h))))-fcd_sn*(1-MIN(1,MAX(0,$C825*(7*K$9-3*sn_h)/(4*sn_h)))^2)</f>
        <v/>
      </c>
    </row>
    <row r="826">
      <c r="B826" s="55" t="n">
        <v>83</v>
      </c>
      <c r="C826" s="58">
        <f>1-83/200</f>
        <v/>
      </c>
      <c r="D826" s="59">
        <f>IF($C826&gt;=1,sn_h,3/7*sn_h+4/7*sn_h/MAX($C826,1E-12))</f>
        <v/>
      </c>
      <c r="E826" s="57">
        <f>(fcd_sn*sn_b*sn_h*(3/7+4/7*(1-$C826^2/3))+SUMPRODUCT($J$8:$K$8,$J826:$K826))/1000</f>
        <v/>
      </c>
      <c r="F826" s="57">
        <f>-((fcd_sn*sn_b*(3/14*sn_h*(sn_h-3/7*sn_h)+4/7*sn_h*(sn_h/2-3/7*sn_h)*(1-$C826^2/3)-16/49*sn_h^2*(1/2-$C826^2/4))+SUMPRODUCT($J$8:$K$8,$J826:$K826,$J$10:$K$10))/1E6)</f>
        <v/>
      </c>
      <c r="J826">
        <f>MAX(-fyd_sn,MIN(fyd_sn,200000*0.002*(1-$C826*(7*J$9-3*sn_h)/(4*sn_h))))-fcd_sn*(1-MIN(1,MAX(0,$C826*(7*J$9-3*sn_h)/(4*sn_h)))^2)</f>
        <v/>
      </c>
      <c r="K826">
        <f>MAX(-fyd_sn,MIN(fyd_sn,200000*0.002*(1-$C826*(7*K$9-3*sn_h)/(4*sn_h))))-fcd_sn*(1-MIN(1,MAX(0,$C826*(7*K$9-3*sn_h)/(4*sn_h)))^2)</f>
        <v/>
      </c>
    </row>
    <row r="827">
      <c r="B827" s="55" t="n">
        <v>84</v>
      </c>
      <c r="C827" s="58">
        <f>1-84/200</f>
        <v/>
      </c>
      <c r="D827" s="59">
        <f>IF($C827&gt;=1,sn_h,3/7*sn_h+4/7*sn_h/MAX($C827,1E-12))</f>
        <v/>
      </c>
      <c r="E827" s="57">
        <f>(fcd_sn*sn_b*sn_h*(3/7+4/7*(1-$C827^2/3))+SUMPRODUCT($J$8:$K$8,$J827:$K827))/1000</f>
        <v/>
      </c>
      <c r="F827" s="57">
        <f>-((fcd_sn*sn_b*(3/14*sn_h*(sn_h-3/7*sn_h)+4/7*sn_h*(sn_h/2-3/7*sn_h)*(1-$C827^2/3)-16/49*sn_h^2*(1/2-$C827^2/4))+SUMPRODUCT($J$8:$K$8,$J827:$K827,$J$10:$K$10))/1E6)</f>
        <v/>
      </c>
      <c r="J827">
        <f>MAX(-fyd_sn,MIN(fyd_sn,200000*0.002*(1-$C827*(7*J$9-3*sn_h)/(4*sn_h))))-fcd_sn*(1-MIN(1,MAX(0,$C827*(7*J$9-3*sn_h)/(4*sn_h)))^2)</f>
        <v/>
      </c>
      <c r="K827">
        <f>MAX(-fyd_sn,MIN(fyd_sn,200000*0.002*(1-$C827*(7*K$9-3*sn_h)/(4*sn_h))))-fcd_sn*(1-MIN(1,MAX(0,$C827*(7*K$9-3*sn_h)/(4*sn_h)))^2)</f>
        <v/>
      </c>
    </row>
    <row r="828">
      <c r="B828" s="55" t="n">
        <v>85</v>
      </c>
      <c r="C828" s="58">
        <f>1-85/200</f>
        <v/>
      </c>
      <c r="D828" s="59">
        <f>IF($C828&gt;=1,sn_h,3/7*sn_h+4/7*sn_h/MAX($C828,1E-12))</f>
        <v/>
      </c>
      <c r="E828" s="57">
        <f>(fcd_sn*sn_b*sn_h*(3/7+4/7*(1-$C828^2/3))+SUMPRODUCT($J$8:$K$8,$J828:$K828))/1000</f>
        <v/>
      </c>
      <c r="F828" s="57">
        <f>-((fcd_sn*sn_b*(3/14*sn_h*(sn_h-3/7*sn_h)+4/7*sn_h*(sn_h/2-3/7*sn_h)*(1-$C828^2/3)-16/49*sn_h^2*(1/2-$C828^2/4))+SUMPRODUCT($J$8:$K$8,$J828:$K828,$J$10:$K$10))/1E6)</f>
        <v/>
      </c>
      <c r="J828">
        <f>MAX(-fyd_sn,MIN(fyd_sn,200000*0.002*(1-$C828*(7*J$9-3*sn_h)/(4*sn_h))))-fcd_sn*(1-MIN(1,MAX(0,$C828*(7*J$9-3*sn_h)/(4*sn_h)))^2)</f>
        <v/>
      </c>
      <c r="K828">
        <f>MAX(-fyd_sn,MIN(fyd_sn,200000*0.002*(1-$C828*(7*K$9-3*sn_h)/(4*sn_h))))-fcd_sn*(1-MIN(1,MAX(0,$C828*(7*K$9-3*sn_h)/(4*sn_h)))^2)</f>
        <v/>
      </c>
    </row>
    <row r="829">
      <c r="B829" s="55" t="n">
        <v>86</v>
      </c>
      <c r="C829" s="58">
        <f>1-86/200</f>
        <v/>
      </c>
      <c r="D829" s="59">
        <f>IF($C829&gt;=1,sn_h,3/7*sn_h+4/7*sn_h/MAX($C829,1E-12))</f>
        <v/>
      </c>
      <c r="E829" s="57">
        <f>(fcd_sn*sn_b*sn_h*(3/7+4/7*(1-$C829^2/3))+SUMPRODUCT($J$8:$K$8,$J829:$K829))/1000</f>
        <v/>
      </c>
      <c r="F829" s="57">
        <f>-((fcd_sn*sn_b*(3/14*sn_h*(sn_h-3/7*sn_h)+4/7*sn_h*(sn_h/2-3/7*sn_h)*(1-$C829^2/3)-16/49*sn_h^2*(1/2-$C829^2/4))+SUMPRODUCT($J$8:$K$8,$J829:$K829,$J$10:$K$10))/1E6)</f>
        <v/>
      </c>
      <c r="J829">
        <f>MAX(-fyd_sn,MIN(fyd_sn,200000*0.002*(1-$C829*(7*J$9-3*sn_h)/(4*sn_h))))-fcd_sn*(1-MIN(1,MAX(0,$C829*(7*J$9-3*sn_h)/(4*sn_h)))^2)</f>
        <v/>
      </c>
      <c r="K829">
        <f>MAX(-fyd_sn,MIN(fyd_sn,200000*0.002*(1-$C829*(7*K$9-3*sn_h)/(4*sn_h))))-fcd_sn*(1-MIN(1,MAX(0,$C829*(7*K$9-3*sn_h)/(4*sn_h)))^2)</f>
        <v/>
      </c>
    </row>
    <row r="830">
      <c r="B830" s="55" t="n">
        <v>87</v>
      </c>
      <c r="C830" s="58">
        <f>1-87/200</f>
        <v/>
      </c>
      <c r="D830" s="59">
        <f>IF($C830&gt;=1,sn_h,3/7*sn_h+4/7*sn_h/MAX($C830,1E-12))</f>
        <v/>
      </c>
      <c r="E830" s="57">
        <f>(fcd_sn*sn_b*sn_h*(3/7+4/7*(1-$C830^2/3))+SUMPRODUCT($J$8:$K$8,$J830:$K830))/1000</f>
        <v/>
      </c>
      <c r="F830" s="57">
        <f>-((fcd_sn*sn_b*(3/14*sn_h*(sn_h-3/7*sn_h)+4/7*sn_h*(sn_h/2-3/7*sn_h)*(1-$C830^2/3)-16/49*sn_h^2*(1/2-$C830^2/4))+SUMPRODUCT($J$8:$K$8,$J830:$K830,$J$10:$K$10))/1E6)</f>
        <v/>
      </c>
      <c r="J830">
        <f>MAX(-fyd_sn,MIN(fyd_sn,200000*0.002*(1-$C830*(7*J$9-3*sn_h)/(4*sn_h))))-fcd_sn*(1-MIN(1,MAX(0,$C830*(7*J$9-3*sn_h)/(4*sn_h)))^2)</f>
        <v/>
      </c>
      <c r="K830">
        <f>MAX(-fyd_sn,MIN(fyd_sn,200000*0.002*(1-$C830*(7*K$9-3*sn_h)/(4*sn_h))))-fcd_sn*(1-MIN(1,MAX(0,$C830*(7*K$9-3*sn_h)/(4*sn_h)))^2)</f>
        <v/>
      </c>
    </row>
    <row r="831">
      <c r="B831" s="55" t="n">
        <v>88</v>
      </c>
      <c r="C831" s="58">
        <f>1-88/200</f>
        <v/>
      </c>
      <c r="D831" s="59">
        <f>IF($C831&gt;=1,sn_h,3/7*sn_h+4/7*sn_h/MAX($C831,1E-12))</f>
        <v/>
      </c>
      <c r="E831" s="57">
        <f>(fcd_sn*sn_b*sn_h*(3/7+4/7*(1-$C831^2/3))+SUMPRODUCT($J$8:$K$8,$J831:$K831))/1000</f>
        <v/>
      </c>
      <c r="F831" s="57">
        <f>-((fcd_sn*sn_b*(3/14*sn_h*(sn_h-3/7*sn_h)+4/7*sn_h*(sn_h/2-3/7*sn_h)*(1-$C831^2/3)-16/49*sn_h^2*(1/2-$C831^2/4))+SUMPRODUCT($J$8:$K$8,$J831:$K831,$J$10:$K$10))/1E6)</f>
        <v/>
      </c>
      <c r="J831">
        <f>MAX(-fyd_sn,MIN(fyd_sn,200000*0.002*(1-$C831*(7*J$9-3*sn_h)/(4*sn_h))))-fcd_sn*(1-MIN(1,MAX(0,$C831*(7*J$9-3*sn_h)/(4*sn_h)))^2)</f>
        <v/>
      </c>
      <c r="K831">
        <f>MAX(-fyd_sn,MIN(fyd_sn,200000*0.002*(1-$C831*(7*K$9-3*sn_h)/(4*sn_h))))-fcd_sn*(1-MIN(1,MAX(0,$C831*(7*K$9-3*sn_h)/(4*sn_h)))^2)</f>
        <v/>
      </c>
    </row>
    <row r="832">
      <c r="B832" s="55" t="n">
        <v>89</v>
      </c>
      <c r="C832" s="58">
        <f>1-89/200</f>
        <v/>
      </c>
      <c r="D832" s="59">
        <f>IF($C832&gt;=1,sn_h,3/7*sn_h+4/7*sn_h/MAX($C832,1E-12))</f>
        <v/>
      </c>
      <c r="E832" s="57">
        <f>(fcd_sn*sn_b*sn_h*(3/7+4/7*(1-$C832^2/3))+SUMPRODUCT($J$8:$K$8,$J832:$K832))/1000</f>
        <v/>
      </c>
      <c r="F832" s="57">
        <f>-((fcd_sn*sn_b*(3/14*sn_h*(sn_h-3/7*sn_h)+4/7*sn_h*(sn_h/2-3/7*sn_h)*(1-$C832^2/3)-16/49*sn_h^2*(1/2-$C832^2/4))+SUMPRODUCT($J$8:$K$8,$J832:$K832,$J$10:$K$10))/1E6)</f>
        <v/>
      </c>
      <c r="J832">
        <f>MAX(-fyd_sn,MIN(fyd_sn,200000*0.002*(1-$C832*(7*J$9-3*sn_h)/(4*sn_h))))-fcd_sn*(1-MIN(1,MAX(0,$C832*(7*J$9-3*sn_h)/(4*sn_h)))^2)</f>
        <v/>
      </c>
      <c r="K832">
        <f>MAX(-fyd_sn,MIN(fyd_sn,200000*0.002*(1-$C832*(7*K$9-3*sn_h)/(4*sn_h))))-fcd_sn*(1-MIN(1,MAX(0,$C832*(7*K$9-3*sn_h)/(4*sn_h)))^2)</f>
        <v/>
      </c>
    </row>
    <row r="833">
      <c r="B833" s="55" t="n">
        <v>90</v>
      </c>
      <c r="C833" s="58">
        <f>1-90/200</f>
        <v/>
      </c>
      <c r="D833" s="59">
        <f>IF($C833&gt;=1,sn_h,3/7*sn_h+4/7*sn_h/MAX($C833,1E-12))</f>
        <v/>
      </c>
      <c r="E833" s="57">
        <f>(fcd_sn*sn_b*sn_h*(3/7+4/7*(1-$C833^2/3))+SUMPRODUCT($J$8:$K$8,$J833:$K833))/1000</f>
        <v/>
      </c>
      <c r="F833" s="57">
        <f>-((fcd_sn*sn_b*(3/14*sn_h*(sn_h-3/7*sn_h)+4/7*sn_h*(sn_h/2-3/7*sn_h)*(1-$C833^2/3)-16/49*sn_h^2*(1/2-$C833^2/4))+SUMPRODUCT($J$8:$K$8,$J833:$K833,$J$10:$K$10))/1E6)</f>
        <v/>
      </c>
      <c r="J833">
        <f>MAX(-fyd_sn,MIN(fyd_sn,200000*0.002*(1-$C833*(7*J$9-3*sn_h)/(4*sn_h))))-fcd_sn*(1-MIN(1,MAX(0,$C833*(7*J$9-3*sn_h)/(4*sn_h)))^2)</f>
        <v/>
      </c>
      <c r="K833">
        <f>MAX(-fyd_sn,MIN(fyd_sn,200000*0.002*(1-$C833*(7*K$9-3*sn_h)/(4*sn_h))))-fcd_sn*(1-MIN(1,MAX(0,$C833*(7*K$9-3*sn_h)/(4*sn_h)))^2)</f>
        <v/>
      </c>
    </row>
    <row r="834">
      <c r="B834" s="55" t="n">
        <v>91</v>
      </c>
      <c r="C834" s="58">
        <f>1-91/200</f>
        <v/>
      </c>
      <c r="D834" s="59">
        <f>IF($C834&gt;=1,sn_h,3/7*sn_h+4/7*sn_h/MAX($C834,1E-12))</f>
        <v/>
      </c>
      <c r="E834" s="57">
        <f>(fcd_sn*sn_b*sn_h*(3/7+4/7*(1-$C834^2/3))+SUMPRODUCT($J$8:$K$8,$J834:$K834))/1000</f>
        <v/>
      </c>
      <c r="F834" s="57">
        <f>-((fcd_sn*sn_b*(3/14*sn_h*(sn_h-3/7*sn_h)+4/7*sn_h*(sn_h/2-3/7*sn_h)*(1-$C834^2/3)-16/49*sn_h^2*(1/2-$C834^2/4))+SUMPRODUCT($J$8:$K$8,$J834:$K834,$J$10:$K$10))/1E6)</f>
        <v/>
      </c>
      <c r="J834">
        <f>MAX(-fyd_sn,MIN(fyd_sn,200000*0.002*(1-$C834*(7*J$9-3*sn_h)/(4*sn_h))))-fcd_sn*(1-MIN(1,MAX(0,$C834*(7*J$9-3*sn_h)/(4*sn_h)))^2)</f>
        <v/>
      </c>
      <c r="K834">
        <f>MAX(-fyd_sn,MIN(fyd_sn,200000*0.002*(1-$C834*(7*K$9-3*sn_h)/(4*sn_h))))-fcd_sn*(1-MIN(1,MAX(0,$C834*(7*K$9-3*sn_h)/(4*sn_h)))^2)</f>
        <v/>
      </c>
    </row>
    <row r="835">
      <c r="B835" s="55" t="n">
        <v>92</v>
      </c>
      <c r="C835" s="58">
        <f>1-92/200</f>
        <v/>
      </c>
      <c r="D835" s="59">
        <f>IF($C835&gt;=1,sn_h,3/7*sn_h+4/7*sn_h/MAX($C835,1E-12))</f>
        <v/>
      </c>
      <c r="E835" s="57">
        <f>(fcd_sn*sn_b*sn_h*(3/7+4/7*(1-$C835^2/3))+SUMPRODUCT($J$8:$K$8,$J835:$K835))/1000</f>
        <v/>
      </c>
      <c r="F835" s="57">
        <f>-((fcd_sn*sn_b*(3/14*sn_h*(sn_h-3/7*sn_h)+4/7*sn_h*(sn_h/2-3/7*sn_h)*(1-$C835^2/3)-16/49*sn_h^2*(1/2-$C835^2/4))+SUMPRODUCT($J$8:$K$8,$J835:$K835,$J$10:$K$10))/1E6)</f>
        <v/>
      </c>
      <c r="J835">
        <f>MAX(-fyd_sn,MIN(fyd_sn,200000*0.002*(1-$C835*(7*J$9-3*sn_h)/(4*sn_h))))-fcd_sn*(1-MIN(1,MAX(0,$C835*(7*J$9-3*sn_h)/(4*sn_h)))^2)</f>
        <v/>
      </c>
      <c r="K835">
        <f>MAX(-fyd_sn,MIN(fyd_sn,200000*0.002*(1-$C835*(7*K$9-3*sn_h)/(4*sn_h))))-fcd_sn*(1-MIN(1,MAX(0,$C835*(7*K$9-3*sn_h)/(4*sn_h)))^2)</f>
        <v/>
      </c>
    </row>
    <row r="836">
      <c r="B836" s="55" t="n">
        <v>93</v>
      </c>
      <c r="C836" s="58">
        <f>1-93/200</f>
        <v/>
      </c>
      <c r="D836" s="59">
        <f>IF($C836&gt;=1,sn_h,3/7*sn_h+4/7*sn_h/MAX($C836,1E-12))</f>
        <v/>
      </c>
      <c r="E836" s="57">
        <f>(fcd_sn*sn_b*sn_h*(3/7+4/7*(1-$C836^2/3))+SUMPRODUCT($J$8:$K$8,$J836:$K836))/1000</f>
        <v/>
      </c>
      <c r="F836" s="57">
        <f>-((fcd_sn*sn_b*(3/14*sn_h*(sn_h-3/7*sn_h)+4/7*sn_h*(sn_h/2-3/7*sn_h)*(1-$C836^2/3)-16/49*sn_h^2*(1/2-$C836^2/4))+SUMPRODUCT($J$8:$K$8,$J836:$K836,$J$10:$K$10))/1E6)</f>
        <v/>
      </c>
      <c r="J836">
        <f>MAX(-fyd_sn,MIN(fyd_sn,200000*0.002*(1-$C836*(7*J$9-3*sn_h)/(4*sn_h))))-fcd_sn*(1-MIN(1,MAX(0,$C836*(7*J$9-3*sn_h)/(4*sn_h)))^2)</f>
        <v/>
      </c>
      <c r="K836">
        <f>MAX(-fyd_sn,MIN(fyd_sn,200000*0.002*(1-$C836*(7*K$9-3*sn_h)/(4*sn_h))))-fcd_sn*(1-MIN(1,MAX(0,$C836*(7*K$9-3*sn_h)/(4*sn_h)))^2)</f>
        <v/>
      </c>
    </row>
    <row r="837">
      <c r="B837" s="55" t="n">
        <v>94</v>
      </c>
      <c r="C837" s="58">
        <f>1-94/200</f>
        <v/>
      </c>
      <c r="D837" s="59">
        <f>IF($C837&gt;=1,sn_h,3/7*sn_h+4/7*sn_h/MAX($C837,1E-12))</f>
        <v/>
      </c>
      <c r="E837" s="57">
        <f>(fcd_sn*sn_b*sn_h*(3/7+4/7*(1-$C837^2/3))+SUMPRODUCT($J$8:$K$8,$J837:$K837))/1000</f>
        <v/>
      </c>
      <c r="F837" s="57">
        <f>-((fcd_sn*sn_b*(3/14*sn_h*(sn_h-3/7*sn_h)+4/7*sn_h*(sn_h/2-3/7*sn_h)*(1-$C837^2/3)-16/49*sn_h^2*(1/2-$C837^2/4))+SUMPRODUCT($J$8:$K$8,$J837:$K837,$J$10:$K$10))/1E6)</f>
        <v/>
      </c>
      <c r="J837">
        <f>MAX(-fyd_sn,MIN(fyd_sn,200000*0.002*(1-$C837*(7*J$9-3*sn_h)/(4*sn_h))))-fcd_sn*(1-MIN(1,MAX(0,$C837*(7*J$9-3*sn_h)/(4*sn_h)))^2)</f>
        <v/>
      </c>
      <c r="K837">
        <f>MAX(-fyd_sn,MIN(fyd_sn,200000*0.002*(1-$C837*(7*K$9-3*sn_h)/(4*sn_h))))-fcd_sn*(1-MIN(1,MAX(0,$C837*(7*K$9-3*sn_h)/(4*sn_h)))^2)</f>
        <v/>
      </c>
    </row>
    <row r="838">
      <c r="B838" s="55" t="n">
        <v>95</v>
      </c>
      <c r="C838" s="58">
        <f>1-95/200</f>
        <v/>
      </c>
      <c r="D838" s="59">
        <f>IF($C838&gt;=1,sn_h,3/7*sn_h+4/7*sn_h/MAX($C838,1E-12))</f>
        <v/>
      </c>
      <c r="E838" s="57">
        <f>(fcd_sn*sn_b*sn_h*(3/7+4/7*(1-$C838^2/3))+SUMPRODUCT($J$8:$K$8,$J838:$K838))/1000</f>
        <v/>
      </c>
      <c r="F838" s="57">
        <f>-((fcd_sn*sn_b*(3/14*sn_h*(sn_h-3/7*sn_h)+4/7*sn_h*(sn_h/2-3/7*sn_h)*(1-$C838^2/3)-16/49*sn_h^2*(1/2-$C838^2/4))+SUMPRODUCT($J$8:$K$8,$J838:$K838,$J$10:$K$10))/1E6)</f>
        <v/>
      </c>
      <c r="J838">
        <f>MAX(-fyd_sn,MIN(fyd_sn,200000*0.002*(1-$C838*(7*J$9-3*sn_h)/(4*sn_h))))-fcd_sn*(1-MIN(1,MAX(0,$C838*(7*J$9-3*sn_h)/(4*sn_h)))^2)</f>
        <v/>
      </c>
      <c r="K838">
        <f>MAX(-fyd_sn,MIN(fyd_sn,200000*0.002*(1-$C838*(7*K$9-3*sn_h)/(4*sn_h))))-fcd_sn*(1-MIN(1,MAX(0,$C838*(7*K$9-3*sn_h)/(4*sn_h)))^2)</f>
        <v/>
      </c>
    </row>
    <row r="839">
      <c r="B839" s="55" t="n">
        <v>96</v>
      </c>
      <c r="C839" s="58">
        <f>1-96/200</f>
        <v/>
      </c>
      <c r="D839" s="59">
        <f>IF($C839&gt;=1,sn_h,3/7*sn_h+4/7*sn_h/MAX($C839,1E-12))</f>
        <v/>
      </c>
      <c r="E839" s="57">
        <f>(fcd_sn*sn_b*sn_h*(3/7+4/7*(1-$C839^2/3))+SUMPRODUCT($J$8:$K$8,$J839:$K839))/1000</f>
        <v/>
      </c>
      <c r="F839" s="57">
        <f>-((fcd_sn*sn_b*(3/14*sn_h*(sn_h-3/7*sn_h)+4/7*sn_h*(sn_h/2-3/7*sn_h)*(1-$C839^2/3)-16/49*sn_h^2*(1/2-$C839^2/4))+SUMPRODUCT($J$8:$K$8,$J839:$K839,$J$10:$K$10))/1E6)</f>
        <v/>
      </c>
      <c r="J839">
        <f>MAX(-fyd_sn,MIN(fyd_sn,200000*0.002*(1-$C839*(7*J$9-3*sn_h)/(4*sn_h))))-fcd_sn*(1-MIN(1,MAX(0,$C839*(7*J$9-3*sn_h)/(4*sn_h)))^2)</f>
        <v/>
      </c>
      <c r="K839">
        <f>MAX(-fyd_sn,MIN(fyd_sn,200000*0.002*(1-$C839*(7*K$9-3*sn_h)/(4*sn_h))))-fcd_sn*(1-MIN(1,MAX(0,$C839*(7*K$9-3*sn_h)/(4*sn_h)))^2)</f>
        <v/>
      </c>
    </row>
    <row r="840">
      <c r="B840" s="55" t="n">
        <v>97</v>
      </c>
      <c r="C840" s="58">
        <f>1-97/200</f>
        <v/>
      </c>
      <c r="D840" s="59">
        <f>IF($C840&gt;=1,sn_h,3/7*sn_h+4/7*sn_h/MAX($C840,1E-12))</f>
        <v/>
      </c>
      <c r="E840" s="57">
        <f>(fcd_sn*sn_b*sn_h*(3/7+4/7*(1-$C840^2/3))+SUMPRODUCT($J$8:$K$8,$J840:$K840))/1000</f>
        <v/>
      </c>
      <c r="F840" s="57">
        <f>-((fcd_sn*sn_b*(3/14*sn_h*(sn_h-3/7*sn_h)+4/7*sn_h*(sn_h/2-3/7*sn_h)*(1-$C840^2/3)-16/49*sn_h^2*(1/2-$C840^2/4))+SUMPRODUCT($J$8:$K$8,$J840:$K840,$J$10:$K$10))/1E6)</f>
        <v/>
      </c>
      <c r="J840">
        <f>MAX(-fyd_sn,MIN(fyd_sn,200000*0.002*(1-$C840*(7*J$9-3*sn_h)/(4*sn_h))))-fcd_sn*(1-MIN(1,MAX(0,$C840*(7*J$9-3*sn_h)/(4*sn_h)))^2)</f>
        <v/>
      </c>
      <c r="K840">
        <f>MAX(-fyd_sn,MIN(fyd_sn,200000*0.002*(1-$C840*(7*K$9-3*sn_h)/(4*sn_h))))-fcd_sn*(1-MIN(1,MAX(0,$C840*(7*K$9-3*sn_h)/(4*sn_h)))^2)</f>
        <v/>
      </c>
    </row>
    <row r="841">
      <c r="B841" s="55" t="n">
        <v>98</v>
      </c>
      <c r="C841" s="58">
        <f>1-98/200</f>
        <v/>
      </c>
      <c r="D841" s="59">
        <f>IF($C841&gt;=1,sn_h,3/7*sn_h+4/7*sn_h/MAX($C841,1E-12))</f>
        <v/>
      </c>
      <c r="E841" s="57">
        <f>(fcd_sn*sn_b*sn_h*(3/7+4/7*(1-$C841^2/3))+SUMPRODUCT($J$8:$K$8,$J841:$K841))/1000</f>
        <v/>
      </c>
      <c r="F841" s="57">
        <f>-((fcd_sn*sn_b*(3/14*sn_h*(sn_h-3/7*sn_h)+4/7*sn_h*(sn_h/2-3/7*sn_h)*(1-$C841^2/3)-16/49*sn_h^2*(1/2-$C841^2/4))+SUMPRODUCT($J$8:$K$8,$J841:$K841,$J$10:$K$10))/1E6)</f>
        <v/>
      </c>
      <c r="J841">
        <f>MAX(-fyd_sn,MIN(fyd_sn,200000*0.002*(1-$C841*(7*J$9-3*sn_h)/(4*sn_h))))-fcd_sn*(1-MIN(1,MAX(0,$C841*(7*J$9-3*sn_h)/(4*sn_h)))^2)</f>
        <v/>
      </c>
      <c r="K841">
        <f>MAX(-fyd_sn,MIN(fyd_sn,200000*0.002*(1-$C841*(7*K$9-3*sn_h)/(4*sn_h))))-fcd_sn*(1-MIN(1,MAX(0,$C841*(7*K$9-3*sn_h)/(4*sn_h)))^2)</f>
        <v/>
      </c>
    </row>
    <row r="842">
      <c r="B842" s="55" t="n">
        <v>99</v>
      </c>
      <c r="C842" s="58">
        <f>1-99/200</f>
        <v/>
      </c>
      <c r="D842" s="59">
        <f>IF($C842&gt;=1,sn_h,3/7*sn_h+4/7*sn_h/MAX($C842,1E-12))</f>
        <v/>
      </c>
      <c r="E842" s="57">
        <f>(fcd_sn*sn_b*sn_h*(3/7+4/7*(1-$C842^2/3))+SUMPRODUCT($J$8:$K$8,$J842:$K842))/1000</f>
        <v/>
      </c>
      <c r="F842" s="57">
        <f>-((fcd_sn*sn_b*(3/14*sn_h*(sn_h-3/7*sn_h)+4/7*sn_h*(sn_h/2-3/7*sn_h)*(1-$C842^2/3)-16/49*sn_h^2*(1/2-$C842^2/4))+SUMPRODUCT($J$8:$K$8,$J842:$K842,$J$10:$K$10))/1E6)</f>
        <v/>
      </c>
      <c r="J842">
        <f>MAX(-fyd_sn,MIN(fyd_sn,200000*0.002*(1-$C842*(7*J$9-3*sn_h)/(4*sn_h))))-fcd_sn*(1-MIN(1,MAX(0,$C842*(7*J$9-3*sn_h)/(4*sn_h)))^2)</f>
        <v/>
      </c>
      <c r="K842">
        <f>MAX(-fyd_sn,MIN(fyd_sn,200000*0.002*(1-$C842*(7*K$9-3*sn_h)/(4*sn_h))))-fcd_sn*(1-MIN(1,MAX(0,$C842*(7*K$9-3*sn_h)/(4*sn_h)))^2)</f>
        <v/>
      </c>
    </row>
    <row r="843">
      <c r="B843" s="55" t="n">
        <v>100</v>
      </c>
      <c r="C843" s="58">
        <f>1-100/200</f>
        <v/>
      </c>
      <c r="D843" s="59">
        <f>IF($C843&gt;=1,sn_h,3/7*sn_h+4/7*sn_h/MAX($C843,1E-12))</f>
        <v/>
      </c>
      <c r="E843" s="57">
        <f>(fcd_sn*sn_b*sn_h*(3/7+4/7*(1-$C843^2/3))+SUMPRODUCT($J$8:$K$8,$J843:$K843))/1000</f>
        <v/>
      </c>
      <c r="F843" s="57">
        <f>-((fcd_sn*sn_b*(3/14*sn_h*(sn_h-3/7*sn_h)+4/7*sn_h*(sn_h/2-3/7*sn_h)*(1-$C843^2/3)-16/49*sn_h^2*(1/2-$C843^2/4))+SUMPRODUCT($J$8:$K$8,$J843:$K843,$J$10:$K$10))/1E6)</f>
        <v/>
      </c>
      <c r="J843">
        <f>MAX(-fyd_sn,MIN(fyd_sn,200000*0.002*(1-$C843*(7*J$9-3*sn_h)/(4*sn_h))))-fcd_sn*(1-MIN(1,MAX(0,$C843*(7*J$9-3*sn_h)/(4*sn_h)))^2)</f>
        <v/>
      </c>
      <c r="K843">
        <f>MAX(-fyd_sn,MIN(fyd_sn,200000*0.002*(1-$C843*(7*K$9-3*sn_h)/(4*sn_h))))-fcd_sn*(1-MIN(1,MAX(0,$C843*(7*K$9-3*sn_h)/(4*sn_h)))^2)</f>
        <v/>
      </c>
    </row>
    <row r="844">
      <c r="B844" s="55" t="n">
        <v>101</v>
      </c>
      <c r="C844" s="58">
        <f>1-101/200</f>
        <v/>
      </c>
      <c r="D844" s="59">
        <f>IF($C844&gt;=1,sn_h,3/7*sn_h+4/7*sn_h/MAX($C844,1E-12))</f>
        <v/>
      </c>
      <c r="E844" s="57">
        <f>(fcd_sn*sn_b*sn_h*(3/7+4/7*(1-$C844^2/3))+SUMPRODUCT($J$8:$K$8,$J844:$K844))/1000</f>
        <v/>
      </c>
      <c r="F844" s="57">
        <f>-((fcd_sn*sn_b*(3/14*sn_h*(sn_h-3/7*sn_h)+4/7*sn_h*(sn_h/2-3/7*sn_h)*(1-$C844^2/3)-16/49*sn_h^2*(1/2-$C844^2/4))+SUMPRODUCT($J$8:$K$8,$J844:$K844,$J$10:$K$10))/1E6)</f>
        <v/>
      </c>
      <c r="J844">
        <f>MAX(-fyd_sn,MIN(fyd_sn,200000*0.002*(1-$C844*(7*J$9-3*sn_h)/(4*sn_h))))-fcd_sn*(1-MIN(1,MAX(0,$C844*(7*J$9-3*sn_h)/(4*sn_h)))^2)</f>
        <v/>
      </c>
      <c r="K844">
        <f>MAX(-fyd_sn,MIN(fyd_sn,200000*0.002*(1-$C844*(7*K$9-3*sn_h)/(4*sn_h))))-fcd_sn*(1-MIN(1,MAX(0,$C844*(7*K$9-3*sn_h)/(4*sn_h)))^2)</f>
        <v/>
      </c>
    </row>
    <row r="845">
      <c r="B845" s="55" t="n">
        <v>102</v>
      </c>
      <c r="C845" s="58">
        <f>1-102/200</f>
        <v/>
      </c>
      <c r="D845" s="59">
        <f>IF($C845&gt;=1,sn_h,3/7*sn_h+4/7*sn_h/MAX($C845,1E-12))</f>
        <v/>
      </c>
      <c r="E845" s="57">
        <f>(fcd_sn*sn_b*sn_h*(3/7+4/7*(1-$C845^2/3))+SUMPRODUCT($J$8:$K$8,$J845:$K845))/1000</f>
        <v/>
      </c>
      <c r="F845" s="57">
        <f>-((fcd_sn*sn_b*(3/14*sn_h*(sn_h-3/7*sn_h)+4/7*sn_h*(sn_h/2-3/7*sn_h)*(1-$C845^2/3)-16/49*sn_h^2*(1/2-$C845^2/4))+SUMPRODUCT($J$8:$K$8,$J845:$K845,$J$10:$K$10))/1E6)</f>
        <v/>
      </c>
      <c r="J845">
        <f>MAX(-fyd_sn,MIN(fyd_sn,200000*0.002*(1-$C845*(7*J$9-3*sn_h)/(4*sn_h))))-fcd_sn*(1-MIN(1,MAX(0,$C845*(7*J$9-3*sn_h)/(4*sn_h)))^2)</f>
        <v/>
      </c>
      <c r="K845">
        <f>MAX(-fyd_sn,MIN(fyd_sn,200000*0.002*(1-$C845*(7*K$9-3*sn_h)/(4*sn_h))))-fcd_sn*(1-MIN(1,MAX(0,$C845*(7*K$9-3*sn_h)/(4*sn_h)))^2)</f>
        <v/>
      </c>
    </row>
    <row r="846">
      <c r="B846" s="55" t="n">
        <v>103</v>
      </c>
      <c r="C846" s="58">
        <f>1-103/200</f>
        <v/>
      </c>
      <c r="D846" s="59">
        <f>IF($C846&gt;=1,sn_h,3/7*sn_h+4/7*sn_h/MAX($C846,1E-12))</f>
        <v/>
      </c>
      <c r="E846" s="57">
        <f>(fcd_sn*sn_b*sn_h*(3/7+4/7*(1-$C846^2/3))+SUMPRODUCT($J$8:$K$8,$J846:$K846))/1000</f>
        <v/>
      </c>
      <c r="F846" s="57">
        <f>-((fcd_sn*sn_b*(3/14*sn_h*(sn_h-3/7*sn_h)+4/7*sn_h*(sn_h/2-3/7*sn_h)*(1-$C846^2/3)-16/49*sn_h^2*(1/2-$C846^2/4))+SUMPRODUCT($J$8:$K$8,$J846:$K846,$J$10:$K$10))/1E6)</f>
        <v/>
      </c>
      <c r="J846">
        <f>MAX(-fyd_sn,MIN(fyd_sn,200000*0.002*(1-$C846*(7*J$9-3*sn_h)/(4*sn_h))))-fcd_sn*(1-MIN(1,MAX(0,$C846*(7*J$9-3*sn_h)/(4*sn_h)))^2)</f>
        <v/>
      </c>
      <c r="K846">
        <f>MAX(-fyd_sn,MIN(fyd_sn,200000*0.002*(1-$C846*(7*K$9-3*sn_h)/(4*sn_h))))-fcd_sn*(1-MIN(1,MAX(0,$C846*(7*K$9-3*sn_h)/(4*sn_h)))^2)</f>
        <v/>
      </c>
    </row>
    <row r="847">
      <c r="B847" s="55" t="n">
        <v>104</v>
      </c>
      <c r="C847" s="58">
        <f>1-104/200</f>
        <v/>
      </c>
      <c r="D847" s="59">
        <f>IF($C847&gt;=1,sn_h,3/7*sn_h+4/7*sn_h/MAX($C847,1E-12))</f>
        <v/>
      </c>
      <c r="E847" s="57">
        <f>(fcd_sn*sn_b*sn_h*(3/7+4/7*(1-$C847^2/3))+SUMPRODUCT($J$8:$K$8,$J847:$K847))/1000</f>
        <v/>
      </c>
      <c r="F847" s="57">
        <f>-((fcd_sn*sn_b*(3/14*sn_h*(sn_h-3/7*sn_h)+4/7*sn_h*(sn_h/2-3/7*sn_h)*(1-$C847^2/3)-16/49*sn_h^2*(1/2-$C847^2/4))+SUMPRODUCT($J$8:$K$8,$J847:$K847,$J$10:$K$10))/1E6)</f>
        <v/>
      </c>
      <c r="J847">
        <f>MAX(-fyd_sn,MIN(fyd_sn,200000*0.002*(1-$C847*(7*J$9-3*sn_h)/(4*sn_h))))-fcd_sn*(1-MIN(1,MAX(0,$C847*(7*J$9-3*sn_h)/(4*sn_h)))^2)</f>
        <v/>
      </c>
      <c r="K847">
        <f>MAX(-fyd_sn,MIN(fyd_sn,200000*0.002*(1-$C847*(7*K$9-3*sn_h)/(4*sn_h))))-fcd_sn*(1-MIN(1,MAX(0,$C847*(7*K$9-3*sn_h)/(4*sn_h)))^2)</f>
        <v/>
      </c>
    </row>
    <row r="848">
      <c r="B848" s="55" t="n">
        <v>105</v>
      </c>
      <c r="C848" s="58">
        <f>1-105/200</f>
        <v/>
      </c>
      <c r="D848" s="59">
        <f>IF($C848&gt;=1,sn_h,3/7*sn_h+4/7*sn_h/MAX($C848,1E-12))</f>
        <v/>
      </c>
      <c r="E848" s="57">
        <f>(fcd_sn*sn_b*sn_h*(3/7+4/7*(1-$C848^2/3))+SUMPRODUCT($J$8:$K$8,$J848:$K848))/1000</f>
        <v/>
      </c>
      <c r="F848" s="57">
        <f>-((fcd_sn*sn_b*(3/14*sn_h*(sn_h-3/7*sn_h)+4/7*sn_h*(sn_h/2-3/7*sn_h)*(1-$C848^2/3)-16/49*sn_h^2*(1/2-$C848^2/4))+SUMPRODUCT($J$8:$K$8,$J848:$K848,$J$10:$K$10))/1E6)</f>
        <v/>
      </c>
      <c r="J848">
        <f>MAX(-fyd_sn,MIN(fyd_sn,200000*0.002*(1-$C848*(7*J$9-3*sn_h)/(4*sn_h))))-fcd_sn*(1-MIN(1,MAX(0,$C848*(7*J$9-3*sn_h)/(4*sn_h)))^2)</f>
        <v/>
      </c>
      <c r="K848">
        <f>MAX(-fyd_sn,MIN(fyd_sn,200000*0.002*(1-$C848*(7*K$9-3*sn_h)/(4*sn_h))))-fcd_sn*(1-MIN(1,MAX(0,$C848*(7*K$9-3*sn_h)/(4*sn_h)))^2)</f>
        <v/>
      </c>
    </row>
    <row r="849">
      <c r="B849" s="55" t="n">
        <v>106</v>
      </c>
      <c r="C849" s="58">
        <f>1-106/200</f>
        <v/>
      </c>
      <c r="D849" s="59">
        <f>IF($C849&gt;=1,sn_h,3/7*sn_h+4/7*sn_h/MAX($C849,1E-12))</f>
        <v/>
      </c>
      <c r="E849" s="57">
        <f>(fcd_sn*sn_b*sn_h*(3/7+4/7*(1-$C849^2/3))+SUMPRODUCT($J$8:$K$8,$J849:$K849))/1000</f>
        <v/>
      </c>
      <c r="F849" s="57">
        <f>-((fcd_sn*sn_b*(3/14*sn_h*(sn_h-3/7*sn_h)+4/7*sn_h*(sn_h/2-3/7*sn_h)*(1-$C849^2/3)-16/49*sn_h^2*(1/2-$C849^2/4))+SUMPRODUCT($J$8:$K$8,$J849:$K849,$J$10:$K$10))/1E6)</f>
        <v/>
      </c>
      <c r="J849">
        <f>MAX(-fyd_sn,MIN(fyd_sn,200000*0.002*(1-$C849*(7*J$9-3*sn_h)/(4*sn_h))))-fcd_sn*(1-MIN(1,MAX(0,$C849*(7*J$9-3*sn_h)/(4*sn_h)))^2)</f>
        <v/>
      </c>
      <c r="K849">
        <f>MAX(-fyd_sn,MIN(fyd_sn,200000*0.002*(1-$C849*(7*K$9-3*sn_h)/(4*sn_h))))-fcd_sn*(1-MIN(1,MAX(0,$C849*(7*K$9-3*sn_h)/(4*sn_h)))^2)</f>
        <v/>
      </c>
    </row>
    <row r="850">
      <c r="B850" s="55" t="n">
        <v>107</v>
      </c>
      <c r="C850" s="58">
        <f>1-107/200</f>
        <v/>
      </c>
      <c r="D850" s="59">
        <f>IF($C850&gt;=1,sn_h,3/7*sn_h+4/7*sn_h/MAX($C850,1E-12))</f>
        <v/>
      </c>
      <c r="E850" s="57">
        <f>(fcd_sn*sn_b*sn_h*(3/7+4/7*(1-$C850^2/3))+SUMPRODUCT($J$8:$K$8,$J850:$K850))/1000</f>
        <v/>
      </c>
      <c r="F850" s="57">
        <f>-((fcd_sn*sn_b*(3/14*sn_h*(sn_h-3/7*sn_h)+4/7*sn_h*(sn_h/2-3/7*sn_h)*(1-$C850^2/3)-16/49*sn_h^2*(1/2-$C850^2/4))+SUMPRODUCT($J$8:$K$8,$J850:$K850,$J$10:$K$10))/1E6)</f>
        <v/>
      </c>
      <c r="J850">
        <f>MAX(-fyd_sn,MIN(fyd_sn,200000*0.002*(1-$C850*(7*J$9-3*sn_h)/(4*sn_h))))-fcd_sn*(1-MIN(1,MAX(0,$C850*(7*J$9-3*sn_h)/(4*sn_h)))^2)</f>
        <v/>
      </c>
      <c r="K850">
        <f>MAX(-fyd_sn,MIN(fyd_sn,200000*0.002*(1-$C850*(7*K$9-3*sn_h)/(4*sn_h))))-fcd_sn*(1-MIN(1,MAX(0,$C850*(7*K$9-3*sn_h)/(4*sn_h)))^2)</f>
        <v/>
      </c>
    </row>
    <row r="851">
      <c r="B851" s="55" t="n">
        <v>108</v>
      </c>
      <c r="C851" s="58">
        <f>1-108/200</f>
        <v/>
      </c>
      <c r="D851" s="59">
        <f>IF($C851&gt;=1,sn_h,3/7*sn_h+4/7*sn_h/MAX($C851,1E-12))</f>
        <v/>
      </c>
      <c r="E851" s="57">
        <f>(fcd_sn*sn_b*sn_h*(3/7+4/7*(1-$C851^2/3))+SUMPRODUCT($J$8:$K$8,$J851:$K851))/1000</f>
        <v/>
      </c>
      <c r="F851" s="57">
        <f>-((fcd_sn*sn_b*(3/14*sn_h*(sn_h-3/7*sn_h)+4/7*sn_h*(sn_h/2-3/7*sn_h)*(1-$C851^2/3)-16/49*sn_h^2*(1/2-$C851^2/4))+SUMPRODUCT($J$8:$K$8,$J851:$K851,$J$10:$K$10))/1E6)</f>
        <v/>
      </c>
      <c r="J851">
        <f>MAX(-fyd_sn,MIN(fyd_sn,200000*0.002*(1-$C851*(7*J$9-3*sn_h)/(4*sn_h))))-fcd_sn*(1-MIN(1,MAX(0,$C851*(7*J$9-3*sn_h)/(4*sn_h)))^2)</f>
        <v/>
      </c>
      <c r="K851">
        <f>MAX(-fyd_sn,MIN(fyd_sn,200000*0.002*(1-$C851*(7*K$9-3*sn_h)/(4*sn_h))))-fcd_sn*(1-MIN(1,MAX(0,$C851*(7*K$9-3*sn_h)/(4*sn_h)))^2)</f>
        <v/>
      </c>
    </row>
    <row r="852">
      <c r="B852" s="55" t="n">
        <v>109</v>
      </c>
      <c r="C852" s="58">
        <f>1-109/200</f>
        <v/>
      </c>
      <c r="D852" s="59">
        <f>IF($C852&gt;=1,sn_h,3/7*sn_h+4/7*sn_h/MAX($C852,1E-12))</f>
        <v/>
      </c>
      <c r="E852" s="57">
        <f>(fcd_sn*sn_b*sn_h*(3/7+4/7*(1-$C852^2/3))+SUMPRODUCT($J$8:$K$8,$J852:$K852))/1000</f>
        <v/>
      </c>
      <c r="F852" s="57">
        <f>-((fcd_sn*sn_b*(3/14*sn_h*(sn_h-3/7*sn_h)+4/7*sn_h*(sn_h/2-3/7*sn_h)*(1-$C852^2/3)-16/49*sn_h^2*(1/2-$C852^2/4))+SUMPRODUCT($J$8:$K$8,$J852:$K852,$J$10:$K$10))/1E6)</f>
        <v/>
      </c>
      <c r="J852">
        <f>MAX(-fyd_sn,MIN(fyd_sn,200000*0.002*(1-$C852*(7*J$9-3*sn_h)/(4*sn_h))))-fcd_sn*(1-MIN(1,MAX(0,$C852*(7*J$9-3*sn_h)/(4*sn_h)))^2)</f>
        <v/>
      </c>
      <c r="K852">
        <f>MAX(-fyd_sn,MIN(fyd_sn,200000*0.002*(1-$C852*(7*K$9-3*sn_h)/(4*sn_h))))-fcd_sn*(1-MIN(1,MAX(0,$C852*(7*K$9-3*sn_h)/(4*sn_h)))^2)</f>
        <v/>
      </c>
    </row>
    <row r="853">
      <c r="B853" s="55" t="n">
        <v>110</v>
      </c>
      <c r="C853" s="58">
        <f>1-110/200</f>
        <v/>
      </c>
      <c r="D853" s="59">
        <f>IF($C853&gt;=1,sn_h,3/7*sn_h+4/7*sn_h/MAX($C853,1E-12))</f>
        <v/>
      </c>
      <c r="E853" s="57">
        <f>(fcd_sn*sn_b*sn_h*(3/7+4/7*(1-$C853^2/3))+SUMPRODUCT($J$8:$K$8,$J853:$K853))/1000</f>
        <v/>
      </c>
      <c r="F853" s="57">
        <f>-((fcd_sn*sn_b*(3/14*sn_h*(sn_h-3/7*sn_h)+4/7*sn_h*(sn_h/2-3/7*sn_h)*(1-$C853^2/3)-16/49*sn_h^2*(1/2-$C853^2/4))+SUMPRODUCT($J$8:$K$8,$J853:$K853,$J$10:$K$10))/1E6)</f>
        <v/>
      </c>
      <c r="J853">
        <f>MAX(-fyd_sn,MIN(fyd_sn,200000*0.002*(1-$C853*(7*J$9-3*sn_h)/(4*sn_h))))-fcd_sn*(1-MIN(1,MAX(0,$C853*(7*J$9-3*sn_h)/(4*sn_h)))^2)</f>
        <v/>
      </c>
      <c r="K853">
        <f>MAX(-fyd_sn,MIN(fyd_sn,200000*0.002*(1-$C853*(7*K$9-3*sn_h)/(4*sn_h))))-fcd_sn*(1-MIN(1,MAX(0,$C853*(7*K$9-3*sn_h)/(4*sn_h)))^2)</f>
        <v/>
      </c>
    </row>
    <row r="854">
      <c r="B854" s="55" t="n">
        <v>111</v>
      </c>
      <c r="C854" s="58">
        <f>1-111/200</f>
        <v/>
      </c>
      <c r="D854" s="59">
        <f>IF($C854&gt;=1,sn_h,3/7*sn_h+4/7*sn_h/MAX($C854,1E-12))</f>
        <v/>
      </c>
      <c r="E854" s="57">
        <f>(fcd_sn*sn_b*sn_h*(3/7+4/7*(1-$C854^2/3))+SUMPRODUCT($J$8:$K$8,$J854:$K854))/1000</f>
        <v/>
      </c>
      <c r="F854" s="57">
        <f>-((fcd_sn*sn_b*(3/14*sn_h*(sn_h-3/7*sn_h)+4/7*sn_h*(sn_h/2-3/7*sn_h)*(1-$C854^2/3)-16/49*sn_h^2*(1/2-$C854^2/4))+SUMPRODUCT($J$8:$K$8,$J854:$K854,$J$10:$K$10))/1E6)</f>
        <v/>
      </c>
      <c r="J854">
        <f>MAX(-fyd_sn,MIN(fyd_sn,200000*0.002*(1-$C854*(7*J$9-3*sn_h)/(4*sn_h))))-fcd_sn*(1-MIN(1,MAX(0,$C854*(7*J$9-3*sn_h)/(4*sn_h)))^2)</f>
        <v/>
      </c>
      <c r="K854">
        <f>MAX(-fyd_sn,MIN(fyd_sn,200000*0.002*(1-$C854*(7*K$9-3*sn_h)/(4*sn_h))))-fcd_sn*(1-MIN(1,MAX(0,$C854*(7*K$9-3*sn_h)/(4*sn_h)))^2)</f>
        <v/>
      </c>
    </row>
    <row r="855">
      <c r="B855" s="55" t="n">
        <v>112</v>
      </c>
      <c r="C855" s="58">
        <f>1-112/200</f>
        <v/>
      </c>
      <c r="D855" s="59">
        <f>IF($C855&gt;=1,sn_h,3/7*sn_h+4/7*sn_h/MAX($C855,1E-12))</f>
        <v/>
      </c>
      <c r="E855" s="57">
        <f>(fcd_sn*sn_b*sn_h*(3/7+4/7*(1-$C855^2/3))+SUMPRODUCT($J$8:$K$8,$J855:$K855))/1000</f>
        <v/>
      </c>
      <c r="F855" s="57">
        <f>-((fcd_sn*sn_b*(3/14*sn_h*(sn_h-3/7*sn_h)+4/7*sn_h*(sn_h/2-3/7*sn_h)*(1-$C855^2/3)-16/49*sn_h^2*(1/2-$C855^2/4))+SUMPRODUCT($J$8:$K$8,$J855:$K855,$J$10:$K$10))/1E6)</f>
        <v/>
      </c>
      <c r="J855">
        <f>MAX(-fyd_sn,MIN(fyd_sn,200000*0.002*(1-$C855*(7*J$9-3*sn_h)/(4*sn_h))))-fcd_sn*(1-MIN(1,MAX(0,$C855*(7*J$9-3*sn_h)/(4*sn_h)))^2)</f>
        <v/>
      </c>
      <c r="K855">
        <f>MAX(-fyd_sn,MIN(fyd_sn,200000*0.002*(1-$C855*(7*K$9-3*sn_h)/(4*sn_h))))-fcd_sn*(1-MIN(1,MAX(0,$C855*(7*K$9-3*sn_h)/(4*sn_h)))^2)</f>
        <v/>
      </c>
    </row>
    <row r="856">
      <c r="B856" s="55" t="n">
        <v>113</v>
      </c>
      <c r="C856" s="58">
        <f>1-113/200</f>
        <v/>
      </c>
      <c r="D856" s="59">
        <f>IF($C856&gt;=1,sn_h,3/7*sn_h+4/7*sn_h/MAX($C856,1E-12))</f>
        <v/>
      </c>
      <c r="E856" s="57">
        <f>(fcd_sn*sn_b*sn_h*(3/7+4/7*(1-$C856^2/3))+SUMPRODUCT($J$8:$K$8,$J856:$K856))/1000</f>
        <v/>
      </c>
      <c r="F856" s="57">
        <f>-((fcd_sn*sn_b*(3/14*sn_h*(sn_h-3/7*sn_h)+4/7*sn_h*(sn_h/2-3/7*sn_h)*(1-$C856^2/3)-16/49*sn_h^2*(1/2-$C856^2/4))+SUMPRODUCT($J$8:$K$8,$J856:$K856,$J$10:$K$10))/1E6)</f>
        <v/>
      </c>
      <c r="J856">
        <f>MAX(-fyd_sn,MIN(fyd_sn,200000*0.002*(1-$C856*(7*J$9-3*sn_h)/(4*sn_h))))-fcd_sn*(1-MIN(1,MAX(0,$C856*(7*J$9-3*sn_h)/(4*sn_h)))^2)</f>
        <v/>
      </c>
      <c r="K856">
        <f>MAX(-fyd_sn,MIN(fyd_sn,200000*0.002*(1-$C856*(7*K$9-3*sn_h)/(4*sn_h))))-fcd_sn*(1-MIN(1,MAX(0,$C856*(7*K$9-3*sn_h)/(4*sn_h)))^2)</f>
        <v/>
      </c>
    </row>
    <row r="857">
      <c r="B857" s="55" t="n">
        <v>114</v>
      </c>
      <c r="C857" s="58">
        <f>1-114/200</f>
        <v/>
      </c>
      <c r="D857" s="59">
        <f>IF($C857&gt;=1,sn_h,3/7*sn_h+4/7*sn_h/MAX($C857,1E-12))</f>
        <v/>
      </c>
      <c r="E857" s="57">
        <f>(fcd_sn*sn_b*sn_h*(3/7+4/7*(1-$C857^2/3))+SUMPRODUCT($J$8:$K$8,$J857:$K857))/1000</f>
        <v/>
      </c>
      <c r="F857" s="57">
        <f>-((fcd_sn*sn_b*(3/14*sn_h*(sn_h-3/7*sn_h)+4/7*sn_h*(sn_h/2-3/7*sn_h)*(1-$C857^2/3)-16/49*sn_h^2*(1/2-$C857^2/4))+SUMPRODUCT($J$8:$K$8,$J857:$K857,$J$10:$K$10))/1E6)</f>
        <v/>
      </c>
      <c r="J857">
        <f>MAX(-fyd_sn,MIN(fyd_sn,200000*0.002*(1-$C857*(7*J$9-3*sn_h)/(4*sn_h))))-fcd_sn*(1-MIN(1,MAX(0,$C857*(7*J$9-3*sn_h)/(4*sn_h)))^2)</f>
        <v/>
      </c>
      <c r="K857">
        <f>MAX(-fyd_sn,MIN(fyd_sn,200000*0.002*(1-$C857*(7*K$9-3*sn_h)/(4*sn_h))))-fcd_sn*(1-MIN(1,MAX(0,$C857*(7*K$9-3*sn_h)/(4*sn_h)))^2)</f>
        <v/>
      </c>
    </row>
    <row r="858">
      <c r="B858" s="55" t="n">
        <v>115</v>
      </c>
      <c r="C858" s="58">
        <f>1-115/200</f>
        <v/>
      </c>
      <c r="D858" s="59">
        <f>IF($C858&gt;=1,sn_h,3/7*sn_h+4/7*sn_h/MAX($C858,1E-12))</f>
        <v/>
      </c>
      <c r="E858" s="57">
        <f>(fcd_sn*sn_b*sn_h*(3/7+4/7*(1-$C858^2/3))+SUMPRODUCT($J$8:$K$8,$J858:$K858))/1000</f>
        <v/>
      </c>
      <c r="F858" s="57">
        <f>-((fcd_sn*sn_b*(3/14*sn_h*(sn_h-3/7*sn_h)+4/7*sn_h*(sn_h/2-3/7*sn_h)*(1-$C858^2/3)-16/49*sn_h^2*(1/2-$C858^2/4))+SUMPRODUCT($J$8:$K$8,$J858:$K858,$J$10:$K$10))/1E6)</f>
        <v/>
      </c>
      <c r="J858">
        <f>MAX(-fyd_sn,MIN(fyd_sn,200000*0.002*(1-$C858*(7*J$9-3*sn_h)/(4*sn_h))))-fcd_sn*(1-MIN(1,MAX(0,$C858*(7*J$9-3*sn_h)/(4*sn_h)))^2)</f>
        <v/>
      </c>
      <c r="K858">
        <f>MAX(-fyd_sn,MIN(fyd_sn,200000*0.002*(1-$C858*(7*K$9-3*sn_h)/(4*sn_h))))-fcd_sn*(1-MIN(1,MAX(0,$C858*(7*K$9-3*sn_h)/(4*sn_h)))^2)</f>
        <v/>
      </c>
    </row>
    <row r="859">
      <c r="B859" s="55" t="n">
        <v>116</v>
      </c>
      <c r="C859" s="58">
        <f>1-116/200</f>
        <v/>
      </c>
      <c r="D859" s="59">
        <f>IF($C859&gt;=1,sn_h,3/7*sn_h+4/7*sn_h/MAX($C859,1E-12))</f>
        <v/>
      </c>
      <c r="E859" s="57">
        <f>(fcd_sn*sn_b*sn_h*(3/7+4/7*(1-$C859^2/3))+SUMPRODUCT($J$8:$K$8,$J859:$K859))/1000</f>
        <v/>
      </c>
      <c r="F859" s="57">
        <f>-((fcd_sn*sn_b*(3/14*sn_h*(sn_h-3/7*sn_h)+4/7*sn_h*(sn_h/2-3/7*sn_h)*(1-$C859^2/3)-16/49*sn_h^2*(1/2-$C859^2/4))+SUMPRODUCT($J$8:$K$8,$J859:$K859,$J$10:$K$10))/1E6)</f>
        <v/>
      </c>
      <c r="J859">
        <f>MAX(-fyd_sn,MIN(fyd_sn,200000*0.002*(1-$C859*(7*J$9-3*sn_h)/(4*sn_h))))-fcd_sn*(1-MIN(1,MAX(0,$C859*(7*J$9-3*sn_h)/(4*sn_h)))^2)</f>
        <v/>
      </c>
      <c r="K859">
        <f>MAX(-fyd_sn,MIN(fyd_sn,200000*0.002*(1-$C859*(7*K$9-3*sn_h)/(4*sn_h))))-fcd_sn*(1-MIN(1,MAX(0,$C859*(7*K$9-3*sn_h)/(4*sn_h)))^2)</f>
        <v/>
      </c>
    </row>
    <row r="860">
      <c r="B860" s="55" t="n">
        <v>117</v>
      </c>
      <c r="C860" s="58">
        <f>1-117/200</f>
        <v/>
      </c>
      <c r="D860" s="59">
        <f>IF($C860&gt;=1,sn_h,3/7*sn_h+4/7*sn_h/MAX($C860,1E-12))</f>
        <v/>
      </c>
      <c r="E860" s="57">
        <f>(fcd_sn*sn_b*sn_h*(3/7+4/7*(1-$C860^2/3))+SUMPRODUCT($J$8:$K$8,$J860:$K860))/1000</f>
        <v/>
      </c>
      <c r="F860" s="57">
        <f>-((fcd_sn*sn_b*(3/14*sn_h*(sn_h-3/7*sn_h)+4/7*sn_h*(sn_h/2-3/7*sn_h)*(1-$C860^2/3)-16/49*sn_h^2*(1/2-$C860^2/4))+SUMPRODUCT($J$8:$K$8,$J860:$K860,$J$10:$K$10))/1E6)</f>
        <v/>
      </c>
      <c r="J860">
        <f>MAX(-fyd_sn,MIN(fyd_sn,200000*0.002*(1-$C860*(7*J$9-3*sn_h)/(4*sn_h))))-fcd_sn*(1-MIN(1,MAX(0,$C860*(7*J$9-3*sn_h)/(4*sn_h)))^2)</f>
        <v/>
      </c>
      <c r="K860">
        <f>MAX(-fyd_sn,MIN(fyd_sn,200000*0.002*(1-$C860*(7*K$9-3*sn_h)/(4*sn_h))))-fcd_sn*(1-MIN(1,MAX(0,$C860*(7*K$9-3*sn_h)/(4*sn_h)))^2)</f>
        <v/>
      </c>
    </row>
    <row r="861">
      <c r="B861" s="55" t="n">
        <v>118</v>
      </c>
      <c r="C861" s="58">
        <f>1-118/200</f>
        <v/>
      </c>
      <c r="D861" s="59">
        <f>IF($C861&gt;=1,sn_h,3/7*sn_h+4/7*sn_h/MAX($C861,1E-12))</f>
        <v/>
      </c>
      <c r="E861" s="57">
        <f>(fcd_sn*sn_b*sn_h*(3/7+4/7*(1-$C861^2/3))+SUMPRODUCT($J$8:$K$8,$J861:$K861))/1000</f>
        <v/>
      </c>
      <c r="F861" s="57">
        <f>-((fcd_sn*sn_b*(3/14*sn_h*(sn_h-3/7*sn_h)+4/7*sn_h*(sn_h/2-3/7*sn_h)*(1-$C861^2/3)-16/49*sn_h^2*(1/2-$C861^2/4))+SUMPRODUCT($J$8:$K$8,$J861:$K861,$J$10:$K$10))/1E6)</f>
        <v/>
      </c>
      <c r="J861">
        <f>MAX(-fyd_sn,MIN(fyd_sn,200000*0.002*(1-$C861*(7*J$9-3*sn_h)/(4*sn_h))))-fcd_sn*(1-MIN(1,MAX(0,$C861*(7*J$9-3*sn_h)/(4*sn_h)))^2)</f>
        <v/>
      </c>
      <c r="K861">
        <f>MAX(-fyd_sn,MIN(fyd_sn,200000*0.002*(1-$C861*(7*K$9-3*sn_h)/(4*sn_h))))-fcd_sn*(1-MIN(1,MAX(0,$C861*(7*K$9-3*sn_h)/(4*sn_h)))^2)</f>
        <v/>
      </c>
    </row>
    <row r="862">
      <c r="B862" s="55" t="n">
        <v>119</v>
      </c>
      <c r="C862" s="58">
        <f>1-119/200</f>
        <v/>
      </c>
      <c r="D862" s="59">
        <f>IF($C862&gt;=1,sn_h,3/7*sn_h+4/7*sn_h/MAX($C862,1E-12))</f>
        <v/>
      </c>
      <c r="E862" s="57">
        <f>(fcd_sn*sn_b*sn_h*(3/7+4/7*(1-$C862^2/3))+SUMPRODUCT($J$8:$K$8,$J862:$K862))/1000</f>
        <v/>
      </c>
      <c r="F862" s="57">
        <f>-((fcd_sn*sn_b*(3/14*sn_h*(sn_h-3/7*sn_h)+4/7*sn_h*(sn_h/2-3/7*sn_h)*(1-$C862^2/3)-16/49*sn_h^2*(1/2-$C862^2/4))+SUMPRODUCT($J$8:$K$8,$J862:$K862,$J$10:$K$10))/1E6)</f>
        <v/>
      </c>
      <c r="J862">
        <f>MAX(-fyd_sn,MIN(fyd_sn,200000*0.002*(1-$C862*(7*J$9-3*sn_h)/(4*sn_h))))-fcd_sn*(1-MIN(1,MAX(0,$C862*(7*J$9-3*sn_h)/(4*sn_h)))^2)</f>
        <v/>
      </c>
      <c r="K862">
        <f>MAX(-fyd_sn,MIN(fyd_sn,200000*0.002*(1-$C862*(7*K$9-3*sn_h)/(4*sn_h))))-fcd_sn*(1-MIN(1,MAX(0,$C862*(7*K$9-3*sn_h)/(4*sn_h)))^2)</f>
        <v/>
      </c>
    </row>
    <row r="863">
      <c r="B863" s="55" t="n">
        <v>120</v>
      </c>
      <c r="C863" s="58">
        <f>1-120/200</f>
        <v/>
      </c>
      <c r="D863" s="59">
        <f>IF($C863&gt;=1,sn_h,3/7*sn_h+4/7*sn_h/MAX($C863,1E-12))</f>
        <v/>
      </c>
      <c r="E863" s="57">
        <f>(fcd_sn*sn_b*sn_h*(3/7+4/7*(1-$C863^2/3))+SUMPRODUCT($J$8:$K$8,$J863:$K863))/1000</f>
        <v/>
      </c>
      <c r="F863" s="57">
        <f>-((fcd_sn*sn_b*(3/14*sn_h*(sn_h-3/7*sn_h)+4/7*sn_h*(sn_h/2-3/7*sn_h)*(1-$C863^2/3)-16/49*sn_h^2*(1/2-$C863^2/4))+SUMPRODUCT($J$8:$K$8,$J863:$K863,$J$10:$K$10))/1E6)</f>
        <v/>
      </c>
      <c r="J863">
        <f>MAX(-fyd_sn,MIN(fyd_sn,200000*0.002*(1-$C863*(7*J$9-3*sn_h)/(4*sn_h))))-fcd_sn*(1-MIN(1,MAX(0,$C863*(7*J$9-3*sn_h)/(4*sn_h)))^2)</f>
        <v/>
      </c>
      <c r="K863">
        <f>MAX(-fyd_sn,MIN(fyd_sn,200000*0.002*(1-$C863*(7*K$9-3*sn_h)/(4*sn_h))))-fcd_sn*(1-MIN(1,MAX(0,$C863*(7*K$9-3*sn_h)/(4*sn_h)))^2)</f>
        <v/>
      </c>
    </row>
    <row r="864">
      <c r="B864" s="55" t="n">
        <v>121</v>
      </c>
      <c r="C864" s="58">
        <f>1-121/200</f>
        <v/>
      </c>
      <c r="D864" s="59">
        <f>IF($C864&gt;=1,sn_h,3/7*sn_h+4/7*sn_h/MAX($C864,1E-12))</f>
        <v/>
      </c>
      <c r="E864" s="57">
        <f>(fcd_sn*sn_b*sn_h*(3/7+4/7*(1-$C864^2/3))+SUMPRODUCT($J$8:$K$8,$J864:$K864))/1000</f>
        <v/>
      </c>
      <c r="F864" s="57">
        <f>-((fcd_sn*sn_b*(3/14*sn_h*(sn_h-3/7*sn_h)+4/7*sn_h*(sn_h/2-3/7*sn_h)*(1-$C864^2/3)-16/49*sn_h^2*(1/2-$C864^2/4))+SUMPRODUCT($J$8:$K$8,$J864:$K864,$J$10:$K$10))/1E6)</f>
        <v/>
      </c>
      <c r="J864">
        <f>MAX(-fyd_sn,MIN(fyd_sn,200000*0.002*(1-$C864*(7*J$9-3*sn_h)/(4*sn_h))))-fcd_sn*(1-MIN(1,MAX(0,$C864*(7*J$9-3*sn_h)/(4*sn_h)))^2)</f>
        <v/>
      </c>
      <c r="K864">
        <f>MAX(-fyd_sn,MIN(fyd_sn,200000*0.002*(1-$C864*(7*K$9-3*sn_h)/(4*sn_h))))-fcd_sn*(1-MIN(1,MAX(0,$C864*(7*K$9-3*sn_h)/(4*sn_h)))^2)</f>
        <v/>
      </c>
    </row>
    <row r="865">
      <c r="B865" s="55" t="n">
        <v>122</v>
      </c>
      <c r="C865" s="58">
        <f>1-122/200</f>
        <v/>
      </c>
      <c r="D865" s="59">
        <f>IF($C865&gt;=1,sn_h,3/7*sn_h+4/7*sn_h/MAX($C865,1E-12))</f>
        <v/>
      </c>
      <c r="E865" s="57">
        <f>(fcd_sn*sn_b*sn_h*(3/7+4/7*(1-$C865^2/3))+SUMPRODUCT($J$8:$K$8,$J865:$K865))/1000</f>
        <v/>
      </c>
      <c r="F865" s="57">
        <f>-((fcd_sn*sn_b*(3/14*sn_h*(sn_h-3/7*sn_h)+4/7*sn_h*(sn_h/2-3/7*sn_h)*(1-$C865^2/3)-16/49*sn_h^2*(1/2-$C865^2/4))+SUMPRODUCT($J$8:$K$8,$J865:$K865,$J$10:$K$10))/1E6)</f>
        <v/>
      </c>
      <c r="J865">
        <f>MAX(-fyd_sn,MIN(fyd_sn,200000*0.002*(1-$C865*(7*J$9-3*sn_h)/(4*sn_h))))-fcd_sn*(1-MIN(1,MAX(0,$C865*(7*J$9-3*sn_h)/(4*sn_h)))^2)</f>
        <v/>
      </c>
      <c r="K865">
        <f>MAX(-fyd_sn,MIN(fyd_sn,200000*0.002*(1-$C865*(7*K$9-3*sn_h)/(4*sn_h))))-fcd_sn*(1-MIN(1,MAX(0,$C865*(7*K$9-3*sn_h)/(4*sn_h)))^2)</f>
        <v/>
      </c>
    </row>
    <row r="866">
      <c r="B866" s="55" t="n">
        <v>123</v>
      </c>
      <c r="C866" s="58">
        <f>1-123/200</f>
        <v/>
      </c>
      <c r="D866" s="59">
        <f>IF($C866&gt;=1,sn_h,3/7*sn_h+4/7*sn_h/MAX($C866,1E-12))</f>
        <v/>
      </c>
      <c r="E866" s="57">
        <f>(fcd_sn*sn_b*sn_h*(3/7+4/7*(1-$C866^2/3))+SUMPRODUCT($J$8:$K$8,$J866:$K866))/1000</f>
        <v/>
      </c>
      <c r="F866" s="57">
        <f>-((fcd_sn*sn_b*(3/14*sn_h*(sn_h-3/7*sn_h)+4/7*sn_h*(sn_h/2-3/7*sn_h)*(1-$C866^2/3)-16/49*sn_h^2*(1/2-$C866^2/4))+SUMPRODUCT($J$8:$K$8,$J866:$K866,$J$10:$K$10))/1E6)</f>
        <v/>
      </c>
      <c r="J866">
        <f>MAX(-fyd_sn,MIN(fyd_sn,200000*0.002*(1-$C866*(7*J$9-3*sn_h)/(4*sn_h))))-fcd_sn*(1-MIN(1,MAX(0,$C866*(7*J$9-3*sn_h)/(4*sn_h)))^2)</f>
        <v/>
      </c>
      <c r="K866">
        <f>MAX(-fyd_sn,MIN(fyd_sn,200000*0.002*(1-$C866*(7*K$9-3*sn_h)/(4*sn_h))))-fcd_sn*(1-MIN(1,MAX(0,$C866*(7*K$9-3*sn_h)/(4*sn_h)))^2)</f>
        <v/>
      </c>
    </row>
    <row r="867">
      <c r="B867" s="55" t="n">
        <v>124</v>
      </c>
      <c r="C867" s="58">
        <f>1-124/200</f>
        <v/>
      </c>
      <c r="D867" s="59">
        <f>IF($C867&gt;=1,sn_h,3/7*sn_h+4/7*sn_h/MAX($C867,1E-12))</f>
        <v/>
      </c>
      <c r="E867" s="57">
        <f>(fcd_sn*sn_b*sn_h*(3/7+4/7*(1-$C867^2/3))+SUMPRODUCT($J$8:$K$8,$J867:$K867))/1000</f>
        <v/>
      </c>
      <c r="F867" s="57">
        <f>-((fcd_sn*sn_b*(3/14*sn_h*(sn_h-3/7*sn_h)+4/7*sn_h*(sn_h/2-3/7*sn_h)*(1-$C867^2/3)-16/49*sn_h^2*(1/2-$C867^2/4))+SUMPRODUCT($J$8:$K$8,$J867:$K867,$J$10:$K$10))/1E6)</f>
        <v/>
      </c>
      <c r="J867">
        <f>MAX(-fyd_sn,MIN(fyd_sn,200000*0.002*(1-$C867*(7*J$9-3*sn_h)/(4*sn_h))))-fcd_sn*(1-MIN(1,MAX(0,$C867*(7*J$9-3*sn_h)/(4*sn_h)))^2)</f>
        <v/>
      </c>
      <c r="K867">
        <f>MAX(-fyd_sn,MIN(fyd_sn,200000*0.002*(1-$C867*(7*K$9-3*sn_h)/(4*sn_h))))-fcd_sn*(1-MIN(1,MAX(0,$C867*(7*K$9-3*sn_h)/(4*sn_h)))^2)</f>
        <v/>
      </c>
    </row>
    <row r="868">
      <c r="B868" s="55" t="n">
        <v>125</v>
      </c>
      <c r="C868" s="58">
        <f>1-125/200</f>
        <v/>
      </c>
      <c r="D868" s="59">
        <f>IF($C868&gt;=1,sn_h,3/7*sn_h+4/7*sn_h/MAX($C868,1E-12))</f>
        <v/>
      </c>
      <c r="E868" s="57">
        <f>(fcd_sn*sn_b*sn_h*(3/7+4/7*(1-$C868^2/3))+SUMPRODUCT($J$8:$K$8,$J868:$K868))/1000</f>
        <v/>
      </c>
      <c r="F868" s="57">
        <f>-((fcd_sn*sn_b*(3/14*sn_h*(sn_h-3/7*sn_h)+4/7*sn_h*(sn_h/2-3/7*sn_h)*(1-$C868^2/3)-16/49*sn_h^2*(1/2-$C868^2/4))+SUMPRODUCT($J$8:$K$8,$J868:$K868,$J$10:$K$10))/1E6)</f>
        <v/>
      </c>
      <c r="J868">
        <f>MAX(-fyd_sn,MIN(fyd_sn,200000*0.002*(1-$C868*(7*J$9-3*sn_h)/(4*sn_h))))-fcd_sn*(1-MIN(1,MAX(0,$C868*(7*J$9-3*sn_h)/(4*sn_h)))^2)</f>
        <v/>
      </c>
      <c r="K868">
        <f>MAX(-fyd_sn,MIN(fyd_sn,200000*0.002*(1-$C868*(7*K$9-3*sn_h)/(4*sn_h))))-fcd_sn*(1-MIN(1,MAX(0,$C868*(7*K$9-3*sn_h)/(4*sn_h)))^2)</f>
        <v/>
      </c>
    </row>
    <row r="869">
      <c r="B869" s="55" t="n">
        <v>126</v>
      </c>
      <c r="C869" s="58">
        <f>1-126/200</f>
        <v/>
      </c>
      <c r="D869" s="59">
        <f>IF($C869&gt;=1,sn_h,3/7*sn_h+4/7*sn_h/MAX($C869,1E-12))</f>
        <v/>
      </c>
      <c r="E869" s="57">
        <f>(fcd_sn*sn_b*sn_h*(3/7+4/7*(1-$C869^2/3))+SUMPRODUCT($J$8:$K$8,$J869:$K869))/1000</f>
        <v/>
      </c>
      <c r="F869" s="57">
        <f>-((fcd_sn*sn_b*(3/14*sn_h*(sn_h-3/7*sn_h)+4/7*sn_h*(sn_h/2-3/7*sn_h)*(1-$C869^2/3)-16/49*sn_h^2*(1/2-$C869^2/4))+SUMPRODUCT($J$8:$K$8,$J869:$K869,$J$10:$K$10))/1E6)</f>
        <v/>
      </c>
      <c r="J869">
        <f>MAX(-fyd_sn,MIN(fyd_sn,200000*0.002*(1-$C869*(7*J$9-3*sn_h)/(4*sn_h))))-fcd_sn*(1-MIN(1,MAX(0,$C869*(7*J$9-3*sn_h)/(4*sn_h)))^2)</f>
        <v/>
      </c>
      <c r="K869">
        <f>MAX(-fyd_sn,MIN(fyd_sn,200000*0.002*(1-$C869*(7*K$9-3*sn_h)/(4*sn_h))))-fcd_sn*(1-MIN(1,MAX(0,$C869*(7*K$9-3*sn_h)/(4*sn_h)))^2)</f>
        <v/>
      </c>
    </row>
    <row r="870">
      <c r="B870" s="55" t="n">
        <v>127</v>
      </c>
      <c r="C870" s="58">
        <f>1-127/200</f>
        <v/>
      </c>
      <c r="D870" s="59">
        <f>IF($C870&gt;=1,sn_h,3/7*sn_h+4/7*sn_h/MAX($C870,1E-12))</f>
        <v/>
      </c>
      <c r="E870" s="57">
        <f>(fcd_sn*sn_b*sn_h*(3/7+4/7*(1-$C870^2/3))+SUMPRODUCT($J$8:$K$8,$J870:$K870))/1000</f>
        <v/>
      </c>
      <c r="F870" s="57">
        <f>-((fcd_sn*sn_b*(3/14*sn_h*(sn_h-3/7*sn_h)+4/7*sn_h*(sn_h/2-3/7*sn_h)*(1-$C870^2/3)-16/49*sn_h^2*(1/2-$C870^2/4))+SUMPRODUCT($J$8:$K$8,$J870:$K870,$J$10:$K$10))/1E6)</f>
        <v/>
      </c>
      <c r="J870">
        <f>MAX(-fyd_sn,MIN(fyd_sn,200000*0.002*(1-$C870*(7*J$9-3*sn_h)/(4*sn_h))))-fcd_sn*(1-MIN(1,MAX(0,$C870*(7*J$9-3*sn_h)/(4*sn_h)))^2)</f>
        <v/>
      </c>
      <c r="K870">
        <f>MAX(-fyd_sn,MIN(fyd_sn,200000*0.002*(1-$C870*(7*K$9-3*sn_h)/(4*sn_h))))-fcd_sn*(1-MIN(1,MAX(0,$C870*(7*K$9-3*sn_h)/(4*sn_h)))^2)</f>
        <v/>
      </c>
    </row>
    <row r="871">
      <c r="B871" s="55" t="n">
        <v>128</v>
      </c>
      <c r="C871" s="58">
        <f>1-128/200</f>
        <v/>
      </c>
      <c r="D871" s="59">
        <f>IF($C871&gt;=1,sn_h,3/7*sn_h+4/7*sn_h/MAX($C871,1E-12))</f>
        <v/>
      </c>
      <c r="E871" s="57">
        <f>(fcd_sn*sn_b*sn_h*(3/7+4/7*(1-$C871^2/3))+SUMPRODUCT($J$8:$K$8,$J871:$K871))/1000</f>
        <v/>
      </c>
      <c r="F871" s="57">
        <f>-((fcd_sn*sn_b*(3/14*sn_h*(sn_h-3/7*sn_h)+4/7*sn_h*(sn_h/2-3/7*sn_h)*(1-$C871^2/3)-16/49*sn_h^2*(1/2-$C871^2/4))+SUMPRODUCT($J$8:$K$8,$J871:$K871,$J$10:$K$10))/1E6)</f>
        <v/>
      </c>
      <c r="J871">
        <f>MAX(-fyd_sn,MIN(fyd_sn,200000*0.002*(1-$C871*(7*J$9-3*sn_h)/(4*sn_h))))-fcd_sn*(1-MIN(1,MAX(0,$C871*(7*J$9-3*sn_h)/(4*sn_h)))^2)</f>
        <v/>
      </c>
      <c r="K871">
        <f>MAX(-fyd_sn,MIN(fyd_sn,200000*0.002*(1-$C871*(7*K$9-3*sn_h)/(4*sn_h))))-fcd_sn*(1-MIN(1,MAX(0,$C871*(7*K$9-3*sn_h)/(4*sn_h)))^2)</f>
        <v/>
      </c>
    </row>
    <row r="872">
      <c r="B872" s="55" t="n">
        <v>129</v>
      </c>
      <c r="C872" s="58">
        <f>1-129/200</f>
        <v/>
      </c>
      <c r="D872" s="59">
        <f>IF($C872&gt;=1,sn_h,3/7*sn_h+4/7*sn_h/MAX($C872,1E-12))</f>
        <v/>
      </c>
      <c r="E872" s="57">
        <f>(fcd_sn*sn_b*sn_h*(3/7+4/7*(1-$C872^2/3))+SUMPRODUCT($J$8:$K$8,$J872:$K872))/1000</f>
        <v/>
      </c>
      <c r="F872" s="57">
        <f>-((fcd_sn*sn_b*(3/14*sn_h*(sn_h-3/7*sn_h)+4/7*sn_h*(sn_h/2-3/7*sn_h)*(1-$C872^2/3)-16/49*sn_h^2*(1/2-$C872^2/4))+SUMPRODUCT($J$8:$K$8,$J872:$K872,$J$10:$K$10))/1E6)</f>
        <v/>
      </c>
      <c r="J872">
        <f>MAX(-fyd_sn,MIN(fyd_sn,200000*0.002*(1-$C872*(7*J$9-3*sn_h)/(4*sn_h))))-fcd_sn*(1-MIN(1,MAX(0,$C872*(7*J$9-3*sn_h)/(4*sn_h)))^2)</f>
        <v/>
      </c>
      <c r="K872">
        <f>MAX(-fyd_sn,MIN(fyd_sn,200000*0.002*(1-$C872*(7*K$9-3*sn_h)/(4*sn_h))))-fcd_sn*(1-MIN(1,MAX(0,$C872*(7*K$9-3*sn_h)/(4*sn_h)))^2)</f>
        <v/>
      </c>
    </row>
    <row r="873">
      <c r="B873" s="55" t="n">
        <v>130</v>
      </c>
      <c r="C873" s="58">
        <f>1-130/200</f>
        <v/>
      </c>
      <c r="D873" s="59">
        <f>IF($C873&gt;=1,sn_h,3/7*sn_h+4/7*sn_h/MAX($C873,1E-12))</f>
        <v/>
      </c>
      <c r="E873" s="57">
        <f>(fcd_sn*sn_b*sn_h*(3/7+4/7*(1-$C873^2/3))+SUMPRODUCT($J$8:$K$8,$J873:$K873))/1000</f>
        <v/>
      </c>
      <c r="F873" s="57">
        <f>-((fcd_sn*sn_b*(3/14*sn_h*(sn_h-3/7*sn_h)+4/7*sn_h*(sn_h/2-3/7*sn_h)*(1-$C873^2/3)-16/49*sn_h^2*(1/2-$C873^2/4))+SUMPRODUCT($J$8:$K$8,$J873:$K873,$J$10:$K$10))/1E6)</f>
        <v/>
      </c>
      <c r="J873">
        <f>MAX(-fyd_sn,MIN(fyd_sn,200000*0.002*(1-$C873*(7*J$9-3*sn_h)/(4*sn_h))))-fcd_sn*(1-MIN(1,MAX(0,$C873*(7*J$9-3*sn_h)/(4*sn_h)))^2)</f>
        <v/>
      </c>
      <c r="K873">
        <f>MAX(-fyd_sn,MIN(fyd_sn,200000*0.002*(1-$C873*(7*K$9-3*sn_h)/(4*sn_h))))-fcd_sn*(1-MIN(1,MAX(0,$C873*(7*K$9-3*sn_h)/(4*sn_h)))^2)</f>
        <v/>
      </c>
    </row>
    <row r="874">
      <c r="B874" s="55" t="n">
        <v>131</v>
      </c>
      <c r="C874" s="58">
        <f>1-131/200</f>
        <v/>
      </c>
      <c r="D874" s="59">
        <f>IF($C874&gt;=1,sn_h,3/7*sn_h+4/7*sn_h/MAX($C874,1E-12))</f>
        <v/>
      </c>
      <c r="E874" s="57">
        <f>(fcd_sn*sn_b*sn_h*(3/7+4/7*(1-$C874^2/3))+SUMPRODUCT($J$8:$K$8,$J874:$K874))/1000</f>
        <v/>
      </c>
      <c r="F874" s="57">
        <f>-((fcd_sn*sn_b*(3/14*sn_h*(sn_h-3/7*sn_h)+4/7*sn_h*(sn_h/2-3/7*sn_h)*(1-$C874^2/3)-16/49*sn_h^2*(1/2-$C874^2/4))+SUMPRODUCT($J$8:$K$8,$J874:$K874,$J$10:$K$10))/1E6)</f>
        <v/>
      </c>
      <c r="J874">
        <f>MAX(-fyd_sn,MIN(fyd_sn,200000*0.002*(1-$C874*(7*J$9-3*sn_h)/(4*sn_h))))-fcd_sn*(1-MIN(1,MAX(0,$C874*(7*J$9-3*sn_h)/(4*sn_h)))^2)</f>
        <v/>
      </c>
      <c r="K874">
        <f>MAX(-fyd_sn,MIN(fyd_sn,200000*0.002*(1-$C874*(7*K$9-3*sn_h)/(4*sn_h))))-fcd_sn*(1-MIN(1,MAX(0,$C874*(7*K$9-3*sn_h)/(4*sn_h)))^2)</f>
        <v/>
      </c>
    </row>
    <row r="875">
      <c r="B875" s="55" t="n">
        <v>132</v>
      </c>
      <c r="C875" s="58">
        <f>1-132/200</f>
        <v/>
      </c>
      <c r="D875" s="59">
        <f>IF($C875&gt;=1,sn_h,3/7*sn_h+4/7*sn_h/MAX($C875,1E-12))</f>
        <v/>
      </c>
      <c r="E875" s="57">
        <f>(fcd_sn*sn_b*sn_h*(3/7+4/7*(1-$C875^2/3))+SUMPRODUCT($J$8:$K$8,$J875:$K875))/1000</f>
        <v/>
      </c>
      <c r="F875" s="57">
        <f>-((fcd_sn*sn_b*(3/14*sn_h*(sn_h-3/7*sn_h)+4/7*sn_h*(sn_h/2-3/7*sn_h)*(1-$C875^2/3)-16/49*sn_h^2*(1/2-$C875^2/4))+SUMPRODUCT($J$8:$K$8,$J875:$K875,$J$10:$K$10))/1E6)</f>
        <v/>
      </c>
      <c r="J875">
        <f>MAX(-fyd_sn,MIN(fyd_sn,200000*0.002*(1-$C875*(7*J$9-3*sn_h)/(4*sn_h))))-fcd_sn*(1-MIN(1,MAX(0,$C875*(7*J$9-3*sn_h)/(4*sn_h)))^2)</f>
        <v/>
      </c>
      <c r="K875">
        <f>MAX(-fyd_sn,MIN(fyd_sn,200000*0.002*(1-$C875*(7*K$9-3*sn_h)/(4*sn_h))))-fcd_sn*(1-MIN(1,MAX(0,$C875*(7*K$9-3*sn_h)/(4*sn_h)))^2)</f>
        <v/>
      </c>
    </row>
    <row r="876">
      <c r="B876" s="55" t="n">
        <v>133</v>
      </c>
      <c r="C876" s="58">
        <f>1-133/200</f>
        <v/>
      </c>
      <c r="D876" s="59">
        <f>IF($C876&gt;=1,sn_h,3/7*sn_h+4/7*sn_h/MAX($C876,1E-12))</f>
        <v/>
      </c>
      <c r="E876" s="57">
        <f>(fcd_sn*sn_b*sn_h*(3/7+4/7*(1-$C876^2/3))+SUMPRODUCT($J$8:$K$8,$J876:$K876))/1000</f>
        <v/>
      </c>
      <c r="F876" s="57">
        <f>-((fcd_sn*sn_b*(3/14*sn_h*(sn_h-3/7*sn_h)+4/7*sn_h*(sn_h/2-3/7*sn_h)*(1-$C876^2/3)-16/49*sn_h^2*(1/2-$C876^2/4))+SUMPRODUCT($J$8:$K$8,$J876:$K876,$J$10:$K$10))/1E6)</f>
        <v/>
      </c>
      <c r="J876">
        <f>MAX(-fyd_sn,MIN(fyd_sn,200000*0.002*(1-$C876*(7*J$9-3*sn_h)/(4*sn_h))))-fcd_sn*(1-MIN(1,MAX(0,$C876*(7*J$9-3*sn_h)/(4*sn_h)))^2)</f>
        <v/>
      </c>
      <c r="K876">
        <f>MAX(-fyd_sn,MIN(fyd_sn,200000*0.002*(1-$C876*(7*K$9-3*sn_h)/(4*sn_h))))-fcd_sn*(1-MIN(1,MAX(0,$C876*(7*K$9-3*sn_h)/(4*sn_h)))^2)</f>
        <v/>
      </c>
    </row>
    <row r="877">
      <c r="B877" s="55" t="n">
        <v>134</v>
      </c>
      <c r="C877" s="58">
        <f>1-134/200</f>
        <v/>
      </c>
      <c r="D877" s="59">
        <f>IF($C877&gt;=1,sn_h,3/7*sn_h+4/7*sn_h/MAX($C877,1E-12))</f>
        <v/>
      </c>
      <c r="E877" s="57">
        <f>(fcd_sn*sn_b*sn_h*(3/7+4/7*(1-$C877^2/3))+SUMPRODUCT($J$8:$K$8,$J877:$K877))/1000</f>
        <v/>
      </c>
      <c r="F877" s="57">
        <f>-((fcd_sn*sn_b*(3/14*sn_h*(sn_h-3/7*sn_h)+4/7*sn_h*(sn_h/2-3/7*sn_h)*(1-$C877^2/3)-16/49*sn_h^2*(1/2-$C877^2/4))+SUMPRODUCT($J$8:$K$8,$J877:$K877,$J$10:$K$10))/1E6)</f>
        <v/>
      </c>
      <c r="J877">
        <f>MAX(-fyd_sn,MIN(fyd_sn,200000*0.002*(1-$C877*(7*J$9-3*sn_h)/(4*sn_h))))-fcd_sn*(1-MIN(1,MAX(0,$C877*(7*J$9-3*sn_h)/(4*sn_h)))^2)</f>
        <v/>
      </c>
      <c r="K877">
        <f>MAX(-fyd_sn,MIN(fyd_sn,200000*0.002*(1-$C877*(7*K$9-3*sn_h)/(4*sn_h))))-fcd_sn*(1-MIN(1,MAX(0,$C877*(7*K$9-3*sn_h)/(4*sn_h)))^2)</f>
        <v/>
      </c>
    </row>
    <row r="878">
      <c r="B878" s="55" t="n">
        <v>135</v>
      </c>
      <c r="C878" s="58">
        <f>1-135/200</f>
        <v/>
      </c>
      <c r="D878" s="59">
        <f>IF($C878&gt;=1,sn_h,3/7*sn_h+4/7*sn_h/MAX($C878,1E-12))</f>
        <v/>
      </c>
      <c r="E878" s="57">
        <f>(fcd_sn*sn_b*sn_h*(3/7+4/7*(1-$C878^2/3))+SUMPRODUCT($J$8:$K$8,$J878:$K878))/1000</f>
        <v/>
      </c>
      <c r="F878" s="57">
        <f>-((fcd_sn*sn_b*(3/14*sn_h*(sn_h-3/7*sn_h)+4/7*sn_h*(sn_h/2-3/7*sn_h)*(1-$C878^2/3)-16/49*sn_h^2*(1/2-$C878^2/4))+SUMPRODUCT($J$8:$K$8,$J878:$K878,$J$10:$K$10))/1E6)</f>
        <v/>
      </c>
      <c r="J878">
        <f>MAX(-fyd_sn,MIN(fyd_sn,200000*0.002*(1-$C878*(7*J$9-3*sn_h)/(4*sn_h))))-fcd_sn*(1-MIN(1,MAX(0,$C878*(7*J$9-3*sn_h)/(4*sn_h)))^2)</f>
        <v/>
      </c>
      <c r="K878">
        <f>MAX(-fyd_sn,MIN(fyd_sn,200000*0.002*(1-$C878*(7*K$9-3*sn_h)/(4*sn_h))))-fcd_sn*(1-MIN(1,MAX(0,$C878*(7*K$9-3*sn_h)/(4*sn_h)))^2)</f>
        <v/>
      </c>
    </row>
    <row r="879">
      <c r="B879" s="55" t="n">
        <v>136</v>
      </c>
      <c r="C879" s="58">
        <f>1-136/200</f>
        <v/>
      </c>
      <c r="D879" s="59">
        <f>IF($C879&gt;=1,sn_h,3/7*sn_h+4/7*sn_h/MAX($C879,1E-12))</f>
        <v/>
      </c>
      <c r="E879" s="57">
        <f>(fcd_sn*sn_b*sn_h*(3/7+4/7*(1-$C879^2/3))+SUMPRODUCT($J$8:$K$8,$J879:$K879))/1000</f>
        <v/>
      </c>
      <c r="F879" s="57">
        <f>-((fcd_sn*sn_b*(3/14*sn_h*(sn_h-3/7*sn_h)+4/7*sn_h*(sn_h/2-3/7*sn_h)*(1-$C879^2/3)-16/49*sn_h^2*(1/2-$C879^2/4))+SUMPRODUCT($J$8:$K$8,$J879:$K879,$J$10:$K$10))/1E6)</f>
        <v/>
      </c>
      <c r="J879">
        <f>MAX(-fyd_sn,MIN(fyd_sn,200000*0.002*(1-$C879*(7*J$9-3*sn_h)/(4*sn_h))))-fcd_sn*(1-MIN(1,MAX(0,$C879*(7*J$9-3*sn_h)/(4*sn_h)))^2)</f>
        <v/>
      </c>
      <c r="K879">
        <f>MAX(-fyd_sn,MIN(fyd_sn,200000*0.002*(1-$C879*(7*K$9-3*sn_h)/(4*sn_h))))-fcd_sn*(1-MIN(1,MAX(0,$C879*(7*K$9-3*sn_h)/(4*sn_h)))^2)</f>
        <v/>
      </c>
    </row>
    <row r="880">
      <c r="B880" s="55" t="n">
        <v>137</v>
      </c>
      <c r="C880" s="58">
        <f>1-137/200</f>
        <v/>
      </c>
      <c r="D880" s="59">
        <f>IF($C880&gt;=1,sn_h,3/7*sn_h+4/7*sn_h/MAX($C880,1E-12))</f>
        <v/>
      </c>
      <c r="E880" s="57">
        <f>(fcd_sn*sn_b*sn_h*(3/7+4/7*(1-$C880^2/3))+SUMPRODUCT($J$8:$K$8,$J880:$K880))/1000</f>
        <v/>
      </c>
      <c r="F880" s="57">
        <f>-((fcd_sn*sn_b*(3/14*sn_h*(sn_h-3/7*sn_h)+4/7*sn_h*(sn_h/2-3/7*sn_h)*(1-$C880^2/3)-16/49*sn_h^2*(1/2-$C880^2/4))+SUMPRODUCT($J$8:$K$8,$J880:$K880,$J$10:$K$10))/1E6)</f>
        <v/>
      </c>
      <c r="J880">
        <f>MAX(-fyd_sn,MIN(fyd_sn,200000*0.002*(1-$C880*(7*J$9-3*sn_h)/(4*sn_h))))-fcd_sn*(1-MIN(1,MAX(0,$C880*(7*J$9-3*sn_h)/(4*sn_h)))^2)</f>
        <v/>
      </c>
      <c r="K880">
        <f>MAX(-fyd_sn,MIN(fyd_sn,200000*0.002*(1-$C880*(7*K$9-3*sn_h)/(4*sn_h))))-fcd_sn*(1-MIN(1,MAX(0,$C880*(7*K$9-3*sn_h)/(4*sn_h)))^2)</f>
        <v/>
      </c>
    </row>
    <row r="881">
      <c r="B881" s="55" t="n">
        <v>138</v>
      </c>
      <c r="C881" s="58">
        <f>1-138/200</f>
        <v/>
      </c>
      <c r="D881" s="59">
        <f>IF($C881&gt;=1,sn_h,3/7*sn_h+4/7*sn_h/MAX($C881,1E-12))</f>
        <v/>
      </c>
      <c r="E881" s="57">
        <f>(fcd_sn*sn_b*sn_h*(3/7+4/7*(1-$C881^2/3))+SUMPRODUCT($J$8:$K$8,$J881:$K881))/1000</f>
        <v/>
      </c>
      <c r="F881" s="57">
        <f>-((fcd_sn*sn_b*(3/14*sn_h*(sn_h-3/7*sn_h)+4/7*sn_h*(sn_h/2-3/7*sn_h)*(1-$C881^2/3)-16/49*sn_h^2*(1/2-$C881^2/4))+SUMPRODUCT($J$8:$K$8,$J881:$K881,$J$10:$K$10))/1E6)</f>
        <v/>
      </c>
      <c r="J881">
        <f>MAX(-fyd_sn,MIN(fyd_sn,200000*0.002*(1-$C881*(7*J$9-3*sn_h)/(4*sn_h))))-fcd_sn*(1-MIN(1,MAX(0,$C881*(7*J$9-3*sn_h)/(4*sn_h)))^2)</f>
        <v/>
      </c>
      <c r="K881">
        <f>MAX(-fyd_sn,MIN(fyd_sn,200000*0.002*(1-$C881*(7*K$9-3*sn_h)/(4*sn_h))))-fcd_sn*(1-MIN(1,MAX(0,$C881*(7*K$9-3*sn_h)/(4*sn_h)))^2)</f>
        <v/>
      </c>
    </row>
    <row r="882">
      <c r="B882" s="55" t="n">
        <v>139</v>
      </c>
      <c r="C882" s="58">
        <f>1-139/200</f>
        <v/>
      </c>
      <c r="D882" s="59">
        <f>IF($C882&gt;=1,sn_h,3/7*sn_h+4/7*sn_h/MAX($C882,1E-12))</f>
        <v/>
      </c>
      <c r="E882" s="57">
        <f>(fcd_sn*sn_b*sn_h*(3/7+4/7*(1-$C882^2/3))+SUMPRODUCT($J$8:$K$8,$J882:$K882))/1000</f>
        <v/>
      </c>
      <c r="F882" s="57">
        <f>-((fcd_sn*sn_b*(3/14*sn_h*(sn_h-3/7*sn_h)+4/7*sn_h*(sn_h/2-3/7*sn_h)*(1-$C882^2/3)-16/49*sn_h^2*(1/2-$C882^2/4))+SUMPRODUCT($J$8:$K$8,$J882:$K882,$J$10:$K$10))/1E6)</f>
        <v/>
      </c>
      <c r="J882">
        <f>MAX(-fyd_sn,MIN(fyd_sn,200000*0.002*(1-$C882*(7*J$9-3*sn_h)/(4*sn_h))))-fcd_sn*(1-MIN(1,MAX(0,$C882*(7*J$9-3*sn_h)/(4*sn_h)))^2)</f>
        <v/>
      </c>
      <c r="K882">
        <f>MAX(-fyd_sn,MIN(fyd_sn,200000*0.002*(1-$C882*(7*K$9-3*sn_h)/(4*sn_h))))-fcd_sn*(1-MIN(1,MAX(0,$C882*(7*K$9-3*sn_h)/(4*sn_h)))^2)</f>
        <v/>
      </c>
    </row>
    <row r="883">
      <c r="B883" s="55" t="n">
        <v>140</v>
      </c>
      <c r="C883" s="58">
        <f>1-140/200</f>
        <v/>
      </c>
      <c r="D883" s="59">
        <f>IF($C883&gt;=1,sn_h,3/7*sn_h+4/7*sn_h/MAX($C883,1E-12))</f>
        <v/>
      </c>
      <c r="E883" s="57">
        <f>(fcd_sn*sn_b*sn_h*(3/7+4/7*(1-$C883^2/3))+SUMPRODUCT($J$8:$K$8,$J883:$K883))/1000</f>
        <v/>
      </c>
      <c r="F883" s="57">
        <f>-((fcd_sn*sn_b*(3/14*sn_h*(sn_h-3/7*sn_h)+4/7*sn_h*(sn_h/2-3/7*sn_h)*(1-$C883^2/3)-16/49*sn_h^2*(1/2-$C883^2/4))+SUMPRODUCT($J$8:$K$8,$J883:$K883,$J$10:$K$10))/1E6)</f>
        <v/>
      </c>
      <c r="J883">
        <f>MAX(-fyd_sn,MIN(fyd_sn,200000*0.002*(1-$C883*(7*J$9-3*sn_h)/(4*sn_h))))-fcd_sn*(1-MIN(1,MAX(0,$C883*(7*J$9-3*sn_h)/(4*sn_h)))^2)</f>
        <v/>
      </c>
      <c r="K883">
        <f>MAX(-fyd_sn,MIN(fyd_sn,200000*0.002*(1-$C883*(7*K$9-3*sn_h)/(4*sn_h))))-fcd_sn*(1-MIN(1,MAX(0,$C883*(7*K$9-3*sn_h)/(4*sn_h)))^2)</f>
        <v/>
      </c>
    </row>
    <row r="884">
      <c r="B884" s="55" t="n">
        <v>141</v>
      </c>
      <c r="C884" s="58">
        <f>1-141/200</f>
        <v/>
      </c>
      <c r="D884" s="59">
        <f>IF($C884&gt;=1,sn_h,3/7*sn_h+4/7*sn_h/MAX($C884,1E-12))</f>
        <v/>
      </c>
      <c r="E884" s="57">
        <f>(fcd_sn*sn_b*sn_h*(3/7+4/7*(1-$C884^2/3))+SUMPRODUCT($J$8:$K$8,$J884:$K884))/1000</f>
        <v/>
      </c>
      <c r="F884" s="57">
        <f>-((fcd_sn*sn_b*(3/14*sn_h*(sn_h-3/7*sn_h)+4/7*sn_h*(sn_h/2-3/7*sn_h)*(1-$C884^2/3)-16/49*sn_h^2*(1/2-$C884^2/4))+SUMPRODUCT($J$8:$K$8,$J884:$K884,$J$10:$K$10))/1E6)</f>
        <v/>
      </c>
      <c r="J884">
        <f>MAX(-fyd_sn,MIN(fyd_sn,200000*0.002*(1-$C884*(7*J$9-3*sn_h)/(4*sn_h))))-fcd_sn*(1-MIN(1,MAX(0,$C884*(7*J$9-3*sn_h)/(4*sn_h)))^2)</f>
        <v/>
      </c>
      <c r="K884">
        <f>MAX(-fyd_sn,MIN(fyd_sn,200000*0.002*(1-$C884*(7*K$9-3*sn_h)/(4*sn_h))))-fcd_sn*(1-MIN(1,MAX(0,$C884*(7*K$9-3*sn_h)/(4*sn_h)))^2)</f>
        <v/>
      </c>
    </row>
    <row r="885">
      <c r="B885" s="55" t="n">
        <v>142</v>
      </c>
      <c r="C885" s="58">
        <f>1-142/200</f>
        <v/>
      </c>
      <c r="D885" s="59">
        <f>IF($C885&gt;=1,sn_h,3/7*sn_h+4/7*sn_h/MAX($C885,1E-12))</f>
        <v/>
      </c>
      <c r="E885" s="57">
        <f>(fcd_sn*sn_b*sn_h*(3/7+4/7*(1-$C885^2/3))+SUMPRODUCT($J$8:$K$8,$J885:$K885))/1000</f>
        <v/>
      </c>
      <c r="F885" s="57">
        <f>-((fcd_sn*sn_b*(3/14*sn_h*(sn_h-3/7*sn_h)+4/7*sn_h*(sn_h/2-3/7*sn_h)*(1-$C885^2/3)-16/49*sn_h^2*(1/2-$C885^2/4))+SUMPRODUCT($J$8:$K$8,$J885:$K885,$J$10:$K$10))/1E6)</f>
        <v/>
      </c>
      <c r="J885">
        <f>MAX(-fyd_sn,MIN(fyd_sn,200000*0.002*(1-$C885*(7*J$9-3*sn_h)/(4*sn_h))))-fcd_sn*(1-MIN(1,MAX(0,$C885*(7*J$9-3*sn_h)/(4*sn_h)))^2)</f>
        <v/>
      </c>
      <c r="K885">
        <f>MAX(-fyd_sn,MIN(fyd_sn,200000*0.002*(1-$C885*(7*K$9-3*sn_h)/(4*sn_h))))-fcd_sn*(1-MIN(1,MAX(0,$C885*(7*K$9-3*sn_h)/(4*sn_h)))^2)</f>
        <v/>
      </c>
    </row>
    <row r="886">
      <c r="B886" s="55" t="n">
        <v>143</v>
      </c>
      <c r="C886" s="58">
        <f>1-143/200</f>
        <v/>
      </c>
      <c r="D886" s="59">
        <f>IF($C886&gt;=1,sn_h,3/7*sn_h+4/7*sn_h/MAX($C886,1E-12))</f>
        <v/>
      </c>
      <c r="E886" s="57">
        <f>(fcd_sn*sn_b*sn_h*(3/7+4/7*(1-$C886^2/3))+SUMPRODUCT($J$8:$K$8,$J886:$K886))/1000</f>
        <v/>
      </c>
      <c r="F886" s="57">
        <f>-((fcd_sn*sn_b*(3/14*sn_h*(sn_h-3/7*sn_h)+4/7*sn_h*(sn_h/2-3/7*sn_h)*(1-$C886^2/3)-16/49*sn_h^2*(1/2-$C886^2/4))+SUMPRODUCT($J$8:$K$8,$J886:$K886,$J$10:$K$10))/1E6)</f>
        <v/>
      </c>
      <c r="J886">
        <f>MAX(-fyd_sn,MIN(fyd_sn,200000*0.002*(1-$C886*(7*J$9-3*sn_h)/(4*sn_h))))-fcd_sn*(1-MIN(1,MAX(0,$C886*(7*J$9-3*sn_h)/(4*sn_h)))^2)</f>
        <v/>
      </c>
      <c r="K886">
        <f>MAX(-fyd_sn,MIN(fyd_sn,200000*0.002*(1-$C886*(7*K$9-3*sn_h)/(4*sn_h))))-fcd_sn*(1-MIN(1,MAX(0,$C886*(7*K$9-3*sn_h)/(4*sn_h)))^2)</f>
        <v/>
      </c>
    </row>
    <row r="887">
      <c r="B887" s="55" t="n">
        <v>144</v>
      </c>
      <c r="C887" s="58">
        <f>1-144/200</f>
        <v/>
      </c>
      <c r="D887" s="59">
        <f>IF($C887&gt;=1,sn_h,3/7*sn_h+4/7*sn_h/MAX($C887,1E-12))</f>
        <v/>
      </c>
      <c r="E887" s="57">
        <f>(fcd_sn*sn_b*sn_h*(3/7+4/7*(1-$C887^2/3))+SUMPRODUCT($J$8:$K$8,$J887:$K887))/1000</f>
        <v/>
      </c>
      <c r="F887" s="57">
        <f>-((fcd_sn*sn_b*(3/14*sn_h*(sn_h-3/7*sn_h)+4/7*sn_h*(sn_h/2-3/7*sn_h)*(1-$C887^2/3)-16/49*sn_h^2*(1/2-$C887^2/4))+SUMPRODUCT($J$8:$K$8,$J887:$K887,$J$10:$K$10))/1E6)</f>
        <v/>
      </c>
      <c r="J887">
        <f>MAX(-fyd_sn,MIN(fyd_sn,200000*0.002*(1-$C887*(7*J$9-3*sn_h)/(4*sn_h))))-fcd_sn*(1-MIN(1,MAX(0,$C887*(7*J$9-3*sn_h)/(4*sn_h)))^2)</f>
        <v/>
      </c>
      <c r="K887">
        <f>MAX(-fyd_sn,MIN(fyd_sn,200000*0.002*(1-$C887*(7*K$9-3*sn_h)/(4*sn_h))))-fcd_sn*(1-MIN(1,MAX(0,$C887*(7*K$9-3*sn_h)/(4*sn_h)))^2)</f>
        <v/>
      </c>
    </row>
    <row r="888">
      <c r="B888" s="55" t="n">
        <v>145</v>
      </c>
      <c r="C888" s="58">
        <f>1-145/200</f>
        <v/>
      </c>
      <c r="D888" s="59">
        <f>IF($C888&gt;=1,sn_h,3/7*sn_h+4/7*sn_h/MAX($C888,1E-12))</f>
        <v/>
      </c>
      <c r="E888" s="57">
        <f>(fcd_sn*sn_b*sn_h*(3/7+4/7*(1-$C888^2/3))+SUMPRODUCT($J$8:$K$8,$J888:$K888))/1000</f>
        <v/>
      </c>
      <c r="F888" s="57">
        <f>-((fcd_sn*sn_b*(3/14*sn_h*(sn_h-3/7*sn_h)+4/7*sn_h*(sn_h/2-3/7*sn_h)*(1-$C888^2/3)-16/49*sn_h^2*(1/2-$C888^2/4))+SUMPRODUCT($J$8:$K$8,$J888:$K888,$J$10:$K$10))/1E6)</f>
        <v/>
      </c>
      <c r="J888">
        <f>MAX(-fyd_sn,MIN(fyd_sn,200000*0.002*(1-$C888*(7*J$9-3*sn_h)/(4*sn_h))))-fcd_sn*(1-MIN(1,MAX(0,$C888*(7*J$9-3*sn_h)/(4*sn_h)))^2)</f>
        <v/>
      </c>
      <c r="K888">
        <f>MAX(-fyd_sn,MIN(fyd_sn,200000*0.002*(1-$C888*(7*K$9-3*sn_h)/(4*sn_h))))-fcd_sn*(1-MIN(1,MAX(0,$C888*(7*K$9-3*sn_h)/(4*sn_h)))^2)</f>
        <v/>
      </c>
    </row>
    <row r="889">
      <c r="B889" s="55" t="n">
        <v>146</v>
      </c>
      <c r="C889" s="58">
        <f>1-146/200</f>
        <v/>
      </c>
      <c r="D889" s="59">
        <f>IF($C889&gt;=1,sn_h,3/7*sn_h+4/7*sn_h/MAX($C889,1E-12))</f>
        <v/>
      </c>
      <c r="E889" s="57">
        <f>(fcd_sn*sn_b*sn_h*(3/7+4/7*(1-$C889^2/3))+SUMPRODUCT($J$8:$K$8,$J889:$K889))/1000</f>
        <v/>
      </c>
      <c r="F889" s="57">
        <f>-((fcd_sn*sn_b*(3/14*sn_h*(sn_h-3/7*sn_h)+4/7*sn_h*(sn_h/2-3/7*sn_h)*(1-$C889^2/3)-16/49*sn_h^2*(1/2-$C889^2/4))+SUMPRODUCT($J$8:$K$8,$J889:$K889,$J$10:$K$10))/1E6)</f>
        <v/>
      </c>
      <c r="J889">
        <f>MAX(-fyd_sn,MIN(fyd_sn,200000*0.002*(1-$C889*(7*J$9-3*sn_h)/(4*sn_h))))-fcd_sn*(1-MIN(1,MAX(0,$C889*(7*J$9-3*sn_h)/(4*sn_h)))^2)</f>
        <v/>
      </c>
      <c r="K889">
        <f>MAX(-fyd_sn,MIN(fyd_sn,200000*0.002*(1-$C889*(7*K$9-3*sn_h)/(4*sn_h))))-fcd_sn*(1-MIN(1,MAX(0,$C889*(7*K$9-3*sn_h)/(4*sn_h)))^2)</f>
        <v/>
      </c>
    </row>
    <row r="890">
      <c r="B890" s="55" t="n">
        <v>147</v>
      </c>
      <c r="C890" s="58">
        <f>1-147/200</f>
        <v/>
      </c>
      <c r="D890" s="59">
        <f>IF($C890&gt;=1,sn_h,3/7*sn_h+4/7*sn_h/MAX($C890,1E-12))</f>
        <v/>
      </c>
      <c r="E890" s="57">
        <f>(fcd_sn*sn_b*sn_h*(3/7+4/7*(1-$C890^2/3))+SUMPRODUCT($J$8:$K$8,$J890:$K890))/1000</f>
        <v/>
      </c>
      <c r="F890" s="57">
        <f>-((fcd_sn*sn_b*(3/14*sn_h*(sn_h-3/7*sn_h)+4/7*sn_h*(sn_h/2-3/7*sn_h)*(1-$C890^2/3)-16/49*sn_h^2*(1/2-$C890^2/4))+SUMPRODUCT($J$8:$K$8,$J890:$K890,$J$10:$K$10))/1E6)</f>
        <v/>
      </c>
      <c r="J890">
        <f>MAX(-fyd_sn,MIN(fyd_sn,200000*0.002*(1-$C890*(7*J$9-3*sn_h)/(4*sn_h))))-fcd_sn*(1-MIN(1,MAX(0,$C890*(7*J$9-3*sn_h)/(4*sn_h)))^2)</f>
        <v/>
      </c>
      <c r="K890">
        <f>MAX(-fyd_sn,MIN(fyd_sn,200000*0.002*(1-$C890*(7*K$9-3*sn_h)/(4*sn_h))))-fcd_sn*(1-MIN(1,MAX(0,$C890*(7*K$9-3*sn_h)/(4*sn_h)))^2)</f>
        <v/>
      </c>
    </row>
    <row r="891">
      <c r="B891" s="55" t="n">
        <v>148</v>
      </c>
      <c r="C891" s="58">
        <f>1-148/200</f>
        <v/>
      </c>
      <c r="D891" s="59">
        <f>IF($C891&gt;=1,sn_h,3/7*sn_h+4/7*sn_h/MAX($C891,1E-12))</f>
        <v/>
      </c>
      <c r="E891" s="57">
        <f>(fcd_sn*sn_b*sn_h*(3/7+4/7*(1-$C891^2/3))+SUMPRODUCT($J$8:$K$8,$J891:$K891))/1000</f>
        <v/>
      </c>
      <c r="F891" s="57">
        <f>-((fcd_sn*sn_b*(3/14*sn_h*(sn_h-3/7*sn_h)+4/7*sn_h*(sn_h/2-3/7*sn_h)*(1-$C891^2/3)-16/49*sn_h^2*(1/2-$C891^2/4))+SUMPRODUCT($J$8:$K$8,$J891:$K891,$J$10:$K$10))/1E6)</f>
        <v/>
      </c>
      <c r="J891">
        <f>MAX(-fyd_sn,MIN(fyd_sn,200000*0.002*(1-$C891*(7*J$9-3*sn_h)/(4*sn_h))))-fcd_sn*(1-MIN(1,MAX(0,$C891*(7*J$9-3*sn_h)/(4*sn_h)))^2)</f>
        <v/>
      </c>
      <c r="K891">
        <f>MAX(-fyd_sn,MIN(fyd_sn,200000*0.002*(1-$C891*(7*K$9-3*sn_h)/(4*sn_h))))-fcd_sn*(1-MIN(1,MAX(0,$C891*(7*K$9-3*sn_h)/(4*sn_h)))^2)</f>
        <v/>
      </c>
    </row>
    <row r="892">
      <c r="B892" s="55" t="n">
        <v>149</v>
      </c>
      <c r="C892" s="58">
        <f>1-149/200</f>
        <v/>
      </c>
      <c r="D892" s="59">
        <f>IF($C892&gt;=1,sn_h,3/7*sn_h+4/7*sn_h/MAX($C892,1E-12))</f>
        <v/>
      </c>
      <c r="E892" s="57">
        <f>(fcd_sn*sn_b*sn_h*(3/7+4/7*(1-$C892^2/3))+SUMPRODUCT($J$8:$K$8,$J892:$K892))/1000</f>
        <v/>
      </c>
      <c r="F892" s="57">
        <f>-((fcd_sn*sn_b*(3/14*sn_h*(sn_h-3/7*sn_h)+4/7*sn_h*(sn_h/2-3/7*sn_h)*(1-$C892^2/3)-16/49*sn_h^2*(1/2-$C892^2/4))+SUMPRODUCT($J$8:$K$8,$J892:$K892,$J$10:$K$10))/1E6)</f>
        <v/>
      </c>
      <c r="J892">
        <f>MAX(-fyd_sn,MIN(fyd_sn,200000*0.002*(1-$C892*(7*J$9-3*sn_h)/(4*sn_h))))-fcd_sn*(1-MIN(1,MAX(0,$C892*(7*J$9-3*sn_h)/(4*sn_h)))^2)</f>
        <v/>
      </c>
      <c r="K892">
        <f>MAX(-fyd_sn,MIN(fyd_sn,200000*0.002*(1-$C892*(7*K$9-3*sn_h)/(4*sn_h))))-fcd_sn*(1-MIN(1,MAX(0,$C892*(7*K$9-3*sn_h)/(4*sn_h)))^2)</f>
        <v/>
      </c>
    </row>
    <row r="893">
      <c r="B893" s="55" t="n">
        <v>150</v>
      </c>
      <c r="C893" s="58">
        <f>1-150/200</f>
        <v/>
      </c>
      <c r="D893" s="59">
        <f>IF($C893&gt;=1,sn_h,3/7*sn_h+4/7*sn_h/MAX($C893,1E-12))</f>
        <v/>
      </c>
      <c r="E893" s="57">
        <f>(fcd_sn*sn_b*sn_h*(3/7+4/7*(1-$C893^2/3))+SUMPRODUCT($J$8:$K$8,$J893:$K893))/1000</f>
        <v/>
      </c>
      <c r="F893" s="57">
        <f>-((fcd_sn*sn_b*(3/14*sn_h*(sn_h-3/7*sn_h)+4/7*sn_h*(sn_h/2-3/7*sn_h)*(1-$C893^2/3)-16/49*sn_h^2*(1/2-$C893^2/4))+SUMPRODUCT($J$8:$K$8,$J893:$K893,$J$10:$K$10))/1E6)</f>
        <v/>
      </c>
      <c r="J893">
        <f>MAX(-fyd_sn,MIN(fyd_sn,200000*0.002*(1-$C893*(7*J$9-3*sn_h)/(4*sn_h))))-fcd_sn*(1-MIN(1,MAX(0,$C893*(7*J$9-3*sn_h)/(4*sn_h)))^2)</f>
        <v/>
      </c>
      <c r="K893">
        <f>MAX(-fyd_sn,MIN(fyd_sn,200000*0.002*(1-$C893*(7*K$9-3*sn_h)/(4*sn_h))))-fcd_sn*(1-MIN(1,MAX(0,$C893*(7*K$9-3*sn_h)/(4*sn_h)))^2)</f>
        <v/>
      </c>
    </row>
    <row r="894">
      <c r="B894" s="55" t="n">
        <v>151</v>
      </c>
      <c r="C894" s="58">
        <f>1-151/200</f>
        <v/>
      </c>
      <c r="D894" s="59">
        <f>IF($C894&gt;=1,sn_h,3/7*sn_h+4/7*sn_h/MAX($C894,1E-12))</f>
        <v/>
      </c>
      <c r="E894" s="57">
        <f>(fcd_sn*sn_b*sn_h*(3/7+4/7*(1-$C894^2/3))+SUMPRODUCT($J$8:$K$8,$J894:$K894))/1000</f>
        <v/>
      </c>
      <c r="F894" s="57">
        <f>-((fcd_sn*sn_b*(3/14*sn_h*(sn_h-3/7*sn_h)+4/7*sn_h*(sn_h/2-3/7*sn_h)*(1-$C894^2/3)-16/49*sn_h^2*(1/2-$C894^2/4))+SUMPRODUCT($J$8:$K$8,$J894:$K894,$J$10:$K$10))/1E6)</f>
        <v/>
      </c>
      <c r="J894">
        <f>MAX(-fyd_sn,MIN(fyd_sn,200000*0.002*(1-$C894*(7*J$9-3*sn_h)/(4*sn_h))))-fcd_sn*(1-MIN(1,MAX(0,$C894*(7*J$9-3*sn_h)/(4*sn_h)))^2)</f>
        <v/>
      </c>
      <c r="K894">
        <f>MAX(-fyd_sn,MIN(fyd_sn,200000*0.002*(1-$C894*(7*K$9-3*sn_h)/(4*sn_h))))-fcd_sn*(1-MIN(1,MAX(0,$C894*(7*K$9-3*sn_h)/(4*sn_h)))^2)</f>
        <v/>
      </c>
    </row>
    <row r="895">
      <c r="B895" s="55" t="n">
        <v>152</v>
      </c>
      <c r="C895" s="58">
        <f>1-152/200</f>
        <v/>
      </c>
      <c r="D895" s="59">
        <f>IF($C895&gt;=1,sn_h,3/7*sn_h+4/7*sn_h/MAX($C895,1E-12))</f>
        <v/>
      </c>
      <c r="E895" s="57">
        <f>(fcd_sn*sn_b*sn_h*(3/7+4/7*(1-$C895^2/3))+SUMPRODUCT($J$8:$K$8,$J895:$K895))/1000</f>
        <v/>
      </c>
      <c r="F895" s="57">
        <f>-((fcd_sn*sn_b*(3/14*sn_h*(sn_h-3/7*sn_h)+4/7*sn_h*(sn_h/2-3/7*sn_h)*(1-$C895^2/3)-16/49*sn_h^2*(1/2-$C895^2/4))+SUMPRODUCT($J$8:$K$8,$J895:$K895,$J$10:$K$10))/1E6)</f>
        <v/>
      </c>
      <c r="J895">
        <f>MAX(-fyd_sn,MIN(fyd_sn,200000*0.002*(1-$C895*(7*J$9-3*sn_h)/(4*sn_h))))-fcd_sn*(1-MIN(1,MAX(0,$C895*(7*J$9-3*sn_h)/(4*sn_h)))^2)</f>
        <v/>
      </c>
      <c r="K895">
        <f>MAX(-fyd_sn,MIN(fyd_sn,200000*0.002*(1-$C895*(7*K$9-3*sn_h)/(4*sn_h))))-fcd_sn*(1-MIN(1,MAX(0,$C895*(7*K$9-3*sn_h)/(4*sn_h)))^2)</f>
        <v/>
      </c>
    </row>
    <row r="896">
      <c r="B896" s="55" t="n">
        <v>153</v>
      </c>
      <c r="C896" s="58">
        <f>1-153/200</f>
        <v/>
      </c>
      <c r="D896" s="59">
        <f>IF($C896&gt;=1,sn_h,3/7*sn_h+4/7*sn_h/MAX($C896,1E-12))</f>
        <v/>
      </c>
      <c r="E896" s="57">
        <f>(fcd_sn*sn_b*sn_h*(3/7+4/7*(1-$C896^2/3))+SUMPRODUCT($J$8:$K$8,$J896:$K896))/1000</f>
        <v/>
      </c>
      <c r="F896" s="57">
        <f>-((fcd_sn*sn_b*(3/14*sn_h*(sn_h-3/7*sn_h)+4/7*sn_h*(sn_h/2-3/7*sn_h)*(1-$C896^2/3)-16/49*sn_h^2*(1/2-$C896^2/4))+SUMPRODUCT($J$8:$K$8,$J896:$K896,$J$10:$K$10))/1E6)</f>
        <v/>
      </c>
      <c r="J896">
        <f>MAX(-fyd_sn,MIN(fyd_sn,200000*0.002*(1-$C896*(7*J$9-3*sn_h)/(4*sn_h))))-fcd_sn*(1-MIN(1,MAX(0,$C896*(7*J$9-3*sn_h)/(4*sn_h)))^2)</f>
        <v/>
      </c>
      <c r="K896">
        <f>MAX(-fyd_sn,MIN(fyd_sn,200000*0.002*(1-$C896*(7*K$9-3*sn_h)/(4*sn_h))))-fcd_sn*(1-MIN(1,MAX(0,$C896*(7*K$9-3*sn_h)/(4*sn_h)))^2)</f>
        <v/>
      </c>
    </row>
    <row r="897">
      <c r="B897" s="55" t="n">
        <v>154</v>
      </c>
      <c r="C897" s="58">
        <f>1-154/200</f>
        <v/>
      </c>
      <c r="D897" s="59">
        <f>IF($C897&gt;=1,sn_h,3/7*sn_h+4/7*sn_h/MAX($C897,1E-12))</f>
        <v/>
      </c>
      <c r="E897" s="57">
        <f>(fcd_sn*sn_b*sn_h*(3/7+4/7*(1-$C897^2/3))+SUMPRODUCT($J$8:$K$8,$J897:$K897))/1000</f>
        <v/>
      </c>
      <c r="F897" s="57">
        <f>-((fcd_sn*sn_b*(3/14*sn_h*(sn_h-3/7*sn_h)+4/7*sn_h*(sn_h/2-3/7*sn_h)*(1-$C897^2/3)-16/49*sn_h^2*(1/2-$C897^2/4))+SUMPRODUCT($J$8:$K$8,$J897:$K897,$J$10:$K$10))/1E6)</f>
        <v/>
      </c>
      <c r="J897">
        <f>MAX(-fyd_sn,MIN(fyd_sn,200000*0.002*(1-$C897*(7*J$9-3*sn_h)/(4*sn_h))))-fcd_sn*(1-MIN(1,MAX(0,$C897*(7*J$9-3*sn_h)/(4*sn_h)))^2)</f>
        <v/>
      </c>
      <c r="K897">
        <f>MAX(-fyd_sn,MIN(fyd_sn,200000*0.002*(1-$C897*(7*K$9-3*sn_h)/(4*sn_h))))-fcd_sn*(1-MIN(1,MAX(0,$C897*(7*K$9-3*sn_h)/(4*sn_h)))^2)</f>
        <v/>
      </c>
    </row>
    <row r="898">
      <c r="B898" s="55" t="n">
        <v>155</v>
      </c>
      <c r="C898" s="58">
        <f>1-155/200</f>
        <v/>
      </c>
      <c r="D898" s="59">
        <f>IF($C898&gt;=1,sn_h,3/7*sn_h+4/7*sn_h/MAX($C898,1E-12))</f>
        <v/>
      </c>
      <c r="E898" s="57">
        <f>(fcd_sn*sn_b*sn_h*(3/7+4/7*(1-$C898^2/3))+SUMPRODUCT($J$8:$K$8,$J898:$K898))/1000</f>
        <v/>
      </c>
      <c r="F898" s="57">
        <f>-((fcd_sn*sn_b*(3/14*sn_h*(sn_h-3/7*sn_h)+4/7*sn_h*(sn_h/2-3/7*sn_h)*(1-$C898^2/3)-16/49*sn_h^2*(1/2-$C898^2/4))+SUMPRODUCT($J$8:$K$8,$J898:$K898,$J$10:$K$10))/1E6)</f>
        <v/>
      </c>
      <c r="J898">
        <f>MAX(-fyd_sn,MIN(fyd_sn,200000*0.002*(1-$C898*(7*J$9-3*sn_h)/(4*sn_h))))-fcd_sn*(1-MIN(1,MAX(0,$C898*(7*J$9-3*sn_h)/(4*sn_h)))^2)</f>
        <v/>
      </c>
      <c r="K898">
        <f>MAX(-fyd_sn,MIN(fyd_sn,200000*0.002*(1-$C898*(7*K$9-3*sn_h)/(4*sn_h))))-fcd_sn*(1-MIN(1,MAX(0,$C898*(7*K$9-3*sn_h)/(4*sn_h)))^2)</f>
        <v/>
      </c>
    </row>
    <row r="899">
      <c r="B899" s="55" t="n">
        <v>156</v>
      </c>
      <c r="C899" s="58">
        <f>1-156/200</f>
        <v/>
      </c>
      <c r="D899" s="59">
        <f>IF($C899&gt;=1,sn_h,3/7*sn_h+4/7*sn_h/MAX($C899,1E-12))</f>
        <v/>
      </c>
      <c r="E899" s="57">
        <f>(fcd_sn*sn_b*sn_h*(3/7+4/7*(1-$C899^2/3))+SUMPRODUCT($J$8:$K$8,$J899:$K899))/1000</f>
        <v/>
      </c>
      <c r="F899" s="57">
        <f>-((fcd_sn*sn_b*(3/14*sn_h*(sn_h-3/7*sn_h)+4/7*sn_h*(sn_h/2-3/7*sn_h)*(1-$C899^2/3)-16/49*sn_h^2*(1/2-$C899^2/4))+SUMPRODUCT($J$8:$K$8,$J899:$K899,$J$10:$K$10))/1E6)</f>
        <v/>
      </c>
      <c r="J899">
        <f>MAX(-fyd_sn,MIN(fyd_sn,200000*0.002*(1-$C899*(7*J$9-3*sn_h)/(4*sn_h))))-fcd_sn*(1-MIN(1,MAX(0,$C899*(7*J$9-3*sn_h)/(4*sn_h)))^2)</f>
        <v/>
      </c>
      <c r="K899">
        <f>MAX(-fyd_sn,MIN(fyd_sn,200000*0.002*(1-$C899*(7*K$9-3*sn_h)/(4*sn_h))))-fcd_sn*(1-MIN(1,MAX(0,$C899*(7*K$9-3*sn_h)/(4*sn_h)))^2)</f>
        <v/>
      </c>
    </row>
    <row r="900">
      <c r="B900" s="55" t="n">
        <v>157</v>
      </c>
      <c r="C900" s="58">
        <f>1-157/200</f>
        <v/>
      </c>
      <c r="D900" s="59">
        <f>IF($C900&gt;=1,sn_h,3/7*sn_h+4/7*sn_h/MAX($C900,1E-12))</f>
        <v/>
      </c>
      <c r="E900" s="57">
        <f>(fcd_sn*sn_b*sn_h*(3/7+4/7*(1-$C900^2/3))+SUMPRODUCT($J$8:$K$8,$J900:$K900))/1000</f>
        <v/>
      </c>
      <c r="F900" s="57">
        <f>-((fcd_sn*sn_b*(3/14*sn_h*(sn_h-3/7*sn_h)+4/7*sn_h*(sn_h/2-3/7*sn_h)*(1-$C900^2/3)-16/49*sn_h^2*(1/2-$C900^2/4))+SUMPRODUCT($J$8:$K$8,$J900:$K900,$J$10:$K$10))/1E6)</f>
        <v/>
      </c>
      <c r="J900">
        <f>MAX(-fyd_sn,MIN(fyd_sn,200000*0.002*(1-$C900*(7*J$9-3*sn_h)/(4*sn_h))))-fcd_sn*(1-MIN(1,MAX(0,$C900*(7*J$9-3*sn_h)/(4*sn_h)))^2)</f>
        <v/>
      </c>
      <c r="K900">
        <f>MAX(-fyd_sn,MIN(fyd_sn,200000*0.002*(1-$C900*(7*K$9-3*sn_h)/(4*sn_h))))-fcd_sn*(1-MIN(1,MAX(0,$C900*(7*K$9-3*sn_h)/(4*sn_h)))^2)</f>
        <v/>
      </c>
    </row>
    <row r="901">
      <c r="B901" s="55" t="n">
        <v>158</v>
      </c>
      <c r="C901" s="58">
        <f>1-158/200</f>
        <v/>
      </c>
      <c r="D901" s="59">
        <f>IF($C901&gt;=1,sn_h,3/7*sn_h+4/7*sn_h/MAX($C901,1E-12))</f>
        <v/>
      </c>
      <c r="E901" s="57">
        <f>(fcd_sn*sn_b*sn_h*(3/7+4/7*(1-$C901^2/3))+SUMPRODUCT($J$8:$K$8,$J901:$K901))/1000</f>
        <v/>
      </c>
      <c r="F901" s="57">
        <f>-((fcd_sn*sn_b*(3/14*sn_h*(sn_h-3/7*sn_h)+4/7*sn_h*(sn_h/2-3/7*sn_h)*(1-$C901^2/3)-16/49*sn_h^2*(1/2-$C901^2/4))+SUMPRODUCT($J$8:$K$8,$J901:$K901,$J$10:$K$10))/1E6)</f>
        <v/>
      </c>
      <c r="J901">
        <f>MAX(-fyd_sn,MIN(fyd_sn,200000*0.002*(1-$C901*(7*J$9-3*sn_h)/(4*sn_h))))-fcd_sn*(1-MIN(1,MAX(0,$C901*(7*J$9-3*sn_h)/(4*sn_h)))^2)</f>
        <v/>
      </c>
      <c r="K901">
        <f>MAX(-fyd_sn,MIN(fyd_sn,200000*0.002*(1-$C901*(7*K$9-3*sn_h)/(4*sn_h))))-fcd_sn*(1-MIN(1,MAX(0,$C901*(7*K$9-3*sn_h)/(4*sn_h)))^2)</f>
        <v/>
      </c>
    </row>
    <row r="902">
      <c r="B902" s="55" t="n">
        <v>159</v>
      </c>
      <c r="C902" s="58">
        <f>1-159/200</f>
        <v/>
      </c>
      <c r="D902" s="59">
        <f>IF($C902&gt;=1,sn_h,3/7*sn_h+4/7*sn_h/MAX($C902,1E-12))</f>
        <v/>
      </c>
      <c r="E902" s="57">
        <f>(fcd_sn*sn_b*sn_h*(3/7+4/7*(1-$C902^2/3))+SUMPRODUCT($J$8:$K$8,$J902:$K902))/1000</f>
        <v/>
      </c>
      <c r="F902" s="57">
        <f>-((fcd_sn*sn_b*(3/14*sn_h*(sn_h-3/7*sn_h)+4/7*sn_h*(sn_h/2-3/7*sn_h)*(1-$C902^2/3)-16/49*sn_h^2*(1/2-$C902^2/4))+SUMPRODUCT($J$8:$K$8,$J902:$K902,$J$10:$K$10))/1E6)</f>
        <v/>
      </c>
      <c r="J902">
        <f>MAX(-fyd_sn,MIN(fyd_sn,200000*0.002*(1-$C902*(7*J$9-3*sn_h)/(4*sn_h))))-fcd_sn*(1-MIN(1,MAX(0,$C902*(7*J$9-3*sn_h)/(4*sn_h)))^2)</f>
        <v/>
      </c>
      <c r="K902">
        <f>MAX(-fyd_sn,MIN(fyd_sn,200000*0.002*(1-$C902*(7*K$9-3*sn_h)/(4*sn_h))))-fcd_sn*(1-MIN(1,MAX(0,$C902*(7*K$9-3*sn_h)/(4*sn_h)))^2)</f>
        <v/>
      </c>
    </row>
    <row r="903">
      <c r="B903" s="55" t="n">
        <v>160</v>
      </c>
      <c r="C903" s="58">
        <f>1-160/200</f>
        <v/>
      </c>
      <c r="D903" s="59">
        <f>IF($C903&gt;=1,sn_h,3/7*sn_h+4/7*sn_h/MAX($C903,1E-12))</f>
        <v/>
      </c>
      <c r="E903" s="57">
        <f>(fcd_sn*sn_b*sn_h*(3/7+4/7*(1-$C903^2/3))+SUMPRODUCT($J$8:$K$8,$J903:$K903))/1000</f>
        <v/>
      </c>
      <c r="F903" s="57">
        <f>-((fcd_sn*sn_b*(3/14*sn_h*(sn_h-3/7*sn_h)+4/7*sn_h*(sn_h/2-3/7*sn_h)*(1-$C903^2/3)-16/49*sn_h^2*(1/2-$C903^2/4))+SUMPRODUCT($J$8:$K$8,$J903:$K903,$J$10:$K$10))/1E6)</f>
        <v/>
      </c>
      <c r="J903">
        <f>MAX(-fyd_sn,MIN(fyd_sn,200000*0.002*(1-$C903*(7*J$9-3*sn_h)/(4*sn_h))))-fcd_sn*(1-MIN(1,MAX(0,$C903*(7*J$9-3*sn_h)/(4*sn_h)))^2)</f>
        <v/>
      </c>
      <c r="K903">
        <f>MAX(-fyd_sn,MIN(fyd_sn,200000*0.002*(1-$C903*(7*K$9-3*sn_h)/(4*sn_h))))-fcd_sn*(1-MIN(1,MAX(0,$C903*(7*K$9-3*sn_h)/(4*sn_h)))^2)</f>
        <v/>
      </c>
    </row>
    <row r="904">
      <c r="B904" s="55" t="n">
        <v>161</v>
      </c>
      <c r="C904" s="58">
        <f>1-161/200</f>
        <v/>
      </c>
      <c r="D904" s="59">
        <f>IF($C904&gt;=1,sn_h,3/7*sn_h+4/7*sn_h/MAX($C904,1E-12))</f>
        <v/>
      </c>
      <c r="E904" s="57">
        <f>(fcd_sn*sn_b*sn_h*(3/7+4/7*(1-$C904^2/3))+SUMPRODUCT($J$8:$K$8,$J904:$K904))/1000</f>
        <v/>
      </c>
      <c r="F904" s="57">
        <f>-((fcd_sn*sn_b*(3/14*sn_h*(sn_h-3/7*sn_h)+4/7*sn_h*(sn_h/2-3/7*sn_h)*(1-$C904^2/3)-16/49*sn_h^2*(1/2-$C904^2/4))+SUMPRODUCT($J$8:$K$8,$J904:$K904,$J$10:$K$10))/1E6)</f>
        <v/>
      </c>
      <c r="J904">
        <f>MAX(-fyd_sn,MIN(fyd_sn,200000*0.002*(1-$C904*(7*J$9-3*sn_h)/(4*sn_h))))-fcd_sn*(1-MIN(1,MAX(0,$C904*(7*J$9-3*sn_h)/(4*sn_h)))^2)</f>
        <v/>
      </c>
      <c r="K904">
        <f>MAX(-fyd_sn,MIN(fyd_sn,200000*0.002*(1-$C904*(7*K$9-3*sn_h)/(4*sn_h))))-fcd_sn*(1-MIN(1,MAX(0,$C904*(7*K$9-3*sn_h)/(4*sn_h)))^2)</f>
        <v/>
      </c>
    </row>
    <row r="905">
      <c r="B905" s="55" t="n">
        <v>162</v>
      </c>
      <c r="C905" s="58">
        <f>1-162/200</f>
        <v/>
      </c>
      <c r="D905" s="59">
        <f>IF($C905&gt;=1,sn_h,3/7*sn_h+4/7*sn_h/MAX($C905,1E-12))</f>
        <v/>
      </c>
      <c r="E905" s="57">
        <f>(fcd_sn*sn_b*sn_h*(3/7+4/7*(1-$C905^2/3))+SUMPRODUCT($J$8:$K$8,$J905:$K905))/1000</f>
        <v/>
      </c>
      <c r="F905" s="57">
        <f>-((fcd_sn*sn_b*(3/14*sn_h*(sn_h-3/7*sn_h)+4/7*sn_h*(sn_h/2-3/7*sn_h)*(1-$C905^2/3)-16/49*sn_h^2*(1/2-$C905^2/4))+SUMPRODUCT($J$8:$K$8,$J905:$K905,$J$10:$K$10))/1E6)</f>
        <v/>
      </c>
      <c r="J905">
        <f>MAX(-fyd_sn,MIN(fyd_sn,200000*0.002*(1-$C905*(7*J$9-3*sn_h)/(4*sn_h))))-fcd_sn*(1-MIN(1,MAX(0,$C905*(7*J$9-3*sn_h)/(4*sn_h)))^2)</f>
        <v/>
      </c>
      <c r="K905">
        <f>MAX(-fyd_sn,MIN(fyd_sn,200000*0.002*(1-$C905*(7*K$9-3*sn_h)/(4*sn_h))))-fcd_sn*(1-MIN(1,MAX(0,$C905*(7*K$9-3*sn_h)/(4*sn_h)))^2)</f>
        <v/>
      </c>
    </row>
    <row r="906">
      <c r="B906" s="55" t="n">
        <v>163</v>
      </c>
      <c r="C906" s="58">
        <f>1-163/200</f>
        <v/>
      </c>
      <c r="D906" s="59">
        <f>IF($C906&gt;=1,sn_h,3/7*sn_h+4/7*sn_h/MAX($C906,1E-12))</f>
        <v/>
      </c>
      <c r="E906" s="57">
        <f>(fcd_sn*sn_b*sn_h*(3/7+4/7*(1-$C906^2/3))+SUMPRODUCT($J$8:$K$8,$J906:$K906))/1000</f>
        <v/>
      </c>
      <c r="F906" s="57">
        <f>-((fcd_sn*sn_b*(3/14*sn_h*(sn_h-3/7*sn_h)+4/7*sn_h*(sn_h/2-3/7*sn_h)*(1-$C906^2/3)-16/49*sn_h^2*(1/2-$C906^2/4))+SUMPRODUCT($J$8:$K$8,$J906:$K906,$J$10:$K$10))/1E6)</f>
        <v/>
      </c>
      <c r="J906">
        <f>MAX(-fyd_sn,MIN(fyd_sn,200000*0.002*(1-$C906*(7*J$9-3*sn_h)/(4*sn_h))))-fcd_sn*(1-MIN(1,MAX(0,$C906*(7*J$9-3*sn_h)/(4*sn_h)))^2)</f>
        <v/>
      </c>
      <c r="K906">
        <f>MAX(-fyd_sn,MIN(fyd_sn,200000*0.002*(1-$C906*(7*K$9-3*sn_h)/(4*sn_h))))-fcd_sn*(1-MIN(1,MAX(0,$C906*(7*K$9-3*sn_h)/(4*sn_h)))^2)</f>
        <v/>
      </c>
    </row>
    <row r="907">
      <c r="B907" s="55" t="n">
        <v>164</v>
      </c>
      <c r="C907" s="58">
        <f>1-164/200</f>
        <v/>
      </c>
      <c r="D907" s="59">
        <f>IF($C907&gt;=1,sn_h,3/7*sn_h+4/7*sn_h/MAX($C907,1E-12))</f>
        <v/>
      </c>
      <c r="E907" s="57">
        <f>(fcd_sn*sn_b*sn_h*(3/7+4/7*(1-$C907^2/3))+SUMPRODUCT($J$8:$K$8,$J907:$K907))/1000</f>
        <v/>
      </c>
      <c r="F907" s="57">
        <f>-((fcd_sn*sn_b*(3/14*sn_h*(sn_h-3/7*sn_h)+4/7*sn_h*(sn_h/2-3/7*sn_h)*(1-$C907^2/3)-16/49*sn_h^2*(1/2-$C907^2/4))+SUMPRODUCT($J$8:$K$8,$J907:$K907,$J$10:$K$10))/1E6)</f>
        <v/>
      </c>
      <c r="J907">
        <f>MAX(-fyd_sn,MIN(fyd_sn,200000*0.002*(1-$C907*(7*J$9-3*sn_h)/(4*sn_h))))-fcd_sn*(1-MIN(1,MAX(0,$C907*(7*J$9-3*sn_h)/(4*sn_h)))^2)</f>
        <v/>
      </c>
      <c r="K907">
        <f>MAX(-fyd_sn,MIN(fyd_sn,200000*0.002*(1-$C907*(7*K$9-3*sn_h)/(4*sn_h))))-fcd_sn*(1-MIN(1,MAX(0,$C907*(7*K$9-3*sn_h)/(4*sn_h)))^2)</f>
        <v/>
      </c>
    </row>
    <row r="908">
      <c r="B908" s="55" t="n">
        <v>165</v>
      </c>
      <c r="C908" s="58">
        <f>1-165/200</f>
        <v/>
      </c>
      <c r="D908" s="59">
        <f>IF($C908&gt;=1,sn_h,3/7*sn_h+4/7*sn_h/MAX($C908,1E-12))</f>
        <v/>
      </c>
      <c r="E908" s="57">
        <f>(fcd_sn*sn_b*sn_h*(3/7+4/7*(1-$C908^2/3))+SUMPRODUCT($J$8:$K$8,$J908:$K908))/1000</f>
        <v/>
      </c>
      <c r="F908" s="57">
        <f>-((fcd_sn*sn_b*(3/14*sn_h*(sn_h-3/7*sn_h)+4/7*sn_h*(sn_h/2-3/7*sn_h)*(1-$C908^2/3)-16/49*sn_h^2*(1/2-$C908^2/4))+SUMPRODUCT($J$8:$K$8,$J908:$K908,$J$10:$K$10))/1E6)</f>
        <v/>
      </c>
      <c r="J908">
        <f>MAX(-fyd_sn,MIN(fyd_sn,200000*0.002*(1-$C908*(7*J$9-3*sn_h)/(4*sn_h))))-fcd_sn*(1-MIN(1,MAX(0,$C908*(7*J$9-3*sn_h)/(4*sn_h)))^2)</f>
        <v/>
      </c>
      <c r="K908">
        <f>MAX(-fyd_sn,MIN(fyd_sn,200000*0.002*(1-$C908*(7*K$9-3*sn_h)/(4*sn_h))))-fcd_sn*(1-MIN(1,MAX(0,$C908*(7*K$9-3*sn_h)/(4*sn_h)))^2)</f>
        <v/>
      </c>
    </row>
    <row r="909">
      <c r="B909" s="55" t="n">
        <v>166</v>
      </c>
      <c r="C909" s="58">
        <f>1-166/200</f>
        <v/>
      </c>
      <c r="D909" s="59">
        <f>IF($C909&gt;=1,sn_h,3/7*sn_h+4/7*sn_h/MAX($C909,1E-12))</f>
        <v/>
      </c>
      <c r="E909" s="57">
        <f>(fcd_sn*sn_b*sn_h*(3/7+4/7*(1-$C909^2/3))+SUMPRODUCT($J$8:$K$8,$J909:$K909))/1000</f>
        <v/>
      </c>
      <c r="F909" s="57">
        <f>-((fcd_sn*sn_b*(3/14*sn_h*(sn_h-3/7*sn_h)+4/7*sn_h*(sn_h/2-3/7*sn_h)*(1-$C909^2/3)-16/49*sn_h^2*(1/2-$C909^2/4))+SUMPRODUCT($J$8:$K$8,$J909:$K909,$J$10:$K$10))/1E6)</f>
        <v/>
      </c>
      <c r="J909">
        <f>MAX(-fyd_sn,MIN(fyd_sn,200000*0.002*(1-$C909*(7*J$9-3*sn_h)/(4*sn_h))))-fcd_sn*(1-MIN(1,MAX(0,$C909*(7*J$9-3*sn_h)/(4*sn_h)))^2)</f>
        <v/>
      </c>
      <c r="K909">
        <f>MAX(-fyd_sn,MIN(fyd_sn,200000*0.002*(1-$C909*(7*K$9-3*sn_h)/(4*sn_h))))-fcd_sn*(1-MIN(1,MAX(0,$C909*(7*K$9-3*sn_h)/(4*sn_h)))^2)</f>
        <v/>
      </c>
    </row>
    <row r="910">
      <c r="B910" s="55" t="n">
        <v>167</v>
      </c>
      <c r="C910" s="58">
        <f>1-167/200</f>
        <v/>
      </c>
      <c r="D910" s="59">
        <f>IF($C910&gt;=1,sn_h,3/7*sn_h+4/7*sn_h/MAX($C910,1E-12))</f>
        <v/>
      </c>
      <c r="E910" s="57">
        <f>(fcd_sn*sn_b*sn_h*(3/7+4/7*(1-$C910^2/3))+SUMPRODUCT($J$8:$K$8,$J910:$K910))/1000</f>
        <v/>
      </c>
      <c r="F910" s="57">
        <f>-((fcd_sn*sn_b*(3/14*sn_h*(sn_h-3/7*sn_h)+4/7*sn_h*(sn_h/2-3/7*sn_h)*(1-$C910^2/3)-16/49*sn_h^2*(1/2-$C910^2/4))+SUMPRODUCT($J$8:$K$8,$J910:$K910,$J$10:$K$10))/1E6)</f>
        <v/>
      </c>
      <c r="J910">
        <f>MAX(-fyd_sn,MIN(fyd_sn,200000*0.002*(1-$C910*(7*J$9-3*sn_h)/(4*sn_h))))-fcd_sn*(1-MIN(1,MAX(0,$C910*(7*J$9-3*sn_h)/(4*sn_h)))^2)</f>
        <v/>
      </c>
      <c r="K910">
        <f>MAX(-fyd_sn,MIN(fyd_sn,200000*0.002*(1-$C910*(7*K$9-3*sn_h)/(4*sn_h))))-fcd_sn*(1-MIN(1,MAX(0,$C910*(7*K$9-3*sn_h)/(4*sn_h)))^2)</f>
        <v/>
      </c>
    </row>
    <row r="911">
      <c r="B911" s="55" t="n">
        <v>168</v>
      </c>
      <c r="C911" s="58">
        <f>1-168/200</f>
        <v/>
      </c>
      <c r="D911" s="59">
        <f>IF($C911&gt;=1,sn_h,3/7*sn_h+4/7*sn_h/MAX($C911,1E-12))</f>
        <v/>
      </c>
      <c r="E911" s="57">
        <f>(fcd_sn*sn_b*sn_h*(3/7+4/7*(1-$C911^2/3))+SUMPRODUCT($J$8:$K$8,$J911:$K911))/1000</f>
        <v/>
      </c>
      <c r="F911" s="57">
        <f>-((fcd_sn*sn_b*(3/14*sn_h*(sn_h-3/7*sn_h)+4/7*sn_h*(sn_h/2-3/7*sn_h)*(1-$C911^2/3)-16/49*sn_h^2*(1/2-$C911^2/4))+SUMPRODUCT($J$8:$K$8,$J911:$K911,$J$10:$K$10))/1E6)</f>
        <v/>
      </c>
      <c r="J911">
        <f>MAX(-fyd_sn,MIN(fyd_sn,200000*0.002*(1-$C911*(7*J$9-3*sn_h)/(4*sn_h))))-fcd_sn*(1-MIN(1,MAX(0,$C911*(7*J$9-3*sn_h)/(4*sn_h)))^2)</f>
        <v/>
      </c>
      <c r="K911">
        <f>MAX(-fyd_sn,MIN(fyd_sn,200000*0.002*(1-$C911*(7*K$9-3*sn_h)/(4*sn_h))))-fcd_sn*(1-MIN(1,MAX(0,$C911*(7*K$9-3*sn_h)/(4*sn_h)))^2)</f>
        <v/>
      </c>
    </row>
    <row r="912">
      <c r="B912" s="55" t="n">
        <v>169</v>
      </c>
      <c r="C912" s="58">
        <f>1-169/200</f>
        <v/>
      </c>
      <c r="D912" s="59">
        <f>IF($C912&gt;=1,sn_h,3/7*sn_h+4/7*sn_h/MAX($C912,1E-12))</f>
        <v/>
      </c>
      <c r="E912" s="57">
        <f>(fcd_sn*sn_b*sn_h*(3/7+4/7*(1-$C912^2/3))+SUMPRODUCT($J$8:$K$8,$J912:$K912))/1000</f>
        <v/>
      </c>
      <c r="F912" s="57">
        <f>-((fcd_sn*sn_b*(3/14*sn_h*(sn_h-3/7*sn_h)+4/7*sn_h*(sn_h/2-3/7*sn_h)*(1-$C912^2/3)-16/49*sn_h^2*(1/2-$C912^2/4))+SUMPRODUCT($J$8:$K$8,$J912:$K912,$J$10:$K$10))/1E6)</f>
        <v/>
      </c>
      <c r="J912">
        <f>MAX(-fyd_sn,MIN(fyd_sn,200000*0.002*(1-$C912*(7*J$9-3*sn_h)/(4*sn_h))))-fcd_sn*(1-MIN(1,MAX(0,$C912*(7*J$9-3*sn_h)/(4*sn_h)))^2)</f>
        <v/>
      </c>
      <c r="K912">
        <f>MAX(-fyd_sn,MIN(fyd_sn,200000*0.002*(1-$C912*(7*K$9-3*sn_h)/(4*sn_h))))-fcd_sn*(1-MIN(1,MAX(0,$C912*(7*K$9-3*sn_h)/(4*sn_h)))^2)</f>
        <v/>
      </c>
    </row>
    <row r="913">
      <c r="B913" s="55" t="n">
        <v>170</v>
      </c>
      <c r="C913" s="58">
        <f>1-170/200</f>
        <v/>
      </c>
      <c r="D913" s="59">
        <f>IF($C913&gt;=1,sn_h,3/7*sn_h+4/7*sn_h/MAX($C913,1E-12))</f>
        <v/>
      </c>
      <c r="E913" s="57">
        <f>(fcd_sn*sn_b*sn_h*(3/7+4/7*(1-$C913^2/3))+SUMPRODUCT($J$8:$K$8,$J913:$K913))/1000</f>
        <v/>
      </c>
      <c r="F913" s="57">
        <f>-((fcd_sn*sn_b*(3/14*sn_h*(sn_h-3/7*sn_h)+4/7*sn_h*(sn_h/2-3/7*sn_h)*(1-$C913^2/3)-16/49*sn_h^2*(1/2-$C913^2/4))+SUMPRODUCT($J$8:$K$8,$J913:$K913,$J$10:$K$10))/1E6)</f>
        <v/>
      </c>
      <c r="J913">
        <f>MAX(-fyd_sn,MIN(fyd_sn,200000*0.002*(1-$C913*(7*J$9-3*sn_h)/(4*sn_h))))-fcd_sn*(1-MIN(1,MAX(0,$C913*(7*J$9-3*sn_h)/(4*sn_h)))^2)</f>
        <v/>
      </c>
      <c r="K913">
        <f>MAX(-fyd_sn,MIN(fyd_sn,200000*0.002*(1-$C913*(7*K$9-3*sn_h)/(4*sn_h))))-fcd_sn*(1-MIN(1,MAX(0,$C913*(7*K$9-3*sn_h)/(4*sn_h)))^2)</f>
        <v/>
      </c>
    </row>
    <row r="914">
      <c r="B914" s="55" t="n">
        <v>171</v>
      </c>
      <c r="C914" s="58">
        <f>1-171/200</f>
        <v/>
      </c>
      <c r="D914" s="59">
        <f>IF($C914&gt;=1,sn_h,3/7*sn_h+4/7*sn_h/MAX($C914,1E-12))</f>
        <v/>
      </c>
      <c r="E914" s="57">
        <f>(fcd_sn*sn_b*sn_h*(3/7+4/7*(1-$C914^2/3))+SUMPRODUCT($J$8:$K$8,$J914:$K914))/1000</f>
        <v/>
      </c>
      <c r="F914" s="57">
        <f>-((fcd_sn*sn_b*(3/14*sn_h*(sn_h-3/7*sn_h)+4/7*sn_h*(sn_h/2-3/7*sn_h)*(1-$C914^2/3)-16/49*sn_h^2*(1/2-$C914^2/4))+SUMPRODUCT($J$8:$K$8,$J914:$K914,$J$10:$K$10))/1E6)</f>
        <v/>
      </c>
      <c r="J914">
        <f>MAX(-fyd_sn,MIN(fyd_sn,200000*0.002*(1-$C914*(7*J$9-3*sn_h)/(4*sn_h))))-fcd_sn*(1-MIN(1,MAX(0,$C914*(7*J$9-3*sn_h)/(4*sn_h)))^2)</f>
        <v/>
      </c>
      <c r="K914">
        <f>MAX(-fyd_sn,MIN(fyd_sn,200000*0.002*(1-$C914*(7*K$9-3*sn_h)/(4*sn_h))))-fcd_sn*(1-MIN(1,MAX(0,$C914*(7*K$9-3*sn_h)/(4*sn_h)))^2)</f>
        <v/>
      </c>
    </row>
    <row r="915">
      <c r="B915" s="55" t="n">
        <v>172</v>
      </c>
      <c r="C915" s="58">
        <f>1-172/200</f>
        <v/>
      </c>
      <c r="D915" s="59">
        <f>IF($C915&gt;=1,sn_h,3/7*sn_h+4/7*sn_h/MAX($C915,1E-12))</f>
        <v/>
      </c>
      <c r="E915" s="57">
        <f>(fcd_sn*sn_b*sn_h*(3/7+4/7*(1-$C915^2/3))+SUMPRODUCT($J$8:$K$8,$J915:$K915))/1000</f>
        <v/>
      </c>
      <c r="F915" s="57">
        <f>-((fcd_sn*sn_b*(3/14*sn_h*(sn_h-3/7*sn_h)+4/7*sn_h*(sn_h/2-3/7*sn_h)*(1-$C915^2/3)-16/49*sn_h^2*(1/2-$C915^2/4))+SUMPRODUCT($J$8:$K$8,$J915:$K915,$J$10:$K$10))/1E6)</f>
        <v/>
      </c>
      <c r="J915">
        <f>MAX(-fyd_sn,MIN(fyd_sn,200000*0.002*(1-$C915*(7*J$9-3*sn_h)/(4*sn_h))))-fcd_sn*(1-MIN(1,MAX(0,$C915*(7*J$9-3*sn_h)/(4*sn_h)))^2)</f>
        <v/>
      </c>
      <c r="K915">
        <f>MAX(-fyd_sn,MIN(fyd_sn,200000*0.002*(1-$C915*(7*K$9-3*sn_h)/(4*sn_h))))-fcd_sn*(1-MIN(1,MAX(0,$C915*(7*K$9-3*sn_h)/(4*sn_h)))^2)</f>
        <v/>
      </c>
    </row>
    <row r="916">
      <c r="B916" s="55" t="n">
        <v>173</v>
      </c>
      <c r="C916" s="58">
        <f>1-173/200</f>
        <v/>
      </c>
      <c r="D916" s="59">
        <f>IF($C916&gt;=1,sn_h,3/7*sn_h+4/7*sn_h/MAX($C916,1E-12))</f>
        <v/>
      </c>
      <c r="E916" s="57">
        <f>(fcd_sn*sn_b*sn_h*(3/7+4/7*(1-$C916^2/3))+SUMPRODUCT($J$8:$K$8,$J916:$K916))/1000</f>
        <v/>
      </c>
      <c r="F916" s="57">
        <f>-((fcd_sn*sn_b*(3/14*sn_h*(sn_h-3/7*sn_h)+4/7*sn_h*(sn_h/2-3/7*sn_h)*(1-$C916^2/3)-16/49*sn_h^2*(1/2-$C916^2/4))+SUMPRODUCT($J$8:$K$8,$J916:$K916,$J$10:$K$10))/1E6)</f>
        <v/>
      </c>
      <c r="J916">
        <f>MAX(-fyd_sn,MIN(fyd_sn,200000*0.002*(1-$C916*(7*J$9-3*sn_h)/(4*sn_h))))-fcd_sn*(1-MIN(1,MAX(0,$C916*(7*J$9-3*sn_h)/(4*sn_h)))^2)</f>
        <v/>
      </c>
      <c r="K916">
        <f>MAX(-fyd_sn,MIN(fyd_sn,200000*0.002*(1-$C916*(7*K$9-3*sn_h)/(4*sn_h))))-fcd_sn*(1-MIN(1,MAX(0,$C916*(7*K$9-3*sn_h)/(4*sn_h)))^2)</f>
        <v/>
      </c>
    </row>
    <row r="917">
      <c r="B917" s="55" t="n">
        <v>174</v>
      </c>
      <c r="C917" s="58">
        <f>1-174/200</f>
        <v/>
      </c>
      <c r="D917" s="59">
        <f>IF($C917&gt;=1,sn_h,3/7*sn_h+4/7*sn_h/MAX($C917,1E-12))</f>
        <v/>
      </c>
      <c r="E917" s="57">
        <f>(fcd_sn*sn_b*sn_h*(3/7+4/7*(1-$C917^2/3))+SUMPRODUCT($J$8:$K$8,$J917:$K917))/1000</f>
        <v/>
      </c>
      <c r="F917" s="57">
        <f>-((fcd_sn*sn_b*(3/14*sn_h*(sn_h-3/7*sn_h)+4/7*sn_h*(sn_h/2-3/7*sn_h)*(1-$C917^2/3)-16/49*sn_h^2*(1/2-$C917^2/4))+SUMPRODUCT($J$8:$K$8,$J917:$K917,$J$10:$K$10))/1E6)</f>
        <v/>
      </c>
      <c r="J917">
        <f>MAX(-fyd_sn,MIN(fyd_sn,200000*0.002*(1-$C917*(7*J$9-3*sn_h)/(4*sn_h))))-fcd_sn*(1-MIN(1,MAX(0,$C917*(7*J$9-3*sn_h)/(4*sn_h)))^2)</f>
        <v/>
      </c>
      <c r="K917">
        <f>MAX(-fyd_sn,MIN(fyd_sn,200000*0.002*(1-$C917*(7*K$9-3*sn_h)/(4*sn_h))))-fcd_sn*(1-MIN(1,MAX(0,$C917*(7*K$9-3*sn_h)/(4*sn_h)))^2)</f>
        <v/>
      </c>
    </row>
    <row r="918">
      <c r="B918" s="55" t="n">
        <v>175</v>
      </c>
      <c r="C918" s="58">
        <f>1-175/200</f>
        <v/>
      </c>
      <c r="D918" s="59">
        <f>IF($C918&gt;=1,sn_h,3/7*sn_h+4/7*sn_h/MAX($C918,1E-12))</f>
        <v/>
      </c>
      <c r="E918" s="57">
        <f>(fcd_sn*sn_b*sn_h*(3/7+4/7*(1-$C918^2/3))+SUMPRODUCT($J$8:$K$8,$J918:$K918))/1000</f>
        <v/>
      </c>
      <c r="F918" s="57">
        <f>-((fcd_sn*sn_b*(3/14*sn_h*(sn_h-3/7*sn_h)+4/7*sn_h*(sn_h/2-3/7*sn_h)*(1-$C918^2/3)-16/49*sn_h^2*(1/2-$C918^2/4))+SUMPRODUCT($J$8:$K$8,$J918:$K918,$J$10:$K$10))/1E6)</f>
        <v/>
      </c>
      <c r="J918">
        <f>MAX(-fyd_sn,MIN(fyd_sn,200000*0.002*(1-$C918*(7*J$9-3*sn_h)/(4*sn_h))))-fcd_sn*(1-MIN(1,MAX(0,$C918*(7*J$9-3*sn_h)/(4*sn_h)))^2)</f>
        <v/>
      </c>
      <c r="K918">
        <f>MAX(-fyd_sn,MIN(fyd_sn,200000*0.002*(1-$C918*(7*K$9-3*sn_h)/(4*sn_h))))-fcd_sn*(1-MIN(1,MAX(0,$C918*(7*K$9-3*sn_h)/(4*sn_h)))^2)</f>
        <v/>
      </c>
    </row>
    <row r="919">
      <c r="B919" s="55" t="n">
        <v>176</v>
      </c>
      <c r="C919" s="58">
        <f>1-176/200</f>
        <v/>
      </c>
      <c r="D919" s="59">
        <f>IF($C919&gt;=1,sn_h,3/7*sn_h+4/7*sn_h/MAX($C919,1E-12))</f>
        <v/>
      </c>
      <c r="E919" s="57">
        <f>(fcd_sn*sn_b*sn_h*(3/7+4/7*(1-$C919^2/3))+SUMPRODUCT($J$8:$K$8,$J919:$K919))/1000</f>
        <v/>
      </c>
      <c r="F919" s="57">
        <f>-((fcd_sn*sn_b*(3/14*sn_h*(sn_h-3/7*sn_h)+4/7*sn_h*(sn_h/2-3/7*sn_h)*(1-$C919^2/3)-16/49*sn_h^2*(1/2-$C919^2/4))+SUMPRODUCT($J$8:$K$8,$J919:$K919,$J$10:$K$10))/1E6)</f>
        <v/>
      </c>
      <c r="J919">
        <f>MAX(-fyd_sn,MIN(fyd_sn,200000*0.002*(1-$C919*(7*J$9-3*sn_h)/(4*sn_h))))-fcd_sn*(1-MIN(1,MAX(0,$C919*(7*J$9-3*sn_h)/(4*sn_h)))^2)</f>
        <v/>
      </c>
      <c r="K919">
        <f>MAX(-fyd_sn,MIN(fyd_sn,200000*0.002*(1-$C919*(7*K$9-3*sn_h)/(4*sn_h))))-fcd_sn*(1-MIN(1,MAX(0,$C919*(7*K$9-3*sn_h)/(4*sn_h)))^2)</f>
        <v/>
      </c>
    </row>
    <row r="920">
      <c r="B920" s="55" t="n">
        <v>177</v>
      </c>
      <c r="C920" s="58">
        <f>1-177/200</f>
        <v/>
      </c>
      <c r="D920" s="59">
        <f>IF($C920&gt;=1,sn_h,3/7*sn_h+4/7*sn_h/MAX($C920,1E-12))</f>
        <v/>
      </c>
      <c r="E920" s="57">
        <f>(fcd_sn*sn_b*sn_h*(3/7+4/7*(1-$C920^2/3))+SUMPRODUCT($J$8:$K$8,$J920:$K920))/1000</f>
        <v/>
      </c>
      <c r="F920" s="57">
        <f>-((fcd_sn*sn_b*(3/14*sn_h*(sn_h-3/7*sn_h)+4/7*sn_h*(sn_h/2-3/7*sn_h)*(1-$C920^2/3)-16/49*sn_h^2*(1/2-$C920^2/4))+SUMPRODUCT($J$8:$K$8,$J920:$K920,$J$10:$K$10))/1E6)</f>
        <v/>
      </c>
      <c r="J920">
        <f>MAX(-fyd_sn,MIN(fyd_sn,200000*0.002*(1-$C920*(7*J$9-3*sn_h)/(4*sn_h))))-fcd_sn*(1-MIN(1,MAX(0,$C920*(7*J$9-3*sn_h)/(4*sn_h)))^2)</f>
        <v/>
      </c>
      <c r="K920">
        <f>MAX(-fyd_sn,MIN(fyd_sn,200000*0.002*(1-$C920*(7*K$9-3*sn_h)/(4*sn_h))))-fcd_sn*(1-MIN(1,MAX(0,$C920*(7*K$9-3*sn_h)/(4*sn_h)))^2)</f>
        <v/>
      </c>
    </row>
    <row r="921">
      <c r="B921" s="55" t="n">
        <v>178</v>
      </c>
      <c r="C921" s="58">
        <f>1-178/200</f>
        <v/>
      </c>
      <c r="D921" s="59">
        <f>IF($C921&gt;=1,sn_h,3/7*sn_h+4/7*sn_h/MAX($C921,1E-12))</f>
        <v/>
      </c>
      <c r="E921" s="57">
        <f>(fcd_sn*sn_b*sn_h*(3/7+4/7*(1-$C921^2/3))+SUMPRODUCT($J$8:$K$8,$J921:$K921))/1000</f>
        <v/>
      </c>
      <c r="F921" s="57">
        <f>-((fcd_sn*sn_b*(3/14*sn_h*(sn_h-3/7*sn_h)+4/7*sn_h*(sn_h/2-3/7*sn_h)*(1-$C921^2/3)-16/49*sn_h^2*(1/2-$C921^2/4))+SUMPRODUCT($J$8:$K$8,$J921:$K921,$J$10:$K$10))/1E6)</f>
        <v/>
      </c>
      <c r="J921">
        <f>MAX(-fyd_sn,MIN(fyd_sn,200000*0.002*(1-$C921*(7*J$9-3*sn_h)/(4*sn_h))))-fcd_sn*(1-MIN(1,MAX(0,$C921*(7*J$9-3*sn_h)/(4*sn_h)))^2)</f>
        <v/>
      </c>
      <c r="K921">
        <f>MAX(-fyd_sn,MIN(fyd_sn,200000*0.002*(1-$C921*(7*K$9-3*sn_h)/(4*sn_h))))-fcd_sn*(1-MIN(1,MAX(0,$C921*(7*K$9-3*sn_h)/(4*sn_h)))^2)</f>
        <v/>
      </c>
    </row>
    <row r="922">
      <c r="B922" s="55" t="n">
        <v>179</v>
      </c>
      <c r="C922" s="58">
        <f>1-179/200</f>
        <v/>
      </c>
      <c r="D922" s="59">
        <f>IF($C922&gt;=1,sn_h,3/7*sn_h+4/7*sn_h/MAX($C922,1E-12))</f>
        <v/>
      </c>
      <c r="E922" s="57">
        <f>(fcd_sn*sn_b*sn_h*(3/7+4/7*(1-$C922^2/3))+SUMPRODUCT($J$8:$K$8,$J922:$K922))/1000</f>
        <v/>
      </c>
      <c r="F922" s="57">
        <f>-((fcd_sn*sn_b*(3/14*sn_h*(sn_h-3/7*sn_h)+4/7*sn_h*(sn_h/2-3/7*sn_h)*(1-$C922^2/3)-16/49*sn_h^2*(1/2-$C922^2/4))+SUMPRODUCT($J$8:$K$8,$J922:$K922,$J$10:$K$10))/1E6)</f>
        <v/>
      </c>
      <c r="J922">
        <f>MAX(-fyd_sn,MIN(fyd_sn,200000*0.002*(1-$C922*(7*J$9-3*sn_h)/(4*sn_h))))-fcd_sn*(1-MIN(1,MAX(0,$C922*(7*J$9-3*sn_h)/(4*sn_h)))^2)</f>
        <v/>
      </c>
      <c r="K922">
        <f>MAX(-fyd_sn,MIN(fyd_sn,200000*0.002*(1-$C922*(7*K$9-3*sn_h)/(4*sn_h))))-fcd_sn*(1-MIN(1,MAX(0,$C922*(7*K$9-3*sn_h)/(4*sn_h)))^2)</f>
        <v/>
      </c>
    </row>
    <row r="923">
      <c r="B923" s="55" t="n">
        <v>180</v>
      </c>
      <c r="C923" s="58">
        <f>1-180/200</f>
        <v/>
      </c>
      <c r="D923" s="59">
        <f>IF($C923&gt;=1,sn_h,3/7*sn_h+4/7*sn_h/MAX($C923,1E-12))</f>
        <v/>
      </c>
      <c r="E923" s="57">
        <f>(fcd_sn*sn_b*sn_h*(3/7+4/7*(1-$C923^2/3))+SUMPRODUCT($J$8:$K$8,$J923:$K923))/1000</f>
        <v/>
      </c>
      <c r="F923" s="57">
        <f>-((fcd_sn*sn_b*(3/14*sn_h*(sn_h-3/7*sn_h)+4/7*sn_h*(sn_h/2-3/7*sn_h)*(1-$C923^2/3)-16/49*sn_h^2*(1/2-$C923^2/4))+SUMPRODUCT($J$8:$K$8,$J923:$K923,$J$10:$K$10))/1E6)</f>
        <v/>
      </c>
      <c r="J923">
        <f>MAX(-fyd_sn,MIN(fyd_sn,200000*0.002*(1-$C923*(7*J$9-3*sn_h)/(4*sn_h))))-fcd_sn*(1-MIN(1,MAX(0,$C923*(7*J$9-3*sn_h)/(4*sn_h)))^2)</f>
        <v/>
      </c>
      <c r="K923">
        <f>MAX(-fyd_sn,MIN(fyd_sn,200000*0.002*(1-$C923*(7*K$9-3*sn_h)/(4*sn_h))))-fcd_sn*(1-MIN(1,MAX(0,$C923*(7*K$9-3*sn_h)/(4*sn_h)))^2)</f>
        <v/>
      </c>
    </row>
    <row r="924">
      <c r="B924" s="55" t="n">
        <v>181</v>
      </c>
      <c r="C924" s="58">
        <f>1-181/200</f>
        <v/>
      </c>
      <c r="D924" s="59">
        <f>IF($C924&gt;=1,sn_h,3/7*sn_h+4/7*sn_h/MAX($C924,1E-12))</f>
        <v/>
      </c>
      <c r="E924" s="57">
        <f>(fcd_sn*sn_b*sn_h*(3/7+4/7*(1-$C924^2/3))+SUMPRODUCT($J$8:$K$8,$J924:$K924))/1000</f>
        <v/>
      </c>
      <c r="F924" s="57">
        <f>-((fcd_sn*sn_b*(3/14*sn_h*(sn_h-3/7*sn_h)+4/7*sn_h*(sn_h/2-3/7*sn_h)*(1-$C924^2/3)-16/49*sn_h^2*(1/2-$C924^2/4))+SUMPRODUCT($J$8:$K$8,$J924:$K924,$J$10:$K$10))/1E6)</f>
        <v/>
      </c>
      <c r="J924">
        <f>MAX(-fyd_sn,MIN(fyd_sn,200000*0.002*(1-$C924*(7*J$9-3*sn_h)/(4*sn_h))))-fcd_sn*(1-MIN(1,MAX(0,$C924*(7*J$9-3*sn_h)/(4*sn_h)))^2)</f>
        <v/>
      </c>
      <c r="K924">
        <f>MAX(-fyd_sn,MIN(fyd_sn,200000*0.002*(1-$C924*(7*K$9-3*sn_h)/(4*sn_h))))-fcd_sn*(1-MIN(1,MAX(0,$C924*(7*K$9-3*sn_h)/(4*sn_h)))^2)</f>
        <v/>
      </c>
    </row>
    <row r="925">
      <c r="B925" s="55" t="n">
        <v>182</v>
      </c>
      <c r="C925" s="58">
        <f>1-182/200</f>
        <v/>
      </c>
      <c r="D925" s="59">
        <f>IF($C925&gt;=1,sn_h,3/7*sn_h+4/7*sn_h/MAX($C925,1E-12))</f>
        <v/>
      </c>
      <c r="E925" s="57">
        <f>(fcd_sn*sn_b*sn_h*(3/7+4/7*(1-$C925^2/3))+SUMPRODUCT($J$8:$K$8,$J925:$K925))/1000</f>
        <v/>
      </c>
      <c r="F925" s="57">
        <f>-((fcd_sn*sn_b*(3/14*sn_h*(sn_h-3/7*sn_h)+4/7*sn_h*(sn_h/2-3/7*sn_h)*(1-$C925^2/3)-16/49*sn_h^2*(1/2-$C925^2/4))+SUMPRODUCT($J$8:$K$8,$J925:$K925,$J$10:$K$10))/1E6)</f>
        <v/>
      </c>
      <c r="J925">
        <f>MAX(-fyd_sn,MIN(fyd_sn,200000*0.002*(1-$C925*(7*J$9-3*sn_h)/(4*sn_h))))-fcd_sn*(1-MIN(1,MAX(0,$C925*(7*J$9-3*sn_h)/(4*sn_h)))^2)</f>
        <v/>
      </c>
      <c r="K925">
        <f>MAX(-fyd_sn,MIN(fyd_sn,200000*0.002*(1-$C925*(7*K$9-3*sn_h)/(4*sn_h))))-fcd_sn*(1-MIN(1,MAX(0,$C925*(7*K$9-3*sn_h)/(4*sn_h)))^2)</f>
        <v/>
      </c>
    </row>
    <row r="926">
      <c r="B926" s="55" t="n">
        <v>183</v>
      </c>
      <c r="C926" s="58">
        <f>1-183/200</f>
        <v/>
      </c>
      <c r="D926" s="59">
        <f>IF($C926&gt;=1,sn_h,3/7*sn_h+4/7*sn_h/MAX($C926,1E-12))</f>
        <v/>
      </c>
      <c r="E926" s="57">
        <f>(fcd_sn*sn_b*sn_h*(3/7+4/7*(1-$C926^2/3))+SUMPRODUCT($J$8:$K$8,$J926:$K926))/1000</f>
        <v/>
      </c>
      <c r="F926" s="57">
        <f>-((fcd_sn*sn_b*(3/14*sn_h*(sn_h-3/7*sn_h)+4/7*sn_h*(sn_h/2-3/7*sn_h)*(1-$C926^2/3)-16/49*sn_h^2*(1/2-$C926^2/4))+SUMPRODUCT($J$8:$K$8,$J926:$K926,$J$10:$K$10))/1E6)</f>
        <v/>
      </c>
      <c r="J926">
        <f>MAX(-fyd_sn,MIN(fyd_sn,200000*0.002*(1-$C926*(7*J$9-3*sn_h)/(4*sn_h))))-fcd_sn*(1-MIN(1,MAX(0,$C926*(7*J$9-3*sn_h)/(4*sn_h)))^2)</f>
        <v/>
      </c>
      <c r="K926">
        <f>MAX(-fyd_sn,MIN(fyd_sn,200000*0.002*(1-$C926*(7*K$9-3*sn_h)/(4*sn_h))))-fcd_sn*(1-MIN(1,MAX(0,$C926*(7*K$9-3*sn_h)/(4*sn_h)))^2)</f>
        <v/>
      </c>
    </row>
    <row r="927">
      <c r="B927" s="55" t="n">
        <v>184</v>
      </c>
      <c r="C927" s="58">
        <f>1-184/200</f>
        <v/>
      </c>
      <c r="D927" s="59">
        <f>IF($C927&gt;=1,sn_h,3/7*sn_h+4/7*sn_h/MAX($C927,1E-12))</f>
        <v/>
      </c>
      <c r="E927" s="57">
        <f>(fcd_sn*sn_b*sn_h*(3/7+4/7*(1-$C927^2/3))+SUMPRODUCT($J$8:$K$8,$J927:$K927))/1000</f>
        <v/>
      </c>
      <c r="F927" s="57">
        <f>-((fcd_sn*sn_b*(3/14*sn_h*(sn_h-3/7*sn_h)+4/7*sn_h*(sn_h/2-3/7*sn_h)*(1-$C927^2/3)-16/49*sn_h^2*(1/2-$C927^2/4))+SUMPRODUCT($J$8:$K$8,$J927:$K927,$J$10:$K$10))/1E6)</f>
        <v/>
      </c>
      <c r="J927">
        <f>MAX(-fyd_sn,MIN(fyd_sn,200000*0.002*(1-$C927*(7*J$9-3*sn_h)/(4*sn_h))))-fcd_sn*(1-MIN(1,MAX(0,$C927*(7*J$9-3*sn_h)/(4*sn_h)))^2)</f>
        <v/>
      </c>
      <c r="K927">
        <f>MAX(-fyd_sn,MIN(fyd_sn,200000*0.002*(1-$C927*(7*K$9-3*sn_h)/(4*sn_h))))-fcd_sn*(1-MIN(1,MAX(0,$C927*(7*K$9-3*sn_h)/(4*sn_h)))^2)</f>
        <v/>
      </c>
    </row>
    <row r="928">
      <c r="B928" s="55" t="n">
        <v>185</v>
      </c>
      <c r="C928" s="58">
        <f>1-185/200</f>
        <v/>
      </c>
      <c r="D928" s="59">
        <f>IF($C928&gt;=1,sn_h,3/7*sn_h+4/7*sn_h/MAX($C928,1E-12))</f>
        <v/>
      </c>
      <c r="E928" s="57">
        <f>(fcd_sn*sn_b*sn_h*(3/7+4/7*(1-$C928^2/3))+SUMPRODUCT($J$8:$K$8,$J928:$K928))/1000</f>
        <v/>
      </c>
      <c r="F928" s="57">
        <f>-((fcd_sn*sn_b*(3/14*sn_h*(sn_h-3/7*sn_h)+4/7*sn_h*(sn_h/2-3/7*sn_h)*(1-$C928^2/3)-16/49*sn_h^2*(1/2-$C928^2/4))+SUMPRODUCT($J$8:$K$8,$J928:$K928,$J$10:$K$10))/1E6)</f>
        <v/>
      </c>
      <c r="J928">
        <f>MAX(-fyd_sn,MIN(fyd_sn,200000*0.002*(1-$C928*(7*J$9-3*sn_h)/(4*sn_h))))-fcd_sn*(1-MIN(1,MAX(0,$C928*(7*J$9-3*sn_h)/(4*sn_h)))^2)</f>
        <v/>
      </c>
      <c r="K928">
        <f>MAX(-fyd_sn,MIN(fyd_sn,200000*0.002*(1-$C928*(7*K$9-3*sn_h)/(4*sn_h))))-fcd_sn*(1-MIN(1,MAX(0,$C928*(7*K$9-3*sn_h)/(4*sn_h)))^2)</f>
        <v/>
      </c>
    </row>
    <row r="929">
      <c r="B929" s="55" t="n">
        <v>186</v>
      </c>
      <c r="C929" s="58">
        <f>1-186/200</f>
        <v/>
      </c>
      <c r="D929" s="59">
        <f>IF($C929&gt;=1,sn_h,3/7*sn_h+4/7*sn_h/MAX($C929,1E-12))</f>
        <v/>
      </c>
      <c r="E929" s="57">
        <f>(fcd_sn*sn_b*sn_h*(3/7+4/7*(1-$C929^2/3))+SUMPRODUCT($J$8:$K$8,$J929:$K929))/1000</f>
        <v/>
      </c>
      <c r="F929" s="57">
        <f>-((fcd_sn*sn_b*(3/14*sn_h*(sn_h-3/7*sn_h)+4/7*sn_h*(sn_h/2-3/7*sn_h)*(1-$C929^2/3)-16/49*sn_h^2*(1/2-$C929^2/4))+SUMPRODUCT($J$8:$K$8,$J929:$K929,$J$10:$K$10))/1E6)</f>
        <v/>
      </c>
      <c r="J929">
        <f>MAX(-fyd_sn,MIN(fyd_sn,200000*0.002*(1-$C929*(7*J$9-3*sn_h)/(4*sn_h))))-fcd_sn*(1-MIN(1,MAX(0,$C929*(7*J$9-3*sn_h)/(4*sn_h)))^2)</f>
        <v/>
      </c>
      <c r="K929">
        <f>MAX(-fyd_sn,MIN(fyd_sn,200000*0.002*(1-$C929*(7*K$9-3*sn_h)/(4*sn_h))))-fcd_sn*(1-MIN(1,MAX(0,$C929*(7*K$9-3*sn_h)/(4*sn_h)))^2)</f>
        <v/>
      </c>
    </row>
    <row r="930">
      <c r="B930" s="55" t="n">
        <v>187</v>
      </c>
      <c r="C930" s="58">
        <f>1-187/200</f>
        <v/>
      </c>
      <c r="D930" s="59">
        <f>IF($C930&gt;=1,sn_h,3/7*sn_h+4/7*sn_h/MAX($C930,1E-12))</f>
        <v/>
      </c>
      <c r="E930" s="57">
        <f>(fcd_sn*sn_b*sn_h*(3/7+4/7*(1-$C930^2/3))+SUMPRODUCT($J$8:$K$8,$J930:$K930))/1000</f>
        <v/>
      </c>
      <c r="F930" s="57">
        <f>-((fcd_sn*sn_b*(3/14*sn_h*(sn_h-3/7*sn_h)+4/7*sn_h*(sn_h/2-3/7*sn_h)*(1-$C930^2/3)-16/49*sn_h^2*(1/2-$C930^2/4))+SUMPRODUCT($J$8:$K$8,$J930:$K930,$J$10:$K$10))/1E6)</f>
        <v/>
      </c>
      <c r="J930">
        <f>MAX(-fyd_sn,MIN(fyd_sn,200000*0.002*(1-$C930*(7*J$9-3*sn_h)/(4*sn_h))))-fcd_sn*(1-MIN(1,MAX(0,$C930*(7*J$9-3*sn_h)/(4*sn_h)))^2)</f>
        <v/>
      </c>
      <c r="K930">
        <f>MAX(-fyd_sn,MIN(fyd_sn,200000*0.002*(1-$C930*(7*K$9-3*sn_h)/(4*sn_h))))-fcd_sn*(1-MIN(1,MAX(0,$C930*(7*K$9-3*sn_h)/(4*sn_h)))^2)</f>
        <v/>
      </c>
    </row>
    <row r="931">
      <c r="B931" s="55" t="n">
        <v>188</v>
      </c>
      <c r="C931" s="58">
        <f>1-188/200</f>
        <v/>
      </c>
      <c r="D931" s="59">
        <f>IF($C931&gt;=1,sn_h,3/7*sn_h+4/7*sn_h/MAX($C931,1E-12))</f>
        <v/>
      </c>
      <c r="E931" s="57">
        <f>(fcd_sn*sn_b*sn_h*(3/7+4/7*(1-$C931^2/3))+SUMPRODUCT($J$8:$K$8,$J931:$K931))/1000</f>
        <v/>
      </c>
      <c r="F931" s="57">
        <f>-((fcd_sn*sn_b*(3/14*sn_h*(sn_h-3/7*sn_h)+4/7*sn_h*(sn_h/2-3/7*sn_h)*(1-$C931^2/3)-16/49*sn_h^2*(1/2-$C931^2/4))+SUMPRODUCT($J$8:$K$8,$J931:$K931,$J$10:$K$10))/1E6)</f>
        <v/>
      </c>
      <c r="J931">
        <f>MAX(-fyd_sn,MIN(fyd_sn,200000*0.002*(1-$C931*(7*J$9-3*sn_h)/(4*sn_h))))-fcd_sn*(1-MIN(1,MAX(0,$C931*(7*J$9-3*sn_h)/(4*sn_h)))^2)</f>
        <v/>
      </c>
      <c r="K931">
        <f>MAX(-fyd_sn,MIN(fyd_sn,200000*0.002*(1-$C931*(7*K$9-3*sn_h)/(4*sn_h))))-fcd_sn*(1-MIN(1,MAX(0,$C931*(7*K$9-3*sn_h)/(4*sn_h)))^2)</f>
        <v/>
      </c>
    </row>
    <row r="932">
      <c r="B932" s="55" t="n">
        <v>189</v>
      </c>
      <c r="C932" s="58">
        <f>1-189/200</f>
        <v/>
      </c>
      <c r="D932" s="59">
        <f>IF($C932&gt;=1,sn_h,3/7*sn_h+4/7*sn_h/MAX($C932,1E-12))</f>
        <v/>
      </c>
      <c r="E932" s="57">
        <f>(fcd_sn*sn_b*sn_h*(3/7+4/7*(1-$C932^2/3))+SUMPRODUCT($J$8:$K$8,$J932:$K932))/1000</f>
        <v/>
      </c>
      <c r="F932" s="57">
        <f>-((fcd_sn*sn_b*(3/14*sn_h*(sn_h-3/7*sn_h)+4/7*sn_h*(sn_h/2-3/7*sn_h)*(1-$C932^2/3)-16/49*sn_h^2*(1/2-$C932^2/4))+SUMPRODUCT($J$8:$K$8,$J932:$K932,$J$10:$K$10))/1E6)</f>
        <v/>
      </c>
      <c r="J932">
        <f>MAX(-fyd_sn,MIN(fyd_sn,200000*0.002*(1-$C932*(7*J$9-3*sn_h)/(4*sn_h))))-fcd_sn*(1-MIN(1,MAX(0,$C932*(7*J$9-3*sn_h)/(4*sn_h)))^2)</f>
        <v/>
      </c>
      <c r="K932">
        <f>MAX(-fyd_sn,MIN(fyd_sn,200000*0.002*(1-$C932*(7*K$9-3*sn_h)/(4*sn_h))))-fcd_sn*(1-MIN(1,MAX(0,$C932*(7*K$9-3*sn_h)/(4*sn_h)))^2)</f>
        <v/>
      </c>
    </row>
    <row r="933">
      <c r="B933" s="55" t="n">
        <v>190</v>
      </c>
      <c r="C933" s="58">
        <f>1-190/200</f>
        <v/>
      </c>
      <c r="D933" s="59">
        <f>IF($C933&gt;=1,sn_h,3/7*sn_h+4/7*sn_h/MAX($C933,1E-12))</f>
        <v/>
      </c>
      <c r="E933" s="57">
        <f>(fcd_sn*sn_b*sn_h*(3/7+4/7*(1-$C933^2/3))+SUMPRODUCT($J$8:$K$8,$J933:$K933))/1000</f>
        <v/>
      </c>
      <c r="F933" s="57">
        <f>-((fcd_sn*sn_b*(3/14*sn_h*(sn_h-3/7*sn_h)+4/7*sn_h*(sn_h/2-3/7*sn_h)*(1-$C933^2/3)-16/49*sn_h^2*(1/2-$C933^2/4))+SUMPRODUCT($J$8:$K$8,$J933:$K933,$J$10:$K$10))/1E6)</f>
        <v/>
      </c>
      <c r="J933">
        <f>MAX(-fyd_sn,MIN(fyd_sn,200000*0.002*(1-$C933*(7*J$9-3*sn_h)/(4*sn_h))))-fcd_sn*(1-MIN(1,MAX(0,$C933*(7*J$9-3*sn_h)/(4*sn_h)))^2)</f>
        <v/>
      </c>
      <c r="K933">
        <f>MAX(-fyd_sn,MIN(fyd_sn,200000*0.002*(1-$C933*(7*K$9-3*sn_h)/(4*sn_h))))-fcd_sn*(1-MIN(1,MAX(0,$C933*(7*K$9-3*sn_h)/(4*sn_h)))^2)</f>
        <v/>
      </c>
    </row>
    <row r="934">
      <c r="B934" s="55" t="n">
        <v>191</v>
      </c>
      <c r="C934" s="58">
        <f>1-191/200</f>
        <v/>
      </c>
      <c r="D934" s="59">
        <f>IF($C934&gt;=1,sn_h,3/7*sn_h+4/7*sn_h/MAX($C934,1E-12))</f>
        <v/>
      </c>
      <c r="E934" s="57">
        <f>(fcd_sn*sn_b*sn_h*(3/7+4/7*(1-$C934^2/3))+SUMPRODUCT($J$8:$K$8,$J934:$K934))/1000</f>
        <v/>
      </c>
      <c r="F934" s="57">
        <f>-((fcd_sn*sn_b*(3/14*sn_h*(sn_h-3/7*sn_h)+4/7*sn_h*(sn_h/2-3/7*sn_h)*(1-$C934^2/3)-16/49*sn_h^2*(1/2-$C934^2/4))+SUMPRODUCT($J$8:$K$8,$J934:$K934,$J$10:$K$10))/1E6)</f>
        <v/>
      </c>
      <c r="J934">
        <f>MAX(-fyd_sn,MIN(fyd_sn,200000*0.002*(1-$C934*(7*J$9-3*sn_h)/(4*sn_h))))-fcd_sn*(1-MIN(1,MAX(0,$C934*(7*J$9-3*sn_h)/(4*sn_h)))^2)</f>
        <v/>
      </c>
      <c r="K934">
        <f>MAX(-fyd_sn,MIN(fyd_sn,200000*0.002*(1-$C934*(7*K$9-3*sn_h)/(4*sn_h))))-fcd_sn*(1-MIN(1,MAX(0,$C934*(7*K$9-3*sn_h)/(4*sn_h)))^2)</f>
        <v/>
      </c>
    </row>
    <row r="935">
      <c r="B935" s="55" t="n">
        <v>192</v>
      </c>
      <c r="C935" s="58">
        <f>1-192/200</f>
        <v/>
      </c>
      <c r="D935" s="59">
        <f>IF($C935&gt;=1,sn_h,3/7*sn_h+4/7*sn_h/MAX($C935,1E-12))</f>
        <v/>
      </c>
      <c r="E935" s="57">
        <f>(fcd_sn*sn_b*sn_h*(3/7+4/7*(1-$C935^2/3))+SUMPRODUCT($J$8:$K$8,$J935:$K935))/1000</f>
        <v/>
      </c>
      <c r="F935" s="57">
        <f>-((fcd_sn*sn_b*(3/14*sn_h*(sn_h-3/7*sn_h)+4/7*sn_h*(sn_h/2-3/7*sn_h)*(1-$C935^2/3)-16/49*sn_h^2*(1/2-$C935^2/4))+SUMPRODUCT($J$8:$K$8,$J935:$K935,$J$10:$K$10))/1E6)</f>
        <v/>
      </c>
      <c r="J935">
        <f>MAX(-fyd_sn,MIN(fyd_sn,200000*0.002*(1-$C935*(7*J$9-3*sn_h)/(4*sn_h))))-fcd_sn*(1-MIN(1,MAX(0,$C935*(7*J$9-3*sn_h)/(4*sn_h)))^2)</f>
        <v/>
      </c>
      <c r="K935">
        <f>MAX(-fyd_sn,MIN(fyd_sn,200000*0.002*(1-$C935*(7*K$9-3*sn_h)/(4*sn_h))))-fcd_sn*(1-MIN(1,MAX(0,$C935*(7*K$9-3*sn_h)/(4*sn_h)))^2)</f>
        <v/>
      </c>
    </row>
    <row r="936">
      <c r="B936" s="55" t="n">
        <v>193</v>
      </c>
      <c r="C936" s="58">
        <f>1-193/200</f>
        <v/>
      </c>
      <c r="D936" s="59">
        <f>IF($C936&gt;=1,sn_h,3/7*sn_h+4/7*sn_h/MAX($C936,1E-12))</f>
        <v/>
      </c>
      <c r="E936" s="57">
        <f>(fcd_sn*sn_b*sn_h*(3/7+4/7*(1-$C936^2/3))+SUMPRODUCT($J$8:$K$8,$J936:$K936))/1000</f>
        <v/>
      </c>
      <c r="F936" s="57">
        <f>-((fcd_sn*sn_b*(3/14*sn_h*(sn_h-3/7*sn_h)+4/7*sn_h*(sn_h/2-3/7*sn_h)*(1-$C936^2/3)-16/49*sn_h^2*(1/2-$C936^2/4))+SUMPRODUCT($J$8:$K$8,$J936:$K936,$J$10:$K$10))/1E6)</f>
        <v/>
      </c>
      <c r="J936">
        <f>MAX(-fyd_sn,MIN(fyd_sn,200000*0.002*(1-$C936*(7*J$9-3*sn_h)/(4*sn_h))))-fcd_sn*(1-MIN(1,MAX(0,$C936*(7*J$9-3*sn_h)/(4*sn_h)))^2)</f>
        <v/>
      </c>
      <c r="K936">
        <f>MAX(-fyd_sn,MIN(fyd_sn,200000*0.002*(1-$C936*(7*K$9-3*sn_h)/(4*sn_h))))-fcd_sn*(1-MIN(1,MAX(0,$C936*(7*K$9-3*sn_h)/(4*sn_h)))^2)</f>
        <v/>
      </c>
    </row>
    <row r="937">
      <c r="B937" s="55" t="n">
        <v>194</v>
      </c>
      <c r="C937" s="58">
        <f>1-194/200</f>
        <v/>
      </c>
      <c r="D937" s="59">
        <f>IF($C937&gt;=1,sn_h,3/7*sn_h+4/7*sn_h/MAX($C937,1E-12))</f>
        <v/>
      </c>
      <c r="E937" s="57">
        <f>(fcd_sn*sn_b*sn_h*(3/7+4/7*(1-$C937^2/3))+SUMPRODUCT($J$8:$K$8,$J937:$K937))/1000</f>
        <v/>
      </c>
      <c r="F937" s="57">
        <f>-((fcd_sn*sn_b*(3/14*sn_h*(sn_h-3/7*sn_h)+4/7*sn_h*(sn_h/2-3/7*sn_h)*(1-$C937^2/3)-16/49*sn_h^2*(1/2-$C937^2/4))+SUMPRODUCT($J$8:$K$8,$J937:$K937,$J$10:$K$10))/1E6)</f>
        <v/>
      </c>
      <c r="J937">
        <f>MAX(-fyd_sn,MIN(fyd_sn,200000*0.002*(1-$C937*(7*J$9-3*sn_h)/(4*sn_h))))-fcd_sn*(1-MIN(1,MAX(0,$C937*(7*J$9-3*sn_h)/(4*sn_h)))^2)</f>
        <v/>
      </c>
      <c r="K937">
        <f>MAX(-fyd_sn,MIN(fyd_sn,200000*0.002*(1-$C937*(7*K$9-3*sn_h)/(4*sn_h))))-fcd_sn*(1-MIN(1,MAX(0,$C937*(7*K$9-3*sn_h)/(4*sn_h)))^2)</f>
        <v/>
      </c>
    </row>
    <row r="938">
      <c r="B938" s="55" t="n">
        <v>195</v>
      </c>
      <c r="C938" s="58">
        <f>1-195/200</f>
        <v/>
      </c>
      <c r="D938" s="59">
        <f>IF($C938&gt;=1,sn_h,3/7*sn_h+4/7*sn_h/MAX($C938,1E-12))</f>
        <v/>
      </c>
      <c r="E938" s="57">
        <f>(fcd_sn*sn_b*sn_h*(3/7+4/7*(1-$C938^2/3))+SUMPRODUCT($J$8:$K$8,$J938:$K938))/1000</f>
        <v/>
      </c>
      <c r="F938" s="57">
        <f>-((fcd_sn*sn_b*(3/14*sn_h*(sn_h-3/7*sn_h)+4/7*sn_h*(sn_h/2-3/7*sn_h)*(1-$C938^2/3)-16/49*sn_h^2*(1/2-$C938^2/4))+SUMPRODUCT($J$8:$K$8,$J938:$K938,$J$10:$K$10))/1E6)</f>
        <v/>
      </c>
      <c r="J938">
        <f>MAX(-fyd_sn,MIN(fyd_sn,200000*0.002*(1-$C938*(7*J$9-3*sn_h)/(4*sn_h))))-fcd_sn*(1-MIN(1,MAX(0,$C938*(7*J$9-3*sn_h)/(4*sn_h)))^2)</f>
        <v/>
      </c>
      <c r="K938">
        <f>MAX(-fyd_sn,MIN(fyd_sn,200000*0.002*(1-$C938*(7*K$9-3*sn_h)/(4*sn_h))))-fcd_sn*(1-MIN(1,MAX(0,$C938*(7*K$9-3*sn_h)/(4*sn_h)))^2)</f>
        <v/>
      </c>
    </row>
    <row r="939">
      <c r="B939" s="55" t="n">
        <v>196</v>
      </c>
      <c r="C939" s="58">
        <f>1-196/200</f>
        <v/>
      </c>
      <c r="D939" s="59">
        <f>IF($C939&gt;=1,sn_h,3/7*sn_h+4/7*sn_h/MAX($C939,1E-12))</f>
        <v/>
      </c>
      <c r="E939" s="57">
        <f>(fcd_sn*sn_b*sn_h*(3/7+4/7*(1-$C939^2/3))+SUMPRODUCT($J$8:$K$8,$J939:$K939))/1000</f>
        <v/>
      </c>
      <c r="F939" s="57">
        <f>-((fcd_sn*sn_b*(3/14*sn_h*(sn_h-3/7*sn_h)+4/7*sn_h*(sn_h/2-3/7*sn_h)*(1-$C939^2/3)-16/49*sn_h^2*(1/2-$C939^2/4))+SUMPRODUCT($J$8:$K$8,$J939:$K939,$J$10:$K$10))/1E6)</f>
        <v/>
      </c>
      <c r="J939">
        <f>MAX(-fyd_sn,MIN(fyd_sn,200000*0.002*(1-$C939*(7*J$9-3*sn_h)/(4*sn_h))))-fcd_sn*(1-MIN(1,MAX(0,$C939*(7*J$9-3*sn_h)/(4*sn_h)))^2)</f>
        <v/>
      </c>
      <c r="K939">
        <f>MAX(-fyd_sn,MIN(fyd_sn,200000*0.002*(1-$C939*(7*K$9-3*sn_h)/(4*sn_h))))-fcd_sn*(1-MIN(1,MAX(0,$C939*(7*K$9-3*sn_h)/(4*sn_h)))^2)</f>
        <v/>
      </c>
    </row>
    <row r="940">
      <c r="B940" s="55" t="n">
        <v>197</v>
      </c>
      <c r="C940" s="58">
        <f>1-197/200</f>
        <v/>
      </c>
      <c r="D940" s="59">
        <f>IF($C940&gt;=1,sn_h,3/7*sn_h+4/7*sn_h/MAX($C940,1E-12))</f>
        <v/>
      </c>
      <c r="E940" s="57">
        <f>(fcd_sn*sn_b*sn_h*(3/7+4/7*(1-$C940^2/3))+SUMPRODUCT($J$8:$K$8,$J940:$K940))/1000</f>
        <v/>
      </c>
      <c r="F940" s="57">
        <f>-((fcd_sn*sn_b*(3/14*sn_h*(sn_h-3/7*sn_h)+4/7*sn_h*(sn_h/2-3/7*sn_h)*(1-$C940^2/3)-16/49*sn_h^2*(1/2-$C940^2/4))+SUMPRODUCT($J$8:$K$8,$J940:$K940,$J$10:$K$10))/1E6)</f>
        <v/>
      </c>
      <c r="J940">
        <f>MAX(-fyd_sn,MIN(fyd_sn,200000*0.002*(1-$C940*(7*J$9-3*sn_h)/(4*sn_h))))-fcd_sn*(1-MIN(1,MAX(0,$C940*(7*J$9-3*sn_h)/(4*sn_h)))^2)</f>
        <v/>
      </c>
      <c r="K940">
        <f>MAX(-fyd_sn,MIN(fyd_sn,200000*0.002*(1-$C940*(7*K$9-3*sn_h)/(4*sn_h))))-fcd_sn*(1-MIN(1,MAX(0,$C940*(7*K$9-3*sn_h)/(4*sn_h)))^2)</f>
        <v/>
      </c>
    </row>
    <row r="941">
      <c r="B941" s="55" t="n">
        <v>198</v>
      </c>
      <c r="C941" s="58">
        <f>1-198/200</f>
        <v/>
      </c>
      <c r="D941" s="59">
        <f>IF($C941&gt;=1,sn_h,3/7*sn_h+4/7*sn_h/MAX($C941,1E-12))</f>
        <v/>
      </c>
      <c r="E941" s="57">
        <f>(fcd_sn*sn_b*sn_h*(3/7+4/7*(1-$C941^2/3))+SUMPRODUCT($J$8:$K$8,$J941:$K941))/1000</f>
        <v/>
      </c>
      <c r="F941" s="57">
        <f>-((fcd_sn*sn_b*(3/14*sn_h*(sn_h-3/7*sn_h)+4/7*sn_h*(sn_h/2-3/7*sn_h)*(1-$C941^2/3)-16/49*sn_h^2*(1/2-$C941^2/4))+SUMPRODUCT($J$8:$K$8,$J941:$K941,$J$10:$K$10))/1E6)</f>
        <v/>
      </c>
      <c r="J941">
        <f>MAX(-fyd_sn,MIN(fyd_sn,200000*0.002*(1-$C941*(7*J$9-3*sn_h)/(4*sn_h))))-fcd_sn*(1-MIN(1,MAX(0,$C941*(7*J$9-3*sn_h)/(4*sn_h)))^2)</f>
        <v/>
      </c>
      <c r="K941">
        <f>MAX(-fyd_sn,MIN(fyd_sn,200000*0.002*(1-$C941*(7*K$9-3*sn_h)/(4*sn_h))))-fcd_sn*(1-MIN(1,MAX(0,$C941*(7*K$9-3*sn_h)/(4*sn_h)))^2)</f>
        <v/>
      </c>
    </row>
    <row r="942">
      <c r="B942" s="55" t="n">
        <v>199</v>
      </c>
      <c r="C942" s="58">
        <f>1-199/200</f>
        <v/>
      </c>
      <c r="D942" s="59">
        <f>IF($C942&gt;=1,sn_h,3/7*sn_h+4/7*sn_h/MAX($C942,1E-12))</f>
        <v/>
      </c>
      <c r="E942" s="57">
        <f>(fcd_sn*sn_b*sn_h*(3/7+4/7*(1-$C942^2/3))+SUMPRODUCT($J$8:$K$8,$J942:$K942))/1000</f>
        <v/>
      </c>
      <c r="F942" s="57">
        <f>-((fcd_sn*sn_b*(3/14*sn_h*(sn_h-3/7*sn_h)+4/7*sn_h*(sn_h/2-3/7*sn_h)*(1-$C942^2/3)-16/49*sn_h^2*(1/2-$C942^2/4))+SUMPRODUCT($J$8:$K$8,$J942:$K942,$J$10:$K$10))/1E6)</f>
        <v/>
      </c>
      <c r="J942">
        <f>MAX(-fyd_sn,MIN(fyd_sn,200000*0.002*(1-$C942*(7*J$9-3*sn_h)/(4*sn_h))))-fcd_sn*(1-MIN(1,MAX(0,$C942*(7*J$9-3*sn_h)/(4*sn_h)))^2)</f>
        <v/>
      </c>
      <c r="K942">
        <f>MAX(-fyd_sn,MIN(fyd_sn,200000*0.002*(1-$C942*(7*K$9-3*sn_h)/(4*sn_h))))-fcd_sn*(1-MIN(1,MAX(0,$C942*(7*K$9-3*sn_h)/(4*sn_h)))^2)</f>
        <v/>
      </c>
    </row>
    <row r="943">
      <c r="B943" s="55" t="n">
        <v>200</v>
      </c>
      <c r="C943" s="58">
        <f>1-200/200</f>
        <v/>
      </c>
      <c r="D943" s="59">
        <f>IF($C943&gt;=1,sn_h,3/7*sn_h+4/7*sn_h/MAX($C943,1E-12))</f>
        <v/>
      </c>
      <c r="E943" s="57">
        <f>(fcd_sn*sn_b*sn_h*(3/7+4/7*(1-$C943^2/3))+SUMPRODUCT($J$8:$K$8,$J943:$K943))/1000</f>
        <v/>
      </c>
      <c r="F943" s="57">
        <f>-((fcd_sn*sn_b*(3/14*sn_h*(sn_h-3/7*sn_h)+4/7*sn_h*(sn_h/2-3/7*sn_h)*(1-$C943^2/3)-16/49*sn_h^2*(1/2-$C943^2/4))+SUMPRODUCT($J$8:$K$8,$J943:$K943,$J$10:$K$10))/1E6)</f>
        <v/>
      </c>
      <c r="J943">
        <f>MAX(-fyd_sn,MIN(fyd_sn,200000*0.002*(1-$C943*(7*J$9-3*sn_h)/(4*sn_h))))-fcd_sn*(1-MIN(1,MAX(0,$C943*(7*J$9-3*sn_h)/(4*sn_h)))^2)</f>
        <v/>
      </c>
      <c r="K943">
        <f>MAX(-fyd_sn,MIN(fyd_sn,200000*0.002*(1-$C943*(7*K$9-3*sn_h)/(4*sn_h))))-fcd_sn*(1-MIN(1,MAX(0,$C943*(7*K$9-3*sn_h)/(4*sn_h)))^2)</f>
        <v/>
      </c>
    </row>
    <row r="945">
      <c r="B945" s="54" t="inlineStr">
        <is>
          <t>Bottom face compressed  ·  2. largest N, golden section</t>
        </is>
      </c>
    </row>
    <row r="946">
      <c r="B946" s="48" t="inlineStr">
        <is>
          <t>step</t>
        </is>
      </c>
      <c r="C946" s="48" t="inlineStr">
        <is>
          <t>t a</t>
        </is>
      </c>
      <c r="D946" s="48" t="inlineStr">
        <is>
          <t>t b</t>
        </is>
      </c>
      <c r="E946" s="48" t="inlineStr">
        <is>
          <t>t1</t>
        </is>
      </c>
      <c r="F946" s="48" t="inlineStr">
        <is>
          <t>t2</t>
        </is>
      </c>
      <c r="G946" s="48" t="inlineStr">
        <is>
          <t>N(t1)</t>
        </is>
      </c>
      <c r="H946" s="48" t="inlineStr">
        <is>
          <t>N(t2)</t>
        </is>
      </c>
    </row>
    <row r="947">
      <c r="B947" s="55" t="n">
        <v>1</v>
      </c>
      <c r="C947" s="56">
        <f>INDEX(rawH_t,MIN((MATCH(MAX(rawH_N),rawH_N,0)-1)+1,200)+1)</f>
        <v/>
      </c>
      <c r="D947" s="56">
        <f>INDEX(rawH_t,MAX((MATCH(MAX(rawH_N),rawH_N,0)-1)-1,0)+1)</f>
        <v/>
      </c>
      <c r="E947" s="56">
        <f>$D947-((SQRT(5)-1)/2)*($D947-$C947)</f>
        <v/>
      </c>
      <c r="F947" s="56">
        <f>$C947+((SQRT(5)-1)/2)*($D947-$C947)</f>
        <v/>
      </c>
      <c r="G947" s="60">
        <f>(fcd_sn*sn_b*sn_h*(3/7+4/7*(1-$E947^2/3))+SUMPRODUCT($J$8:$K$8,$J947:$K947))/1000</f>
        <v/>
      </c>
      <c r="H947" s="60">
        <f>(fcd_sn*sn_b*sn_h*(3/7+4/7*(1-$F947^2/3))+SUMPRODUCT($J$8:$K$8,$L947:$M947))/1000</f>
        <v/>
      </c>
      <c r="J947">
        <f>MAX(-fyd_sn,MIN(fyd_sn,200000*0.002*(1-$E947*(7*J$9-3*sn_h)/(4*sn_h))))-fcd_sn*(1-MIN(1,MAX(0,$E947*(7*J$9-3*sn_h)/(4*sn_h)))^2)</f>
        <v/>
      </c>
      <c r="K947">
        <f>MAX(-fyd_sn,MIN(fyd_sn,200000*0.002*(1-$E947*(7*K$9-3*sn_h)/(4*sn_h))))-fcd_sn*(1-MIN(1,MAX(0,$E947*(7*K$9-3*sn_h)/(4*sn_h)))^2)</f>
        <v/>
      </c>
      <c r="L947">
        <f>MAX(-fyd_sn,MIN(fyd_sn,200000*0.002*(1-$F947*(7*J$9-3*sn_h)/(4*sn_h))))-fcd_sn*(1-MIN(1,MAX(0,$F947*(7*J$9-3*sn_h)/(4*sn_h)))^2)</f>
        <v/>
      </c>
      <c r="M947">
        <f>MAX(-fyd_sn,MIN(fyd_sn,200000*0.002*(1-$F947*(7*K$9-3*sn_h)/(4*sn_h))))-fcd_sn*(1-MIN(1,MAX(0,$F947*(7*K$9-3*sn_h)/(4*sn_h)))^2)</f>
        <v/>
      </c>
    </row>
    <row r="948">
      <c r="B948" s="55" t="n">
        <v>2</v>
      </c>
      <c r="C948" s="56">
        <f>IF($G947&gt;=$H947,$C947,$E947)</f>
        <v/>
      </c>
      <c r="D948" s="56">
        <f>IF($G947&gt;=$H947,$F947,$D947)</f>
        <v/>
      </c>
      <c r="E948" s="56">
        <f>$D948-((SQRT(5)-1)/2)*($D948-$C948)</f>
        <v/>
      </c>
      <c r="F948" s="56">
        <f>$C948+((SQRT(5)-1)/2)*($D948-$C948)</f>
        <v/>
      </c>
      <c r="G948" s="60">
        <f>(fcd_sn*sn_b*sn_h*(3/7+4/7*(1-$E948^2/3))+SUMPRODUCT($J$8:$K$8,$J948:$K948))/1000</f>
        <v/>
      </c>
      <c r="H948" s="60">
        <f>(fcd_sn*sn_b*sn_h*(3/7+4/7*(1-$F948^2/3))+SUMPRODUCT($J$8:$K$8,$L948:$M948))/1000</f>
        <v/>
      </c>
      <c r="J948">
        <f>MAX(-fyd_sn,MIN(fyd_sn,200000*0.002*(1-$E948*(7*J$9-3*sn_h)/(4*sn_h))))-fcd_sn*(1-MIN(1,MAX(0,$E948*(7*J$9-3*sn_h)/(4*sn_h)))^2)</f>
        <v/>
      </c>
      <c r="K948">
        <f>MAX(-fyd_sn,MIN(fyd_sn,200000*0.002*(1-$E948*(7*K$9-3*sn_h)/(4*sn_h))))-fcd_sn*(1-MIN(1,MAX(0,$E948*(7*K$9-3*sn_h)/(4*sn_h)))^2)</f>
        <v/>
      </c>
      <c r="L948">
        <f>MAX(-fyd_sn,MIN(fyd_sn,200000*0.002*(1-$F948*(7*J$9-3*sn_h)/(4*sn_h))))-fcd_sn*(1-MIN(1,MAX(0,$F948*(7*J$9-3*sn_h)/(4*sn_h)))^2)</f>
        <v/>
      </c>
      <c r="M948">
        <f>MAX(-fyd_sn,MIN(fyd_sn,200000*0.002*(1-$F948*(7*K$9-3*sn_h)/(4*sn_h))))-fcd_sn*(1-MIN(1,MAX(0,$F948*(7*K$9-3*sn_h)/(4*sn_h)))^2)</f>
        <v/>
      </c>
    </row>
    <row r="949">
      <c r="B949" s="55" t="n">
        <v>3</v>
      </c>
      <c r="C949" s="56">
        <f>IF($G948&gt;=$H948,$C948,$E948)</f>
        <v/>
      </c>
      <c r="D949" s="56">
        <f>IF($G948&gt;=$H948,$F948,$D948)</f>
        <v/>
      </c>
      <c r="E949" s="56">
        <f>$D949-((SQRT(5)-1)/2)*($D949-$C949)</f>
        <v/>
      </c>
      <c r="F949" s="56">
        <f>$C949+((SQRT(5)-1)/2)*($D949-$C949)</f>
        <v/>
      </c>
      <c r="G949" s="60">
        <f>(fcd_sn*sn_b*sn_h*(3/7+4/7*(1-$E949^2/3))+SUMPRODUCT($J$8:$K$8,$J949:$K949))/1000</f>
        <v/>
      </c>
      <c r="H949" s="60">
        <f>(fcd_sn*sn_b*sn_h*(3/7+4/7*(1-$F949^2/3))+SUMPRODUCT($J$8:$K$8,$L949:$M949))/1000</f>
        <v/>
      </c>
      <c r="J949">
        <f>MAX(-fyd_sn,MIN(fyd_sn,200000*0.002*(1-$E949*(7*J$9-3*sn_h)/(4*sn_h))))-fcd_sn*(1-MIN(1,MAX(0,$E949*(7*J$9-3*sn_h)/(4*sn_h)))^2)</f>
        <v/>
      </c>
      <c r="K949">
        <f>MAX(-fyd_sn,MIN(fyd_sn,200000*0.002*(1-$E949*(7*K$9-3*sn_h)/(4*sn_h))))-fcd_sn*(1-MIN(1,MAX(0,$E949*(7*K$9-3*sn_h)/(4*sn_h)))^2)</f>
        <v/>
      </c>
      <c r="L949">
        <f>MAX(-fyd_sn,MIN(fyd_sn,200000*0.002*(1-$F949*(7*J$9-3*sn_h)/(4*sn_h))))-fcd_sn*(1-MIN(1,MAX(0,$F949*(7*J$9-3*sn_h)/(4*sn_h)))^2)</f>
        <v/>
      </c>
      <c r="M949">
        <f>MAX(-fyd_sn,MIN(fyd_sn,200000*0.002*(1-$F949*(7*K$9-3*sn_h)/(4*sn_h))))-fcd_sn*(1-MIN(1,MAX(0,$F949*(7*K$9-3*sn_h)/(4*sn_h)))^2)</f>
        <v/>
      </c>
    </row>
    <row r="950">
      <c r="B950" s="55" t="n">
        <v>4</v>
      </c>
      <c r="C950" s="56">
        <f>IF($G949&gt;=$H949,$C949,$E949)</f>
        <v/>
      </c>
      <c r="D950" s="56">
        <f>IF($G949&gt;=$H949,$F949,$D949)</f>
        <v/>
      </c>
      <c r="E950" s="56">
        <f>$D950-((SQRT(5)-1)/2)*($D950-$C950)</f>
        <v/>
      </c>
      <c r="F950" s="56">
        <f>$C950+((SQRT(5)-1)/2)*($D950-$C950)</f>
        <v/>
      </c>
      <c r="G950" s="60">
        <f>(fcd_sn*sn_b*sn_h*(3/7+4/7*(1-$E950^2/3))+SUMPRODUCT($J$8:$K$8,$J950:$K950))/1000</f>
        <v/>
      </c>
      <c r="H950" s="60">
        <f>(fcd_sn*sn_b*sn_h*(3/7+4/7*(1-$F950^2/3))+SUMPRODUCT($J$8:$K$8,$L950:$M950))/1000</f>
        <v/>
      </c>
      <c r="J950">
        <f>MAX(-fyd_sn,MIN(fyd_sn,200000*0.002*(1-$E950*(7*J$9-3*sn_h)/(4*sn_h))))-fcd_sn*(1-MIN(1,MAX(0,$E950*(7*J$9-3*sn_h)/(4*sn_h)))^2)</f>
        <v/>
      </c>
      <c r="K950">
        <f>MAX(-fyd_sn,MIN(fyd_sn,200000*0.002*(1-$E950*(7*K$9-3*sn_h)/(4*sn_h))))-fcd_sn*(1-MIN(1,MAX(0,$E950*(7*K$9-3*sn_h)/(4*sn_h)))^2)</f>
        <v/>
      </c>
      <c r="L950">
        <f>MAX(-fyd_sn,MIN(fyd_sn,200000*0.002*(1-$F950*(7*J$9-3*sn_h)/(4*sn_h))))-fcd_sn*(1-MIN(1,MAX(0,$F950*(7*J$9-3*sn_h)/(4*sn_h)))^2)</f>
        <v/>
      </c>
      <c r="M950">
        <f>MAX(-fyd_sn,MIN(fyd_sn,200000*0.002*(1-$F950*(7*K$9-3*sn_h)/(4*sn_h))))-fcd_sn*(1-MIN(1,MAX(0,$F950*(7*K$9-3*sn_h)/(4*sn_h)))^2)</f>
        <v/>
      </c>
    </row>
    <row r="951">
      <c r="B951" s="55" t="n">
        <v>5</v>
      </c>
      <c r="C951" s="56">
        <f>IF($G950&gt;=$H950,$C950,$E950)</f>
        <v/>
      </c>
      <c r="D951" s="56">
        <f>IF($G950&gt;=$H950,$F950,$D950)</f>
        <v/>
      </c>
      <c r="E951" s="56">
        <f>$D951-((SQRT(5)-1)/2)*($D951-$C951)</f>
        <v/>
      </c>
      <c r="F951" s="56">
        <f>$C951+((SQRT(5)-1)/2)*($D951-$C951)</f>
        <v/>
      </c>
      <c r="G951" s="60">
        <f>(fcd_sn*sn_b*sn_h*(3/7+4/7*(1-$E951^2/3))+SUMPRODUCT($J$8:$K$8,$J951:$K951))/1000</f>
        <v/>
      </c>
      <c r="H951" s="60">
        <f>(fcd_sn*sn_b*sn_h*(3/7+4/7*(1-$F951^2/3))+SUMPRODUCT($J$8:$K$8,$L951:$M951))/1000</f>
        <v/>
      </c>
      <c r="J951">
        <f>MAX(-fyd_sn,MIN(fyd_sn,200000*0.002*(1-$E951*(7*J$9-3*sn_h)/(4*sn_h))))-fcd_sn*(1-MIN(1,MAX(0,$E951*(7*J$9-3*sn_h)/(4*sn_h)))^2)</f>
        <v/>
      </c>
      <c r="K951">
        <f>MAX(-fyd_sn,MIN(fyd_sn,200000*0.002*(1-$E951*(7*K$9-3*sn_h)/(4*sn_h))))-fcd_sn*(1-MIN(1,MAX(0,$E951*(7*K$9-3*sn_h)/(4*sn_h)))^2)</f>
        <v/>
      </c>
      <c r="L951">
        <f>MAX(-fyd_sn,MIN(fyd_sn,200000*0.002*(1-$F951*(7*J$9-3*sn_h)/(4*sn_h))))-fcd_sn*(1-MIN(1,MAX(0,$F951*(7*J$9-3*sn_h)/(4*sn_h)))^2)</f>
        <v/>
      </c>
      <c r="M951">
        <f>MAX(-fyd_sn,MIN(fyd_sn,200000*0.002*(1-$F951*(7*K$9-3*sn_h)/(4*sn_h))))-fcd_sn*(1-MIN(1,MAX(0,$F951*(7*K$9-3*sn_h)/(4*sn_h)))^2)</f>
        <v/>
      </c>
    </row>
    <row r="952">
      <c r="B952" s="55" t="n">
        <v>6</v>
      </c>
      <c r="C952" s="56">
        <f>IF($G951&gt;=$H951,$C951,$E951)</f>
        <v/>
      </c>
      <c r="D952" s="56">
        <f>IF($G951&gt;=$H951,$F951,$D951)</f>
        <v/>
      </c>
      <c r="E952" s="56">
        <f>$D952-((SQRT(5)-1)/2)*($D952-$C952)</f>
        <v/>
      </c>
      <c r="F952" s="56">
        <f>$C952+((SQRT(5)-1)/2)*($D952-$C952)</f>
        <v/>
      </c>
      <c r="G952" s="60">
        <f>(fcd_sn*sn_b*sn_h*(3/7+4/7*(1-$E952^2/3))+SUMPRODUCT($J$8:$K$8,$J952:$K952))/1000</f>
        <v/>
      </c>
      <c r="H952" s="60">
        <f>(fcd_sn*sn_b*sn_h*(3/7+4/7*(1-$F952^2/3))+SUMPRODUCT($J$8:$K$8,$L952:$M952))/1000</f>
        <v/>
      </c>
      <c r="J952">
        <f>MAX(-fyd_sn,MIN(fyd_sn,200000*0.002*(1-$E952*(7*J$9-3*sn_h)/(4*sn_h))))-fcd_sn*(1-MIN(1,MAX(0,$E952*(7*J$9-3*sn_h)/(4*sn_h)))^2)</f>
        <v/>
      </c>
      <c r="K952">
        <f>MAX(-fyd_sn,MIN(fyd_sn,200000*0.002*(1-$E952*(7*K$9-3*sn_h)/(4*sn_h))))-fcd_sn*(1-MIN(1,MAX(0,$E952*(7*K$9-3*sn_h)/(4*sn_h)))^2)</f>
        <v/>
      </c>
      <c r="L952">
        <f>MAX(-fyd_sn,MIN(fyd_sn,200000*0.002*(1-$F952*(7*J$9-3*sn_h)/(4*sn_h))))-fcd_sn*(1-MIN(1,MAX(0,$F952*(7*J$9-3*sn_h)/(4*sn_h)))^2)</f>
        <v/>
      </c>
      <c r="M952">
        <f>MAX(-fyd_sn,MIN(fyd_sn,200000*0.002*(1-$F952*(7*K$9-3*sn_h)/(4*sn_h))))-fcd_sn*(1-MIN(1,MAX(0,$F952*(7*K$9-3*sn_h)/(4*sn_h)))^2)</f>
        <v/>
      </c>
    </row>
    <row r="953">
      <c r="B953" s="55" t="n">
        <v>7</v>
      </c>
      <c r="C953" s="56">
        <f>IF($G952&gt;=$H952,$C952,$E952)</f>
        <v/>
      </c>
      <c r="D953" s="56">
        <f>IF($G952&gt;=$H952,$F952,$D952)</f>
        <v/>
      </c>
      <c r="E953" s="56">
        <f>$D953-((SQRT(5)-1)/2)*($D953-$C953)</f>
        <v/>
      </c>
      <c r="F953" s="56">
        <f>$C953+((SQRT(5)-1)/2)*($D953-$C953)</f>
        <v/>
      </c>
      <c r="G953" s="60">
        <f>(fcd_sn*sn_b*sn_h*(3/7+4/7*(1-$E953^2/3))+SUMPRODUCT($J$8:$K$8,$J953:$K953))/1000</f>
        <v/>
      </c>
      <c r="H953" s="60">
        <f>(fcd_sn*sn_b*sn_h*(3/7+4/7*(1-$F953^2/3))+SUMPRODUCT($J$8:$K$8,$L953:$M953))/1000</f>
        <v/>
      </c>
      <c r="J953">
        <f>MAX(-fyd_sn,MIN(fyd_sn,200000*0.002*(1-$E953*(7*J$9-3*sn_h)/(4*sn_h))))-fcd_sn*(1-MIN(1,MAX(0,$E953*(7*J$9-3*sn_h)/(4*sn_h)))^2)</f>
        <v/>
      </c>
      <c r="K953">
        <f>MAX(-fyd_sn,MIN(fyd_sn,200000*0.002*(1-$E953*(7*K$9-3*sn_h)/(4*sn_h))))-fcd_sn*(1-MIN(1,MAX(0,$E953*(7*K$9-3*sn_h)/(4*sn_h)))^2)</f>
        <v/>
      </c>
      <c r="L953">
        <f>MAX(-fyd_sn,MIN(fyd_sn,200000*0.002*(1-$F953*(7*J$9-3*sn_h)/(4*sn_h))))-fcd_sn*(1-MIN(1,MAX(0,$F953*(7*J$9-3*sn_h)/(4*sn_h)))^2)</f>
        <v/>
      </c>
      <c r="M953">
        <f>MAX(-fyd_sn,MIN(fyd_sn,200000*0.002*(1-$F953*(7*K$9-3*sn_h)/(4*sn_h))))-fcd_sn*(1-MIN(1,MAX(0,$F953*(7*K$9-3*sn_h)/(4*sn_h)))^2)</f>
        <v/>
      </c>
    </row>
    <row r="954">
      <c r="B954" s="55" t="n">
        <v>8</v>
      </c>
      <c r="C954" s="56">
        <f>IF($G953&gt;=$H953,$C953,$E953)</f>
        <v/>
      </c>
      <c r="D954" s="56">
        <f>IF($G953&gt;=$H953,$F953,$D953)</f>
        <v/>
      </c>
      <c r="E954" s="56">
        <f>$D954-((SQRT(5)-1)/2)*($D954-$C954)</f>
        <v/>
      </c>
      <c r="F954" s="56">
        <f>$C954+((SQRT(5)-1)/2)*($D954-$C954)</f>
        <v/>
      </c>
      <c r="G954" s="60">
        <f>(fcd_sn*sn_b*sn_h*(3/7+4/7*(1-$E954^2/3))+SUMPRODUCT($J$8:$K$8,$J954:$K954))/1000</f>
        <v/>
      </c>
      <c r="H954" s="60">
        <f>(fcd_sn*sn_b*sn_h*(3/7+4/7*(1-$F954^2/3))+SUMPRODUCT($J$8:$K$8,$L954:$M954))/1000</f>
        <v/>
      </c>
      <c r="J954">
        <f>MAX(-fyd_sn,MIN(fyd_sn,200000*0.002*(1-$E954*(7*J$9-3*sn_h)/(4*sn_h))))-fcd_sn*(1-MIN(1,MAX(0,$E954*(7*J$9-3*sn_h)/(4*sn_h)))^2)</f>
        <v/>
      </c>
      <c r="K954">
        <f>MAX(-fyd_sn,MIN(fyd_sn,200000*0.002*(1-$E954*(7*K$9-3*sn_h)/(4*sn_h))))-fcd_sn*(1-MIN(1,MAX(0,$E954*(7*K$9-3*sn_h)/(4*sn_h)))^2)</f>
        <v/>
      </c>
      <c r="L954">
        <f>MAX(-fyd_sn,MIN(fyd_sn,200000*0.002*(1-$F954*(7*J$9-3*sn_h)/(4*sn_h))))-fcd_sn*(1-MIN(1,MAX(0,$F954*(7*J$9-3*sn_h)/(4*sn_h)))^2)</f>
        <v/>
      </c>
      <c r="M954">
        <f>MAX(-fyd_sn,MIN(fyd_sn,200000*0.002*(1-$F954*(7*K$9-3*sn_h)/(4*sn_h))))-fcd_sn*(1-MIN(1,MAX(0,$F954*(7*K$9-3*sn_h)/(4*sn_h)))^2)</f>
        <v/>
      </c>
    </row>
    <row r="955">
      <c r="B955" s="55" t="n">
        <v>9</v>
      </c>
      <c r="C955" s="56">
        <f>IF($G954&gt;=$H954,$C954,$E954)</f>
        <v/>
      </c>
      <c r="D955" s="56">
        <f>IF($G954&gt;=$H954,$F954,$D954)</f>
        <v/>
      </c>
      <c r="E955" s="56">
        <f>$D955-((SQRT(5)-1)/2)*($D955-$C955)</f>
        <v/>
      </c>
      <c r="F955" s="56">
        <f>$C955+((SQRT(5)-1)/2)*($D955-$C955)</f>
        <v/>
      </c>
      <c r="G955" s="60">
        <f>(fcd_sn*sn_b*sn_h*(3/7+4/7*(1-$E955^2/3))+SUMPRODUCT($J$8:$K$8,$J955:$K955))/1000</f>
        <v/>
      </c>
      <c r="H955" s="60">
        <f>(fcd_sn*sn_b*sn_h*(3/7+4/7*(1-$F955^2/3))+SUMPRODUCT($J$8:$K$8,$L955:$M955))/1000</f>
        <v/>
      </c>
      <c r="J955">
        <f>MAX(-fyd_sn,MIN(fyd_sn,200000*0.002*(1-$E955*(7*J$9-3*sn_h)/(4*sn_h))))-fcd_sn*(1-MIN(1,MAX(0,$E955*(7*J$9-3*sn_h)/(4*sn_h)))^2)</f>
        <v/>
      </c>
      <c r="K955">
        <f>MAX(-fyd_sn,MIN(fyd_sn,200000*0.002*(1-$E955*(7*K$9-3*sn_h)/(4*sn_h))))-fcd_sn*(1-MIN(1,MAX(0,$E955*(7*K$9-3*sn_h)/(4*sn_h)))^2)</f>
        <v/>
      </c>
      <c r="L955">
        <f>MAX(-fyd_sn,MIN(fyd_sn,200000*0.002*(1-$F955*(7*J$9-3*sn_h)/(4*sn_h))))-fcd_sn*(1-MIN(1,MAX(0,$F955*(7*J$9-3*sn_h)/(4*sn_h)))^2)</f>
        <v/>
      </c>
      <c r="M955">
        <f>MAX(-fyd_sn,MIN(fyd_sn,200000*0.002*(1-$F955*(7*K$9-3*sn_h)/(4*sn_h))))-fcd_sn*(1-MIN(1,MAX(0,$F955*(7*K$9-3*sn_h)/(4*sn_h)))^2)</f>
        <v/>
      </c>
    </row>
    <row r="956">
      <c r="B956" s="55" t="n">
        <v>10</v>
      </c>
      <c r="C956" s="56">
        <f>IF($G955&gt;=$H955,$C955,$E955)</f>
        <v/>
      </c>
      <c r="D956" s="56">
        <f>IF($G955&gt;=$H955,$F955,$D955)</f>
        <v/>
      </c>
      <c r="E956" s="56">
        <f>$D956-((SQRT(5)-1)/2)*($D956-$C956)</f>
        <v/>
      </c>
      <c r="F956" s="56">
        <f>$C956+((SQRT(5)-1)/2)*($D956-$C956)</f>
        <v/>
      </c>
      <c r="G956" s="60">
        <f>(fcd_sn*sn_b*sn_h*(3/7+4/7*(1-$E956^2/3))+SUMPRODUCT($J$8:$K$8,$J956:$K956))/1000</f>
        <v/>
      </c>
      <c r="H956" s="60">
        <f>(fcd_sn*sn_b*sn_h*(3/7+4/7*(1-$F956^2/3))+SUMPRODUCT($J$8:$K$8,$L956:$M956))/1000</f>
        <v/>
      </c>
      <c r="J956">
        <f>MAX(-fyd_sn,MIN(fyd_sn,200000*0.002*(1-$E956*(7*J$9-3*sn_h)/(4*sn_h))))-fcd_sn*(1-MIN(1,MAX(0,$E956*(7*J$9-3*sn_h)/(4*sn_h)))^2)</f>
        <v/>
      </c>
      <c r="K956">
        <f>MAX(-fyd_sn,MIN(fyd_sn,200000*0.002*(1-$E956*(7*K$9-3*sn_h)/(4*sn_h))))-fcd_sn*(1-MIN(1,MAX(0,$E956*(7*K$9-3*sn_h)/(4*sn_h)))^2)</f>
        <v/>
      </c>
      <c r="L956">
        <f>MAX(-fyd_sn,MIN(fyd_sn,200000*0.002*(1-$F956*(7*J$9-3*sn_h)/(4*sn_h))))-fcd_sn*(1-MIN(1,MAX(0,$F956*(7*J$9-3*sn_h)/(4*sn_h)))^2)</f>
        <v/>
      </c>
      <c r="M956">
        <f>MAX(-fyd_sn,MIN(fyd_sn,200000*0.002*(1-$F956*(7*K$9-3*sn_h)/(4*sn_h))))-fcd_sn*(1-MIN(1,MAX(0,$F956*(7*K$9-3*sn_h)/(4*sn_h)))^2)</f>
        <v/>
      </c>
    </row>
    <row r="957">
      <c r="B957" s="55" t="n">
        <v>11</v>
      </c>
      <c r="C957" s="56">
        <f>IF($G956&gt;=$H956,$C956,$E956)</f>
        <v/>
      </c>
      <c r="D957" s="56">
        <f>IF($G956&gt;=$H956,$F956,$D956)</f>
        <v/>
      </c>
      <c r="E957" s="56">
        <f>$D957-((SQRT(5)-1)/2)*($D957-$C957)</f>
        <v/>
      </c>
      <c r="F957" s="56">
        <f>$C957+((SQRT(5)-1)/2)*($D957-$C957)</f>
        <v/>
      </c>
      <c r="G957" s="60">
        <f>(fcd_sn*sn_b*sn_h*(3/7+4/7*(1-$E957^2/3))+SUMPRODUCT($J$8:$K$8,$J957:$K957))/1000</f>
        <v/>
      </c>
      <c r="H957" s="60">
        <f>(fcd_sn*sn_b*sn_h*(3/7+4/7*(1-$F957^2/3))+SUMPRODUCT($J$8:$K$8,$L957:$M957))/1000</f>
        <v/>
      </c>
      <c r="J957">
        <f>MAX(-fyd_sn,MIN(fyd_sn,200000*0.002*(1-$E957*(7*J$9-3*sn_h)/(4*sn_h))))-fcd_sn*(1-MIN(1,MAX(0,$E957*(7*J$9-3*sn_h)/(4*sn_h)))^2)</f>
        <v/>
      </c>
      <c r="K957">
        <f>MAX(-fyd_sn,MIN(fyd_sn,200000*0.002*(1-$E957*(7*K$9-3*sn_h)/(4*sn_h))))-fcd_sn*(1-MIN(1,MAX(0,$E957*(7*K$9-3*sn_h)/(4*sn_h)))^2)</f>
        <v/>
      </c>
      <c r="L957">
        <f>MAX(-fyd_sn,MIN(fyd_sn,200000*0.002*(1-$F957*(7*J$9-3*sn_h)/(4*sn_h))))-fcd_sn*(1-MIN(1,MAX(0,$F957*(7*J$9-3*sn_h)/(4*sn_h)))^2)</f>
        <v/>
      </c>
      <c r="M957">
        <f>MAX(-fyd_sn,MIN(fyd_sn,200000*0.002*(1-$F957*(7*K$9-3*sn_h)/(4*sn_h))))-fcd_sn*(1-MIN(1,MAX(0,$F957*(7*K$9-3*sn_h)/(4*sn_h)))^2)</f>
        <v/>
      </c>
    </row>
    <row r="958">
      <c r="B958" s="55" t="n">
        <v>12</v>
      </c>
      <c r="C958" s="56">
        <f>IF($G957&gt;=$H957,$C957,$E957)</f>
        <v/>
      </c>
      <c r="D958" s="56">
        <f>IF($G957&gt;=$H957,$F957,$D957)</f>
        <v/>
      </c>
      <c r="E958" s="56">
        <f>$D958-((SQRT(5)-1)/2)*($D958-$C958)</f>
        <v/>
      </c>
      <c r="F958" s="56">
        <f>$C958+((SQRT(5)-1)/2)*($D958-$C958)</f>
        <v/>
      </c>
      <c r="G958" s="60">
        <f>(fcd_sn*sn_b*sn_h*(3/7+4/7*(1-$E958^2/3))+SUMPRODUCT($J$8:$K$8,$J958:$K958))/1000</f>
        <v/>
      </c>
      <c r="H958" s="60">
        <f>(fcd_sn*sn_b*sn_h*(3/7+4/7*(1-$F958^2/3))+SUMPRODUCT($J$8:$K$8,$L958:$M958))/1000</f>
        <v/>
      </c>
      <c r="J958">
        <f>MAX(-fyd_sn,MIN(fyd_sn,200000*0.002*(1-$E958*(7*J$9-3*sn_h)/(4*sn_h))))-fcd_sn*(1-MIN(1,MAX(0,$E958*(7*J$9-3*sn_h)/(4*sn_h)))^2)</f>
        <v/>
      </c>
      <c r="K958">
        <f>MAX(-fyd_sn,MIN(fyd_sn,200000*0.002*(1-$E958*(7*K$9-3*sn_h)/(4*sn_h))))-fcd_sn*(1-MIN(1,MAX(0,$E958*(7*K$9-3*sn_h)/(4*sn_h)))^2)</f>
        <v/>
      </c>
      <c r="L958">
        <f>MAX(-fyd_sn,MIN(fyd_sn,200000*0.002*(1-$F958*(7*J$9-3*sn_h)/(4*sn_h))))-fcd_sn*(1-MIN(1,MAX(0,$F958*(7*J$9-3*sn_h)/(4*sn_h)))^2)</f>
        <v/>
      </c>
      <c r="M958">
        <f>MAX(-fyd_sn,MIN(fyd_sn,200000*0.002*(1-$F958*(7*K$9-3*sn_h)/(4*sn_h))))-fcd_sn*(1-MIN(1,MAX(0,$F958*(7*K$9-3*sn_h)/(4*sn_h)))^2)</f>
        <v/>
      </c>
    </row>
    <row r="959">
      <c r="B959" s="55" t="n">
        <v>13</v>
      </c>
      <c r="C959" s="56">
        <f>IF($G958&gt;=$H958,$C958,$E958)</f>
        <v/>
      </c>
      <c r="D959" s="56">
        <f>IF($G958&gt;=$H958,$F958,$D958)</f>
        <v/>
      </c>
      <c r="E959" s="56">
        <f>$D959-((SQRT(5)-1)/2)*($D959-$C959)</f>
        <v/>
      </c>
      <c r="F959" s="56">
        <f>$C959+((SQRT(5)-1)/2)*($D959-$C959)</f>
        <v/>
      </c>
      <c r="G959" s="60">
        <f>(fcd_sn*sn_b*sn_h*(3/7+4/7*(1-$E959^2/3))+SUMPRODUCT($J$8:$K$8,$J959:$K959))/1000</f>
        <v/>
      </c>
      <c r="H959" s="60">
        <f>(fcd_sn*sn_b*sn_h*(3/7+4/7*(1-$F959^2/3))+SUMPRODUCT($J$8:$K$8,$L959:$M959))/1000</f>
        <v/>
      </c>
      <c r="J959">
        <f>MAX(-fyd_sn,MIN(fyd_sn,200000*0.002*(1-$E959*(7*J$9-3*sn_h)/(4*sn_h))))-fcd_sn*(1-MIN(1,MAX(0,$E959*(7*J$9-3*sn_h)/(4*sn_h)))^2)</f>
        <v/>
      </c>
      <c r="K959">
        <f>MAX(-fyd_sn,MIN(fyd_sn,200000*0.002*(1-$E959*(7*K$9-3*sn_h)/(4*sn_h))))-fcd_sn*(1-MIN(1,MAX(0,$E959*(7*K$9-3*sn_h)/(4*sn_h)))^2)</f>
        <v/>
      </c>
      <c r="L959">
        <f>MAX(-fyd_sn,MIN(fyd_sn,200000*0.002*(1-$F959*(7*J$9-3*sn_h)/(4*sn_h))))-fcd_sn*(1-MIN(1,MAX(0,$F959*(7*J$9-3*sn_h)/(4*sn_h)))^2)</f>
        <v/>
      </c>
      <c r="M959">
        <f>MAX(-fyd_sn,MIN(fyd_sn,200000*0.002*(1-$F959*(7*K$9-3*sn_h)/(4*sn_h))))-fcd_sn*(1-MIN(1,MAX(0,$F959*(7*K$9-3*sn_h)/(4*sn_h)))^2)</f>
        <v/>
      </c>
    </row>
    <row r="960">
      <c r="B960" s="55" t="n">
        <v>14</v>
      </c>
      <c r="C960" s="56">
        <f>IF($G959&gt;=$H959,$C959,$E959)</f>
        <v/>
      </c>
      <c r="D960" s="56">
        <f>IF($G959&gt;=$H959,$F959,$D959)</f>
        <v/>
      </c>
      <c r="E960" s="56">
        <f>$D960-((SQRT(5)-1)/2)*($D960-$C960)</f>
        <v/>
      </c>
      <c r="F960" s="56">
        <f>$C960+((SQRT(5)-1)/2)*($D960-$C960)</f>
        <v/>
      </c>
      <c r="G960" s="60">
        <f>(fcd_sn*sn_b*sn_h*(3/7+4/7*(1-$E960^2/3))+SUMPRODUCT($J$8:$K$8,$J960:$K960))/1000</f>
        <v/>
      </c>
      <c r="H960" s="60">
        <f>(fcd_sn*sn_b*sn_h*(3/7+4/7*(1-$F960^2/3))+SUMPRODUCT($J$8:$K$8,$L960:$M960))/1000</f>
        <v/>
      </c>
      <c r="J960">
        <f>MAX(-fyd_sn,MIN(fyd_sn,200000*0.002*(1-$E960*(7*J$9-3*sn_h)/(4*sn_h))))-fcd_sn*(1-MIN(1,MAX(0,$E960*(7*J$9-3*sn_h)/(4*sn_h)))^2)</f>
        <v/>
      </c>
      <c r="K960">
        <f>MAX(-fyd_sn,MIN(fyd_sn,200000*0.002*(1-$E960*(7*K$9-3*sn_h)/(4*sn_h))))-fcd_sn*(1-MIN(1,MAX(0,$E960*(7*K$9-3*sn_h)/(4*sn_h)))^2)</f>
        <v/>
      </c>
      <c r="L960">
        <f>MAX(-fyd_sn,MIN(fyd_sn,200000*0.002*(1-$F960*(7*J$9-3*sn_h)/(4*sn_h))))-fcd_sn*(1-MIN(1,MAX(0,$F960*(7*J$9-3*sn_h)/(4*sn_h)))^2)</f>
        <v/>
      </c>
      <c r="M960">
        <f>MAX(-fyd_sn,MIN(fyd_sn,200000*0.002*(1-$F960*(7*K$9-3*sn_h)/(4*sn_h))))-fcd_sn*(1-MIN(1,MAX(0,$F960*(7*K$9-3*sn_h)/(4*sn_h)))^2)</f>
        <v/>
      </c>
    </row>
    <row r="961">
      <c r="B961" s="55" t="n">
        <v>15</v>
      </c>
      <c r="C961" s="56">
        <f>IF($G960&gt;=$H960,$C960,$E960)</f>
        <v/>
      </c>
      <c r="D961" s="56">
        <f>IF($G960&gt;=$H960,$F960,$D960)</f>
        <v/>
      </c>
      <c r="E961" s="56">
        <f>$D961-((SQRT(5)-1)/2)*($D961-$C961)</f>
        <v/>
      </c>
      <c r="F961" s="56">
        <f>$C961+((SQRT(5)-1)/2)*($D961-$C961)</f>
        <v/>
      </c>
      <c r="G961" s="60">
        <f>(fcd_sn*sn_b*sn_h*(3/7+4/7*(1-$E961^2/3))+SUMPRODUCT($J$8:$K$8,$J961:$K961))/1000</f>
        <v/>
      </c>
      <c r="H961" s="60">
        <f>(fcd_sn*sn_b*sn_h*(3/7+4/7*(1-$F961^2/3))+SUMPRODUCT($J$8:$K$8,$L961:$M961))/1000</f>
        <v/>
      </c>
      <c r="J961">
        <f>MAX(-fyd_sn,MIN(fyd_sn,200000*0.002*(1-$E961*(7*J$9-3*sn_h)/(4*sn_h))))-fcd_sn*(1-MIN(1,MAX(0,$E961*(7*J$9-3*sn_h)/(4*sn_h)))^2)</f>
        <v/>
      </c>
      <c r="K961">
        <f>MAX(-fyd_sn,MIN(fyd_sn,200000*0.002*(1-$E961*(7*K$9-3*sn_h)/(4*sn_h))))-fcd_sn*(1-MIN(1,MAX(0,$E961*(7*K$9-3*sn_h)/(4*sn_h)))^2)</f>
        <v/>
      </c>
      <c r="L961">
        <f>MAX(-fyd_sn,MIN(fyd_sn,200000*0.002*(1-$F961*(7*J$9-3*sn_h)/(4*sn_h))))-fcd_sn*(1-MIN(1,MAX(0,$F961*(7*J$9-3*sn_h)/(4*sn_h)))^2)</f>
        <v/>
      </c>
      <c r="M961">
        <f>MAX(-fyd_sn,MIN(fyd_sn,200000*0.002*(1-$F961*(7*K$9-3*sn_h)/(4*sn_h))))-fcd_sn*(1-MIN(1,MAX(0,$F961*(7*K$9-3*sn_h)/(4*sn_h)))^2)</f>
        <v/>
      </c>
    </row>
    <row r="962">
      <c r="B962" s="55" t="n">
        <v>16</v>
      </c>
      <c r="C962" s="56">
        <f>IF($G961&gt;=$H961,$C961,$E961)</f>
        <v/>
      </c>
      <c r="D962" s="56">
        <f>IF($G961&gt;=$H961,$F961,$D961)</f>
        <v/>
      </c>
      <c r="E962" s="56">
        <f>$D962-((SQRT(5)-1)/2)*($D962-$C962)</f>
        <v/>
      </c>
      <c r="F962" s="56">
        <f>$C962+((SQRT(5)-1)/2)*($D962-$C962)</f>
        <v/>
      </c>
      <c r="G962" s="60">
        <f>(fcd_sn*sn_b*sn_h*(3/7+4/7*(1-$E962^2/3))+SUMPRODUCT($J$8:$K$8,$J962:$K962))/1000</f>
        <v/>
      </c>
      <c r="H962" s="60">
        <f>(fcd_sn*sn_b*sn_h*(3/7+4/7*(1-$F962^2/3))+SUMPRODUCT($J$8:$K$8,$L962:$M962))/1000</f>
        <v/>
      </c>
      <c r="J962">
        <f>MAX(-fyd_sn,MIN(fyd_sn,200000*0.002*(1-$E962*(7*J$9-3*sn_h)/(4*sn_h))))-fcd_sn*(1-MIN(1,MAX(0,$E962*(7*J$9-3*sn_h)/(4*sn_h)))^2)</f>
        <v/>
      </c>
      <c r="K962">
        <f>MAX(-fyd_sn,MIN(fyd_sn,200000*0.002*(1-$E962*(7*K$9-3*sn_h)/(4*sn_h))))-fcd_sn*(1-MIN(1,MAX(0,$E962*(7*K$9-3*sn_h)/(4*sn_h)))^2)</f>
        <v/>
      </c>
      <c r="L962">
        <f>MAX(-fyd_sn,MIN(fyd_sn,200000*0.002*(1-$F962*(7*J$9-3*sn_h)/(4*sn_h))))-fcd_sn*(1-MIN(1,MAX(0,$F962*(7*J$9-3*sn_h)/(4*sn_h)))^2)</f>
        <v/>
      </c>
      <c r="M962">
        <f>MAX(-fyd_sn,MIN(fyd_sn,200000*0.002*(1-$F962*(7*K$9-3*sn_h)/(4*sn_h))))-fcd_sn*(1-MIN(1,MAX(0,$F962*(7*K$9-3*sn_h)/(4*sn_h)))^2)</f>
        <v/>
      </c>
    </row>
    <row r="963">
      <c r="B963" s="55" t="n">
        <v>17</v>
      </c>
      <c r="C963" s="56">
        <f>IF($G962&gt;=$H962,$C962,$E962)</f>
        <v/>
      </c>
      <c r="D963" s="56">
        <f>IF($G962&gt;=$H962,$F962,$D962)</f>
        <v/>
      </c>
      <c r="E963" s="56">
        <f>$D963-((SQRT(5)-1)/2)*($D963-$C963)</f>
        <v/>
      </c>
      <c r="F963" s="56">
        <f>$C963+((SQRT(5)-1)/2)*($D963-$C963)</f>
        <v/>
      </c>
      <c r="G963" s="60">
        <f>(fcd_sn*sn_b*sn_h*(3/7+4/7*(1-$E963^2/3))+SUMPRODUCT($J$8:$K$8,$J963:$K963))/1000</f>
        <v/>
      </c>
      <c r="H963" s="60">
        <f>(fcd_sn*sn_b*sn_h*(3/7+4/7*(1-$F963^2/3))+SUMPRODUCT($J$8:$K$8,$L963:$M963))/1000</f>
        <v/>
      </c>
      <c r="J963">
        <f>MAX(-fyd_sn,MIN(fyd_sn,200000*0.002*(1-$E963*(7*J$9-3*sn_h)/(4*sn_h))))-fcd_sn*(1-MIN(1,MAX(0,$E963*(7*J$9-3*sn_h)/(4*sn_h)))^2)</f>
        <v/>
      </c>
      <c r="K963">
        <f>MAX(-fyd_sn,MIN(fyd_sn,200000*0.002*(1-$E963*(7*K$9-3*sn_h)/(4*sn_h))))-fcd_sn*(1-MIN(1,MAX(0,$E963*(7*K$9-3*sn_h)/(4*sn_h)))^2)</f>
        <v/>
      </c>
      <c r="L963">
        <f>MAX(-fyd_sn,MIN(fyd_sn,200000*0.002*(1-$F963*(7*J$9-3*sn_h)/(4*sn_h))))-fcd_sn*(1-MIN(1,MAX(0,$F963*(7*J$9-3*sn_h)/(4*sn_h)))^2)</f>
        <v/>
      </c>
      <c r="M963">
        <f>MAX(-fyd_sn,MIN(fyd_sn,200000*0.002*(1-$F963*(7*K$9-3*sn_h)/(4*sn_h))))-fcd_sn*(1-MIN(1,MAX(0,$F963*(7*K$9-3*sn_h)/(4*sn_h)))^2)</f>
        <v/>
      </c>
    </row>
    <row r="964">
      <c r="B964" s="55" t="n">
        <v>18</v>
      </c>
      <c r="C964" s="56">
        <f>IF($G963&gt;=$H963,$C963,$E963)</f>
        <v/>
      </c>
      <c r="D964" s="56">
        <f>IF($G963&gt;=$H963,$F963,$D963)</f>
        <v/>
      </c>
      <c r="E964" s="56">
        <f>$D964-((SQRT(5)-1)/2)*($D964-$C964)</f>
        <v/>
      </c>
      <c r="F964" s="56">
        <f>$C964+((SQRT(5)-1)/2)*($D964-$C964)</f>
        <v/>
      </c>
      <c r="G964" s="60">
        <f>(fcd_sn*sn_b*sn_h*(3/7+4/7*(1-$E964^2/3))+SUMPRODUCT($J$8:$K$8,$J964:$K964))/1000</f>
        <v/>
      </c>
      <c r="H964" s="60">
        <f>(fcd_sn*sn_b*sn_h*(3/7+4/7*(1-$F964^2/3))+SUMPRODUCT($J$8:$K$8,$L964:$M964))/1000</f>
        <v/>
      </c>
      <c r="J964">
        <f>MAX(-fyd_sn,MIN(fyd_sn,200000*0.002*(1-$E964*(7*J$9-3*sn_h)/(4*sn_h))))-fcd_sn*(1-MIN(1,MAX(0,$E964*(7*J$9-3*sn_h)/(4*sn_h)))^2)</f>
        <v/>
      </c>
      <c r="K964">
        <f>MAX(-fyd_sn,MIN(fyd_sn,200000*0.002*(1-$E964*(7*K$9-3*sn_h)/(4*sn_h))))-fcd_sn*(1-MIN(1,MAX(0,$E964*(7*K$9-3*sn_h)/(4*sn_h)))^2)</f>
        <v/>
      </c>
      <c r="L964">
        <f>MAX(-fyd_sn,MIN(fyd_sn,200000*0.002*(1-$F964*(7*J$9-3*sn_h)/(4*sn_h))))-fcd_sn*(1-MIN(1,MAX(0,$F964*(7*J$9-3*sn_h)/(4*sn_h)))^2)</f>
        <v/>
      </c>
      <c r="M964">
        <f>MAX(-fyd_sn,MIN(fyd_sn,200000*0.002*(1-$F964*(7*K$9-3*sn_h)/(4*sn_h))))-fcd_sn*(1-MIN(1,MAX(0,$F964*(7*K$9-3*sn_h)/(4*sn_h)))^2)</f>
        <v/>
      </c>
    </row>
    <row r="965">
      <c r="B965" s="55" t="n">
        <v>19</v>
      </c>
      <c r="C965" s="56">
        <f>IF($G964&gt;=$H964,$C964,$E964)</f>
        <v/>
      </c>
      <c r="D965" s="56">
        <f>IF($G964&gt;=$H964,$F964,$D964)</f>
        <v/>
      </c>
      <c r="E965" s="56">
        <f>$D965-((SQRT(5)-1)/2)*($D965-$C965)</f>
        <v/>
      </c>
      <c r="F965" s="56">
        <f>$C965+((SQRT(5)-1)/2)*($D965-$C965)</f>
        <v/>
      </c>
      <c r="G965" s="60">
        <f>(fcd_sn*sn_b*sn_h*(3/7+4/7*(1-$E965^2/3))+SUMPRODUCT($J$8:$K$8,$J965:$K965))/1000</f>
        <v/>
      </c>
      <c r="H965" s="60">
        <f>(fcd_sn*sn_b*sn_h*(3/7+4/7*(1-$F965^2/3))+SUMPRODUCT($J$8:$K$8,$L965:$M965))/1000</f>
        <v/>
      </c>
      <c r="J965">
        <f>MAX(-fyd_sn,MIN(fyd_sn,200000*0.002*(1-$E965*(7*J$9-3*sn_h)/(4*sn_h))))-fcd_sn*(1-MIN(1,MAX(0,$E965*(7*J$9-3*sn_h)/(4*sn_h)))^2)</f>
        <v/>
      </c>
      <c r="K965">
        <f>MAX(-fyd_sn,MIN(fyd_sn,200000*0.002*(1-$E965*(7*K$9-3*sn_h)/(4*sn_h))))-fcd_sn*(1-MIN(1,MAX(0,$E965*(7*K$9-3*sn_h)/(4*sn_h)))^2)</f>
        <v/>
      </c>
      <c r="L965">
        <f>MAX(-fyd_sn,MIN(fyd_sn,200000*0.002*(1-$F965*(7*J$9-3*sn_h)/(4*sn_h))))-fcd_sn*(1-MIN(1,MAX(0,$F965*(7*J$9-3*sn_h)/(4*sn_h)))^2)</f>
        <v/>
      </c>
      <c r="M965">
        <f>MAX(-fyd_sn,MIN(fyd_sn,200000*0.002*(1-$F965*(7*K$9-3*sn_h)/(4*sn_h))))-fcd_sn*(1-MIN(1,MAX(0,$F965*(7*K$9-3*sn_h)/(4*sn_h)))^2)</f>
        <v/>
      </c>
    </row>
    <row r="966">
      <c r="B966" s="55" t="n">
        <v>20</v>
      </c>
      <c r="C966" s="56">
        <f>IF($G965&gt;=$H965,$C965,$E965)</f>
        <v/>
      </c>
      <c r="D966" s="56">
        <f>IF($G965&gt;=$H965,$F965,$D965)</f>
        <v/>
      </c>
      <c r="E966" s="56">
        <f>$D966-((SQRT(5)-1)/2)*($D966-$C966)</f>
        <v/>
      </c>
      <c r="F966" s="56">
        <f>$C966+((SQRT(5)-1)/2)*($D966-$C966)</f>
        <v/>
      </c>
      <c r="G966" s="60">
        <f>(fcd_sn*sn_b*sn_h*(3/7+4/7*(1-$E966^2/3))+SUMPRODUCT($J$8:$K$8,$J966:$K966))/1000</f>
        <v/>
      </c>
      <c r="H966" s="60">
        <f>(fcd_sn*sn_b*sn_h*(3/7+4/7*(1-$F966^2/3))+SUMPRODUCT($J$8:$K$8,$L966:$M966))/1000</f>
        <v/>
      </c>
      <c r="J966">
        <f>MAX(-fyd_sn,MIN(fyd_sn,200000*0.002*(1-$E966*(7*J$9-3*sn_h)/(4*sn_h))))-fcd_sn*(1-MIN(1,MAX(0,$E966*(7*J$9-3*sn_h)/(4*sn_h)))^2)</f>
        <v/>
      </c>
      <c r="K966">
        <f>MAX(-fyd_sn,MIN(fyd_sn,200000*0.002*(1-$E966*(7*K$9-3*sn_h)/(4*sn_h))))-fcd_sn*(1-MIN(1,MAX(0,$E966*(7*K$9-3*sn_h)/(4*sn_h)))^2)</f>
        <v/>
      </c>
      <c r="L966">
        <f>MAX(-fyd_sn,MIN(fyd_sn,200000*0.002*(1-$F966*(7*J$9-3*sn_h)/(4*sn_h))))-fcd_sn*(1-MIN(1,MAX(0,$F966*(7*J$9-3*sn_h)/(4*sn_h)))^2)</f>
        <v/>
      </c>
      <c r="M966">
        <f>MAX(-fyd_sn,MIN(fyd_sn,200000*0.002*(1-$F966*(7*K$9-3*sn_h)/(4*sn_h))))-fcd_sn*(1-MIN(1,MAX(0,$F966*(7*K$9-3*sn_h)/(4*sn_h)))^2)</f>
        <v/>
      </c>
    </row>
    <row r="967">
      <c r="B967" s="55" t="n">
        <v>21</v>
      </c>
      <c r="C967" s="56">
        <f>IF($G966&gt;=$H966,$C966,$E966)</f>
        <v/>
      </c>
      <c r="D967" s="56">
        <f>IF($G966&gt;=$H966,$F966,$D966)</f>
        <v/>
      </c>
      <c r="E967" s="56">
        <f>$D967-((SQRT(5)-1)/2)*($D967-$C967)</f>
        <v/>
      </c>
      <c r="F967" s="56">
        <f>$C967+((SQRT(5)-1)/2)*($D967-$C967)</f>
        <v/>
      </c>
      <c r="G967" s="60">
        <f>(fcd_sn*sn_b*sn_h*(3/7+4/7*(1-$E967^2/3))+SUMPRODUCT($J$8:$K$8,$J967:$K967))/1000</f>
        <v/>
      </c>
      <c r="H967" s="60">
        <f>(fcd_sn*sn_b*sn_h*(3/7+4/7*(1-$F967^2/3))+SUMPRODUCT($J$8:$K$8,$L967:$M967))/1000</f>
        <v/>
      </c>
      <c r="J967">
        <f>MAX(-fyd_sn,MIN(fyd_sn,200000*0.002*(1-$E967*(7*J$9-3*sn_h)/(4*sn_h))))-fcd_sn*(1-MIN(1,MAX(0,$E967*(7*J$9-3*sn_h)/(4*sn_h)))^2)</f>
        <v/>
      </c>
      <c r="K967">
        <f>MAX(-fyd_sn,MIN(fyd_sn,200000*0.002*(1-$E967*(7*K$9-3*sn_h)/(4*sn_h))))-fcd_sn*(1-MIN(1,MAX(0,$E967*(7*K$9-3*sn_h)/(4*sn_h)))^2)</f>
        <v/>
      </c>
      <c r="L967">
        <f>MAX(-fyd_sn,MIN(fyd_sn,200000*0.002*(1-$F967*(7*J$9-3*sn_h)/(4*sn_h))))-fcd_sn*(1-MIN(1,MAX(0,$F967*(7*J$9-3*sn_h)/(4*sn_h)))^2)</f>
        <v/>
      </c>
      <c r="M967">
        <f>MAX(-fyd_sn,MIN(fyd_sn,200000*0.002*(1-$F967*(7*K$9-3*sn_h)/(4*sn_h))))-fcd_sn*(1-MIN(1,MAX(0,$F967*(7*K$9-3*sn_h)/(4*sn_h)))^2)</f>
        <v/>
      </c>
    </row>
    <row r="968">
      <c r="B968" s="55" t="n">
        <v>22</v>
      </c>
      <c r="C968" s="56">
        <f>IF($G967&gt;=$H967,$C967,$E967)</f>
        <v/>
      </c>
      <c r="D968" s="56">
        <f>IF($G967&gt;=$H967,$F967,$D967)</f>
        <v/>
      </c>
      <c r="E968" s="56">
        <f>$D968-((SQRT(5)-1)/2)*($D968-$C968)</f>
        <v/>
      </c>
      <c r="F968" s="56">
        <f>$C968+((SQRT(5)-1)/2)*($D968-$C968)</f>
        <v/>
      </c>
      <c r="G968" s="60">
        <f>(fcd_sn*sn_b*sn_h*(3/7+4/7*(1-$E968^2/3))+SUMPRODUCT($J$8:$K$8,$J968:$K968))/1000</f>
        <v/>
      </c>
      <c r="H968" s="60">
        <f>(fcd_sn*sn_b*sn_h*(3/7+4/7*(1-$F968^2/3))+SUMPRODUCT($J$8:$K$8,$L968:$M968))/1000</f>
        <v/>
      </c>
      <c r="J968">
        <f>MAX(-fyd_sn,MIN(fyd_sn,200000*0.002*(1-$E968*(7*J$9-3*sn_h)/(4*sn_h))))-fcd_sn*(1-MIN(1,MAX(0,$E968*(7*J$9-3*sn_h)/(4*sn_h)))^2)</f>
        <v/>
      </c>
      <c r="K968">
        <f>MAX(-fyd_sn,MIN(fyd_sn,200000*0.002*(1-$E968*(7*K$9-3*sn_h)/(4*sn_h))))-fcd_sn*(1-MIN(1,MAX(0,$E968*(7*K$9-3*sn_h)/(4*sn_h)))^2)</f>
        <v/>
      </c>
      <c r="L968">
        <f>MAX(-fyd_sn,MIN(fyd_sn,200000*0.002*(1-$F968*(7*J$9-3*sn_h)/(4*sn_h))))-fcd_sn*(1-MIN(1,MAX(0,$F968*(7*J$9-3*sn_h)/(4*sn_h)))^2)</f>
        <v/>
      </c>
      <c r="M968">
        <f>MAX(-fyd_sn,MIN(fyd_sn,200000*0.002*(1-$F968*(7*K$9-3*sn_h)/(4*sn_h))))-fcd_sn*(1-MIN(1,MAX(0,$F968*(7*K$9-3*sn_h)/(4*sn_h)))^2)</f>
        <v/>
      </c>
    </row>
    <row r="969">
      <c r="B969" s="55" t="n">
        <v>23</v>
      </c>
      <c r="C969" s="56">
        <f>IF($G968&gt;=$H968,$C968,$E968)</f>
        <v/>
      </c>
      <c r="D969" s="56">
        <f>IF($G968&gt;=$H968,$F968,$D968)</f>
        <v/>
      </c>
      <c r="E969" s="56">
        <f>$D969-((SQRT(5)-1)/2)*($D969-$C969)</f>
        <v/>
      </c>
      <c r="F969" s="56">
        <f>$C969+((SQRT(5)-1)/2)*($D969-$C969)</f>
        <v/>
      </c>
      <c r="G969" s="60">
        <f>(fcd_sn*sn_b*sn_h*(3/7+4/7*(1-$E969^2/3))+SUMPRODUCT($J$8:$K$8,$J969:$K969))/1000</f>
        <v/>
      </c>
      <c r="H969" s="60">
        <f>(fcd_sn*sn_b*sn_h*(3/7+4/7*(1-$F969^2/3))+SUMPRODUCT($J$8:$K$8,$L969:$M969))/1000</f>
        <v/>
      </c>
      <c r="J969">
        <f>MAX(-fyd_sn,MIN(fyd_sn,200000*0.002*(1-$E969*(7*J$9-3*sn_h)/(4*sn_h))))-fcd_sn*(1-MIN(1,MAX(0,$E969*(7*J$9-3*sn_h)/(4*sn_h)))^2)</f>
        <v/>
      </c>
      <c r="K969">
        <f>MAX(-fyd_sn,MIN(fyd_sn,200000*0.002*(1-$E969*(7*K$9-3*sn_h)/(4*sn_h))))-fcd_sn*(1-MIN(1,MAX(0,$E969*(7*K$9-3*sn_h)/(4*sn_h)))^2)</f>
        <v/>
      </c>
      <c r="L969">
        <f>MAX(-fyd_sn,MIN(fyd_sn,200000*0.002*(1-$F969*(7*J$9-3*sn_h)/(4*sn_h))))-fcd_sn*(1-MIN(1,MAX(0,$F969*(7*J$9-3*sn_h)/(4*sn_h)))^2)</f>
        <v/>
      </c>
      <c r="M969">
        <f>MAX(-fyd_sn,MIN(fyd_sn,200000*0.002*(1-$F969*(7*K$9-3*sn_h)/(4*sn_h))))-fcd_sn*(1-MIN(1,MAX(0,$F969*(7*K$9-3*sn_h)/(4*sn_h)))^2)</f>
        <v/>
      </c>
    </row>
    <row r="970">
      <c r="B970" s="55" t="n">
        <v>24</v>
      </c>
      <c r="C970" s="56">
        <f>IF($G969&gt;=$H969,$C969,$E969)</f>
        <v/>
      </c>
      <c r="D970" s="56">
        <f>IF($G969&gt;=$H969,$F969,$D969)</f>
        <v/>
      </c>
      <c r="E970" s="56">
        <f>$D970-((SQRT(5)-1)/2)*($D970-$C970)</f>
        <v/>
      </c>
      <c r="F970" s="56">
        <f>$C970+((SQRT(5)-1)/2)*($D970-$C970)</f>
        <v/>
      </c>
      <c r="G970" s="60">
        <f>(fcd_sn*sn_b*sn_h*(3/7+4/7*(1-$E970^2/3))+SUMPRODUCT($J$8:$K$8,$J970:$K970))/1000</f>
        <v/>
      </c>
      <c r="H970" s="60">
        <f>(fcd_sn*sn_b*sn_h*(3/7+4/7*(1-$F970^2/3))+SUMPRODUCT($J$8:$K$8,$L970:$M970))/1000</f>
        <v/>
      </c>
      <c r="J970">
        <f>MAX(-fyd_sn,MIN(fyd_sn,200000*0.002*(1-$E970*(7*J$9-3*sn_h)/(4*sn_h))))-fcd_sn*(1-MIN(1,MAX(0,$E970*(7*J$9-3*sn_h)/(4*sn_h)))^2)</f>
        <v/>
      </c>
      <c r="K970">
        <f>MAX(-fyd_sn,MIN(fyd_sn,200000*0.002*(1-$E970*(7*K$9-3*sn_h)/(4*sn_h))))-fcd_sn*(1-MIN(1,MAX(0,$E970*(7*K$9-3*sn_h)/(4*sn_h)))^2)</f>
        <v/>
      </c>
      <c r="L970">
        <f>MAX(-fyd_sn,MIN(fyd_sn,200000*0.002*(1-$F970*(7*J$9-3*sn_h)/(4*sn_h))))-fcd_sn*(1-MIN(1,MAX(0,$F970*(7*J$9-3*sn_h)/(4*sn_h)))^2)</f>
        <v/>
      </c>
      <c r="M970">
        <f>MAX(-fyd_sn,MIN(fyd_sn,200000*0.002*(1-$F970*(7*K$9-3*sn_h)/(4*sn_h))))-fcd_sn*(1-MIN(1,MAX(0,$F970*(7*K$9-3*sn_h)/(4*sn_h)))^2)</f>
        <v/>
      </c>
    </row>
    <row r="971">
      <c r="B971" s="55" t="n">
        <v>25</v>
      </c>
      <c r="C971" s="56">
        <f>IF($G970&gt;=$H970,$C970,$E970)</f>
        <v/>
      </c>
      <c r="D971" s="56">
        <f>IF($G970&gt;=$H970,$F970,$D970)</f>
        <v/>
      </c>
      <c r="E971" s="56">
        <f>$D971-((SQRT(5)-1)/2)*($D971-$C971)</f>
        <v/>
      </c>
      <c r="F971" s="56">
        <f>$C971+((SQRT(5)-1)/2)*($D971-$C971)</f>
        <v/>
      </c>
      <c r="G971" s="60">
        <f>(fcd_sn*sn_b*sn_h*(3/7+4/7*(1-$E971^2/3))+SUMPRODUCT($J$8:$K$8,$J971:$K971))/1000</f>
        <v/>
      </c>
      <c r="H971" s="60">
        <f>(fcd_sn*sn_b*sn_h*(3/7+4/7*(1-$F971^2/3))+SUMPRODUCT($J$8:$K$8,$L971:$M971))/1000</f>
        <v/>
      </c>
      <c r="J971">
        <f>MAX(-fyd_sn,MIN(fyd_sn,200000*0.002*(1-$E971*(7*J$9-3*sn_h)/(4*sn_h))))-fcd_sn*(1-MIN(1,MAX(0,$E971*(7*J$9-3*sn_h)/(4*sn_h)))^2)</f>
        <v/>
      </c>
      <c r="K971">
        <f>MAX(-fyd_sn,MIN(fyd_sn,200000*0.002*(1-$E971*(7*K$9-3*sn_h)/(4*sn_h))))-fcd_sn*(1-MIN(1,MAX(0,$E971*(7*K$9-3*sn_h)/(4*sn_h)))^2)</f>
        <v/>
      </c>
      <c r="L971">
        <f>MAX(-fyd_sn,MIN(fyd_sn,200000*0.002*(1-$F971*(7*J$9-3*sn_h)/(4*sn_h))))-fcd_sn*(1-MIN(1,MAX(0,$F971*(7*J$9-3*sn_h)/(4*sn_h)))^2)</f>
        <v/>
      </c>
      <c r="M971">
        <f>MAX(-fyd_sn,MIN(fyd_sn,200000*0.002*(1-$F971*(7*K$9-3*sn_h)/(4*sn_h))))-fcd_sn*(1-MIN(1,MAX(0,$F971*(7*K$9-3*sn_h)/(4*sn_h)))^2)</f>
        <v/>
      </c>
    </row>
    <row r="972">
      <c r="B972" s="55" t="n">
        <v>26</v>
      </c>
      <c r="C972" s="56">
        <f>IF($G971&gt;=$H971,$C971,$E971)</f>
        <v/>
      </c>
      <c r="D972" s="56">
        <f>IF($G971&gt;=$H971,$F971,$D971)</f>
        <v/>
      </c>
      <c r="E972" s="56">
        <f>$D972-((SQRT(5)-1)/2)*($D972-$C972)</f>
        <v/>
      </c>
      <c r="F972" s="56">
        <f>$C972+((SQRT(5)-1)/2)*($D972-$C972)</f>
        <v/>
      </c>
      <c r="G972" s="60">
        <f>(fcd_sn*sn_b*sn_h*(3/7+4/7*(1-$E972^2/3))+SUMPRODUCT($J$8:$K$8,$J972:$K972))/1000</f>
        <v/>
      </c>
      <c r="H972" s="60">
        <f>(fcd_sn*sn_b*sn_h*(3/7+4/7*(1-$F972^2/3))+SUMPRODUCT($J$8:$K$8,$L972:$M972))/1000</f>
        <v/>
      </c>
      <c r="J972">
        <f>MAX(-fyd_sn,MIN(fyd_sn,200000*0.002*(1-$E972*(7*J$9-3*sn_h)/(4*sn_h))))-fcd_sn*(1-MIN(1,MAX(0,$E972*(7*J$9-3*sn_h)/(4*sn_h)))^2)</f>
        <v/>
      </c>
      <c r="K972">
        <f>MAX(-fyd_sn,MIN(fyd_sn,200000*0.002*(1-$E972*(7*K$9-3*sn_h)/(4*sn_h))))-fcd_sn*(1-MIN(1,MAX(0,$E972*(7*K$9-3*sn_h)/(4*sn_h)))^2)</f>
        <v/>
      </c>
      <c r="L972">
        <f>MAX(-fyd_sn,MIN(fyd_sn,200000*0.002*(1-$F972*(7*J$9-3*sn_h)/(4*sn_h))))-fcd_sn*(1-MIN(1,MAX(0,$F972*(7*J$9-3*sn_h)/(4*sn_h)))^2)</f>
        <v/>
      </c>
      <c r="M972">
        <f>MAX(-fyd_sn,MIN(fyd_sn,200000*0.002*(1-$F972*(7*K$9-3*sn_h)/(4*sn_h))))-fcd_sn*(1-MIN(1,MAX(0,$F972*(7*K$9-3*sn_h)/(4*sn_h)))^2)</f>
        <v/>
      </c>
    </row>
    <row r="973">
      <c r="B973" s="55" t="n">
        <v>27</v>
      </c>
      <c r="C973" s="56">
        <f>IF($G972&gt;=$H972,$C972,$E972)</f>
        <v/>
      </c>
      <c r="D973" s="56">
        <f>IF($G972&gt;=$H972,$F972,$D972)</f>
        <v/>
      </c>
      <c r="E973" s="56">
        <f>$D973-((SQRT(5)-1)/2)*($D973-$C973)</f>
        <v/>
      </c>
      <c r="F973" s="56">
        <f>$C973+((SQRT(5)-1)/2)*($D973-$C973)</f>
        <v/>
      </c>
      <c r="G973" s="60">
        <f>(fcd_sn*sn_b*sn_h*(3/7+4/7*(1-$E973^2/3))+SUMPRODUCT($J$8:$K$8,$J973:$K973))/1000</f>
        <v/>
      </c>
      <c r="H973" s="60">
        <f>(fcd_sn*sn_b*sn_h*(3/7+4/7*(1-$F973^2/3))+SUMPRODUCT($J$8:$K$8,$L973:$M973))/1000</f>
        <v/>
      </c>
      <c r="J973">
        <f>MAX(-fyd_sn,MIN(fyd_sn,200000*0.002*(1-$E973*(7*J$9-3*sn_h)/(4*sn_h))))-fcd_sn*(1-MIN(1,MAX(0,$E973*(7*J$9-3*sn_h)/(4*sn_h)))^2)</f>
        <v/>
      </c>
      <c r="K973">
        <f>MAX(-fyd_sn,MIN(fyd_sn,200000*0.002*(1-$E973*(7*K$9-3*sn_h)/(4*sn_h))))-fcd_sn*(1-MIN(1,MAX(0,$E973*(7*K$9-3*sn_h)/(4*sn_h)))^2)</f>
        <v/>
      </c>
      <c r="L973">
        <f>MAX(-fyd_sn,MIN(fyd_sn,200000*0.002*(1-$F973*(7*J$9-3*sn_h)/(4*sn_h))))-fcd_sn*(1-MIN(1,MAX(0,$F973*(7*J$9-3*sn_h)/(4*sn_h)))^2)</f>
        <v/>
      </c>
      <c r="M973">
        <f>MAX(-fyd_sn,MIN(fyd_sn,200000*0.002*(1-$F973*(7*K$9-3*sn_h)/(4*sn_h))))-fcd_sn*(1-MIN(1,MAX(0,$F973*(7*K$9-3*sn_h)/(4*sn_h)))^2)</f>
        <v/>
      </c>
    </row>
    <row r="974">
      <c r="B974" s="55" t="n">
        <v>28</v>
      </c>
      <c r="C974" s="56">
        <f>IF($G973&gt;=$H973,$C973,$E973)</f>
        <v/>
      </c>
      <c r="D974" s="56">
        <f>IF($G973&gt;=$H973,$F973,$D973)</f>
        <v/>
      </c>
      <c r="E974" s="56">
        <f>$D974-((SQRT(5)-1)/2)*($D974-$C974)</f>
        <v/>
      </c>
      <c r="F974" s="56">
        <f>$C974+((SQRT(5)-1)/2)*($D974-$C974)</f>
        <v/>
      </c>
      <c r="G974" s="60">
        <f>(fcd_sn*sn_b*sn_h*(3/7+4/7*(1-$E974^2/3))+SUMPRODUCT($J$8:$K$8,$J974:$K974))/1000</f>
        <v/>
      </c>
      <c r="H974" s="60">
        <f>(fcd_sn*sn_b*sn_h*(3/7+4/7*(1-$F974^2/3))+SUMPRODUCT($J$8:$K$8,$L974:$M974))/1000</f>
        <v/>
      </c>
      <c r="J974">
        <f>MAX(-fyd_sn,MIN(fyd_sn,200000*0.002*(1-$E974*(7*J$9-3*sn_h)/(4*sn_h))))-fcd_sn*(1-MIN(1,MAX(0,$E974*(7*J$9-3*sn_h)/(4*sn_h)))^2)</f>
        <v/>
      </c>
      <c r="K974">
        <f>MAX(-fyd_sn,MIN(fyd_sn,200000*0.002*(1-$E974*(7*K$9-3*sn_h)/(4*sn_h))))-fcd_sn*(1-MIN(1,MAX(0,$E974*(7*K$9-3*sn_h)/(4*sn_h)))^2)</f>
        <v/>
      </c>
      <c r="L974">
        <f>MAX(-fyd_sn,MIN(fyd_sn,200000*0.002*(1-$F974*(7*J$9-3*sn_h)/(4*sn_h))))-fcd_sn*(1-MIN(1,MAX(0,$F974*(7*J$9-3*sn_h)/(4*sn_h)))^2)</f>
        <v/>
      </c>
      <c r="M974">
        <f>MAX(-fyd_sn,MIN(fyd_sn,200000*0.002*(1-$F974*(7*K$9-3*sn_h)/(4*sn_h))))-fcd_sn*(1-MIN(1,MAX(0,$F974*(7*K$9-3*sn_h)/(4*sn_h)))^2)</f>
        <v/>
      </c>
    </row>
    <row r="975">
      <c r="B975" s="55" t="n">
        <v>29</v>
      </c>
      <c r="C975" s="56">
        <f>IF($G974&gt;=$H974,$C974,$E974)</f>
        <v/>
      </c>
      <c r="D975" s="56">
        <f>IF($G974&gt;=$H974,$F974,$D974)</f>
        <v/>
      </c>
      <c r="E975" s="56">
        <f>$D975-((SQRT(5)-1)/2)*($D975-$C975)</f>
        <v/>
      </c>
      <c r="F975" s="56">
        <f>$C975+((SQRT(5)-1)/2)*($D975-$C975)</f>
        <v/>
      </c>
      <c r="G975" s="60">
        <f>(fcd_sn*sn_b*sn_h*(3/7+4/7*(1-$E975^2/3))+SUMPRODUCT($J$8:$K$8,$J975:$K975))/1000</f>
        <v/>
      </c>
      <c r="H975" s="60">
        <f>(fcd_sn*sn_b*sn_h*(3/7+4/7*(1-$F975^2/3))+SUMPRODUCT($J$8:$K$8,$L975:$M975))/1000</f>
        <v/>
      </c>
      <c r="J975">
        <f>MAX(-fyd_sn,MIN(fyd_sn,200000*0.002*(1-$E975*(7*J$9-3*sn_h)/(4*sn_h))))-fcd_sn*(1-MIN(1,MAX(0,$E975*(7*J$9-3*sn_h)/(4*sn_h)))^2)</f>
        <v/>
      </c>
      <c r="K975">
        <f>MAX(-fyd_sn,MIN(fyd_sn,200000*0.002*(1-$E975*(7*K$9-3*sn_h)/(4*sn_h))))-fcd_sn*(1-MIN(1,MAX(0,$E975*(7*K$9-3*sn_h)/(4*sn_h)))^2)</f>
        <v/>
      </c>
      <c r="L975">
        <f>MAX(-fyd_sn,MIN(fyd_sn,200000*0.002*(1-$F975*(7*J$9-3*sn_h)/(4*sn_h))))-fcd_sn*(1-MIN(1,MAX(0,$F975*(7*J$9-3*sn_h)/(4*sn_h)))^2)</f>
        <v/>
      </c>
      <c r="M975">
        <f>MAX(-fyd_sn,MIN(fyd_sn,200000*0.002*(1-$F975*(7*K$9-3*sn_h)/(4*sn_h))))-fcd_sn*(1-MIN(1,MAX(0,$F975*(7*K$9-3*sn_h)/(4*sn_h)))^2)</f>
        <v/>
      </c>
    </row>
    <row r="976">
      <c r="B976" s="55" t="n">
        <v>30</v>
      </c>
      <c r="C976" s="56">
        <f>IF($G975&gt;=$H975,$C975,$E975)</f>
        <v/>
      </c>
      <c r="D976" s="56">
        <f>IF($G975&gt;=$H975,$F975,$D975)</f>
        <v/>
      </c>
      <c r="E976" s="56">
        <f>$D976-((SQRT(5)-1)/2)*($D976-$C976)</f>
        <v/>
      </c>
      <c r="F976" s="56">
        <f>$C976+((SQRT(5)-1)/2)*($D976-$C976)</f>
        <v/>
      </c>
      <c r="G976" s="60">
        <f>(fcd_sn*sn_b*sn_h*(3/7+4/7*(1-$E976^2/3))+SUMPRODUCT($J$8:$K$8,$J976:$K976))/1000</f>
        <v/>
      </c>
      <c r="H976" s="60">
        <f>(fcd_sn*sn_b*sn_h*(3/7+4/7*(1-$F976^2/3))+SUMPRODUCT($J$8:$K$8,$L976:$M976))/1000</f>
        <v/>
      </c>
      <c r="J976">
        <f>MAX(-fyd_sn,MIN(fyd_sn,200000*0.002*(1-$E976*(7*J$9-3*sn_h)/(4*sn_h))))-fcd_sn*(1-MIN(1,MAX(0,$E976*(7*J$9-3*sn_h)/(4*sn_h)))^2)</f>
        <v/>
      </c>
      <c r="K976">
        <f>MAX(-fyd_sn,MIN(fyd_sn,200000*0.002*(1-$E976*(7*K$9-3*sn_h)/(4*sn_h))))-fcd_sn*(1-MIN(1,MAX(0,$E976*(7*K$9-3*sn_h)/(4*sn_h)))^2)</f>
        <v/>
      </c>
      <c r="L976">
        <f>MAX(-fyd_sn,MIN(fyd_sn,200000*0.002*(1-$F976*(7*J$9-3*sn_h)/(4*sn_h))))-fcd_sn*(1-MIN(1,MAX(0,$F976*(7*J$9-3*sn_h)/(4*sn_h)))^2)</f>
        <v/>
      </c>
      <c r="M976">
        <f>MAX(-fyd_sn,MIN(fyd_sn,200000*0.002*(1-$F976*(7*K$9-3*sn_h)/(4*sn_h))))-fcd_sn*(1-MIN(1,MAX(0,$F976*(7*K$9-3*sn_h)/(4*sn_h)))^2)</f>
        <v/>
      </c>
    </row>
    <row r="977">
      <c r="B977" s="55" t="n">
        <v>31</v>
      </c>
      <c r="C977" s="56">
        <f>IF($G976&gt;=$H976,$C976,$E976)</f>
        <v/>
      </c>
      <c r="D977" s="56">
        <f>IF($G976&gt;=$H976,$F976,$D976)</f>
        <v/>
      </c>
      <c r="E977" s="56">
        <f>$D977-((SQRT(5)-1)/2)*($D977-$C977)</f>
        <v/>
      </c>
      <c r="F977" s="56">
        <f>$C977+((SQRT(5)-1)/2)*($D977-$C977)</f>
        <v/>
      </c>
      <c r="G977" s="60">
        <f>(fcd_sn*sn_b*sn_h*(3/7+4/7*(1-$E977^2/3))+SUMPRODUCT($J$8:$K$8,$J977:$K977))/1000</f>
        <v/>
      </c>
      <c r="H977" s="60">
        <f>(fcd_sn*sn_b*sn_h*(3/7+4/7*(1-$F977^2/3))+SUMPRODUCT($J$8:$K$8,$L977:$M977))/1000</f>
        <v/>
      </c>
      <c r="J977">
        <f>MAX(-fyd_sn,MIN(fyd_sn,200000*0.002*(1-$E977*(7*J$9-3*sn_h)/(4*sn_h))))-fcd_sn*(1-MIN(1,MAX(0,$E977*(7*J$9-3*sn_h)/(4*sn_h)))^2)</f>
        <v/>
      </c>
      <c r="K977">
        <f>MAX(-fyd_sn,MIN(fyd_sn,200000*0.002*(1-$E977*(7*K$9-3*sn_h)/(4*sn_h))))-fcd_sn*(1-MIN(1,MAX(0,$E977*(7*K$9-3*sn_h)/(4*sn_h)))^2)</f>
        <v/>
      </c>
      <c r="L977">
        <f>MAX(-fyd_sn,MIN(fyd_sn,200000*0.002*(1-$F977*(7*J$9-3*sn_h)/(4*sn_h))))-fcd_sn*(1-MIN(1,MAX(0,$F977*(7*J$9-3*sn_h)/(4*sn_h)))^2)</f>
        <v/>
      </c>
      <c r="M977">
        <f>MAX(-fyd_sn,MIN(fyd_sn,200000*0.002*(1-$F977*(7*K$9-3*sn_h)/(4*sn_h))))-fcd_sn*(1-MIN(1,MAX(0,$F977*(7*K$9-3*sn_h)/(4*sn_h)))^2)</f>
        <v/>
      </c>
    </row>
    <row r="978">
      <c r="B978" s="55" t="n">
        <v>32</v>
      </c>
      <c r="C978" s="56">
        <f>IF($G977&gt;=$H977,$C977,$E977)</f>
        <v/>
      </c>
      <c r="D978" s="56">
        <f>IF($G977&gt;=$H977,$F977,$D977)</f>
        <v/>
      </c>
      <c r="E978" s="56">
        <f>$D978-((SQRT(5)-1)/2)*($D978-$C978)</f>
        <v/>
      </c>
      <c r="F978" s="56">
        <f>$C978+((SQRT(5)-1)/2)*($D978-$C978)</f>
        <v/>
      </c>
      <c r="G978" s="60">
        <f>(fcd_sn*sn_b*sn_h*(3/7+4/7*(1-$E978^2/3))+SUMPRODUCT($J$8:$K$8,$J978:$K978))/1000</f>
        <v/>
      </c>
      <c r="H978" s="60">
        <f>(fcd_sn*sn_b*sn_h*(3/7+4/7*(1-$F978^2/3))+SUMPRODUCT($J$8:$K$8,$L978:$M978))/1000</f>
        <v/>
      </c>
      <c r="J978">
        <f>MAX(-fyd_sn,MIN(fyd_sn,200000*0.002*(1-$E978*(7*J$9-3*sn_h)/(4*sn_h))))-fcd_sn*(1-MIN(1,MAX(0,$E978*(7*J$9-3*sn_h)/(4*sn_h)))^2)</f>
        <v/>
      </c>
      <c r="K978">
        <f>MAX(-fyd_sn,MIN(fyd_sn,200000*0.002*(1-$E978*(7*K$9-3*sn_h)/(4*sn_h))))-fcd_sn*(1-MIN(1,MAX(0,$E978*(7*K$9-3*sn_h)/(4*sn_h)))^2)</f>
        <v/>
      </c>
      <c r="L978">
        <f>MAX(-fyd_sn,MIN(fyd_sn,200000*0.002*(1-$F978*(7*J$9-3*sn_h)/(4*sn_h))))-fcd_sn*(1-MIN(1,MAX(0,$F978*(7*J$9-3*sn_h)/(4*sn_h)))^2)</f>
        <v/>
      </c>
      <c r="M978">
        <f>MAX(-fyd_sn,MIN(fyd_sn,200000*0.002*(1-$F978*(7*K$9-3*sn_h)/(4*sn_h))))-fcd_sn*(1-MIN(1,MAX(0,$F978*(7*K$9-3*sn_h)/(4*sn_h)))^2)</f>
        <v/>
      </c>
    </row>
    <row r="979">
      <c r="B979" s="55" t="n">
        <v>33</v>
      </c>
      <c r="C979" s="56">
        <f>IF($G978&gt;=$H978,$C978,$E978)</f>
        <v/>
      </c>
      <c r="D979" s="56">
        <f>IF($G978&gt;=$H978,$F978,$D978)</f>
        <v/>
      </c>
      <c r="E979" s="56">
        <f>$D979-((SQRT(5)-1)/2)*($D979-$C979)</f>
        <v/>
      </c>
      <c r="F979" s="56">
        <f>$C979+((SQRT(5)-1)/2)*($D979-$C979)</f>
        <v/>
      </c>
      <c r="G979" s="60">
        <f>(fcd_sn*sn_b*sn_h*(3/7+4/7*(1-$E979^2/3))+SUMPRODUCT($J$8:$K$8,$J979:$K979))/1000</f>
        <v/>
      </c>
      <c r="H979" s="60">
        <f>(fcd_sn*sn_b*sn_h*(3/7+4/7*(1-$F979^2/3))+SUMPRODUCT($J$8:$K$8,$L979:$M979))/1000</f>
        <v/>
      </c>
      <c r="J979">
        <f>MAX(-fyd_sn,MIN(fyd_sn,200000*0.002*(1-$E979*(7*J$9-3*sn_h)/(4*sn_h))))-fcd_sn*(1-MIN(1,MAX(0,$E979*(7*J$9-3*sn_h)/(4*sn_h)))^2)</f>
        <v/>
      </c>
      <c r="K979">
        <f>MAX(-fyd_sn,MIN(fyd_sn,200000*0.002*(1-$E979*(7*K$9-3*sn_h)/(4*sn_h))))-fcd_sn*(1-MIN(1,MAX(0,$E979*(7*K$9-3*sn_h)/(4*sn_h)))^2)</f>
        <v/>
      </c>
      <c r="L979">
        <f>MAX(-fyd_sn,MIN(fyd_sn,200000*0.002*(1-$F979*(7*J$9-3*sn_h)/(4*sn_h))))-fcd_sn*(1-MIN(1,MAX(0,$F979*(7*J$9-3*sn_h)/(4*sn_h)))^2)</f>
        <v/>
      </c>
      <c r="M979">
        <f>MAX(-fyd_sn,MIN(fyd_sn,200000*0.002*(1-$F979*(7*K$9-3*sn_h)/(4*sn_h))))-fcd_sn*(1-MIN(1,MAX(0,$F979*(7*K$9-3*sn_h)/(4*sn_h)))^2)</f>
        <v/>
      </c>
    </row>
    <row r="980">
      <c r="B980" s="55" t="n">
        <v>34</v>
      </c>
      <c r="C980" s="56">
        <f>IF($G979&gt;=$H979,$C979,$E979)</f>
        <v/>
      </c>
      <c r="D980" s="56">
        <f>IF($G979&gt;=$H979,$F979,$D979)</f>
        <v/>
      </c>
      <c r="E980" s="56">
        <f>$D980-((SQRT(5)-1)/2)*($D980-$C980)</f>
        <v/>
      </c>
      <c r="F980" s="56">
        <f>$C980+((SQRT(5)-1)/2)*($D980-$C980)</f>
        <v/>
      </c>
      <c r="G980" s="60">
        <f>(fcd_sn*sn_b*sn_h*(3/7+4/7*(1-$E980^2/3))+SUMPRODUCT($J$8:$K$8,$J980:$K980))/1000</f>
        <v/>
      </c>
      <c r="H980" s="60">
        <f>(fcd_sn*sn_b*sn_h*(3/7+4/7*(1-$F980^2/3))+SUMPRODUCT($J$8:$K$8,$L980:$M980))/1000</f>
        <v/>
      </c>
      <c r="J980">
        <f>MAX(-fyd_sn,MIN(fyd_sn,200000*0.002*(1-$E980*(7*J$9-3*sn_h)/(4*sn_h))))-fcd_sn*(1-MIN(1,MAX(0,$E980*(7*J$9-3*sn_h)/(4*sn_h)))^2)</f>
        <v/>
      </c>
      <c r="K980">
        <f>MAX(-fyd_sn,MIN(fyd_sn,200000*0.002*(1-$E980*(7*K$9-3*sn_h)/(4*sn_h))))-fcd_sn*(1-MIN(1,MAX(0,$E980*(7*K$9-3*sn_h)/(4*sn_h)))^2)</f>
        <v/>
      </c>
      <c r="L980">
        <f>MAX(-fyd_sn,MIN(fyd_sn,200000*0.002*(1-$F980*(7*J$9-3*sn_h)/(4*sn_h))))-fcd_sn*(1-MIN(1,MAX(0,$F980*(7*J$9-3*sn_h)/(4*sn_h)))^2)</f>
        <v/>
      </c>
      <c r="M980">
        <f>MAX(-fyd_sn,MIN(fyd_sn,200000*0.002*(1-$F980*(7*K$9-3*sn_h)/(4*sn_h))))-fcd_sn*(1-MIN(1,MAX(0,$F980*(7*K$9-3*sn_h)/(4*sn_h)))^2)</f>
        <v/>
      </c>
    </row>
    <row r="981">
      <c r="B981" s="55" t="n">
        <v>35</v>
      </c>
      <c r="C981" s="56">
        <f>IF($G980&gt;=$H980,$C980,$E980)</f>
        <v/>
      </c>
      <c r="D981" s="56">
        <f>IF($G980&gt;=$H980,$F980,$D980)</f>
        <v/>
      </c>
      <c r="E981" s="56">
        <f>$D981-((SQRT(5)-1)/2)*($D981-$C981)</f>
        <v/>
      </c>
      <c r="F981" s="56">
        <f>$C981+((SQRT(5)-1)/2)*($D981-$C981)</f>
        <v/>
      </c>
      <c r="G981" s="60">
        <f>(fcd_sn*sn_b*sn_h*(3/7+4/7*(1-$E981^2/3))+SUMPRODUCT($J$8:$K$8,$J981:$K981))/1000</f>
        <v/>
      </c>
      <c r="H981" s="60">
        <f>(fcd_sn*sn_b*sn_h*(3/7+4/7*(1-$F981^2/3))+SUMPRODUCT($J$8:$K$8,$L981:$M981))/1000</f>
        <v/>
      </c>
      <c r="J981">
        <f>MAX(-fyd_sn,MIN(fyd_sn,200000*0.002*(1-$E981*(7*J$9-3*sn_h)/(4*sn_h))))-fcd_sn*(1-MIN(1,MAX(0,$E981*(7*J$9-3*sn_h)/(4*sn_h)))^2)</f>
        <v/>
      </c>
      <c r="K981">
        <f>MAX(-fyd_sn,MIN(fyd_sn,200000*0.002*(1-$E981*(7*K$9-3*sn_h)/(4*sn_h))))-fcd_sn*(1-MIN(1,MAX(0,$E981*(7*K$9-3*sn_h)/(4*sn_h)))^2)</f>
        <v/>
      </c>
      <c r="L981">
        <f>MAX(-fyd_sn,MIN(fyd_sn,200000*0.002*(1-$F981*(7*J$9-3*sn_h)/(4*sn_h))))-fcd_sn*(1-MIN(1,MAX(0,$F981*(7*J$9-3*sn_h)/(4*sn_h)))^2)</f>
        <v/>
      </c>
      <c r="M981">
        <f>MAX(-fyd_sn,MIN(fyd_sn,200000*0.002*(1-$F981*(7*K$9-3*sn_h)/(4*sn_h))))-fcd_sn*(1-MIN(1,MAX(0,$F981*(7*K$9-3*sn_h)/(4*sn_h)))^2)</f>
        <v/>
      </c>
    </row>
    <row r="982">
      <c r="B982" s="55" t="n">
        <v>36</v>
      </c>
      <c r="C982" s="56">
        <f>IF($G981&gt;=$H981,$C981,$E981)</f>
        <v/>
      </c>
      <c r="D982" s="56">
        <f>IF($G981&gt;=$H981,$F981,$D981)</f>
        <v/>
      </c>
      <c r="E982" s="56">
        <f>$D982-((SQRT(5)-1)/2)*($D982-$C982)</f>
        <v/>
      </c>
      <c r="F982" s="56">
        <f>$C982+((SQRT(5)-1)/2)*($D982-$C982)</f>
        <v/>
      </c>
      <c r="G982" s="60">
        <f>(fcd_sn*sn_b*sn_h*(3/7+4/7*(1-$E982^2/3))+SUMPRODUCT($J$8:$K$8,$J982:$K982))/1000</f>
        <v/>
      </c>
      <c r="H982" s="60">
        <f>(fcd_sn*sn_b*sn_h*(3/7+4/7*(1-$F982^2/3))+SUMPRODUCT($J$8:$K$8,$L982:$M982))/1000</f>
        <v/>
      </c>
      <c r="J982">
        <f>MAX(-fyd_sn,MIN(fyd_sn,200000*0.002*(1-$E982*(7*J$9-3*sn_h)/(4*sn_h))))-fcd_sn*(1-MIN(1,MAX(0,$E982*(7*J$9-3*sn_h)/(4*sn_h)))^2)</f>
        <v/>
      </c>
      <c r="K982">
        <f>MAX(-fyd_sn,MIN(fyd_sn,200000*0.002*(1-$E982*(7*K$9-3*sn_h)/(4*sn_h))))-fcd_sn*(1-MIN(1,MAX(0,$E982*(7*K$9-3*sn_h)/(4*sn_h)))^2)</f>
        <v/>
      </c>
      <c r="L982">
        <f>MAX(-fyd_sn,MIN(fyd_sn,200000*0.002*(1-$F982*(7*J$9-3*sn_h)/(4*sn_h))))-fcd_sn*(1-MIN(1,MAX(0,$F982*(7*J$9-3*sn_h)/(4*sn_h)))^2)</f>
        <v/>
      </c>
      <c r="M982">
        <f>MAX(-fyd_sn,MIN(fyd_sn,200000*0.002*(1-$F982*(7*K$9-3*sn_h)/(4*sn_h))))-fcd_sn*(1-MIN(1,MAX(0,$F982*(7*K$9-3*sn_h)/(4*sn_h)))^2)</f>
        <v/>
      </c>
    </row>
    <row r="983">
      <c r="B983" s="55" t="n">
        <v>37</v>
      </c>
      <c r="C983" s="56">
        <f>IF($G982&gt;=$H982,$C982,$E982)</f>
        <v/>
      </c>
      <c r="D983" s="56">
        <f>IF($G982&gt;=$H982,$F982,$D982)</f>
        <v/>
      </c>
      <c r="E983" s="56">
        <f>$D983-((SQRT(5)-1)/2)*($D983-$C983)</f>
        <v/>
      </c>
      <c r="F983" s="56">
        <f>$C983+((SQRT(5)-1)/2)*($D983-$C983)</f>
        <v/>
      </c>
      <c r="G983" s="60">
        <f>(fcd_sn*sn_b*sn_h*(3/7+4/7*(1-$E983^2/3))+SUMPRODUCT($J$8:$K$8,$J983:$K983))/1000</f>
        <v/>
      </c>
      <c r="H983" s="60">
        <f>(fcd_sn*sn_b*sn_h*(3/7+4/7*(1-$F983^2/3))+SUMPRODUCT($J$8:$K$8,$L983:$M983))/1000</f>
        <v/>
      </c>
      <c r="J983">
        <f>MAX(-fyd_sn,MIN(fyd_sn,200000*0.002*(1-$E983*(7*J$9-3*sn_h)/(4*sn_h))))-fcd_sn*(1-MIN(1,MAX(0,$E983*(7*J$9-3*sn_h)/(4*sn_h)))^2)</f>
        <v/>
      </c>
      <c r="K983">
        <f>MAX(-fyd_sn,MIN(fyd_sn,200000*0.002*(1-$E983*(7*K$9-3*sn_h)/(4*sn_h))))-fcd_sn*(1-MIN(1,MAX(0,$E983*(7*K$9-3*sn_h)/(4*sn_h)))^2)</f>
        <v/>
      </c>
      <c r="L983">
        <f>MAX(-fyd_sn,MIN(fyd_sn,200000*0.002*(1-$F983*(7*J$9-3*sn_h)/(4*sn_h))))-fcd_sn*(1-MIN(1,MAX(0,$F983*(7*J$9-3*sn_h)/(4*sn_h)))^2)</f>
        <v/>
      </c>
      <c r="M983">
        <f>MAX(-fyd_sn,MIN(fyd_sn,200000*0.002*(1-$F983*(7*K$9-3*sn_h)/(4*sn_h))))-fcd_sn*(1-MIN(1,MAX(0,$F983*(7*K$9-3*sn_h)/(4*sn_h)))^2)</f>
        <v/>
      </c>
    </row>
    <row r="984">
      <c r="B984" s="55" t="n">
        <v>38</v>
      </c>
      <c r="C984" s="56">
        <f>IF($G983&gt;=$H983,$C983,$E983)</f>
        <v/>
      </c>
      <c r="D984" s="56">
        <f>IF($G983&gt;=$H983,$F983,$D983)</f>
        <v/>
      </c>
      <c r="E984" s="56">
        <f>$D984-((SQRT(5)-1)/2)*($D984-$C984)</f>
        <v/>
      </c>
      <c r="F984" s="56">
        <f>$C984+((SQRT(5)-1)/2)*($D984-$C984)</f>
        <v/>
      </c>
      <c r="G984" s="60">
        <f>(fcd_sn*sn_b*sn_h*(3/7+4/7*(1-$E984^2/3))+SUMPRODUCT($J$8:$K$8,$J984:$K984))/1000</f>
        <v/>
      </c>
      <c r="H984" s="60">
        <f>(fcd_sn*sn_b*sn_h*(3/7+4/7*(1-$F984^2/3))+SUMPRODUCT($J$8:$K$8,$L984:$M984))/1000</f>
        <v/>
      </c>
      <c r="J984">
        <f>MAX(-fyd_sn,MIN(fyd_sn,200000*0.002*(1-$E984*(7*J$9-3*sn_h)/(4*sn_h))))-fcd_sn*(1-MIN(1,MAX(0,$E984*(7*J$9-3*sn_h)/(4*sn_h)))^2)</f>
        <v/>
      </c>
      <c r="K984">
        <f>MAX(-fyd_sn,MIN(fyd_sn,200000*0.002*(1-$E984*(7*K$9-3*sn_h)/(4*sn_h))))-fcd_sn*(1-MIN(1,MAX(0,$E984*(7*K$9-3*sn_h)/(4*sn_h)))^2)</f>
        <v/>
      </c>
      <c r="L984">
        <f>MAX(-fyd_sn,MIN(fyd_sn,200000*0.002*(1-$F984*(7*J$9-3*sn_h)/(4*sn_h))))-fcd_sn*(1-MIN(1,MAX(0,$F984*(7*J$9-3*sn_h)/(4*sn_h)))^2)</f>
        <v/>
      </c>
      <c r="M984">
        <f>MAX(-fyd_sn,MIN(fyd_sn,200000*0.002*(1-$F984*(7*K$9-3*sn_h)/(4*sn_h))))-fcd_sn*(1-MIN(1,MAX(0,$F984*(7*K$9-3*sn_h)/(4*sn_h)))^2)</f>
        <v/>
      </c>
    </row>
    <row r="985">
      <c r="B985" s="55" t="n">
        <v>39</v>
      </c>
      <c r="C985" s="56">
        <f>IF($G984&gt;=$H984,$C984,$E984)</f>
        <v/>
      </c>
      <c r="D985" s="56">
        <f>IF($G984&gt;=$H984,$F984,$D984)</f>
        <v/>
      </c>
      <c r="E985" s="56">
        <f>$D985-((SQRT(5)-1)/2)*($D985-$C985)</f>
        <v/>
      </c>
      <c r="F985" s="56">
        <f>$C985+((SQRT(5)-1)/2)*($D985-$C985)</f>
        <v/>
      </c>
      <c r="G985" s="60">
        <f>(fcd_sn*sn_b*sn_h*(3/7+4/7*(1-$E985^2/3))+SUMPRODUCT($J$8:$K$8,$J985:$K985))/1000</f>
        <v/>
      </c>
      <c r="H985" s="60">
        <f>(fcd_sn*sn_b*sn_h*(3/7+4/7*(1-$F985^2/3))+SUMPRODUCT($J$8:$K$8,$L985:$M985))/1000</f>
        <v/>
      </c>
      <c r="J985">
        <f>MAX(-fyd_sn,MIN(fyd_sn,200000*0.002*(1-$E985*(7*J$9-3*sn_h)/(4*sn_h))))-fcd_sn*(1-MIN(1,MAX(0,$E985*(7*J$9-3*sn_h)/(4*sn_h)))^2)</f>
        <v/>
      </c>
      <c r="K985">
        <f>MAX(-fyd_sn,MIN(fyd_sn,200000*0.002*(1-$E985*(7*K$9-3*sn_h)/(4*sn_h))))-fcd_sn*(1-MIN(1,MAX(0,$E985*(7*K$9-3*sn_h)/(4*sn_h)))^2)</f>
        <v/>
      </c>
      <c r="L985">
        <f>MAX(-fyd_sn,MIN(fyd_sn,200000*0.002*(1-$F985*(7*J$9-3*sn_h)/(4*sn_h))))-fcd_sn*(1-MIN(1,MAX(0,$F985*(7*J$9-3*sn_h)/(4*sn_h)))^2)</f>
        <v/>
      </c>
      <c r="M985">
        <f>MAX(-fyd_sn,MIN(fyd_sn,200000*0.002*(1-$F985*(7*K$9-3*sn_h)/(4*sn_h))))-fcd_sn*(1-MIN(1,MAX(0,$F985*(7*K$9-3*sn_h)/(4*sn_h)))^2)</f>
        <v/>
      </c>
    </row>
    <row r="986">
      <c r="B986" s="55" t="n">
        <v>40</v>
      </c>
      <c r="C986" s="56">
        <f>IF($G985&gt;=$H985,$C985,$E985)</f>
        <v/>
      </c>
      <c r="D986" s="56">
        <f>IF($G985&gt;=$H985,$F985,$D985)</f>
        <v/>
      </c>
      <c r="E986" s="56">
        <f>$D986-((SQRT(5)-1)/2)*($D986-$C986)</f>
        <v/>
      </c>
      <c r="F986" s="56">
        <f>$C986+((SQRT(5)-1)/2)*($D986-$C986)</f>
        <v/>
      </c>
      <c r="G986" s="60">
        <f>(fcd_sn*sn_b*sn_h*(3/7+4/7*(1-$E986^2/3))+SUMPRODUCT($J$8:$K$8,$J986:$K986))/1000</f>
        <v/>
      </c>
      <c r="H986" s="60">
        <f>(fcd_sn*sn_b*sn_h*(3/7+4/7*(1-$F986^2/3))+SUMPRODUCT($J$8:$K$8,$L986:$M986))/1000</f>
        <v/>
      </c>
      <c r="J986">
        <f>MAX(-fyd_sn,MIN(fyd_sn,200000*0.002*(1-$E986*(7*J$9-3*sn_h)/(4*sn_h))))-fcd_sn*(1-MIN(1,MAX(0,$E986*(7*J$9-3*sn_h)/(4*sn_h)))^2)</f>
        <v/>
      </c>
      <c r="K986">
        <f>MAX(-fyd_sn,MIN(fyd_sn,200000*0.002*(1-$E986*(7*K$9-3*sn_h)/(4*sn_h))))-fcd_sn*(1-MIN(1,MAX(0,$E986*(7*K$9-3*sn_h)/(4*sn_h)))^2)</f>
        <v/>
      </c>
      <c r="L986">
        <f>MAX(-fyd_sn,MIN(fyd_sn,200000*0.002*(1-$F986*(7*J$9-3*sn_h)/(4*sn_h))))-fcd_sn*(1-MIN(1,MAX(0,$F986*(7*J$9-3*sn_h)/(4*sn_h)))^2)</f>
        <v/>
      </c>
      <c r="M986">
        <f>MAX(-fyd_sn,MIN(fyd_sn,200000*0.002*(1-$F986*(7*K$9-3*sn_h)/(4*sn_h))))-fcd_sn*(1-MIN(1,MAX(0,$F986*(7*K$9-3*sn_h)/(4*sn_h)))^2)</f>
        <v/>
      </c>
    </row>
    <row r="987">
      <c r="B987" s="61" t="inlineStr">
        <is>
          <t>max</t>
        </is>
      </c>
      <c r="C987" s="56">
        <f>IF($G986&gt;=$H986,$C986,$E986)</f>
        <v/>
      </c>
      <c r="D987" s="56">
        <f>IF($G986&gt;=$H986,$F986,$D986)</f>
        <v/>
      </c>
      <c r="E987" s="56">
        <f>($C987+$D987)/2</f>
        <v/>
      </c>
      <c r="F987" s="56">
        <f>IF($G987&gt;INDEX(rawH_N,(MATCH(MAX(rawH_N),rawH_N,0)-1)+1),$E987,INDEX(rawH_t,(MATCH(MAX(rawH_N),rawH_N,0)-1)+1))</f>
        <v/>
      </c>
      <c r="G987" s="60">
        <f>(fcd_sn*sn_b*sn_h*(3/7+4/7*(1-$E987^2/3))+SUMPRODUCT($J$8:$K$8,$J987:$K987))/1000</f>
        <v/>
      </c>
      <c r="H987" s="62">
        <f>MAX($G987,INDEX(rawH_N,(MATCH(MAX(rawH_N),rawH_N,0)-1)+1))</f>
        <v/>
      </c>
      <c r="I987">
        <f>(MATCH(MAX(rawH_N),rawH_N,0)-1)</f>
        <v/>
      </c>
      <c r="J987">
        <f>MAX(-fyd_sn,MIN(fyd_sn,200000*0.002*(1-$E987*(7*J$9-3*sn_h)/(4*sn_h))))-fcd_sn*(1-MIN(1,MAX(0,$E987*(7*J$9-3*sn_h)/(4*sn_h)))^2)</f>
        <v/>
      </c>
      <c r="K987">
        <f>MAX(-fyd_sn,MIN(fyd_sn,200000*0.002*(1-$E987*(7*K$9-3*sn_h)/(4*sn_h))))-fcd_sn*(1-MIN(1,MAX(0,$E987*(7*K$9-3*sn_h)/(4*sn_h)))^2)</f>
        <v/>
      </c>
    </row>
    <row r="989">
      <c r="B989" s="54" t="inlineStr">
        <is>
          <t>Bottom face compressed  ·  3. scan with the largest N inserted, crossings of NEd</t>
        </is>
      </c>
    </row>
    <row r="990">
      <c r="B990" s="48" t="inlineStr">
        <is>
          <t>k</t>
        </is>
      </c>
      <c r="C990" s="48" t="inlineStr">
        <is>
          <t>t</t>
        </is>
      </c>
      <c r="D990" s="48" t="inlineStr">
        <is>
          <t>x (mm)</t>
        </is>
      </c>
      <c r="E990" s="48" t="inlineStr">
        <is>
          <t>N (kN)</t>
        </is>
      </c>
      <c r="F990" s="48" t="inlineStr">
        <is>
          <t>M signed</t>
        </is>
      </c>
      <c r="G990" s="48" t="inlineStr">
        <is>
          <t>hi at NEd</t>
        </is>
      </c>
      <c r="H990" s="48" t="inlineStr">
        <is>
          <t>lo at NEd</t>
        </is>
      </c>
    </row>
    <row r="991">
      <c r="B991" s="55" t="n">
        <v>0</v>
      </c>
      <c r="C991" s="56">
        <f>IF(0&lt;posH_sn,1-0/200,IF(0=posH_sn,tstH_sn,1-(0-1)/200))</f>
        <v/>
      </c>
      <c r="D991" s="59">
        <f>IF($C991&gt;=1,sn_h,3/7*sn_h+4/7*sn_h/MAX($C991,1E-12))</f>
        <v/>
      </c>
      <c r="E991" s="57">
        <f>(fcd_sn*sn_b*sn_h*(3/7+4/7*(1-$C991^2/3))+SUMPRODUCT($J$8:$K$8,$J991:$K991))/1000</f>
        <v/>
      </c>
      <c r="F991" s="57">
        <f>-((fcd_sn*sn_b*(3/14*sn_h*(sn_h-3/7*sn_h)+4/7*sn_h*(sn_h/2-3/7*sn_h)*(1-$C991^2/3)-16/49*sn_h^2*(1/2-$C991^2/4))+SUMPRODUCT($J$8:$K$8,$J991:$K991,$J$10:$K$10))/1E6)</f>
        <v/>
      </c>
      <c r="G991" s="57">
        <f>IF(AND(MIN($E991,$E992)&lt;=sn_N,sn_N&lt;=MAX($E991,$E992)),IF($E991=$E992,MAX($F991,$F992),$F991+(sn_N-$E991)*($F992-$F991)/($E992-$E991)),"")</f>
        <v/>
      </c>
      <c r="H991" s="57">
        <f>IF(AND(MIN($E991,$E992)&lt;=sn_N,sn_N&lt;=MAX($E991,$E992)),IF($E991=$E992,MIN($F991,$F992),$F991+(sn_N-$E991)*($F992-$F991)/($E992-$E991)),"")</f>
        <v/>
      </c>
      <c r="J991">
        <f>MAX(-fyd_sn,MIN(fyd_sn,200000*0.002*(1-$C991*(7*J$9-3*sn_h)/(4*sn_h))))-fcd_sn*(1-MIN(1,MAX(0,$C991*(7*J$9-3*sn_h)/(4*sn_h)))^2)</f>
        <v/>
      </c>
      <c r="K991">
        <f>MAX(-fyd_sn,MIN(fyd_sn,200000*0.002*(1-$C991*(7*K$9-3*sn_h)/(4*sn_h))))-fcd_sn*(1-MIN(1,MAX(0,$C991*(7*K$9-3*sn_h)/(4*sn_h)))^2)</f>
        <v/>
      </c>
    </row>
    <row r="992">
      <c r="B992" s="55" t="n">
        <v>1</v>
      </c>
      <c r="C992" s="56">
        <f>IF(1&lt;posH_sn,1-1/200,IF(1=posH_sn,tstH_sn,1-(1-1)/200))</f>
        <v/>
      </c>
      <c r="D992" s="59">
        <f>IF($C992&gt;=1,sn_h,3/7*sn_h+4/7*sn_h/MAX($C992,1E-12))</f>
        <v/>
      </c>
      <c r="E992" s="57">
        <f>(fcd_sn*sn_b*sn_h*(3/7+4/7*(1-$C992^2/3))+SUMPRODUCT($J$8:$K$8,$J992:$K992))/1000</f>
        <v/>
      </c>
      <c r="F992" s="57">
        <f>-((fcd_sn*sn_b*(3/14*sn_h*(sn_h-3/7*sn_h)+4/7*sn_h*(sn_h/2-3/7*sn_h)*(1-$C992^2/3)-16/49*sn_h^2*(1/2-$C992^2/4))+SUMPRODUCT($J$8:$K$8,$J992:$K992,$J$10:$K$10))/1E6)</f>
        <v/>
      </c>
      <c r="G992" s="57">
        <f>IF(AND(MIN($E992,$E993)&lt;=sn_N,sn_N&lt;=MAX($E992,$E993)),IF($E992=$E993,MAX($F992,$F993),$F992+(sn_N-$E992)*($F993-$F992)/($E993-$E992)),"")</f>
        <v/>
      </c>
      <c r="H992" s="57">
        <f>IF(AND(MIN($E992,$E993)&lt;=sn_N,sn_N&lt;=MAX($E992,$E993)),IF($E992=$E993,MIN($F992,$F993),$F992+(sn_N-$E992)*($F993-$F992)/($E993-$E992)),"")</f>
        <v/>
      </c>
      <c r="J992">
        <f>MAX(-fyd_sn,MIN(fyd_sn,200000*0.002*(1-$C992*(7*J$9-3*sn_h)/(4*sn_h))))-fcd_sn*(1-MIN(1,MAX(0,$C992*(7*J$9-3*sn_h)/(4*sn_h)))^2)</f>
        <v/>
      </c>
      <c r="K992">
        <f>MAX(-fyd_sn,MIN(fyd_sn,200000*0.002*(1-$C992*(7*K$9-3*sn_h)/(4*sn_h))))-fcd_sn*(1-MIN(1,MAX(0,$C992*(7*K$9-3*sn_h)/(4*sn_h)))^2)</f>
        <v/>
      </c>
    </row>
    <row r="993">
      <c r="B993" s="55" t="n">
        <v>2</v>
      </c>
      <c r="C993" s="56">
        <f>IF(2&lt;posH_sn,1-2/200,IF(2=posH_sn,tstH_sn,1-(2-1)/200))</f>
        <v/>
      </c>
      <c r="D993" s="59">
        <f>IF($C993&gt;=1,sn_h,3/7*sn_h+4/7*sn_h/MAX($C993,1E-12))</f>
        <v/>
      </c>
      <c r="E993" s="57">
        <f>(fcd_sn*sn_b*sn_h*(3/7+4/7*(1-$C993^2/3))+SUMPRODUCT($J$8:$K$8,$J993:$K993))/1000</f>
        <v/>
      </c>
      <c r="F993" s="57">
        <f>-((fcd_sn*sn_b*(3/14*sn_h*(sn_h-3/7*sn_h)+4/7*sn_h*(sn_h/2-3/7*sn_h)*(1-$C993^2/3)-16/49*sn_h^2*(1/2-$C993^2/4))+SUMPRODUCT($J$8:$K$8,$J993:$K993,$J$10:$K$10))/1E6)</f>
        <v/>
      </c>
      <c r="G993" s="57">
        <f>IF(AND(MIN($E993,$E994)&lt;=sn_N,sn_N&lt;=MAX($E993,$E994)),IF($E993=$E994,MAX($F993,$F994),$F993+(sn_N-$E993)*($F994-$F993)/($E994-$E993)),"")</f>
        <v/>
      </c>
      <c r="H993" s="57">
        <f>IF(AND(MIN($E993,$E994)&lt;=sn_N,sn_N&lt;=MAX($E993,$E994)),IF($E993=$E994,MIN($F993,$F994),$F993+(sn_N-$E993)*($F994-$F993)/($E994-$E993)),"")</f>
        <v/>
      </c>
      <c r="J993">
        <f>MAX(-fyd_sn,MIN(fyd_sn,200000*0.002*(1-$C993*(7*J$9-3*sn_h)/(4*sn_h))))-fcd_sn*(1-MIN(1,MAX(0,$C993*(7*J$9-3*sn_h)/(4*sn_h)))^2)</f>
        <v/>
      </c>
      <c r="K993">
        <f>MAX(-fyd_sn,MIN(fyd_sn,200000*0.002*(1-$C993*(7*K$9-3*sn_h)/(4*sn_h))))-fcd_sn*(1-MIN(1,MAX(0,$C993*(7*K$9-3*sn_h)/(4*sn_h)))^2)</f>
        <v/>
      </c>
    </row>
    <row r="994">
      <c r="B994" s="55" t="n">
        <v>3</v>
      </c>
      <c r="C994" s="56">
        <f>IF(3&lt;posH_sn,1-3/200,IF(3=posH_sn,tstH_sn,1-(3-1)/200))</f>
        <v/>
      </c>
      <c r="D994" s="59">
        <f>IF($C994&gt;=1,sn_h,3/7*sn_h+4/7*sn_h/MAX($C994,1E-12))</f>
        <v/>
      </c>
      <c r="E994" s="57">
        <f>(fcd_sn*sn_b*sn_h*(3/7+4/7*(1-$C994^2/3))+SUMPRODUCT($J$8:$K$8,$J994:$K994))/1000</f>
        <v/>
      </c>
      <c r="F994" s="57">
        <f>-((fcd_sn*sn_b*(3/14*sn_h*(sn_h-3/7*sn_h)+4/7*sn_h*(sn_h/2-3/7*sn_h)*(1-$C994^2/3)-16/49*sn_h^2*(1/2-$C994^2/4))+SUMPRODUCT($J$8:$K$8,$J994:$K994,$J$10:$K$10))/1E6)</f>
        <v/>
      </c>
      <c r="G994" s="57">
        <f>IF(AND(MIN($E994,$E995)&lt;=sn_N,sn_N&lt;=MAX($E994,$E995)),IF($E994=$E995,MAX($F994,$F995),$F994+(sn_N-$E994)*($F995-$F994)/($E995-$E994)),"")</f>
        <v/>
      </c>
      <c r="H994" s="57">
        <f>IF(AND(MIN($E994,$E995)&lt;=sn_N,sn_N&lt;=MAX($E994,$E995)),IF($E994=$E995,MIN($F994,$F995),$F994+(sn_N-$E994)*($F995-$F994)/($E995-$E994)),"")</f>
        <v/>
      </c>
      <c r="J994">
        <f>MAX(-fyd_sn,MIN(fyd_sn,200000*0.002*(1-$C994*(7*J$9-3*sn_h)/(4*sn_h))))-fcd_sn*(1-MIN(1,MAX(0,$C994*(7*J$9-3*sn_h)/(4*sn_h)))^2)</f>
        <v/>
      </c>
      <c r="K994">
        <f>MAX(-fyd_sn,MIN(fyd_sn,200000*0.002*(1-$C994*(7*K$9-3*sn_h)/(4*sn_h))))-fcd_sn*(1-MIN(1,MAX(0,$C994*(7*K$9-3*sn_h)/(4*sn_h)))^2)</f>
        <v/>
      </c>
    </row>
    <row r="995">
      <c r="B995" s="55" t="n">
        <v>4</v>
      </c>
      <c r="C995" s="56">
        <f>IF(4&lt;posH_sn,1-4/200,IF(4=posH_sn,tstH_sn,1-(4-1)/200))</f>
        <v/>
      </c>
      <c r="D995" s="59">
        <f>IF($C995&gt;=1,sn_h,3/7*sn_h+4/7*sn_h/MAX($C995,1E-12))</f>
        <v/>
      </c>
      <c r="E995" s="57">
        <f>(fcd_sn*sn_b*sn_h*(3/7+4/7*(1-$C995^2/3))+SUMPRODUCT($J$8:$K$8,$J995:$K995))/1000</f>
        <v/>
      </c>
      <c r="F995" s="57">
        <f>-((fcd_sn*sn_b*(3/14*sn_h*(sn_h-3/7*sn_h)+4/7*sn_h*(sn_h/2-3/7*sn_h)*(1-$C995^2/3)-16/49*sn_h^2*(1/2-$C995^2/4))+SUMPRODUCT($J$8:$K$8,$J995:$K995,$J$10:$K$10))/1E6)</f>
        <v/>
      </c>
      <c r="G995" s="57">
        <f>IF(AND(MIN($E995,$E996)&lt;=sn_N,sn_N&lt;=MAX($E995,$E996)),IF($E995=$E996,MAX($F995,$F996),$F995+(sn_N-$E995)*($F996-$F995)/($E996-$E995)),"")</f>
        <v/>
      </c>
      <c r="H995" s="57">
        <f>IF(AND(MIN($E995,$E996)&lt;=sn_N,sn_N&lt;=MAX($E995,$E996)),IF($E995=$E996,MIN($F995,$F996),$F995+(sn_N-$E995)*($F996-$F995)/($E996-$E995)),"")</f>
        <v/>
      </c>
      <c r="J995">
        <f>MAX(-fyd_sn,MIN(fyd_sn,200000*0.002*(1-$C995*(7*J$9-3*sn_h)/(4*sn_h))))-fcd_sn*(1-MIN(1,MAX(0,$C995*(7*J$9-3*sn_h)/(4*sn_h)))^2)</f>
        <v/>
      </c>
      <c r="K995">
        <f>MAX(-fyd_sn,MIN(fyd_sn,200000*0.002*(1-$C995*(7*K$9-3*sn_h)/(4*sn_h))))-fcd_sn*(1-MIN(1,MAX(0,$C995*(7*K$9-3*sn_h)/(4*sn_h)))^2)</f>
        <v/>
      </c>
    </row>
    <row r="996">
      <c r="B996" s="55" t="n">
        <v>5</v>
      </c>
      <c r="C996" s="56">
        <f>IF(5&lt;posH_sn,1-5/200,IF(5=posH_sn,tstH_sn,1-(5-1)/200))</f>
        <v/>
      </c>
      <c r="D996" s="59">
        <f>IF($C996&gt;=1,sn_h,3/7*sn_h+4/7*sn_h/MAX($C996,1E-12))</f>
        <v/>
      </c>
      <c r="E996" s="57">
        <f>(fcd_sn*sn_b*sn_h*(3/7+4/7*(1-$C996^2/3))+SUMPRODUCT($J$8:$K$8,$J996:$K996))/1000</f>
        <v/>
      </c>
      <c r="F996" s="57">
        <f>-((fcd_sn*sn_b*(3/14*sn_h*(sn_h-3/7*sn_h)+4/7*sn_h*(sn_h/2-3/7*sn_h)*(1-$C996^2/3)-16/49*sn_h^2*(1/2-$C996^2/4))+SUMPRODUCT($J$8:$K$8,$J996:$K996,$J$10:$K$10))/1E6)</f>
        <v/>
      </c>
      <c r="G996" s="57">
        <f>IF(AND(MIN($E996,$E997)&lt;=sn_N,sn_N&lt;=MAX($E996,$E997)),IF($E996=$E997,MAX($F996,$F997),$F996+(sn_N-$E996)*($F997-$F996)/($E997-$E996)),"")</f>
        <v/>
      </c>
      <c r="H996" s="57">
        <f>IF(AND(MIN($E996,$E997)&lt;=sn_N,sn_N&lt;=MAX($E996,$E997)),IF($E996=$E997,MIN($F996,$F997),$F996+(sn_N-$E996)*($F997-$F996)/($E997-$E996)),"")</f>
        <v/>
      </c>
      <c r="J996">
        <f>MAX(-fyd_sn,MIN(fyd_sn,200000*0.002*(1-$C996*(7*J$9-3*sn_h)/(4*sn_h))))-fcd_sn*(1-MIN(1,MAX(0,$C996*(7*J$9-3*sn_h)/(4*sn_h)))^2)</f>
        <v/>
      </c>
      <c r="K996">
        <f>MAX(-fyd_sn,MIN(fyd_sn,200000*0.002*(1-$C996*(7*K$9-3*sn_h)/(4*sn_h))))-fcd_sn*(1-MIN(1,MAX(0,$C996*(7*K$9-3*sn_h)/(4*sn_h)))^2)</f>
        <v/>
      </c>
    </row>
    <row r="997">
      <c r="B997" s="55" t="n">
        <v>6</v>
      </c>
      <c r="C997" s="56">
        <f>IF(6&lt;posH_sn,1-6/200,IF(6=posH_sn,tstH_sn,1-(6-1)/200))</f>
        <v/>
      </c>
      <c r="D997" s="59">
        <f>IF($C997&gt;=1,sn_h,3/7*sn_h+4/7*sn_h/MAX($C997,1E-12))</f>
        <v/>
      </c>
      <c r="E997" s="57">
        <f>(fcd_sn*sn_b*sn_h*(3/7+4/7*(1-$C997^2/3))+SUMPRODUCT($J$8:$K$8,$J997:$K997))/1000</f>
        <v/>
      </c>
      <c r="F997" s="57">
        <f>-((fcd_sn*sn_b*(3/14*sn_h*(sn_h-3/7*sn_h)+4/7*sn_h*(sn_h/2-3/7*sn_h)*(1-$C997^2/3)-16/49*sn_h^2*(1/2-$C997^2/4))+SUMPRODUCT($J$8:$K$8,$J997:$K997,$J$10:$K$10))/1E6)</f>
        <v/>
      </c>
      <c r="G997" s="57">
        <f>IF(AND(MIN($E997,$E998)&lt;=sn_N,sn_N&lt;=MAX($E997,$E998)),IF($E997=$E998,MAX($F997,$F998),$F997+(sn_N-$E997)*($F998-$F997)/($E998-$E997)),"")</f>
        <v/>
      </c>
      <c r="H997" s="57">
        <f>IF(AND(MIN($E997,$E998)&lt;=sn_N,sn_N&lt;=MAX($E997,$E998)),IF($E997=$E998,MIN($F997,$F998),$F997+(sn_N-$E997)*($F998-$F997)/($E998-$E997)),"")</f>
        <v/>
      </c>
      <c r="J997">
        <f>MAX(-fyd_sn,MIN(fyd_sn,200000*0.002*(1-$C997*(7*J$9-3*sn_h)/(4*sn_h))))-fcd_sn*(1-MIN(1,MAX(0,$C997*(7*J$9-3*sn_h)/(4*sn_h)))^2)</f>
        <v/>
      </c>
      <c r="K997">
        <f>MAX(-fyd_sn,MIN(fyd_sn,200000*0.002*(1-$C997*(7*K$9-3*sn_h)/(4*sn_h))))-fcd_sn*(1-MIN(1,MAX(0,$C997*(7*K$9-3*sn_h)/(4*sn_h)))^2)</f>
        <v/>
      </c>
    </row>
    <row r="998">
      <c r="B998" s="55" t="n">
        <v>7</v>
      </c>
      <c r="C998" s="56">
        <f>IF(7&lt;posH_sn,1-7/200,IF(7=posH_sn,tstH_sn,1-(7-1)/200))</f>
        <v/>
      </c>
      <c r="D998" s="59">
        <f>IF($C998&gt;=1,sn_h,3/7*sn_h+4/7*sn_h/MAX($C998,1E-12))</f>
        <v/>
      </c>
      <c r="E998" s="57">
        <f>(fcd_sn*sn_b*sn_h*(3/7+4/7*(1-$C998^2/3))+SUMPRODUCT($J$8:$K$8,$J998:$K998))/1000</f>
        <v/>
      </c>
      <c r="F998" s="57">
        <f>-((fcd_sn*sn_b*(3/14*sn_h*(sn_h-3/7*sn_h)+4/7*sn_h*(sn_h/2-3/7*sn_h)*(1-$C998^2/3)-16/49*sn_h^2*(1/2-$C998^2/4))+SUMPRODUCT($J$8:$K$8,$J998:$K998,$J$10:$K$10))/1E6)</f>
        <v/>
      </c>
      <c r="G998" s="57">
        <f>IF(AND(MIN($E998,$E999)&lt;=sn_N,sn_N&lt;=MAX($E998,$E999)),IF($E998=$E999,MAX($F998,$F999),$F998+(sn_N-$E998)*($F999-$F998)/($E999-$E998)),"")</f>
        <v/>
      </c>
      <c r="H998" s="57">
        <f>IF(AND(MIN($E998,$E999)&lt;=sn_N,sn_N&lt;=MAX($E998,$E999)),IF($E998=$E999,MIN($F998,$F999),$F998+(sn_N-$E998)*($F999-$F998)/($E999-$E998)),"")</f>
        <v/>
      </c>
      <c r="J998">
        <f>MAX(-fyd_sn,MIN(fyd_sn,200000*0.002*(1-$C998*(7*J$9-3*sn_h)/(4*sn_h))))-fcd_sn*(1-MIN(1,MAX(0,$C998*(7*J$9-3*sn_h)/(4*sn_h)))^2)</f>
        <v/>
      </c>
      <c r="K998">
        <f>MAX(-fyd_sn,MIN(fyd_sn,200000*0.002*(1-$C998*(7*K$9-3*sn_h)/(4*sn_h))))-fcd_sn*(1-MIN(1,MAX(0,$C998*(7*K$9-3*sn_h)/(4*sn_h)))^2)</f>
        <v/>
      </c>
    </row>
    <row r="999">
      <c r="B999" s="55" t="n">
        <v>8</v>
      </c>
      <c r="C999" s="56">
        <f>IF(8&lt;posH_sn,1-8/200,IF(8=posH_sn,tstH_sn,1-(8-1)/200))</f>
        <v/>
      </c>
      <c r="D999" s="59">
        <f>IF($C999&gt;=1,sn_h,3/7*sn_h+4/7*sn_h/MAX($C999,1E-12))</f>
        <v/>
      </c>
      <c r="E999" s="57">
        <f>(fcd_sn*sn_b*sn_h*(3/7+4/7*(1-$C999^2/3))+SUMPRODUCT($J$8:$K$8,$J999:$K999))/1000</f>
        <v/>
      </c>
      <c r="F999" s="57">
        <f>-((fcd_sn*sn_b*(3/14*sn_h*(sn_h-3/7*sn_h)+4/7*sn_h*(sn_h/2-3/7*sn_h)*(1-$C999^2/3)-16/49*sn_h^2*(1/2-$C999^2/4))+SUMPRODUCT($J$8:$K$8,$J999:$K999,$J$10:$K$10))/1E6)</f>
        <v/>
      </c>
      <c r="G999" s="57">
        <f>IF(AND(MIN($E999,$E1000)&lt;=sn_N,sn_N&lt;=MAX($E999,$E1000)),IF($E999=$E1000,MAX($F999,$F1000),$F999+(sn_N-$E999)*($F1000-$F999)/($E1000-$E999)),"")</f>
        <v/>
      </c>
      <c r="H999" s="57">
        <f>IF(AND(MIN($E999,$E1000)&lt;=sn_N,sn_N&lt;=MAX($E999,$E1000)),IF($E999=$E1000,MIN($F999,$F1000),$F999+(sn_N-$E999)*($F1000-$F999)/($E1000-$E999)),"")</f>
        <v/>
      </c>
      <c r="J999">
        <f>MAX(-fyd_sn,MIN(fyd_sn,200000*0.002*(1-$C999*(7*J$9-3*sn_h)/(4*sn_h))))-fcd_sn*(1-MIN(1,MAX(0,$C999*(7*J$9-3*sn_h)/(4*sn_h)))^2)</f>
        <v/>
      </c>
      <c r="K999">
        <f>MAX(-fyd_sn,MIN(fyd_sn,200000*0.002*(1-$C999*(7*K$9-3*sn_h)/(4*sn_h))))-fcd_sn*(1-MIN(1,MAX(0,$C999*(7*K$9-3*sn_h)/(4*sn_h)))^2)</f>
        <v/>
      </c>
    </row>
    <row r="1000">
      <c r="B1000" s="55" t="n">
        <v>9</v>
      </c>
      <c r="C1000" s="56">
        <f>IF(9&lt;posH_sn,1-9/200,IF(9=posH_sn,tstH_sn,1-(9-1)/200))</f>
        <v/>
      </c>
      <c r="D1000" s="59">
        <f>IF($C1000&gt;=1,sn_h,3/7*sn_h+4/7*sn_h/MAX($C1000,1E-12))</f>
        <v/>
      </c>
      <c r="E1000" s="57">
        <f>(fcd_sn*sn_b*sn_h*(3/7+4/7*(1-$C1000^2/3))+SUMPRODUCT($J$8:$K$8,$J1000:$K1000))/1000</f>
        <v/>
      </c>
      <c r="F1000" s="57">
        <f>-((fcd_sn*sn_b*(3/14*sn_h*(sn_h-3/7*sn_h)+4/7*sn_h*(sn_h/2-3/7*sn_h)*(1-$C1000^2/3)-16/49*sn_h^2*(1/2-$C1000^2/4))+SUMPRODUCT($J$8:$K$8,$J1000:$K1000,$J$10:$K$10))/1E6)</f>
        <v/>
      </c>
      <c r="G1000" s="57">
        <f>IF(AND(MIN($E1000,$E1001)&lt;=sn_N,sn_N&lt;=MAX($E1000,$E1001)),IF($E1000=$E1001,MAX($F1000,$F1001),$F1000+(sn_N-$E1000)*($F1001-$F1000)/($E1001-$E1000)),"")</f>
        <v/>
      </c>
      <c r="H1000" s="57">
        <f>IF(AND(MIN($E1000,$E1001)&lt;=sn_N,sn_N&lt;=MAX($E1000,$E1001)),IF($E1000=$E1001,MIN($F1000,$F1001),$F1000+(sn_N-$E1000)*($F1001-$F1000)/($E1001-$E1000)),"")</f>
        <v/>
      </c>
      <c r="J1000">
        <f>MAX(-fyd_sn,MIN(fyd_sn,200000*0.002*(1-$C1000*(7*J$9-3*sn_h)/(4*sn_h))))-fcd_sn*(1-MIN(1,MAX(0,$C1000*(7*J$9-3*sn_h)/(4*sn_h)))^2)</f>
        <v/>
      </c>
      <c r="K1000">
        <f>MAX(-fyd_sn,MIN(fyd_sn,200000*0.002*(1-$C1000*(7*K$9-3*sn_h)/(4*sn_h))))-fcd_sn*(1-MIN(1,MAX(0,$C1000*(7*K$9-3*sn_h)/(4*sn_h)))^2)</f>
        <v/>
      </c>
    </row>
    <row r="1001">
      <c r="B1001" s="55" t="n">
        <v>10</v>
      </c>
      <c r="C1001" s="56">
        <f>IF(10&lt;posH_sn,1-10/200,IF(10=posH_sn,tstH_sn,1-(10-1)/200))</f>
        <v/>
      </c>
      <c r="D1001" s="59">
        <f>IF($C1001&gt;=1,sn_h,3/7*sn_h+4/7*sn_h/MAX($C1001,1E-12))</f>
        <v/>
      </c>
      <c r="E1001" s="57">
        <f>(fcd_sn*sn_b*sn_h*(3/7+4/7*(1-$C1001^2/3))+SUMPRODUCT($J$8:$K$8,$J1001:$K1001))/1000</f>
        <v/>
      </c>
      <c r="F1001" s="57">
        <f>-((fcd_sn*sn_b*(3/14*sn_h*(sn_h-3/7*sn_h)+4/7*sn_h*(sn_h/2-3/7*sn_h)*(1-$C1001^2/3)-16/49*sn_h^2*(1/2-$C1001^2/4))+SUMPRODUCT($J$8:$K$8,$J1001:$K1001,$J$10:$K$10))/1E6)</f>
        <v/>
      </c>
      <c r="G1001" s="57">
        <f>IF(AND(MIN($E1001,$E1002)&lt;=sn_N,sn_N&lt;=MAX($E1001,$E1002)),IF($E1001=$E1002,MAX($F1001,$F1002),$F1001+(sn_N-$E1001)*($F1002-$F1001)/($E1002-$E1001)),"")</f>
        <v/>
      </c>
      <c r="H1001" s="57">
        <f>IF(AND(MIN($E1001,$E1002)&lt;=sn_N,sn_N&lt;=MAX($E1001,$E1002)),IF($E1001=$E1002,MIN($F1001,$F1002),$F1001+(sn_N-$E1001)*($F1002-$F1001)/($E1002-$E1001)),"")</f>
        <v/>
      </c>
      <c r="J1001">
        <f>MAX(-fyd_sn,MIN(fyd_sn,200000*0.002*(1-$C1001*(7*J$9-3*sn_h)/(4*sn_h))))-fcd_sn*(1-MIN(1,MAX(0,$C1001*(7*J$9-3*sn_h)/(4*sn_h)))^2)</f>
        <v/>
      </c>
      <c r="K1001">
        <f>MAX(-fyd_sn,MIN(fyd_sn,200000*0.002*(1-$C1001*(7*K$9-3*sn_h)/(4*sn_h))))-fcd_sn*(1-MIN(1,MAX(0,$C1001*(7*K$9-3*sn_h)/(4*sn_h)))^2)</f>
        <v/>
      </c>
    </row>
    <row r="1002">
      <c r="B1002" s="55" t="n">
        <v>11</v>
      </c>
      <c r="C1002" s="56">
        <f>IF(11&lt;posH_sn,1-11/200,IF(11=posH_sn,tstH_sn,1-(11-1)/200))</f>
        <v/>
      </c>
      <c r="D1002" s="59">
        <f>IF($C1002&gt;=1,sn_h,3/7*sn_h+4/7*sn_h/MAX($C1002,1E-12))</f>
        <v/>
      </c>
      <c r="E1002" s="57">
        <f>(fcd_sn*sn_b*sn_h*(3/7+4/7*(1-$C1002^2/3))+SUMPRODUCT($J$8:$K$8,$J1002:$K1002))/1000</f>
        <v/>
      </c>
      <c r="F1002" s="57">
        <f>-((fcd_sn*sn_b*(3/14*sn_h*(sn_h-3/7*sn_h)+4/7*sn_h*(sn_h/2-3/7*sn_h)*(1-$C1002^2/3)-16/49*sn_h^2*(1/2-$C1002^2/4))+SUMPRODUCT($J$8:$K$8,$J1002:$K1002,$J$10:$K$10))/1E6)</f>
        <v/>
      </c>
      <c r="G1002" s="57">
        <f>IF(AND(MIN($E1002,$E1003)&lt;=sn_N,sn_N&lt;=MAX($E1002,$E1003)),IF($E1002=$E1003,MAX($F1002,$F1003),$F1002+(sn_N-$E1002)*($F1003-$F1002)/($E1003-$E1002)),"")</f>
        <v/>
      </c>
      <c r="H1002" s="57">
        <f>IF(AND(MIN($E1002,$E1003)&lt;=sn_N,sn_N&lt;=MAX($E1002,$E1003)),IF($E1002=$E1003,MIN($F1002,$F1003),$F1002+(sn_N-$E1002)*($F1003-$F1002)/($E1003-$E1002)),"")</f>
        <v/>
      </c>
      <c r="J1002">
        <f>MAX(-fyd_sn,MIN(fyd_sn,200000*0.002*(1-$C1002*(7*J$9-3*sn_h)/(4*sn_h))))-fcd_sn*(1-MIN(1,MAX(0,$C1002*(7*J$9-3*sn_h)/(4*sn_h)))^2)</f>
        <v/>
      </c>
      <c r="K1002">
        <f>MAX(-fyd_sn,MIN(fyd_sn,200000*0.002*(1-$C1002*(7*K$9-3*sn_h)/(4*sn_h))))-fcd_sn*(1-MIN(1,MAX(0,$C1002*(7*K$9-3*sn_h)/(4*sn_h)))^2)</f>
        <v/>
      </c>
    </row>
    <row r="1003">
      <c r="B1003" s="55" t="n">
        <v>12</v>
      </c>
      <c r="C1003" s="56">
        <f>IF(12&lt;posH_sn,1-12/200,IF(12=posH_sn,tstH_sn,1-(12-1)/200))</f>
        <v/>
      </c>
      <c r="D1003" s="59">
        <f>IF($C1003&gt;=1,sn_h,3/7*sn_h+4/7*sn_h/MAX($C1003,1E-12))</f>
        <v/>
      </c>
      <c r="E1003" s="57">
        <f>(fcd_sn*sn_b*sn_h*(3/7+4/7*(1-$C1003^2/3))+SUMPRODUCT($J$8:$K$8,$J1003:$K1003))/1000</f>
        <v/>
      </c>
      <c r="F1003" s="57">
        <f>-((fcd_sn*sn_b*(3/14*sn_h*(sn_h-3/7*sn_h)+4/7*sn_h*(sn_h/2-3/7*sn_h)*(1-$C1003^2/3)-16/49*sn_h^2*(1/2-$C1003^2/4))+SUMPRODUCT($J$8:$K$8,$J1003:$K1003,$J$10:$K$10))/1E6)</f>
        <v/>
      </c>
      <c r="G1003" s="57">
        <f>IF(AND(MIN($E1003,$E1004)&lt;=sn_N,sn_N&lt;=MAX($E1003,$E1004)),IF($E1003=$E1004,MAX($F1003,$F1004),$F1003+(sn_N-$E1003)*($F1004-$F1003)/($E1004-$E1003)),"")</f>
        <v/>
      </c>
      <c r="H1003" s="57">
        <f>IF(AND(MIN($E1003,$E1004)&lt;=sn_N,sn_N&lt;=MAX($E1003,$E1004)),IF($E1003=$E1004,MIN($F1003,$F1004),$F1003+(sn_N-$E1003)*($F1004-$F1003)/($E1004-$E1003)),"")</f>
        <v/>
      </c>
      <c r="J1003">
        <f>MAX(-fyd_sn,MIN(fyd_sn,200000*0.002*(1-$C1003*(7*J$9-3*sn_h)/(4*sn_h))))-fcd_sn*(1-MIN(1,MAX(0,$C1003*(7*J$9-3*sn_h)/(4*sn_h)))^2)</f>
        <v/>
      </c>
      <c r="K1003">
        <f>MAX(-fyd_sn,MIN(fyd_sn,200000*0.002*(1-$C1003*(7*K$9-3*sn_h)/(4*sn_h))))-fcd_sn*(1-MIN(1,MAX(0,$C1003*(7*K$9-3*sn_h)/(4*sn_h)))^2)</f>
        <v/>
      </c>
    </row>
    <row r="1004">
      <c r="B1004" s="55" t="n">
        <v>13</v>
      </c>
      <c r="C1004" s="56">
        <f>IF(13&lt;posH_sn,1-13/200,IF(13=posH_sn,tstH_sn,1-(13-1)/200))</f>
        <v/>
      </c>
      <c r="D1004" s="59">
        <f>IF($C1004&gt;=1,sn_h,3/7*sn_h+4/7*sn_h/MAX($C1004,1E-12))</f>
        <v/>
      </c>
      <c r="E1004" s="57">
        <f>(fcd_sn*sn_b*sn_h*(3/7+4/7*(1-$C1004^2/3))+SUMPRODUCT($J$8:$K$8,$J1004:$K1004))/1000</f>
        <v/>
      </c>
      <c r="F1004" s="57">
        <f>-((fcd_sn*sn_b*(3/14*sn_h*(sn_h-3/7*sn_h)+4/7*sn_h*(sn_h/2-3/7*sn_h)*(1-$C1004^2/3)-16/49*sn_h^2*(1/2-$C1004^2/4))+SUMPRODUCT($J$8:$K$8,$J1004:$K1004,$J$10:$K$10))/1E6)</f>
        <v/>
      </c>
      <c r="G1004" s="57">
        <f>IF(AND(MIN($E1004,$E1005)&lt;=sn_N,sn_N&lt;=MAX($E1004,$E1005)),IF($E1004=$E1005,MAX($F1004,$F1005),$F1004+(sn_N-$E1004)*($F1005-$F1004)/($E1005-$E1004)),"")</f>
        <v/>
      </c>
      <c r="H1004" s="57">
        <f>IF(AND(MIN($E1004,$E1005)&lt;=sn_N,sn_N&lt;=MAX($E1004,$E1005)),IF($E1004=$E1005,MIN($F1004,$F1005),$F1004+(sn_N-$E1004)*($F1005-$F1004)/($E1005-$E1004)),"")</f>
        <v/>
      </c>
      <c r="J1004">
        <f>MAX(-fyd_sn,MIN(fyd_sn,200000*0.002*(1-$C1004*(7*J$9-3*sn_h)/(4*sn_h))))-fcd_sn*(1-MIN(1,MAX(0,$C1004*(7*J$9-3*sn_h)/(4*sn_h)))^2)</f>
        <v/>
      </c>
      <c r="K1004">
        <f>MAX(-fyd_sn,MIN(fyd_sn,200000*0.002*(1-$C1004*(7*K$9-3*sn_h)/(4*sn_h))))-fcd_sn*(1-MIN(1,MAX(0,$C1004*(7*K$9-3*sn_h)/(4*sn_h)))^2)</f>
        <v/>
      </c>
    </row>
    <row r="1005">
      <c r="B1005" s="55" t="n">
        <v>14</v>
      </c>
      <c r="C1005" s="56">
        <f>IF(14&lt;posH_sn,1-14/200,IF(14=posH_sn,tstH_sn,1-(14-1)/200))</f>
        <v/>
      </c>
      <c r="D1005" s="59">
        <f>IF($C1005&gt;=1,sn_h,3/7*sn_h+4/7*sn_h/MAX($C1005,1E-12))</f>
        <v/>
      </c>
      <c r="E1005" s="57">
        <f>(fcd_sn*sn_b*sn_h*(3/7+4/7*(1-$C1005^2/3))+SUMPRODUCT($J$8:$K$8,$J1005:$K1005))/1000</f>
        <v/>
      </c>
      <c r="F1005" s="57">
        <f>-((fcd_sn*sn_b*(3/14*sn_h*(sn_h-3/7*sn_h)+4/7*sn_h*(sn_h/2-3/7*sn_h)*(1-$C1005^2/3)-16/49*sn_h^2*(1/2-$C1005^2/4))+SUMPRODUCT($J$8:$K$8,$J1005:$K1005,$J$10:$K$10))/1E6)</f>
        <v/>
      </c>
      <c r="G1005" s="57">
        <f>IF(AND(MIN($E1005,$E1006)&lt;=sn_N,sn_N&lt;=MAX($E1005,$E1006)),IF($E1005=$E1006,MAX($F1005,$F1006),$F1005+(sn_N-$E1005)*($F1006-$F1005)/($E1006-$E1005)),"")</f>
        <v/>
      </c>
      <c r="H1005" s="57">
        <f>IF(AND(MIN($E1005,$E1006)&lt;=sn_N,sn_N&lt;=MAX($E1005,$E1006)),IF($E1005=$E1006,MIN($F1005,$F1006),$F1005+(sn_N-$E1005)*($F1006-$F1005)/($E1006-$E1005)),"")</f>
        <v/>
      </c>
      <c r="J1005">
        <f>MAX(-fyd_sn,MIN(fyd_sn,200000*0.002*(1-$C1005*(7*J$9-3*sn_h)/(4*sn_h))))-fcd_sn*(1-MIN(1,MAX(0,$C1005*(7*J$9-3*sn_h)/(4*sn_h)))^2)</f>
        <v/>
      </c>
      <c r="K1005">
        <f>MAX(-fyd_sn,MIN(fyd_sn,200000*0.002*(1-$C1005*(7*K$9-3*sn_h)/(4*sn_h))))-fcd_sn*(1-MIN(1,MAX(0,$C1005*(7*K$9-3*sn_h)/(4*sn_h)))^2)</f>
        <v/>
      </c>
    </row>
    <row r="1006">
      <c r="B1006" s="55" t="n">
        <v>15</v>
      </c>
      <c r="C1006" s="56">
        <f>IF(15&lt;posH_sn,1-15/200,IF(15=posH_sn,tstH_sn,1-(15-1)/200))</f>
        <v/>
      </c>
      <c r="D1006" s="59">
        <f>IF($C1006&gt;=1,sn_h,3/7*sn_h+4/7*sn_h/MAX($C1006,1E-12))</f>
        <v/>
      </c>
      <c r="E1006" s="57">
        <f>(fcd_sn*sn_b*sn_h*(3/7+4/7*(1-$C1006^2/3))+SUMPRODUCT($J$8:$K$8,$J1006:$K1006))/1000</f>
        <v/>
      </c>
      <c r="F1006" s="57">
        <f>-((fcd_sn*sn_b*(3/14*sn_h*(sn_h-3/7*sn_h)+4/7*sn_h*(sn_h/2-3/7*sn_h)*(1-$C1006^2/3)-16/49*sn_h^2*(1/2-$C1006^2/4))+SUMPRODUCT($J$8:$K$8,$J1006:$K1006,$J$10:$K$10))/1E6)</f>
        <v/>
      </c>
      <c r="G1006" s="57">
        <f>IF(AND(MIN($E1006,$E1007)&lt;=sn_N,sn_N&lt;=MAX($E1006,$E1007)),IF($E1006=$E1007,MAX($F1006,$F1007),$F1006+(sn_N-$E1006)*($F1007-$F1006)/($E1007-$E1006)),"")</f>
        <v/>
      </c>
      <c r="H1006" s="57">
        <f>IF(AND(MIN($E1006,$E1007)&lt;=sn_N,sn_N&lt;=MAX($E1006,$E1007)),IF($E1006=$E1007,MIN($F1006,$F1007),$F1006+(sn_N-$E1006)*($F1007-$F1006)/($E1007-$E1006)),"")</f>
        <v/>
      </c>
      <c r="J1006">
        <f>MAX(-fyd_sn,MIN(fyd_sn,200000*0.002*(1-$C1006*(7*J$9-3*sn_h)/(4*sn_h))))-fcd_sn*(1-MIN(1,MAX(0,$C1006*(7*J$9-3*sn_h)/(4*sn_h)))^2)</f>
        <v/>
      </c>
      <c r="K1006">
        <f>MAX(-fyd_sn,MIN(fyd_sn,200000*0.002*(1-$C1006*(7*K$9-3*sn_h)/(4*sn_h))))-fcd_sn*(1-MIN(1,MAX(0,$C1006*(7*K$9-3*sn_h)/(4*sn_h)))^2)</f>
        <v/>
      </c>
    </row>
    <row r="1007">
      <c r="B1007" s="55" t="n">
        <v>16</v>
      </c>
      <c r="C1007" s="56">
        <f>IF(16&lt;posH_sn,1-16/200,IF(16=posH_sn,tstH_sn,1-(16-1)/200))</f>
        <v/>
      </c>
      <c r="D1007" s="59">
        <f>IF($C1007&gt;=1,sn_h,3/7*sn_h+4/7*sn_h/MAX($C1007,1E-12))</f>
        <v/>
      </c>
      <c r="E1007" s="57">
        <f>(fcd_sn*sn_b*sn_h*(3/7+4/7*(1-$C1007^2/3))+SUMPRODUCT($J$8:$K$8,$J1007:$K1007))/1000</f>
        <v/>
      </c>
      <c r="F1007" s="57">
        <f>-((fcd_sn*sn_b*(3/14*sn_h*(sn_h-3/7*sn_h)+4/7*sn_h*(sn_h/2-3/7*sn_h)*(1-$C1007^2/3)-16/49*sn_h^2*(1/2-$C1007^2/4))+SUMPRODUCT($J$8:$K$8,$J1007:$K1007,$J$10:$K$10))/1E6)</f>
        <v/>
      </c>
      <c r="G1007" s="57">
        <f>IF(AND(MIN($E1007,$E1008)&lt;=sn_N,sn_N&lt;=MAX($E1007,$E1008)),IF($E1007=$E1008,MAX($F1007,$F1008),$F1007+(sn_N-$E1007)*($F1008-$F1007)/($E1008-$E1007)),"")</f>
        <v/>
      </c>
      <c r="H1007" s="57">
        <f>IF(AND(MIN($E1007,$E1008)&lt;=sn_N,sn_N&lt;=MAX($E1007,$E1008)),IF($E1007=$E1008,MIN($F1007,$F1008),$F1007+(sn_N-$E1007)*($F1008-$F1007)/($E1008-$E1007)),"")</f>
        <v/>
      </c>
      <c r="J1007">
        <f>MAX(-fyd_sn,MIN(fyd_sn,200000*0.002*(1-$C1007*(7*J$9-3*sn_h)/(4*sn_h))))-fcd_sn*(1-MIN(1,MAX(0,$C1007*(7*J$9-3*sn_h)/(4*sn_h)))^2)</f>
        <v/>
      </c>
      <c r="K1007">
        <f>MAX(-fyd_sn,MIN(fyd_sn,200000*0.002*(1-$C1007*(7*K$9-3*sn_h)/(4*sn_h))))-fcd_sn*(1-MIN(1,MAX(0,$C1007*(7*K$9-3*sn_h)/(4*sn_h)))^2)</f>
        <v/>
      </c>
    </row>
    <row r="1008">
      <c r="B1008" s="55" t="n">
        <v>17</v>
      </c>
      <c r="C1008" s="56">
        <f>IF(17&lt;posH_sn,1-17/200,IF(17=posH_sn,tstH_sn,1-(17-1)/200))</f>
        <v/>
      </c>
      <c r="D1008" s="59">
        <f>IF($C1008&gt;=1,sn_h,3/7*sn_h+4/7*sn_h/MAX($C1008,1E-12))</f>
        <v/>
      </c>
      <c r="E1008" s="57">
        <f>(fcd_sn*sn_b*sn_h*(3/7+4/7*(1-$C1008^2/3))+SUMPRODUCT($J$8:$K$8,$J1008:$K1008))/1000</f>
        <v/>
      </c>
      <c r="F1008" s="57">
        <f>-((fcd_sn*sn_b*(3/14*sn_h*(sn_h-3/7*sn_h)+4/7*sn_h*(sn_h/2-3/7*sn_h)*(1-$C1008^2/3)-16/49*sn_h^2*(1/2-$C1008^2/4))+SUMPRODUCT($J$8:$K$8,$J1008:$K1008,$J$10:$K$10))/1E6)</f>
        <v/>
      </c>
      <c r="G1008" s="57">
        <f>IF(AND(MIN($E1008,$E1009)&lt;=sn_N,sn_N&lt;=MAX($E1008,$E1009)),IF($E1008=$E1009,MAX($F1008,$F1009),$F1008+(sn_N-$E1008)*($F1009-$F1008)/($E1009-$E1008)),"")</f>
        <v/>
      </c>
      <c r="H1008" s="57">
        <f>IF(AND(MIN($E1008,$E1009)&lt;=sn_N,sn_N&lt;=MAX($E1008,$E1009)),IF($E1008=$E1009,MIN($F1008,$F1009),$F1008+(sn_N-$E1008)*($F1009-$F1008)/($E1009-$E1008)),"")</f>
        <v/>
      </c>
      <c r="J1008">
        <f>MAX(-fyd_sn,MIN(fyd_sn,200000*0.002*(1-$C1008*(7*J$9-3*sn_h)/(4*sn_h))))-fcd_sn*(1-MIN(1,MAX(0,$C1008*(7*J$9-3*sn_h)/(4*sn_h)))^2)</f>
        <v/>
      </c>
      <c r="K1008">
        <f>MAX(-fyd_sn,MIN(fyd_sn,200000*0.002*(1-$C1008*(7*K$9-3*sn_h)/(4*sn_h))))-fcd_sn*(1-MIN(1,MAX(0,$C1008*(7*K$9-3*sn_h)/(4*sn_h)))^2)</f>
        <v/>
      </c>
    </row>
    <row r="1009">
      <c r="B1009" s="55" t="n">
        <v>18</v>
      </c>
      <c r="C1009" s="56">
        <f>IF(18&lt;posH_sn,1-18/200,IF(18=posH_sn,tstH_sn,1-(18-1)/200))</f>
        <v/>
      </c>
      <c r="D1009" s="59">
        <f>IF($C1009&gt;=1,sn_h,3/7*sn_h+4/7*sn_h/MAX($C1009,1E-12))</f>
        <v/>
      </c>
      <c r="E1009" s="57">
        <f>(fcd_sn*sn_b*sn_h*(3/7+4/7*(1-$C1009^2/3))+SUMPRODUCT($J$8:$K$8,$J1009:$K1009))/1000</f>
        <v/>
      </c>
      <c r="F1009" s="57">
        <f>-((fcd_sn*sn_b*(3/14*sn_h*(sn_h-3/7*sn_h)+4/7*sn_h*(sn_h/2-3/7*sn_h)*(1-$C1009^2/3)-16/49*sn_h^2*(1/2-$C1009^2/4))+SUMPRODUCT($J$8:$K$8,$J1009:$K1009,$J$10:$K$10))/1E6)</f>
        <v/>
      </c>
      <c r="G1009" s="57">
        <f>IF(AND(MIN($E1009,$E1010)&lt;=sn_N,sn_N&lt;=MAX($E1009,$E1010)),IF($E1009=$E1010,MAX($F1009,$F1010),$F1009+(sn_N-$E1009)*($F1010-$F1009)/($E1010-$E1009)),"")</f>
        <v/>
      </c>
      <c r="H1009" s="57">
        <f>IF(AND(MIN($E1009,$E1010)&lt;=sn_N,sn_N&lt;=MAX($E1009,$E1010)),IF($E1009=$E1010,MIN($F1009,$F1010),$F1009+(sn_N-$E1009)*($F1010-$F1009)/($E1010-$E1009)),"")</f>
        <v/>
      </c>
      <c r="J1009">
        <f>MAX(-fyd_sn,MIN(fyd_sn,200000*0.002*(1-$C1009*(7*J$9-3*sn_h)/(4*sn_h))))-fcd_sn*(1-MIN(1,MAX(0,$C1009*(7*J$9-3*sn_h)/(4*sn_h)))^2)</f>
        <v/>
      </c>
      <c r="K1009">
        <f>MAX(-fyd_sn,MIN(fyd_sn,200000*0.002*(1-$C1009*(7*K$9-3*sn_h)/(4*sn_h))))-fcd_sn*(1-MIN(1,MAX(0,$C1009*(7*K$9-3*sn_h)/(4*sn_h)))^2)</f>
        <v/>
      </c>
    </row>
    <row r="1010">
      <c r="B1010" s="55" t="n">
        <v>19</v>
      </c>
      <c r="C1010" s="56">
        <f>IF(19&lt;posH_sn,1-19/200,IF(19=posH_sn,tstH_sn,1-(19-1)/200))</f>
        <v/>
      </c>
      <c r="D1010" s="59">
        <f>IF($C1010&gt;=1,sn_h,3/7*sn_h+4/7*sn_h/MAX($C1010,1E-12))</f>
        <v/>
      </c>
      <c r="E1010" s="57">
        <f>(fcd_sn*sn_b*sn_h*(3/7+4/7*(1-$C1010^2/3))+SUMPRODUCT($J$8:$K$8,$J1010:$K1010))/1000</f>
        <v/>
      </c>
      <c r="F1010" s="57">
        <f>-((fcd_sn*sn_b*(3/14*sn_h*(sn_h-3/7*sn_h)+4/7*sn_h*(sn_h/2-3/7*sn_h)*(1-$C1010^2/3)-16/49*sn_h^2*(1/2-$C1010^2/4))+SUMPRODUCT($J$8:$K$8,$J1010:$K1010,$J$10:$K$10))/1E6)</f>
        <v/>
      </c>
      <c r="G1010" s="57">
        <f>IF(AND(MIN($E1010,$E1011)&lt;=sn_N,sn_N&lt;=MAX($E1010,$E1011)),IF($E1010=$E1011,MAX($F1010,$F1011),$F1010+(sn_N-$E1010)*($F1011-$F1010)/($E1011-$E1010)),"")</f>
        <v/>
      </c>
      <c r="H1010" s="57">
        <f>IF(AND(MIN($E1010,$E1011)&lt;=sn_N,sn_N&lt;=MAX($E1010,$E1011)),IF($E1010=$E1011,MIN($F1010,$F1011),$F1010+(sn_N-$E1010)*($F1011-$F1010)/($E1011-$E1010)),"")</f>
        <v/>
      </c>
      <c r="J1010">
        <f>MAX(-fyd_sn,MIN(fyd_sn,200000*0.002*(1-$C1010*(7*J$9-3*sn_h)/(4*sn_h))))-fcd_sn*(1-MIN(1,MAX(0,$C1010*(7*J$9-3*sn_h)/(4*sn_h)))^2)</f>
        <v/>
      </c>
      <c r="K1010">
        <f>MAX(-fyd_sn,MIN(fyd_sn,200000*0.002*(1-$C1010*(7*K$9-3*sn_h)/(4*sn_h))))-fcd_sn*(1-MIN(1,MAX(0,$C1010*(7*K$9-3*sn_h)/(4*sn_h)))^2)</f>
        <v/>
      </c>
    </row>
    <row r="1011">
      <c r="B1011" s="55" t="n">
        <v>20</v>
      </c>
      <c r="C1011" s="56">
        <f>IF(20&lt;posH_sn,1-20/200,IF(20=posH_sn,tstH_sn,1-(20-1)/200))</f>
        <v/>
      </c>
      <c r="D1011" s="59">
        <f>IF($C1011&gt;=1,sn_h,3/7*sn_h+4/7*sn_h/MAX($C1011,1E-12))</f>
        <v/>
      </c>
      <c r="E1011" s="57">
        <f>(fcd_sn*sn_b*sn_h*(3/7+4/7*(1-$C1011^2/3))+SUMPRODUCT($J$8:$K$8,$J1011:$K1011))/1000</f>
        <v/>
      </c>
      <c r="F1011" s="57">
        <f>-((fcd_sn*sn_b*(3/14*sn_h*(sn_h-3/7*sn_h)+4/7*sn_h*(sn_h/2-3/7*sn_h)*(1-$C1011^2/3)-16/49*sn_h^2*(1/2-$C1011^2/4))+SUMPRODUCT($J$8:$K$8,$J1011:$K1011,$J$10:$K$10))/1E6)</f>
        <v/>
      </c>
      <c r="G1011" s="57">
        <f>IF(AND(MIN($E1011,$E1012)&lt;=sn_N,sn_N&lt;=MAX($E1011,$E1012)),IF($E1011=$E1012,MAX($F1011,$F1012),$F1011+(sn_N-$E1011)*($F1012-$F1011)/($E1012-$E1011)),"")</f>
        <v/>
      </c>
      <c r="H1011" s="57">
        <f>IF(AND(MIN($E1011,$E1012)&lt;=sn_N,sn_N&lt;=MAX($E1011,$E1012)),IF($E1011=$E1012,MIN($F1011,$F1012),$F1011+(sn_N-$E1011)*($F1012-$F1011)/($E1012-$E1011)),"")</f>
        <v/>
      </c>
      <c r="J1011">
        <f>MAX(-fyd_sn,MIN(fyd_sn,200000*0.002*(1-$C1011*(7*J$9-3*sn_h)/(4*sn_h))))-fcd_sn*(1-MIN(1,MAX(0,$C1011*(7*J$9-3*sn_h)/(4*sn_h)))^2)</f>
        <v/>
      </c>
      <c r="K1011">
        <f>MAX(-fyd_sn,MIN(fyd_sn,200000*0.002*(1-$C1011*(7*K$9-3*sn_h)/(4*sn_h))))-fcd_sn*(1-MIN(1,MAX(0,$C1011*(7*K$9-3*sn_h)/(4*sn_h)))^2)</f>
        <v/>
      </c>
    </row>
    <row r="1012">
      <c r="B1012" s="55" t="n">
        <v>21</v>
      </c>
      <c r="C1012" s="56">
        <f>IF(21&lt;posH_sn,1-21/200,IF(21=posH_sn,tstH_sn,1-(21-1)/200))</f>
        <v/>
      </c>
      <c r="D1012" s="59">
        <f>IF($C1012&gt;=1,sn_h,3/7*sn_h+4/7*sn_h/MAX($C1012,1E-12))</f>
        <v/>
      </c>
      <c r="E1012" s="57">
        <f>(fcd_sn*sn_b*sn_h*(3/7+4/7*(1-$C1012^2/3))+SUMPRODUCT($J$8:$K$8,$J1012:$K1012))/1000</f>
        <v/>
      </c>
      <c r="F1012" s="57">
        <f>-((fcd_sn*sn_b*(3/14*sn_h*(sn_h-3/7*sn_h)+4/7*sn_h*(sn_h/2-3/7*sn_h)*(1-$C1012^2/3)-16/49*sn_h^2*(1/2-$C1012^2/4))+SUMPRODUCT($J$8:$K$8,$J1012:$K1012,$J$10:$K$10))/1E6)</f>
        <v/>
      </c>
      <c r="G1012" s="57">
        <f>IF(AND(MIN($E1012,$E1013)&lt;=sn_N,sn_N&lt;=MAX($E1012,$E1013)),IF($E1012=$E1013,MAX($F1012,$F1013),$F1012+(sn_N-$E1012)*($F1013-$F1012)/($E1013-$E1012)),"")</f>
        <v/>
      </c>
      <c r="H1012" s="57">
        <f>IF(AND(MIN($E1012,$E1013)&lt;=sn_N,sn_N&lt;=MAX($E1012,$E1013)),IF($E1012=$E1013,MIN($F1012,$F1013),$F1012+(sn_N-$E1012)*($F1013-$F1012)/($E1013-$E1012)),"")</f>
        <v/>
      </c>
      <c r="J1012">
        <f>MAX(-fyd_sn,MIN(fyd_sn,200000*0.002*(1-$C1012*(7*J$9-3*sn_h)/(4*sn_h))))-fcd_sn*(1-MIN(1,MAX(0,$C1012*(7*J$9-3*sn_h)/(4*sn_h)))^2)</f>
        <v/>
      </c>
      <c r="K1012">
        <f>MAX(-fyd_sn,MIN(fyd_sn,200000*0.002*(1-$C1012*(7*K$9-3*sn_h)/(4*sn_h))))-fcd_sn*(1-MIN(1,MAX(0,$C1012*(7*K$9-3*sn_h)/(4*sn_h)))^2)</f>
        <v/>
      </c>
    </row>
    <row r="1013">
      <c r="B1013" s="55" t="n">
        <v>22</v>
      </c>
      <c r="C1013" s="56">
        <f>IF(22&lt;posH_sn,1-22/200,IF(22=posH_sn,tstH_sn,1-(22-1)/200))</f>
        <v/>
      </c>
      <c r="D1013" s="59">
        <f>IF($C1013&gt;=1,sn_h,3/7*sn_h+4/7*sn_h/MAX($C1013,1E-12))</f>
        <v/>
      </c>
      <c r="E1013" s="57">
        <f>(fcd_sn*sn_b*sn_h*(3/7+4/7*(1-$C1013^2/3))+SUMPRODUCT($J$8:$K$8,$J1013:$K1013))/1000</f>
        <v/>
      </c>
      <c r="F1013" s="57">
        <f>-((fcd_sn*sn_b*(3/14*sn_h*(sn_h-3/7*sn_h)+4/7*sn_h*(sn_h/2-3/7*sn_h)*(1-$C1013^2/3)-16/49*sn_h^2*(1/2-$C1013^2/4))+SUMPRODUCT($J$8:$K$8,$J1013:$K1013,$J$10:$K$10))/1E6)</f>
        <v/>
      </c>
      <c r="G1013" s="57">
        <f>IF(AND(MIN($E1013,$E1014)&lt;=sn_N,sn_N&lt;=MAX($E1013,$E1014)),IF($E1013=$E1014,MAX($F1013,$F1014),$F1013+(sn_N-$E1013)*($F1014-$F1013)/($E1014-$E1013)),"")</f>
        <v/>
      </c>
      <c r="H1013" s="57">
        <f>IF(AND(MIN($E1013,$E1014)&lt;=sn_N,sn_N&lt;=MAX($E1013,$E1014)),IF($E1013=$E1014,MIN($F1013,$F1014),$F1013+(sn_N-$E1013)*($F1014-$F1013)/($E1014-$E1013)),"")</f>
        <v/>
      </c>
      <c r="J1013">
        <f>MAX(-fyd_sn,MIN(fyd_sn,200000*0.002*(1-$C1013*(7*J$9-3*sn_h)/(4*sn_h))))-fcd_sn*(1-MIN(1,MAX(0,$C1013*(7*J$9-3*sn_h)/(4*sn_h)))^2)</f>
        <v/>
      </c>
      <c r="K1013">
        <f>MAX(-fyd_sn,MIN(fyd_sn,200000*0.002*(1-$C1013*(7*K$9-3*sn_h)/(4*sn_h))))-fcd_sn*(1-MIN(1,MAX(0,$C1013*(7*K$9-3*sn_h)/(4*sn_h)))^2)</f>
        <v/>
      </c>
    </row>
    <row r="1014">
      <c r="B1014" s="55" t="n">
        <v>23</v>
      </c>
      <c r="C1014" s="56">
        <f>IF(23&lt;posH_sn,1-23/200,IF(23=posH_sn,tstH_sn,1-(23-1)/200))</f>
        <v/>
      </c>
      <c r="D1014" s="59">
        <f>IF($C1014&gt;=1,sn_h,3/7*sn_h+4/7*sn_h/MAX($C1014,1E-12))</f>
        <v/>
      </c>
      <c r="E1014" s="57">
        <f>(fcd_sn*sn_b*sn_h*(3/7+4/7*(1-$C1014^2/3))+SUMPRODUCT($J$8:$K$8,$J1014:$K1014))/1000</f>
        <v/>
      </c>
      <c r="F1014" s="57">
        <f>-((fcd_sn*sn_b*(3/14*sn_h*(sn_h-3/7*sn_h)+4/7*sn_h*(sn_h/2-3/7*sn_h)*(1-$C1014^2/3)-16/49*sn_h^2*(1/2-$C1014^2/4))+SUMPRODUCT($J$8:$K$8,$J1014:$K1014,$J$10:$K$10))/1E6)</f>
        <v/>
      </c>
      <c r="G1014" s="57">
        <f>IF(AND(MIN($E1014,$E1015)&lt;=sn_N,sn_N&lt;=MAX($E1014,$E1015)),IF($E1014=$E1015,MAX($F1014,$F1015),$F1014+(sn_N-$E1014)*($F1015-$F1014)/($E1015-$E1014)),"")</f>
        <v/>
      </c>
      <c r="H1014" s="57">
        <f>IF(AND(MIN($E1014,$E1015)&lt;=sn_N,sn_N&lt;=MAX($E1014,$E1015)),IF($E1014=$E1015,MIN($F1014,$F1015),$F1014+(sn_N-$E1014)*($F1015-$F1014)/($E1015-$E1014)),"")</f>
        <v/>
      </c>
      <c r="J1014">
        <f>MAX(-fyd_sn,MIN(fyd_sn,200000*0.002*(1-$C1014*(7*J$9-3*sn_h)/(4*sn_h))))-fcd_sn*(1-MIN(1,MAX(0,$C1014*(7*J$9-3*sn_h)/(4*sn_h)))^2)</f>
        <v/>
      </c>
      <c r="K1014">
        <f>MAX(-fyd_sn,MIN(fyd_sn,200000*0.002*(1-$C1014*(7*K$9-3*sn_h)/(4*sn_h))))-fcd_sn*(1-MIN(1,MAX(0,$C1014*(7*K$9-3*sn_h)/(4*sn_h)))^2)</f>
        <v/>
      </c>
    </row>
    <row r="1015">
      <c r="B1015" s="55" t="n">
        <v>24</v>
      </c>
      <c r="C1015" s="56">
        <f>IF(24&lt;posH_sn,1-24/200,IF(24=posH_sn,tstH_sn,1-(24-1)/200))</f>
        <v/>
      </c>
      <c r="D1015" s="59">
        <f>IF($C1015&gt;=1,sn_h,3/7*sn_h+4/7*sn_h/MAX($C1015,1E-12))</f>
        <v/>
      </c>
      <c r="E1015" s="57">
        <f>(fcd_sn*sn_b*sn_h*(3/7+4/7*(1-$C1015^2/3))+SUMPRODUCT($J$8:$K$8,$J1015:$K1015))/1000</f>
        <v/>
      </c>
      <c r="F1015" s="57">
        <f>-((fcd_sn*sn_b*(3/14*sn_h*(sn_h-3/7*sn_h)+4/7*sn_h*(sn_h/2-3/7*sn_h)*(1-$C1015^2/3)-16/49*sn_h^2*(1/2-$C1015^2/4))+SUMPRODUCT($J$8:$K$8,$J1015:$K1015,$J$10:$K$10))/1E6)</f>
        <v/>
      </c>
      <c r="G1015" s="57">
        <f>IF(AND(MIN($E1015,$E1016)&lt;=sn_N,sn_N&lt;=MAX($E1015,$E1016)),IF($E1015=$E1016,MAX($F1015,$F1016),$F1015+(sn_N-$E1015)*($F1016-$F1015)/($E1016-$E1015)),"")</f>
        <v/>
      </c>
      <c r="H1015" s="57">
        <f>IF(AND(MIN($E1015,$E1016)&lt;=sn_N,sn_N&lt;=MAX($E1015,$E1016)),IF($E1015=$E1016,MIN($F1015,$F1016),$F1015+(sn_N-$E1015)*($F1016-$F1015)/($E1016-$E1015)),"")</f>
        <v/>
      </c>
      <c r="J1015">
        <f>MAX(-fyd_sn,MIN(fyd_sn,200000*0.002*(1-$C1015*(7*J$9-3*sn_h)/(4*sn_h))))-fcd_sn*(1-MIN(1,MAX(0,$C1015*(7*J$9-3*sn_h)/(4*sn_h)))^2)</f>
        <v/>
      </c>
      <c r="K1015">
        <f>MAX(-fyd_sn,MIN(fyd_sn,200000*0.002*(1-$C1015*(7*K$9-3*sn_h)/(4*sn_h))))-fcd_sn*(1-MIN(1,MAX(0,$C1015*(7*K$9-3*sn_h)/(4*sn_h)))^2)</f>
        <v/>
      </c>
    </row>
    <row r="1016">
      <c r="B1016" s="55" t="n">
        <v>25</v>
      </c>
      <c r="C1016" s="56">
        <f>IF(25&lt;posH_sn,1-25/200,IF(25=posH_sn,tstH_sn,1-(25-1)/200))</f>
        <v/>
      </c>
      <c r="D1016" s="59">
        <f>IF($C1016&gt;=1,sn_h,3/7*sn_h+4/7*sn_h/MAX($C1016,1E-12))</f>
        <v/>
      </c>
      <c r="E1016" s="57">
        <f>(fcd_sn*sn_b*sn_h*(3/7+4/7*(1-$C1016^2/3))+SUMPRODUCT($J$8:$K$8,$J1016:$K1016))/1000</f>
        <v/>
      </c>
      <c r="F1016" s="57">
        <f>-((fcd_sn*sn_b*(3/14*sn_h*(sn_h-3/7*sn_h)+4/7*sn_h*(sn_h/2-3/7*sn_h)*(1-$C1016^2/3)-16/49*sn_h^2*(1/2-$C1016^2/4))+SUMPRODUCT($J$8:$K$8,$J1016:$K1016,$J$10:$K$10))/1E6)</f>
        <v/>
      </c>
      <c r="G1016" s="57">
        <f>IF(AND(MIN($E1016,$E1017)&lt;=sn_N,sn_N&lt;=MAX($E1016,$E1017)),IF($E1016=$E1017,MAX($F1016,$F1017),$F1016+(sn_N-$E1016)*($F1017-$F1016)/($E1017-$E1016)),"")</f>
        <v/>
      </c>
      <c r="H1016" s="57">
        <f>IF(AND(MIN($E1016,$E1017)&lt;=sn_N,sn_N&lt;=MAX($E1016,$E1017)),IF($E1016=$E1017,MIN($F1016,$F1017),$F1016+(sn_N-$E1016)*($F1017-$F1016)/($E1017-$E1016)),"")</f>
        <v/>
      </c>
      <c r="J1016">
        <f>MAX(-fyd_sn,MIN(fyd_sn,200000*0.002*(1-$C1016*(7*J$9-3*sn_h)/(4*sn_h))))-fcd_sn*(1-MIN(1,MAX(0,$C1016*(7*J$9-3*sn_h)/(4*sn_h)))^2)</f>
        <v/>
      </c>
      <c r="K1016">
        <f>MAX(-fyd_sn,MIN(fyd_sn,200000*0.002*(1-$C1016*(7*K$9-3*sn_h)/(4*sn_h))))-fcd_sn*(1-MIN(1,MAX(0,$C1016*(7*K$9-3*sn_h)/(4*sn_h)))^2)</f>
        <v/>
      </c>
    </row>
    <row r="1017">
      <c r="B1017" s="55" t="n">
        <v>26</v>
      </c>
      <c r="C1017" s="56">
        <f>IF(26&lt;posH_sn,1-26/200,IF(26=posH_sn,tstH_sn,1-(26-1)/200))</f>
        <v/>
      </c>
      <c r="D1017" s="59">
        <f>IF($C1017&gt;=1,sn_h,3/7*sn_h+4/7*sn_h/MAX($C1017,1E-12))</f>
        <v/>
      </c>
      <c r="E1017" s="57">
        <f>(fcd_sn*sn_b*sn_h*(3/7+4/7*(1-$C1017^2/3))+SUMPRODUCT($J$8:$K$8,$J1017:$K1017))/1000</f>
        <v/>
      </c>
      <c r="F1017" s="57">
        <f>-((fcd_sn*sn_b*(3/14*sn_h*(sn_h-3/7*sn_h)+4/7*sn_h*(sn_h/2-3/7*sn_h)*(1-$C1017^2/3)-16/49*sn_h^2*(1/2-$C1017^2/4))+SUMPRODUCT($J$8:$K$8,$J1017:$K1017,$J$10:$K$10))/1E6)</f>
        <v/>
      </c>
      <c r="G1017" s="57">
        <f>IF(AND(MIN($E1017,$E1018)&lt;=sn_N,sn_N&lt;=MAX($E1017,$E1018)),IF($E1017=$E1018,MAX($F1017,$F1018),$F1017+(sn_N-$E1017)*($F1018-$F1017)/($E1018-$E1017)),"")</f>
        <v/>
      </c>
      <c r="H1017" s="57">
        <f>IF(AND(MIN($E1017,$E1018)&lt;=sn_N,sn_N&lt;=MAX($E1017,$E1018)),IF($E1017=$E1018,MIN($F1017,$F1018),$F1017+(sn_N-$E1017)*($F1018-$F1017)/($E1018-$E1017)),"")</f>
        <v/>
      </c>
      <c r="J1017">
        <f>MAX(-fyd_sn,MIN(fyd_sn,200000*0.002*(1-$C1017*(7*J$9-3*sn_h)/(4*sn_h))))-fcd_sn*(1-MIN(1,MAX(0,$C1017*(7*J$9-3*sn_h)/(4*sn_h)))^2)</f>
        <v/>
      </c>
      <c r="K1017">
        <f>MAX(-fyd_sn,MIN(fyd_sn,200000*0.002*(1-$C1017*(7*K$9-3*sn_h)/(4*sn_h))))-fcd_sn*(1-MIN(1,MAX(0,$C1017*(7*K$9-3*sn_h)/(4*sn_h)))^2)</f>
        <v/>
      </c>
    </row>
    <row r="1018">
      <c r="B1018" s="55" t="n">
        <v>27</v>
      </c>
      <c r="C1018" s="56">
        <f>IF(27&lt;posH_sn,1-27/200,IF(27=posH_sn,tstH_sn,1-(27-1)/200))</f>
        <v/>
      </c>
      <c r="D1018" s="59">
        <f>IF($C1018&gt;=1,sn_h,3/7*sn_h+4/7*sn_h/MAX($C1018,1E-12))</f>
        <v/>
      </c>
      <c r="E1018" s="57">
        <f>(fcd_sn*sn_b*sn_h*(3/7+4/7*(1-$C1018^2/3))+SUMPRODUCT($J$8:$K$8,$J1018:$K1018))/1000</f>
        <v/>
      </c>
      <c r="F1018" s="57">
        <f>-((fcd_sn*sn_b*(3/14*sn_h*(sn_h-3/7*sn_h)+4/7*sn_h*(sn_h/2-3/7*sn_h)*(1-$C1018^2/3)-16/49*sn_h^2*(1/2-$C1018^2/4))+SUMPRODUCT($J$8:$K$8,$J1018:$K1018,$J$10:$K$10))/1E6)</f>
        <v/>
      </c>
      <c r="G1018" s="57">
        <f>IF(AND(MIN($E1018,$E1019)&lt;=sn_N,sn_N&lt;=MAX($E1018,$E1019)),IF($E1018=$E1019,MAX($F1018,$F1019),$F1018+(sn_N-$E1018)*($F1019-$F1018)/($E1019-$E1018)),"")</f>
        <v/>
      </c>
      <c r="H1018" s="57">
        <f>IF(AND(MIN($E1018,$E1019)&lt;=sn_N,sn_N&lt;=MAX($E1018,$E1019)),IF($E1018=$E1019,MIN($F1018,$F1019),$F1018+(sn_N-$E1018)*($F1019-$F1018)/($E1019-$E1018)),"")</f>
        <v/>
      </c>
      <c r="J1018">
        <f>MAX(-fyd_sn,MIN(fyd_sn,200000*0.002*(1-$C1018*(7*J$9-3*sn_h)/(4*sn_h))))-fcd_sn*(1-MIN(1,MAX(0,$C1018*(7*J$9-3*sn_h)/(4*sn_h)))^2)</f>
        <v/>
      </c>
      <c r="K1018">
        <f>MAX(-fyd_sn,MIN(fyd_sn,200000*0.002*(1-$C1018*(7*K$9-3*sn_h)/(4*sn_h))))-fcd_sn*(1-MIN(1,MAX(0,$C1018*(7*K$9-3*sn_h)/(4*sn_h)))^2)</f>
        <v/>
      </c>
    </row>
    <row r="1019">
      <c r="B1019" s="55" t="n">
        <v>28</v>
      </c>
      <c r="C1019" s="56">
        <f>IF(28&lt;posH_sn,1-28/200,IF(28=posH_sn,tstH_sn,1-(28-1)/200))</f>
        <v/>
      </c>
      <c r="D1019" s="59">
        <f>IF($C1019&gt;=1,sn_h,3/7*sn_h+4/7*sn_h/MAX($C1019,1E-12))</f>
        <v/>
      </c>
      <c r="E1019" s="57">
        <f>(fcd_sn*sn_b*sn_h*(3/7+4/7*(1-$C1019^2/3))+SUMPRODUCT($J$8:$K$8,$J1019:$K1019))/1000</f>
        <v/>
      </c>
      <c r="F1019" s="57">
        <f>-((fcd_sn*sn_b*(3/14*sn_h*(sn_h-3/7*sn_h)+4/7*sn_h*(sn_h/2-3/7*sn_h)*(1-$C1019^2/3)-16/49*sn_h^2*(1/2-$C1019^2/4))+SUMPRODUCT($J$8:$K$8,$J1019:$K1019,$J$10:$K$10))/1E6)</f>
        <v/>
      </c>
      <c r="G1019" s="57">
        <f>IF(AND(MIN($E1019,$E1020)&lt;=sn_N,sn_N&lt;=MAX($E1019,$E1020)),IF($E1019=$E1020,MAX($F1019,$F1020),$F1019+(sn_N-$E1019)*($F1020-$F1019)/($E1020-$E1019)),"")</f>
        <v/>
      </c>
      <c r="H1019" s="57">
        <f>IF(AND(MIN($E1019,$E1020)&lt;=sn_N,sn_N&lt;=MAX($E1019,$E1020)),IF($E1019=$E1020,MIN($F1019,$F1020),$F1019+(sn_N-$E1019)*($F1020-$F1019)/($E1020-$E1019)),"")</f>
        <v/>
      </c>
      <c r="J1019">
        <f>MAX(-fyd_sn,MIN(fyd_sn,200000*0.002*(1-$C1019*(7*J$9-3*sn_h)/(4*sn_h))))-fcd_sn*(1-MIN(1,MAX(0,$C1019*(7*J$9-3*sn_h)/(4*sn_h)))^2)</f>
        <v/>
      </c>
      <c r="K1019">
        <f>MAX(-fyd_sn,MIN(fyd_sn,200000*0.002*(1-$C1019*(7*K$9-3*sn_h)/(4*sn_h))))-fcd_sn*(1-MIN(1,MAX(0,$C1019*(7*K$9-3*sn_h)/(4*sn_h)))^2)</f>
        <v/>
      </c>
    </row>
    <row r="1020">
      <c r="B1020" s="55" t="n">
        <v>29</v>
      </c>
      <c r="C1020" s="56">
        <f>IF(29&lt;posH_sn,1-29/200,IF(29=posH_sn,tstH_sn,1-(29-1)/200))</f>
        <v/>
      </c>
      <c r="D1020" s="59">
        <f>IF($C1020&gt;=1,sn_h,3/7*sn_h+4/7*sn_h/MAX($C1020,1E-12))</f>
        <v/>
      </c>
      <c r="E1020" s="57">
        <f>(fcd_sn*sn_b*sn_h*(3/7+4/7*(1-$C1020^2/3))+SUMPRODUCT($J$8:$K$8,$J1020:$K1020))/1000</f>
        <v/>
      </c>
      <c r="F1020" s="57">
        <f>-((fcd_sn*sn_b*(3/14*sn_h*(sn_h-3/7*sn_h)+4/7*sn_h*(sn_h/2-3/7*sn_h)*(1-$C1020^2/3)-16/49*sn_h^2*(1/2-$C1020^2/4))+SUMPRODUCT($J$8:$K$8,$J1020:$K1020,$J$10:$K$10))/1E6)</f>
        <v/>
      </c>
      <c r="G1020" s="57">
        <f>IF(AND(MIN($E1020,$E1021)&lt;=sn_N,sn_N&lt;=MAX($E1020,$E1021)),IF($E1020=$E1021,MAX($F1020,$F1021),$F1020+(sn_N-$E1020)*($F1021-$F1020)/($E1021-$E1020)),"")</f>
        <v/>
      </c>
      <c r="H1020" s="57">
        <f>IF(AND(MIN($E1020,$E1021)&lt;=sn_N,sn_N&lt;=MAX($E1020,$E1021)),IF($E1020=$E1021,MIN($F1020,$F1021),$F1020+(sn_N-$E1020)*($F1021-$F1020)/($E1021-$E1020)),"")</f>
        <v/>
      </c>
      <c r="J1020">
        <f>MAX(-fyd_sn,MIN(fyd_sn,200000*0.002*(1-$C1020*(7*J$9-3*sn_h)/(4*sn_h))))-fcd_sn*(1-MIN(1,MAX(0,$C1020*(7*J$9-3*sn_h)/(4*sn_h)))^2)</f>
        <v/>
      </c>
      <c r="K1020">
        <f>MAX(-fyd_sn,MIN(fyd_sn,200000*0.002*(1-$C1020*(7*K$9-3*sn_h)/(4*sn_h))))-fcd_sn*(1-MIN(1,MAX(0,$C1020*(7*K$9-3*sn_h)/(4*sn_h)))^2)</f>
        <v/>
      </c>
    </row>
    <row r="1021">
      <c r="B1021" s="55" t="n">
        <v>30</v>
      </c>
      <c r="C1021" s="56">
        <f>IF(30&lt;posH_sn,1-30/200,IF(30=posH_sn,tstH_sn,1-(30-1)/200))</f>
        <v/>
      </c>
      <c r="D1021" s="59">
        <f>IF($C1021&gt;=1,sn_h,3/7*sn_h+4/7*sn_h/MAX($C1021,1E-12))</f>
        <v/>
      </c>
      <c r="E1021" s="57">
        <f>(fcd_sn*sn_b*sn_h*(3/7+4/7*(1-$C1021^2/3))+SUMPRODUCT($J$8:$K$8,$J1021:$K1021))/1000</f>
        <v/>
      </c>
      <c r="F1021" s="57">
        <f>-((fcd_sn*sn_b*(3/14*sn_h*(sn_h-3/7*sn_h)+4/7*sn_h*(sn_h/2-3/7*sn_h)*(1-$C1021^2/3)-16/49*sn_h^2*(1/2-$C1021^2/4))+SUMPRODUCT($J$8:$K$8,$J1021:$K1021,$J$10:$K$10))/1E6)</f>
        <v/>
      </c>
      <c r="G1021" s="57">
        <f>IF(AND(MIN($E1021,$E1022)&lt;=sn_N,sn_N&lt;=MAX($E1021,$E1022)),IF($E1021=$E1022,MAX($F1021,$F1022),$F1021+(sn_N-$E1021)*($F1022-$F1021)/($E1022-$E1021)),"")</f>
        <v/>
      </c>
      <c r="H1021" s="57">
        <f>IF(AND(MIN($E1021,$E1022)&lt;=sn_N,sn_N&lt;=MAX($E1021,$E1022)),IF($E1021=$E1022,MIN($F1021,$F1022),$F1021+(sn_N-$E1021)*($F1022-$F1021)/($E1022-$E1021)),"")</f>
        <v/>
      </c>
      <c r="J1021">
        <f>MAX(-fyd_sn,MIN(fyd_sn,200000*0.002*(1-$C1021*(7*J$9-3*sn_h)/(4*sn_h))))-fcd_sn*(1-MIN(1,MAX(0,$C1021*(7*J$9-3*sn_h)/(4*sn_h)))^2)</f>
        <v/>
      </c>
      <c r="K1021">
        <f>MAX(-fyd_sn,MIN(fyd_sn,200000*0.002*(1-$C1021*(7*K$9-3*sn_h)/(4*sn_h))))-fcd_sn*(1-MIN(1,MAX(0,$C1021*(7*K$9-3*sn_h)/(4*sn_h)))^2)</f>
        <v/>
      </c>
    </row>
    <row r="1022">
      <c r="B1022" s="55" t="n">
        <v>31</v>
      </c>
      <c r="C1022" s="56">
        <f>IF(31&lt;posH_sn,1-31/200,IF(31=posH_sn,tstH_sn,1-(31-1)/200))</f>
        <v/>
      </c>
      <c r="D1022" s="59">
        <f>IF($C1022&gt;=1,sn_h,3/7*sn_h+4/7*sn_h/MAX($C1022,1E-12))</f>
        <v/>
      </c>
      <c r="E1022" s="57">
        <f>(fcd_sn*sn_b*sn_h*(3/7+4/7*(1-$C1022^2/3))+SUMPRODUCT($J$8:$K$8,$J1022:$K1022))/1000</f>
        <v/>
      </c>
      <c r="F1022" s="57">
        <f>-((fcd_sn*sn_b*(3/14*sn_h*(sn_h-3/7*sn_h)+4/7*sn_h*(sn_h/2-3/7*sn_h)*(1-$C1022^2/3)-16/49*sn_h^2*(1/2-$C1022^2/4))+SUMPRODUCT($J$8:$K$8,$J1022:$K1022,$J$10:$K$10))/1E6)</f>
        <v/>
      </c>
      <c r="G1022" s="57">
        <f>IF(AND(MIN($E1022,$E1023)&lt;=sn_N,sn_N&lt;=MAX($E1022,$E1023)),IF($E1022=$E1023,MAX($F1022,$F1023),$F1022+(sn_N-$E1022)*($F1023-$F1022)/($E1023-$E1022)),"")</f>
        <v/>
      </c>
      <c r="H1022" s="57">
        <f>IF(AND(MIN($E1022,$E1023)&lt;=sn_N,sn_N&lt;=MAX($E1022,$E1023)),IF($E1022=$E1023,MIN($F1022,$F1023),$F1022+(sn_N-$E1022)*($F1023-$F1022)/($E1023-$E1022)),"")</f>
        <v/>
      </c>
      <c r="J1022">
        <f>MAX(-fyd_sn,MIN(fyd_sn,200000*0.002*(1-$C1022*(7*J$9-3*sn_h)/(4*sn_h))))-fcd_sn*(1-MIN(1,MAX(0,$C1022*(7*J$9-3*sn_h)/(4*sn_h)))^2)</f>
        <v/>
      </c>
      <c r="K1022">
        <f>MAX(-fyd_sn,MIN(fyd_sn,200000*0.002*(1-$C1022*(7*K$9-3*sn_h)/(4*sn_h))))-fcd_sn*(1-MIN(1,MAX(0,$C1022*(7*K$9-3*sn_h)/(4*sn_h)))^2)</f>
        <v/>
      </c>
    </row>
    <row r="1023">
      <c r="B1023" s="55" t="n">
        <v>32</v>
      </c>
      <c r="C1023" s="56">
        <f>IF(32&lt;posH_sn,1-32/200,IF(32=posH_sn,tstH_sn,1-(32-1)/200))</f>
        <v/>
      </c>
      <c r="D1023" s="59">
        <f>IF($C1023&gt;=1,sn_h,3/7*sn_h+4/7*sn_h/MAX($C1023,1E-12))</f>
        <v/>
      </c>
      <c r="E1023" s="57">
        <f>(fcd_sn*sn_b*sn_h*(3/7+4/7*(1-$C1023^2/3))+SUMPRODUCT($J$8:$K$8,$J1023:$K1023))/1000</f>
        <v/>
      </c>
      <c r="F1023" s="57">
        <f>-((fcd_sn*sn_b*(3/14*sn_h*(sn_h-3/7*sn_h)+4/7*sn_h*(sn_h/2-3/7*sn_h)*(1-$C1023^2/3)-16/49*sn_h^2*(1/2-$C1023^2/4))+SUMPRODUCT($J$8:$K$8,$J1023:$K1023,$J$10:$K$10))/1E6)</f>
        <v/>
      </c>
      <c r="G1023" s="57">
        <f>IF(AND(MIN($E1023,$E1024)&lt;=sn_N,sn_N&lt;=MAX($E1023,$E1024)),IF($E1023=$E1024,MAX($F1023,$F1024),$F1023+(sn_N-$E1023)*($F1024-$F1023)/($E1024-$E1023)),"")</f>
        <v/>
      </c>
      <c r="H1023" s="57">
        <f>IF(AND(MIN($E1023,$E1024)&lt;=sn_N,sn_N&lt;=MAX($E1023,$E1024)),IF($E1023=$E1024,MIN($F1023,$F1024),$F1023+(sn_N-$E1023)*($F1024-$F1023)/($E1024-$E1023)),"")</f>
        <v/>
      </c>
      <c r="J1023">
        <f>MAX(-fyd_sn,MIN(fyd_sn,200000*0.002*(1-$C1023*(7*J$9-3*sn_h)/(4*sn_h))))-fcd_sn*(1-MIN(1,MAX(0,$C1023*(7*J$9-3*sn_h)/(4*sn_h)))^2)</f>
        <v/>
      </c>
      <c r="K1023">
        <f>MAX(-fyd_sn,MIN(fyd_sn,200000*0.002*(1-$C1023*(7*K$9-3*sn_h)/(4*sn_h))))-fcd_sn*(1-MIN(1,MAX(0,$C1023*(7*K$9-3*sn_h)/(4*sn_h)))^2)</f>
        <v/>
      </c>
    </row>
    <row r="1024">
      <c r="B1024" s="55" t="n">
        <v>33</v>
      </c>
      <c r="C1024" s="56">
        <f>IF(33&lt;posH_sn,1-33/200,IF(33=posH_sn,tstH_sn,1-(33-1)/200))</f>
        <v/>
      </c>
      <c r="D1024" s="59">
        <f>IF($C1024&gt;=1,sn_h,3/7*sn_h+4/7*sn_h/MAX($C1024,1E-12))</f>
        <v/>
      </c>
      <c r="E1024" s="57">
        <f>(fcd_sn*sn_b*sn_h*(3/7+4/7*(1-$C1024^2/3))+SUMPRODUCT($J$8:$K$8,$J1024:$K1024))/1000</f>
        <v/>
      </c>
      <c r="F1024" s="57">
        <f>-((fcd_sn*sn_b*(3/14*sn_h*(sn_h-3/7*sn_h)+4/7*sn_h*(sn_h/2-3/7*sn_h)*(1-$C1024^2/3)-16/49*sn_h^2*(1/2-$C1024^2/4))+SUMPRODUCT($J$8:$K$8,$J1024:$K1024,$J$10:$K$10))/1E6)</f>
        <v/>
      </c>
      <c r="G1024" s="57">
        <f>IF(AND(MIN($E1024,$E1025)&lt;=sn_N,sn_N&lt;=MAX($E1024,$E1025)),IF($E1024=$E1025,MAX($F1024,$F1025),$F1024+(sn_N-$E1024)*($F1025-$F1024)/($E1025-$E1024)),"")</f>
        <v/>
      </c>
      <c r="H1024" s="57">
        <f>IF(AND(MIN($E1024,$E1025)&lt;=sn_N,sn_N&lt;=MAX($E1024,$E1025)),IF($E1024=$E1025,MIN($F1024,$F1025),$F1024+(sn_N-$E1024)*($F1025-$F1024)/($E1025-$E1024)),"")</f>
        <v/>
      </c>
      <c r="J1024">
        <f>MAX(-fyd_sn,MIN(fyd_sn,200000*0.002*(1-$C1024*(7*J$9-3*sn_h)/(4*sn_h))))-fcd_sn*(1-MIN(1,MAX(0,$C1024*(7*J$9-3*sn_h)/(4*sn_h)))^2)</f>
        <v/>
      </c>
      <c r="K1024">
        <f>MAX(-fyd_sn,MIN(fyd_sn,200000*0.002*(1-$C1024*(7*K$9-3*sn_h)/(4*sn_h))))-fcd_sn*(1-MIN(1,MAX(0,$C1024*(7*K$9-3*sn_h)/(4*sn_h)))^2)</f>
        <v/>
      </c>
    </row>
    <row r="1025">
      <c r="B1025" s="55" t="n">
        <v>34</v>
      </c>
      <c r="C1025" s="56">
        <f>IF(34&lt;posH_sn,1-34/200,IF(34=posH_sn,tstH_sn,1-(34-1)/200))</f>
        <v/>
      </c>
      <c r="D1025" s="59">
        <f>IF($C1025&gt;=1,sn_h,3/7*sn_h+4/7*sn_h/MAX($C1025,1E-12))</f>
        <v/>
      </c>
      <c r="E1025" s="57">
        <f>(fcd_sn*sn_b*sn_h*(3/7+4/7*(1-$C1025^2/3))+SUMPRODUCT($J$8:$K$8,$J1025:$K1025))/1000</f>
        <v/>
      </c>
      <c r="F1025" s="57">
        <f>-((fcd_sn*sn_b*(3/14*sn_h*(sn_h-3/7*sn_h)+4/7*sn_h*(sn_h/2-3/7*sn_h)*(1-$C1025^2/3)-16/49*sn_h^2*(1/2-$C1025^2/4))+SUMPRODUCT($J$8:$K$8,$J1025:$K1025,$J$10:$K$10))/1E6)</f>
        <v/>
      </c>
      <c r="G1025" s="57">
        <f>IF(AND(MIN($E1025,$E1026)&lt;=sn_N,sn_N&lt;=MAX($E1025,$E1026)),IF($E1025=$E1026,MAX($F1025,$F1026),$F1025+(sn_N-$E1025)*($F1026-$F1025)/($E1026-$E1025)),"")</f>
        <v/>
      </c>
      <c r="H1025" s="57">
        <f>IF(AND(MIN($E1025,$E1026)&lt;=sn_N,sn_N&lt;=MAX($E1025,$E1026)),IF($E1025=$E1026,MIN($F1025,$F1026),$F1025+(sn_N-$E1025)*($F1026-$F1025)/($E1026-$E1025)),"")</f>
        <v/>
      </c>
      <c r="J1025">
        <f>MAX(-fyd_sn,MIN(fyd_sn,200000*0.002*(1-$C1025*(7*J$9-3*sn_h)/(4*sn_h))))-fcd_sn*(1-MIN(1,MAX(0,$C1025*(7*J$9-3*sn_h)/(4*sn_h)))^2)</f>
        <v/>
      </c>
      <c r="K1025">
        <f>MAX(-fyd_sn,MIN(fyd_sn,200000*0.002*(1-$C1025*(7*K$9-3*sn_h)/(4*sn_h))))-fcd_sn*(1-MIN(1,MAX(0,$C1025*(7*K$9-3*sn_h)/(4*sn_h)))^2)</f>
        <v/>
      </c>
    </row>
    <row r="1026">
      <c r="B1026" s="55" t="n">
        <v>35</v>
      </c>
      <c r="C1026" s="56">
        <f>IF(35&lt;posH_sn,1-35/200,IF(35=posH_sn,tstH_sn,1-(35-1)/200))</f>
        <v/>
      </c>
      <c r="D1026" s="59">
        <f>IF($C1026&gt;=1,sn_h,3/7*sn_h+4/7*sn_h/MAX($C1026,1E-12))</f>
        <v/>
      </c>
      <c r="E1026" s="57">
        <f>(fcd_sn*sn_b*sn_h*(3/7+4/7*(1-$C1026^2/3))+SUMPRODUCT($J$8:$K$8,$J1026:$K1026))/1000</f>
        <v/>
      </c>
      <c r="F1026" s="57">
        <f>-((fcd_sn*sn_b*(3/14*sn_h*(sn_h-3/7*sn_h)+4/7*sn_h*(sn_h/2-3/7*sn_h)*(1-$C1026^2/3)-16/49*sn_h^2*(1/2-$C1026^2/4))+SUMPRODUCT($J$8:$K$8,$J1026:$K1026,$J$10:$K$10))/1E6)</f>
        <v/>
      </c>
      <c r="G1026" s="57">
        <f>IF(AND(MIN($E1026,$E1027)&lt;=sn_N,sn_N&lt;=MAX($E1026,$E1027)),IF($E1026=$E1027,MAX($F1026,$F1027),$F1026+(sn_N-$E1026)*($F1027-$F1026)/($E1027-$E1026)),"")</f>
        <v/>
      </c>
      <c r="H1026" s="57">
        <f>IF(AND(MIN($E1026,$E1027)&lt;=sn_N,sn_N&lt;=MAX($E1026,$E1027)),IF($E1026=$E1027,MIN($F1026,$F1027),$F1026+(sn_N-$E1026)*($F1027-$F1026)/($E1027-$E1026)),"")</f>
        <v/>
      </c>
      <c r="J1026">
        <f>MAX(-fyd_sn,MIN(fyd_sn,200000*0.002*(1-$C1026*(7*J$9-3*sn_h)/(4*sn_h))))-fcd_sn*(1-MIN(1,MAX(0,$C1026*(7*J$9-3*sn_h)/(4*sn_h)))^2)</f>
        <v/>
      </c>
      <c r="K1026">
        <f>MAX(-fyd_sn,MIN(fyd_sn,200000*0.002*(1-$C1026*(7*K$9-3*sn_h)/(4*sn_h))))-fcd_sn*(1-MIN(1,MAX(0,$C1026*(7*K$9-3*sn_h)/(4*sn_h)))^2)</f>
        <v/>
      </c>
    </row>
    <row r="1027">
      <c r="B1027" s="55" t="n">
        <v>36</v>
      </c>
      <c r="C1027" s="56">
        <f>IF(36&lt;posH_sn,1-36/200,IF(36=posH_sn,tstH_sn,1-(36-1)/200))</f>
        <v/>
      </c>
      <c r="D1027" s="59">
        <f>IF($C1027&gt;=1,sn_h,3/7*sn_h+4/7*sn_h/MAX($C1027,1E-12))</f>
        <v/>
      </c>
      <c r="E1027" s="57">
        <f>(fcd_sn*sn_b*sn_h*(3/7+4/7*(1-$C1027^2/3))+SUMPRODUCT($J$8:$K$8,$J1027:$K1027))/1000</f>
        <v/>
      </c>
      <c r="F1027" s="57">
        <f>-((fcd_sn*sn_b*(3/14*sn_h*(sn_h-3/7*sn_h)+4/7*sn_h*(sn_h/2-3/7*sn_h)*(1-$C1027^2/3)-16/49*sn_h^2*(1/2-$C1027^2/4))+SUMPRODUCT($J$8:$K$8,$J1027:$K1027,$J$10:$K$10))/1E6)</f>
        <v/>
      </c>
      <c r="G1027" s="57">
        <f>IF(AND(MIN($E1027,$E1028)&lt;=sn_N,sn_N&lt;=MAX($E1027,$E1028)),IF($E1027=$E1028,MAX($F1027,$F1028),$F1027+(sn_N-$E1027)*($F1028-$F1027)/($E1028-$E1027)),"")</f>
        <v/>
      </c>
      <c r="H1027" s="57">
        <f>IF(AND(MIN($E1027,$E1028)&lt;=sn_N,sn_N&lt;=MAX($E1027,$E1028)),IF($E1027=$E1028,MIN($F1027,$F1028),$F1027+(sn_N-$E1027)*($F1028-$F1027)/($E1028-$E1027)),"")</f>
        <v/>
      </c>
      <c r="J1027">
        <f>MAX(-fyd_sn,MIN(fyd_sn,200000*0.002*(1-$C1027*(7*J$9-3*sn_h)/(4*sn_h))))-fcd_sn*(1-MIN(1,MAX(0,$C1027*(7*J$9-3*sn_h)/(4*sn_h)))^2)</f>
        <v/>
      </c>
      <c r="K1027">
        <f>MAX(-fyd_sn,MIN(fyd_sn,200000*0.002*(1-$C1027*(7*K$9-3*sn_h)/(4*sn_h))))-fcd_sn*(1-MIN(1,MAX(0,$C1027*(7*K$9-3*sn_h)/(4*sn_h)))^2)</f>
        <v/>
      </c>
    </row>
    <row r="1028">
      <c r="B1028" s="55" t="n">
        <v>37</v>
      </c>
      <c r="C1028" s="56">
        <f>IF(37&lt;posH_sn,1-37/200,IF(37=posH_sn,tstH_sn,1-(37-1)/200))</f>
        <v/>
      </c>
      <c r="D1028" s="59">
        <f>IF($C1028&gt;=1,sn_h,3/7*sn_h+4/7*sn_h/MAX($C1028,1E-12))</f>
        <v/>
      </c>
      <c r="E1028" s="57">
        <f>(fcd_sn*sn_b*sn_h*(3/7+4/7*(1-$C1028^2/3))+SUMPRODUCT($J$8:$K$8,$J1028:$K1028))/1000</f>
        <v/>
      </c>
      <c r="F1028" s="57">
        <f>-((fcd_sn*sn_b*(3/14*sn_h*(sn_h-3/7*sn_h)+4/7*sn_h*(sn_h/2-3/7*sn_h)*(1-$C1028^2/3)-16/49*sn_h^2*(1/2-$C1028^2/4))+SUMPRODUCT($J$8:$K$8,$J1028:$K1028,$J$10:$K$10))/1E6)</f>
        <v/>
      </c>
      <c r="G1028" s="57">
        <f>IF(AND(MIN($E1028,$E1029)&lt;=sn_N,sn_N&lt;=MAX($E1028,$E1029)),IF($E1028=$E1029,MAX($F1028,$F1029),$F1028+(sn_N-$E1028)*($F1029-$F1028)/($E1029-$E1028)),"")</f>
        <v/>
      </c>
      <c r="H1028" s="57">
        <f>IF(AND(MIN($E1028,$E1029)&lt;=sn_N,sn_N&lt;=MAX($E1028,$E1029)),IF($E1028=$E1029,MIN($F1028,$F1029),$F1028+(sn_N-$E1028)*($F1029-$F1028)/($E1029-$E1028)),"")</f>
        <v/>
      </c>
      <c r="J1028">
        <f>MAX(-fyd_sn,MIN(fyd_sn,200000*0.002*(1-$C1028*(7*J$9-3*sn_h)/(4*sn_h))))-fcd_sn*(1-MIN(1,MAX(0,$C1028*(7*J$9-3*sn_h)/(4*sn_h)))^2)</f>
        <v/>
      </c>
      <c r="K1028">
        <f>MAX(-fyd_sn,MIN(fyd_sn,200000*0.002*(1-$C1028*(7*K$9-3*sn_h)/(4*sn_h))))-fcd_sn*(1-MIN(1,MAX(0,$C1028*(7*K$9-3*sn_h)/(4*sn_h)))^2)</f>
        <v/>
      </c>
    </row>
    <row r="1029">
      <c r="B1029" s="55" t="n">
        <v>38</v>
      </c>
      <c r="C1029" s="56">
        <f>IF(38&lt;posH_sn,1-38/200,IF(38=posH_sn,tstH_sn,1-(38-1)/200))</f>
        <v/>
      </c>
      <c r="D1029" s="59">
        <f>IF($C1029&gt;=1,sn_h,3/7*sn_h+4/7*sn_h/MAX($C1029,1E-12))</f>
        <v/>
      </c>
      <c r="E1029" s="57">
        <f>(fcd_sn*sn_b*sn_h*(3/7+4/7*(1-$C1029^2/3))+SUMPRODUCT($J$8:$K$8,$J1029:$K1029))/1000</f>
        <v/>
      </c>
      <c r="F1029" s="57">
        <f>-((fcd_sn*sn_b*(3/14*sn_h*(sn_h-3/7*sn_h)+4/7*sn_h*(sn_h/2-3/7*sn_h)*(1-$C1029^2/3)-16/49*sn_h^2*(1/2-$C1029^2/4))+SUMPRODUCT($J$8:$K$8,$J1029:$K1029,$J$10:$K$10))/1E6)</f>
        <v/>
      </c>
      <c r="G1029" s="57">
        <f>IF(AND(MIN($E1029,$E1030)&lt;=sn_N,sn_N&lt;=MAX($E1029,$E1030)),IF($E1029=$E1030,MAX($F1029,$F1030),$F1029+(sn_N-$E1029)*($F1030-$F1029)/($E1030-$E1029)),"")</f>
        <v/>
      </c>
      <c r="H1029" s="57">
        <f>IF(AND(MIN($E1029,$E1030)&lt;=sn_N,sn_N&lt;=MAX($E1029,$E1030)),IF($E1029=$E1030,MIN($F1029,$F1030),$F1029+(sn_N-$E1029)*($F1030-$F1029)/($E1030-$E1029)),"")</f>
        <v/>
      </c>
      <c r="J1029">
        <f>MAX(-fyd_sn,MIN(fyd_sn,200000*0.002*(1-$C1029*(7*J$9-3*sn_h)/(4*sn_h))))-fcd_sn*(1-MIN(1,MAX(0,$C1029*(7*J$9-3*sn_h)/(4*sn_h)))^2)</f>
        <v/>
      </c>
      <c r="K1029">
        <f>MAX(-fyd_sn,MIN(fyd_sn,200000*0.002*(1-$C1029*(7*K$9-3*sn_h)/(4*sn_h))))-fcd_sn*(1-MIN(1,MAX(0,$C1029*(7*K$9-3*sn_h)/(4*sn_h)))^2)</f>
        <v/>
      </c>
    </row>
    <row r="1030">
      <c r="B1030" s="55" t="n">
        <v>39</v>
      </c>
      <c r="C1030" s="56">
        <f>IF(39&lt;posH_sn,1-39/200,IF(39=posH_sn,tstH_sn,1-(39-1)/200))</f>
        <v/>
      </c>
      <c r="D1030" s="59">
        <f>IF($C1030&gt;=1,sn_h,3/7*sn_h+4/7*sn_h/MAX($C1030,1E-12))</f>
        <v/>
      </c>
      <c r="E1030" s="57">
        <f>(fcd_sn*sn_b*sn_h*(3/7+4/7*(1-$C1030^2/3))+SUMPRODUCT($J$8:$K$8,$J1030:$K1030))/1000</f>
        <v/>
      </c>
      <c r="F1030" s="57">
        <f>-((fcd_sn*sn_b*(3/14*sn_h*(sn_h-3/7*sn_h)+4/7*sn_h*(sn_h/2-3/7*sn_h)*(1-$C1030^2/3)-16/49*sn_h^2*(1/2-$C1030^2/4))+SUMPRODUCT($J$8:$K$8,$J1030:$K1030,$J$10:$K$10))/1E6)</f>
        <v/>
      </c>
      <c r="G1030" s="57">
        <f>IF(AND(MIN($E1030,$E1031)&lt;=sn_N,sn_N&lt;=MAX($E1030,$E1031)),IF($E1030=$E1031,MAX($F1030,$F1031),$F1030+(sn_N-$E1030)*($F1031-$F1030)/($E1031-$E1030)),"")</f>
        <v/>
      </c>
      <c r="H1030" s="57">
        <f>IF(AND(MIN($E1030,$E1031)&lt;=sn_N,sn_N&lt;=MAX($E1030,$E1031)),IF($E1030=$E1031,MIN($F1030,$F1031),$F1030+(sn_N-$E1030)*($F1031-$F1030)/($E1031-$E1030)),"")</f>
        <v/>
      </c>
      <c r="J1030">
        <f>MAX(-fyd_sn,MIN(fyd_sn,200000*0.002*(1-$C1030*(7*J$9-3*sn_h)/(4*sn_h))))-fcd_sn*(1-MIN(1,MAX(0,$C1030*(7*J$9-3*sn_h)/(4*sn_h)))^2)</f>
        <v/>
      </c>
      <c r="K1030">
        <f>MAX(-fyd_sn,MIN(fyd_sn,200000*0.002*(1-$C1030*(7*K$9-3*sn_h)/(4*sn_h))))-fcd_sn*(1-MIN(1,MAX(0,$C1030*(7*K$9-3*sn_h)/(4*sn_h)))^2)</f>
        <v/>
      </c>
    </row>
    <row r="1031">
      <c r="B1031" s="55" t="n">
        <v>40</v>
      </c>
      <c r="C1031" s="56">
        <f>IF(40&lt;posH_sn,1-40/200,IF(40=posH_sn,tstH_sn,1-(40-1)/200))</f>
        <v/>
      </c>
      <c r="D1031" s="59">
        <f>IF($C1031&gt;=1,sn_h,3/7*sn_h+4/7*sn_h/MAX($C1031,1E-12))</f>
        <v/>
      </c>
      <c r="E1031" s="57">
        <f>(fcd_sn*sn_b*sn_h*(3/7+4/7*(1-$C1031^2/3))+SUMPRODUCT($J$8:$K$8,$J1031:$K1031))/1000</f>
        <v/>
      </c>
      <c r="F1031" s="57">
        <f>-((fcd_sn*sn_b*(3/14*sn_h*(sn_h-3/7*sn_h)+4/7*sn_h*(sn_h/2-3/7*sn_h)*(1-$C1031^2/3)-16/49*sn_h^2*(1/2-$C1031^2/4))+SUMPRODUCT($J$8:$K$8,$J1031:$K1031,$J$10:$K$10))/1E6)</f>
        <v/>
      </c>
      <c r="G1031" s="57">
        <f>IF(AND(MIN($E1031,$E1032)&lt;=sn_N,sn_N&lt;=MAX($E1031,$E1032)),IF($E1031=$E1032,MAX($F1031,$F1032),$F1031+(sn_N-$E1031)*($F1032-$F1031)/($E1032-$E1031)),"")</f>
        <v/>
      </c>
      <c r="H1031" s="57">
        <f>IF(AND(MIN($E1031,$E1032)&lt;=sn_N,sn_N&lt;=MAX($E1031,$E1032)),IF($E1031=$E1032,MIN($F1031,$F1032),$F1031+(sn_N-$E1031)*($F1032-$F1031)/($E1032-$E1031)),"")</f>
        <v/>
      </c>
      <c r="J1031">
        <f>MAX(-fyd_sn,MIN(fyd_sn,200000*0.002*(1-$C1031*(7*J$9-3*sn_h)/(4*sn_h))))-fcd_sn*(1-MIN(1,MAX(0,$C1031*(7*J$9-3*sn_h)/(4*sn_h)))^2)</f>
        <v/>
      </c>
      <c r="K1031">
        <f>MAX(-fyd_sn,MIN(fyd_sn,200000*0.002*(1-$C1031*(7*K$9-3*sn_h)/(4*sn_h))))-fcd_sn*(1-MIN(1,MAX(0,$C1031*(7*K$9-3*sn_h)/(4*sn_h)))^2)</f>
        <v/>
      </c>
    </row>
    <row r="1032">
      <c r="B1032" s="55" t="n">
        <v>41</v>
      </c>
      <c r="C1032" s="56">
        <f>IF(41&lt;posH_sn,1-41/200,IF(41=posH_sn,tstH_sn,1-(41-1)/200))</f>
        <v/>
      </c>
      <c r="D1032" s="59">
        <f>IF($C1032&gt;=1,sn_h,3/7*sn_h+4/7*sn_h/MAX($C1032,1E-12))</f>
        <v/>
      </c>
      <c r="E1032" s="57">
        <f>(fcd_sn*sn_b*sn_h*(3/7+4/7*(1-$C1032^2/3))+SUMPRODUCT($J$8:$K$8,$J1032:$K1032))/1000</f>
        <v/>
      </c>
      <c r="F1032" s="57">
        <f>-((fcd_sn*sn_b*(3/14*sn_h*(sn_h-3/7*sn_h)+4/7*sn_h*(sn_h/2-3/7*sn_h)*(1-$C1032^2/3)-16/49*sn_h^2*(1/2-$C1032^2/4))+SUMPRODUCT($J$8:$K$8,$J1032:$K1032,$J$10:$K$10))/1E6)</f>
        <v/>
      </c>
      <c r="G1032" s="57">
        <f>IF(AND(MIN($E1032,$E1033)&lt;=sn_N,sn_N&lt;=MAX($E1032,$E1033)),IF($E1032=$E1033,MAX($F1032,$F1033),$F1032+(sn_N-$E1032)*($F1033-$F1032)/($E1033-$E1032)),"")</f>
        <v/>
      </c>
      <c r="H1032" s="57">
        <f>IF(AND(MIN($E1032,$E1033)&lt;=sn_N,sn_N&lt;=MAX($E1032,$E1033)),IF($E1032=$E1033,MIN($F1032,$F1033),$F1032+(sn_N-$E1032)*($F1033-$F1032)/($E1033-$E1032)),"")</f>
        <v/>
      </c>
      <c r="J1032">
        <f>MAX(-fyd_sn,MIN(fyd_sn,200000*0.002*(1-$C1032*(7*J$9-3*sn_h)/(4*sn_h))))-fcd_sn*(1-MIN(1,MAX(0,$C1032*(7*J$9-3*sn_h)/(4*sn_h)))^2)</f>
        <v/>
      </c>
      <c r="K1032">
        <f>MAX(-fyd_sn,MIN(fyd_sn,200000*0.002*(1-$C1032*(7*K$9-3*sn_h)/(4*sn_h))))-fcd_sn*(1-MIN(1,MAX(0,$C1032*(7*K$9-3*sn_h)/(4*sn_h)))^2)</f>
        <v/>
      </c>
    </row>
    <row r="1033">
      <c r="B1033" s="55" t="n">
        <v>42</v>
      </c>
      <c r="C1033" s="56">
        <f>IF(42&lt;posH_sn,1-42/200,IF(42=posH_sn,tstH_sn,1-(42-1)/200))</f>
        <v/>
      </c>
      <c r="D1033" s="59">
        <f>IF($C1033&gt;=1,sn_h,3/7*sn_h+4/7*sn_h/MAX($C1033,1E-12))</f>
        <v/>
      </c>
      <c r="E1033" s="57">
        <f>(fcd_sn*sn_b*sn_h*(3/7+4/7*(1-$C1033^2/3))+SUMPRODUCT($J$8:$K$8,$J1033:$K1033))/1000</f>
        <v/>
      </c>
      <c r="F1033" s="57">
        <f>-((fcd_sn*sn_b*(3/14*sn_h*(sn_h-3/7*sn_h)+4/7*sn_h*(sn_h/2-3/7*sn_h)*(1-$C1033^2/3)-16/49*sn_h^2*(1/2-$C1033^2/4))+SUMPRODUCT($J$8:$K$8,$J1033:$K1033,$J$10:$K$10))/1E6)</f>
        <v/>
      </c>
      <c r="G1033" s="57">
        <f>IF(AND(MIN($E1033,$E1034)&lt;=sn_N,sn_N&lt;=MAX($E1033,$E1034)),IF($E1033=$E1034,MAX($F1033,$F1034),$F1033+(sn_N-$E1033)*($F1034-$F1033)/($E1034-$E1033)),"")</f>
        <v/>
      </c>
      <c r="H1033" s="57">
        <f>IF(AND(MIN($E1033,$E1034)&lt;=sn_N,sn_N&lt;=MAX($E1033,$E1034)),IF($E1033=$E1034,MIN($F1033,$F1034),$F1033+(sn_N-$E1033)*($F1034-$F1033)/($E1034-$E1033)),"")</f>
        <v/>
      </c>
      <c r="J1033">
        <f>MAX(-fyd_sn,MIN(fyd_sn,200000*0.002*(1-$C1033*(7*J$9-3*sn_h)/(4*sn_h))))-fcd_sn*(1-MIN(1,MAX(0,$C1033*(7*J$9-3*sn_h)/(4*sn_h)))^2)</f>
        <v/>
      </c>
      <c r="K1033">
        <f>MAX(-fyd_sn,MIN(fyd_sn,200000*0.002*(1-$C1033*(7*K$9-3*sn_h)/(4*sn_h))))-fcd_sn*(1-MIN(1,MAX(0,$C1033*(7*K$9-3*sn_h)/(4*sn_h)))^2)</f>
        <v/>
      </c>
    </row>
    <row r="1034">
      <c r="B1034" s="55" t="n">
        <v>43</v>
      </c>
      <c r="C1034" s="56">
        <f>IF(43&lt;posH_sn,1-43/200,IF(43=posH_sn,tstH_sn,1-(43-1)/200))</f>
        <v/>
      </c>
      <c r="D1034" s="59">
        <f>IF($C1034&gt;=1,sn_h,3/7*sn_h+4/7*sn_h/MAX($C1034,1E-12))</f>
        <v/>
      </c>
      <c r="E1034" s="57">
        <f>(fcd_sn*sn_b*sn_h*(3/7+4/7*(1-$C1034^2/3))+SUMPRODUCT($J$8:$K$8,$J1034:$K1034))/1000</f>
        <v/>
      </c>
      <c r="F1034" s="57">
        <f>-((fcd_sn*sn_b*(3/14*sn_h*(sn_h-3/7*sn_h)+4/7*sn_h*(sn_h/2-3/7*sn_h)*(1-$C1034^2/3)-16/49*sn_h^2*(1/2-$C1034^2/4))+SUMPRODUCT($J$8:$K$8,$J1034:$K1034,$J$10:$K$10))/1E6)</f>
        <v/>
      </c>
      <c r="G1034" s="57">
        <f>IF(AND(MIN($E1034,$E1035)&lt;=sn_N,sn_N&lt;=MAX($E1034,$E1035)),IF($E1034=$E1035,MAX($F1034,$F1035),$F1034+(sn_N-$E1034)*($F1035-$F1034)/($E1035-$E1034)),"")</f>
        <v/>
      </c>
      <c r="H1034" s="57">
        <f>IF(AND(MIN($E1034,$E1035)&lt;=sn_N,sn_N&lt;=MAX($E1034,$E1035)),IF($E1034=$E1035,MIN($F1034,$F1035),$F1034+(sn_N-$E1034)*($F1035-$F1034)/($E1035-$E1034)),"")</f>
        <v/>
      </c>
      <c r="J1034">
        <f>MAX(-fyd_sn,MIN(fyd_sn,200000*0.002*(1-$C1034*(7*J$9-3*sn_h)/(4*sn_h))))-fcd_sn*(1-MIN(1,MAX(0,$C1034*(7*J$9-3*sn_h)/(4*sn_h)))^2)</f>
        <v/>
      </c>
      <c r="K1034">
        <f>MAX(-fyd_sn,MIN(fyd_sn,200000*0.002*(1-$C1034*(7*K$9-3*sn_h)/(4*sn_h))))-fcd_sn*(1-MIN(1,MAX(0,$C1034*(7*K$9-3*sn_h)/(4*sn_h)))^2)</f>
        <v/>
      </c>
    </row>
    <row r="1035">
      <c r="B1035" s="55" t="n">
        <v>44</v>
      </c>
      <c r="C1035" s="56">
        <f>IF(44&lt;posH_sn,1-44/200,IF(44=posH_sn,tstH_sn,1-(44-1)/200))</f>
        <v/>
      </c>
      <c r="D1035" s="59">
        <f>IF($C1035&gt;=1,sn_h,3/7*sn_h+4/7*sn_h/MAX($C1035,1E-12))</f>
        <v/>
      </c>
      <c r="E1035" s="57">
        <f>(fcd_sn*sn_b*sn_h*(3/7+4/7*(1-$C1035^2/3))+SUMPRODUCT($J$8:$K$8,$J1035:$K1035))/1000</f>
        <v/>
      </c>
      <c r="F1035" s="57">
        <f>-((fcd_sn*sn_b*(3/14*sn_h*(sn_h-3/7*sn_h)+4/7*sn_h*(sn_h/2-3/7*sn_h)*(1-$C1035^2/3)-16/49*sn_h^2*(1/2-$C1035^2/4))+SUMPRODUCT($J$8:$K$8,$J1035:$K1035,$J$10:$K$10))/1E6)</f>
        <v/>
      </c>
      <c r="G1035" s="57">
        <f>IF(AND(MIN($E1035,$E1036)&lt;=sn_N,sn_N&lt;=MAX($E1035,$E1036)),IF($E1035=$E1036,MAX($F1035,$F1036),$F1035+(sn_N-$E1035)*($F1036-$F1035)/($E1036-$E1035)),"")</f>
        <v/>
      </c>
      <c r="H1035" s="57">
        <f>IF(AND(MIN($E1035,$E1036)&lt;=sn_N,sn_N&lt;=MAX($E1035,$E1036)),IF($E1035=$E1036,MIN($F1035,$F1036),$F1035+(sn_N-$E1035)*($F1036-$F1035)/($E1036-$E1035)),"")</f>
        <v/>
      </c>
      <c r="J1035">
        <f>MAX(-fyd_sn,MIN(fyd_sn,200000*0.002*(1-$C1035*(7*J$9-3*sn_h)/(4*sn_h))))-fcd_sn*(1-MIN(1,MAX(0,$C1035*(7*J$9-3*sn_h)/(4*sn_h)))^2)</f>
        <v/>
      </c>
      <c r="K1035">
        <f>MAX(-fyd_sn,MIN(fyd_sn,200000*0.002*(1-$C1035*(7*K$9-3*sn_h)/(4*sn_h))))-fcd_sn*(1-MIN(1,MAX(0,$C1035*(7*K$9-3*sn_h)/(4*sn_h)))^2)</f>
        <v/>
      </c>
    </row>
    <row r="1036">
      <c r="B1036" s="55" t="n">
        <v>45</v>
      </c>
      <c r="C1036" s="56">
        <f>IF(45&lt;posH_sn,1-45/200,IF(45=posH_sn,tstH_sn,1-(45-1)/200))</f>
        <v/>
      </c>
      <c r="D1036" s="59">
        <f>IF($C1036&gt;=1,sn_h,3/7*sn_h+4/7*sn_h/MAX($C1036,1E-12))</f>
        <v/>
      </c>
      <c r="E1036" s="57">
        <f>(fcd_sn*sn_b*sn_h*(3/7+4/7*(1-$C1036^2/3))+SUMPRODUCT($J$8:$K$8,$J1036:$K1036))/1000</f>
        <v/>
      </c>
      <c r="F1036" s="57">
        <f>-((fcd_sn*sn_b*(3/14*sn_h*(sn_h-3/7*sn_h)+4/7*sn_h*(sn_h/2-3/7*sn_h)*(1-$C1036^2/3)-16/49*sn_h^2*(1/2-$C1036^2/4))+SUMPRODUCT($J$8:$K$8,$J1036:$K1036,$J$10:$K$10))/1E6)</f>
        <v/>
      </c>
      <c r="G1036" s="57">
        <f>IF(AND(MIN($E1036,$E1037)&lt;=sn_N,sn_N&lt;=MAX($E1036,$E1037)),IF($E1036=$E1037,MAX($F1036,$F1037),$F1036+(sn_N-$E1036)*($F1037-$F1036)/($E1037-$E1036)),"")</f>
        <v/>
      </c>
      <c r="H1036" s="57">
        <f>IF(AND(MIN($E1036,$E1037)&lt;=sn_N,sn_N&lt;=MAX($E1036,$E1037)),IF($E1036=$E1037,MIN($F1036,$F1037),$F1036+(sn_N-$E1036)*($F1037-$F1036)/($E1037-$E1036)),"")</f>
        <v/>
      </c>
      <c r="J1036">
        <f>MAX(-fyd_sn,MIN(fyd_sn,200000*0.002*(1-$C1036*(7*J$9-3*sn_h)/(4*sn_h))))-fcd_sn*(1-MIN(1,MAX(0,$C1036*(7*J$9-3*sn_h)/(4*sn_h)))^2)</f>
        <v/>
      </c>
      <c r="K1036">
        <f>MAX(-fyd_sn,MIN(fyd_sn,200000*0.002*(1-$C1036*(7*K$9-3*sn_h)/(4*sn_h))))-fcd_sn*(1-MIN(1,MAX(0,$C1036*(7*K$9-3*sn_h)/(4*sn_h)))^2)</f>
        <v/>
      </c>
    </row>
    <row r="1037">
      <c r="B1037" s="55" t="n">
        <v>46</v>
      </c>
      <c r="C1037" s="56">
        <f>IF(46&lt;posH_sn,1-46/200,IF(46=posH_sn,tstH_sn,1-(46-1)/200))</f>
        <v/>
      </c>
      <c r="D1037" s="59">
        <f>IF($C1037&gt;=1,sn_h,3/7*sn_h+4/7*sn_h/MAX($C1037,1E-12))</f>
        <v/>
      </c>
      <c r="E1037" s="57">
        <f>(fcd_sn*sn_b*sn_h*(3/7+4/7*(1-$C1037^2/3))+SUMPRODUCT($J$8:$K$8,$J1037:$K1037))/1000</f>
        <v/>
      </c>
      <c r="F1037" s="57">
        <f>-((fcd_sn*sn_b*(3/14*sn_h*(sn_h-3/7*sn_h)+4/7*sn_h*(sn_h/2-3/7*sn_h)*(1-$C1037^2/3)-16/49*sn_h^2*(1/2-$C1037^2/4))+SUMPRODUCT($J$8:$K$8,$J1037:$K1037,$J$10:$K$10))/1E6)</f>
        <v/>
      </c>
      <c r="G1037" s="57">
        <f>IF(AND(MIN($E1037,$E1038)&lt;=sn_N,sn_N&lt;=MAX($E1037,$E1038)),IF($E1037=$E1038,MAX($F1037,$F1038),$F1037+(sn_N-$E1037)*($F1038-$F1037)/($E1038-$E1037)),"")</f>
        <v/>
      </c>
      <c r="H1037" s="57">
        <f>IF(AND(MIN($E1037,$E1038)&lt;=sn_N,sn_N&lt;=MAX($E1037,$E1038)),IF($E1037=$E1038,MIN($F1037,$F1038),$F1037+(sn_N-$E1037)*($F1038-$F1037)/($E1038-$E1037)),"")</f>
        <v/>
      </c>
      <c r="J1037">
        <f>MAX(-fyd_sn,MIN(fyd_sn,200000*0.002*(1-$C1037*(7*J$9-3*sn_h)/(4*sn_h))))-fcd_sn*(1-MIN(1,MAX(0,$C1037*(7*J$9-3*sn_h)/(4*sn_h)))^2)</f>
        <v/>
      </c>
      <c r="K1037">
        <f>MAX(-fyd_sn,MIN(fyd_sn,200000*0.002*(1-$C1037*(7*K$9-3*sn_h)/(4*sn_h))))-fcd_sn*(1-MIN(1,MAX(0,$C1037*(7*K$9-3*sn_h)/(4*sn_h)))^2)</f>
        <v/>
      </c>
    </row>
    <row r="1038">
      <c r="B1038" s="55" t="n">
        <v>47</v>
      </c>
      <c r="C1038" s="56">
        <f>IF(47&lt;posH_sn,1-47/200,IF(47=posH_sn,tstH_sn,1-(47-1)/200))</f>
        <v/>
      </c>
      <c r="D1038" s="59">
        <f>IF($C1038&gt;=1,sn_h,3/7*sn_h+4/7*sn_h/MAX($C1038,1E-12))</f>
        <v/>
      </c>
      <c r="E1038" s="57">
        <f>(fcd_sn*sn_b*sn_h*(3/7+4/7*(1-$C1038^2/3))+SUMPRODUCT($J$8:$K$8,$J1038:$K1038))/1000</f>
        <v/>
      </c>
      <c r="F1038" s="57">
        <f>-((fcd_sn*sn_b*(3/14*sn_h*(sn_h-3/7*sn_h)+4/7*sn_h*(sn_h/2-3/7*sn_h)*(1-$C1038^2/3)-16/49*sn_h^2*(1/2-$C1038^2/4))+SUMPRODUCT($J$8:$K$8,$J1038:$K1038,$J$10:$K$10))/1E6)</f>
        <v/>
      </c>
      <c r="G1038" s="57">
        <f>IF(AND(MIN($E1038,$E1039)&lt;=sn_N,sn_N&lt;=MAX($E1038,$E1039)),IF($E1038=$E1039,MAX($F1038,$F1039),$F1038+(sn_N-$E1038)*($F1039-$F1038)/($E1039-$E1038)),"")</f>
        <v/>
      </c>
      <c r="H1038" s="57">
        <f>IF(AND(MIN($E1038,$E1039)&lt;=sn_N,sn_N&lt;=MAX($E1038,$E1039)),IF($E1038=$E1039,MIN($F1038,$F1039),$F1038+(sn_N-$E1038)*($F1039-$F1038)/($E1039-$E1038)),"")</f>
        <v/>
      </c>
      <c r="J1038">
        <f>MAX(-fyd_sn,MIN(fyd_sn,200000*0.002*(1-$C1038*(7*J$9-3*sn_h)/(4*sn_h))))-fcd_sn*(1-MIN(1,MAX(0,$C1038*(7*J$9-3*sn_h)/(4*sn_h)))^2)</f>
        <v/>
      </c>
      <c r="K1038">
        <f>MAX(-fyd_sn,MIN(fyd_sn,200000*0.002*(1-$C1038*(7*K$9-3*sn_h)/(4*sn_h))))-fcd_sn*(1-MIN(1,MAX(0,$C1038*(7*K$9-3*sn_h)/(4*sn_h)))^2)</f>
        <v/>
      </c>
    </row>
    <row r="1039">
      <c r="B1039" s="55" t="n">
        <v>48</v>
      </c>
      <c r="C1039" s="56">
        <f>IF(48&lt;posH_sn,1-48/200,IF(48=posH_sn,tstH_sn,1-(48-1)/200))</f>
        <v/>
      </c>
      <c r="D1039" s="59">
        <f>IF($C1039&gt;=1,sn_h,3/7*sn_h+4/7*sn_h/MAX($C1039,1E-12))</f>
        <v/>
      </c>
      <c r="E1039" s="57">
        <f>(fcd_sn*sn_b*sn_h*(3/7+4/7*(1-$C1039^2/3))+SUMPRODUCT($J$8:$K$8,$J1039:$K1039))/1000</f>
        <v/>
      </c>
      <c r="F1039" s="57">
        <f>-((fcd_sn*sn_b*(3/14*sn_h*(sn_h-3/7*sn_h)+4/7*sn_h*(sn_h/2-3/7*sn_h)*(1-$C1039^2/3)-16/49*sn_h^2*(1/2-$C1039^2/4))+SUMPRODUCT($J$8:$K$8,$J1039:$K1039,$J$10:$K$10))/1E6)</f>
        <v/>
      </c>
      <c r="G1039" s="57">
        <f>IF(AND(MIN($E1039,$E1040)&lt;=sn_N,sn_N&lt;=MAX($E1039,$E1040)),IF($E1039=$E1040,MAX($F1039,$F1040),$F1039+(sn_N-$E1039)*($F1040-$F1039)/($E1040-$E1039)),"")</f>
        <v/>
      </c>
      <c r="H1039" s="57">
        <f>IF(AND(MIN($E1039,$E1040)&lt;=sn_N,sn_N&lt;=MAX($E1039,$E1040)),IF($E1039=$E1040,MIN($F1039,$F1040),$F1039+(sn_N-$E1039)*($F1040-$F1039)/($E1040-$E1039)),"")</f>
        <v/>
      </c>
      <c r="J1039">
        <f>MAX(-fyd_sn,MIN(fyd_sn,200000*0.002*(1-$C1039*(7*J$9-3*sn_h)/(4*sn_h))))-fcd_sn*(1-MIN(1,MAX(0,$C1039*(7*J$9-3*sn_h)/(4*sn_h)))^2)</f>
        <v/>
      </c>
      <c r="K1039">
        <f>MAX(-fyd_sn,MIN(fyd_sn,200000*0.002*(1-$C1039*(7*K$9-3*sn_h)/(4*sn_h))))-fcd_sn*(1-MIN(1,MAX(0,$C1039*(7*K$9-3*sn_h)/(4*sn_h)))^2)</f>
        <v/>
      </c>
    </row>
    <row r="1040">
      <c r="B1040" s="55" t="n">
        <v>49</v>
      </c>
      <c r="C1040" s="56">
        <f>IF(49&lt;posH_sn,1-49/200,IF(49=posH_sn,tstH_sn,1-(49-1)/200))</f>
        <v/>
      </c>
      <c r="D1040" s="59">
        <f>IF($C1040&gt;=1,sn_h,3/7*sn_h+4/7*sn_h/MAX($C1040,1E-12))</f>
        <v/>
      </c>
      <c r="E1040" s="57">
        <f>(fcd_sn*sn_b*sn_h*(3/7+4/7*(1-$C1040^2/3))+SUMPRODUCT($J$8:$K$8,$J1040:$K1040))/1000</f>
        <v/>
      </c>
      <c r="F1040" s="57">
        <f>-((fcd_sn*sn_b*(3/14*sn_h*(sn_h-3/7*sn_h)+4/7*sn_h*(sn_h/2-3/7*sn_h)*(1-$C1040^2/3)-16/49*sn_h^2*(1/2-$C1040^2/4))+SUMPRODUCT($J$8:$K$8,$J1040:$K1040,$J$10:$K$10))/1E6)</f>
        <v/>
      </c>
      <c r="G1040" s="57">
        <f>IF(AND(MIN($E1040,$E1041)&lt;=sn_N,sn_N&lt;=MAX($E1040,$E1041)),IF($E1040=$E1041,MAX($F1040,$F1041),$F1040+(sn_N-$E1040)*($F1041-$F1040)/($E1041-$E1040)),"")</f>
        <v/>
      </c>
      <c r="H1040" s="57">
        <f>IF(AND(MIN($E1040,$E1041)&lt;=sn_N,sn_N&lt;=MAX($E1040,$E1041)),IF($E1040=$E1041,MIN($F1040,$F1041),$F1040+(sn_N-$E1040)*($F1041-$F1040)/($E1041-$E1040)),"")</f>
        <v/>
      </c>
      <c r="J1040">
        <f>MAX(-fyd_sn,MIN(fyd_sn,200000*0.002*(1-$C1040*(7*J$9-3*sn_h)/(4*sn_h))))-fcd_sn*(1-MIN(1,MAX(0,$C1040*(7*J$9-3*sn_h)/(4*sn_h)))^2)</f>
        <v/>
      </c>
      <c r="K1040">
        <f>MAX(-fyd_sn,MIN(fyd_sn,200000*0.002*(1-$C1040*(7*K$9-3*sn_h)/(4*sn_h))))-fcd_sn*(1-MIN(1,MAX(0,$C1040*(7*K$9-3*sn_h)/(4*sn_h)))^2)</f>
        <v/>
      </c>
    </row>
    <row r="1041">
      <c r="B1041" s="55" t="n">
        <v>50</v>
      </c>
      <c r="C1041" s="56">
        <f>IF(50&lt;posH_sn,1-50/200,IF(50=posH_sn,tstH_sn,1-(50-1)/200))</f>
        <v/>
      </c>
      <c r="D1041" s="59">
        <f>IF($C1041&gt;=1,sn_h,3/7*sn_h+4/7*sn_h/MAX($C1041,1E-12))</f>
        <v/>
      </c>
      <c r="E1041" s="57">
        <f>(fcd_sn*sn_b*sn_h*(3/7+4/7*(1-$C1041^2/3))+SUMPRODUCT($J$8:$K$8,$J1041:$K1041))/1000</f>
        <v/>
      </c>
      <c r="F1041" s="57">
        <f>-((fcd_sn*sn_b*(3/14*sn_h*(sn_h-3/7*sn_h)+4/7*sn_h*(sn_h/2-3/7*sn_h)*(1-$C1041^2/3)-16/49*sn_h^2*(1/2-$C1041^2/4))+SUMPRODUCT($J$8:$K$8,$J1041:$K1041,$J$10:$K$10))/1E6)</f>
        <v/>
      </c>
      <c r="G1041" s="57">
        <f>IF(AND(MIN($E1041,$E1042)&lt;=sn_N,sn_N&lt;=MAX($E1041,$E1042)),IF($E1041=$E1042,MAX($F1041,$F1042),$F1041+(sn_N-$E1041)*($F1042-$F1041)/($E1042-$E1041)),"")</f>
        <v/>
      </c>
      <c r="H1041" s="57">
        <f>IF(AND(MIN($E1041,$E1042)&lt;=sn_N,sn_N&lt;=MAX($E1041,$E1042)),IF($E1041=$E1042,MIN($F1041,$F1042),$F1041+(sn_N-$E1041)*($F1042-$F1041)/($E1042-$E1041)),"")</f>
        <v/>
      </c>
      <c r="J1041">
        <f>MAX(-fyd_sn,MIN(fyd_sn,200000*0.002*(1-$C1041*(7*J$9-3*sn_h)/(4*sn_h))))-fcd_sn*(1-MIN(1,MAX(0,$C1041*(7*J$9-3*sn_h)/(4*sn_h)))^2)</f>
        <v/>
      </c>
      <c r="K1041">
        <f>MAX(-fyd_sn,MIN(fyd_sn,200000*0.002*(1-$C1041*(7*K$9-3*sn_h)/(4*sn_h))))-fcd_sn*(1-MIN(1,MAX(0,$C1041*(7*K$9-3*sn_h)/(4*sn_h)))^2)</f>
        <v/>
      </c>
    </row>
    <row r="1042">
      <c r="B1042" s="55" t="n">
        <v>51</v>
      </c>
      <c r="C1042" s="56">
        <f>IF(51&lt;posH_sn,1-51/200,IF(51=posH_sn,tstH_sn,1-(51-1)/200))</f>
        <v/>
      </c>
      <c r="D1042" s="59">
        <f>IF($C1042&gt;=1,sn_h,3/7*sn_h+4/7*sn_h/MAX($C1042,1E-12))</f>
        <v/>
      </c>
      <c r="E1042" s="57">
        <f>(fcd_sn*sn_b*sn_h*(3/7+4/7*(1-$C1042^2/3))+SUMPRODUCT($J$8:$K$8,$J1042:$K1042))/1000</f>
        <v/>
      </c>
      <c r="F1042" s="57">
        <f>-((fcd_sn*sn_b*(3/14*sn_h*(sn_h-3/7*sn_h)+4/7*sn_h*(sn_h/2-3/7*sn_h)*(1-$C1042^2/3)-16/49*sn_h^2*(1/2-$C1042^2/4))+SUMPRODUCT($J$8:$K$8,$J1042:$K1042,$J$10:$K$10))/1E6)</f>
        <v/>
      </c>
      <c r="G1042" s="57">
        <f>IF(AND(MIN($E1042,$E1043)&lt;=sn_N,sn_N&lt;=MAX($E1042,$E1043)),IF($E1042=$E1043,MAX($F1042,$F1043),$F1042+(sn_N-$E1042)*($F1043-$F1042)/($E1043-$E1042)),"")</f>
        <v/>
      </c>
      <c r="H1042" s="57">
        <f>IF(AND(MIN($E1042,$E1043)&lt;=sn_N,sn_N&lt;=MAX($E1042,$E1043)),IF($E1042=$E1043,MIN($F1042,$F1043),$F1042+(sn_N-$E1042)*($F1043-$F1042)/($E1043-$E1042)),"")</f>
        <v/>
      </c>
      <c r="J1042">
        <f>MAX(-fyd_sn,MIN(fyd_sn,200000*0.002*(1-$C1042*(7*J$9-3*sn_h)/(4*sn_h))))-fcd_sn*(1-MIN(1,MAX(0,$C1042*(7*J$9-3*sn_h)/(4*sn_h)))^2)</f>
        <v/>
      </c>
      <c r="K1042">
        <f>MAX(-fyd_sn,MIN(fyd_sn,200000*0.002*(1-$C1042*(7*K$9-3*sn_h)/(4*sn_h))))-fcd_sn*(1-MIN(1,MAX(0,$C1042*(7*K$9-3*sn_h)/(4*sn_h)))^2)</f>
        <v/>
      </c>
    </row>
    <row r="1043">
      <c r="B1043" s="55" t="n">
        <v>52</v>
      </c>
      <c r="C1043" s="56">
        <f>IF(52&lt;posH_sn,1-52/200,IF(52=posH_sn,tstH_sn,1-(52-1)/200))</f>
        <v/>
      </c>
      <c r="D1043" s="59">
        <f>IF($C1043&gt;=1,sn_h,3/7*sn_h+4/7*sn_h/MAX($C1043,1E-12))</f>
        <v/>
      </c>
      <c r="E1043" s="57">
        <f>(fcd_sn*sn_b*sn_h*(3/7+4/7*(1-$C1043^2/3))+SUMPRODUCT($J$8:$K$8,$J1043:$K1043))/1000</f>
        <v/>
      </c>
      <c r="F1043" s="57">
        <f>-((fcd_sn*sn_b*(3/14*sn_h*(sn_h-3/7*sn_h)+4/7*sn_h*(sn_h/2-3/7*sn_h)*(1-$C1043^2/3)-16/49*sn_h^2*(1/2-$C1043^2/4))+SUMPRODUCT($J$8:$K$8,$J1043:$K1043,$J$10:$K$10))/1E6)</f>
        <v/>
      </c>
      <c r="G1043" s="57">
        <f>IF(AND(MIN($E1043,$E1044)&lt;=sn_N,sn_N&lt;=MAX($E1043,$E1044)),IF($E1043=$E1044,MAX($F1043,$F1044),$F1043+(sn_N-$E1043)*($F1044-$F1043)/($E1044-$E1043)),"")</f>
        <v/>
      </c>
      <c r="H1043" s="57">
        <f>IF(AND(MIN($E1043,$E1044)&lt;=sn_N,sn_N&lt;=MAX($E1043,$E1044)),IF($E1043=$E1044,MIN($F1043,$F1044),$F1043+(sn_N-$E1043)*($F1044-$F1043)/($E1044-$E1043)),"")</f>
        <v/>
      </c>
      <c r="J1043">
        <f>MAX(-fyd_sn,MIN(fyd_sn,200000*0.002*(1-$C1043*(7*J$9-3*sn_h)/(4*sn_h))))-fcd_sn*(1-MIN(1,MAX(0,$C1043*(7*J$9-3*sn_h)/(4*sn_h)))^2)</f>
        <v/>
      </c>
      <c r="K1043">
        <f>MAX(-fyd_sn,MIN(fyd_sn,200000*0.002*(1-$C1043*(7*K$9-3*sn_h)/(4*sn_h))))-fcd_sn*(1-MIN(1,MAX(0,$C1043*(7*K$9-3*sn_h)/(4*sn_h)))^2)</f>
        <v/>
      </c>
    </row>
    <row r="1044">
      <c r="B1044" s="55" t="n">
        <v>53</v>
      </c>
      <c r="C1044" s="56">
        <f>IF(53&lt;posH_sn,1-53/200,IF(53=posH_sn,tstH_sn,1-(53-1)/200))</f>
        <v/>
      </c>
      <c r="D1044" s="59">
        <f>IF($C1044&gt;=1,sn_h,3/7*sn_h+4/7*sn_h/MAX($C1044,1E-12))</f>
        <v/>
      </c>
      <c r="E1044" s="57">
        <f>(fcd_sn*sn_b*sn_h*(3/7+4/7*(1-$C1044^2/3))+SUMPRODUCT($J$8:$K$8,$J1044:$K1044))/1000</f>
        <v/>
      </c>
      <c r="F1044" s="57">
        <f>-((fcd_sn*sn_b*(3/14*sn_h*(sn_h-3/7*sn_h)+4/7*sn_h*(sn_h/2-3/7*sn_h)*(1-$C1044^2/3)-16/49*sn_h^2*(1/2-$C1044^2/4))+SUMPRODUCT($J$8:$K$8,$J1044:$K1044,$J$10:$K$10))/1E6)</f>
        <v/>
      </c>
      <c r="G1044" s="57">
        <f>IF(AND(MIN($E1044,$E1045)&lt;=sn_N,sn_N&lt;=MAX($E1044,$E1045)),IF($E1044=$E1045,MAX($F1044,$F1045),$F1044+(sn_N-$E1044)*($F1045-$F1044)/($E1045-$E1044)),"")</f>
        <v/>
      </c>
      <c r="H1044" s="57">
        <f>IF(AND(MIN($E1044,$E1045)&lt;=sn_N,sn_N&lt;=MAX($E1044,$E1045)),IF($E1044=$E1045,MIN($F1044,$F1045),$F1044+(sn_N-$E1044)*($F1045-$F1044)/($E1045-$E1044)),"")</f>
        <v/>
      </c>
      <c r="J1044">
        <f>MAX(-fyd_sn,MIN(fyd_sn,200000*0.002*(1-$C1044*(7*J$9-3*sn_h)/(4*sn_h))))-fcd_sn*(1-MIN(1,MAX(0,$C1044*(7*J$9-3*sn_h)/(4*sn_h)))^2)</f>
        <v/>
      </c>
      <c r="K1044">
        <f>MAX(-fyd_sn,MIN(fyd_sn,200000*0.002*(1-$C1044*(7*K$9-3*sn_h)/(4*sn_h))))-fcd_sn*(1-MIN(1,MAX(0,$C1044*(7*K$9-3*sn_h)/(4*sn_h)))^2)</f>
        <v/>
      </c>
    </row>
    <row r="1045">
      <c r="B1045" s="55" t="n">
        <v>54</v>
      </c>
      <c r="C1045" s="56">
        <f>IF(54&lt;posH_sn,1-54/200,IF(54=posH_sn,tstH_sn,1-(54-1)/200))</f>
        <v/>
      </c>
      <c r="D1045" s="59">
        <f>IF($C1045&gt;=1,sn_h,3/7*sn_h+4/7*sn_h/MAX($C1045,1E-12))</f>
        <v/>
      </c>
      <c r="E1045" s="57">
        <f>(fcd_sn*sn_b*sn_h*(3/7+4/7*(1-$C1045^2/3))+SUMPRODUCT($J$8:$K$8,$J1045:$K1045))/1000</f>
        <v/>
      </c>
      <c r="F1045" s="57">
        <f>-((fcd_sn*sn_b*(3/14*sn_h*(sn_h-3/7*sn_h)+4/7*sn_h*(sn_h/2-3/7*sn_h)*(1-$C1045^2/3)-16/49*sn_h^2*(1/2-$C1045^2/4))+SUMPRODUCT($J$8:$K$8,$J1045:$K1045,$J$10:$K$10))/1E6)</f>
        <v/>
      </c>
      <c r="G1045" s="57">
        <f>IF(AND(MIN($E1045,$E1046)&lt;=sn_N,sn_N&lt;=MAX($E1045,$E1046)),IF($E1045=$E1046,MAX($F1045,$F1046),$F1045+(sn_N-$E1045)*($F1046-$F1045)/($E1046-$E1045)),"")</f>
        <v/>
      </c>
      <c r="H1045" s="57">
        <f>IF(AND(MIN($E1045,$E1046)&lt;=sn_N,sn_N&lt;=MAX($E1045,$E1046)),IF($E1045=$E1046,MIN($F1045,$F1046),$F1045+(sn_N-$E1045)*($F1046-$F1045)/($E1046-$E1045)),"")</f>
        <v/>
      </c>
      <c r="J1045">
        <f>MAX(-fyd_sn,MIN(fyd_sn,200000*0.002*(1-$C1045*(7*J$9-3*sn_h)/(4*sn_h))))-fcd_sn*(1-MIN(1,MAX(0,$C1045*(7*J$9-3*sn_h)/(4*sn_h)))^2)</f>
        <v/>
      </c>
      <c r="K1045">
        <f>MAX(-fyd_sn,MIN(fyd_sn,200000*0.002*(1-$C1045*(7*K$9-3*sn_h)/(4*sn_h))))-fcd_sn*(1-MIN(1,MAX(0,$C1045*(7*K$9-3*sn_h)/(4*sn_h)))^2)</f>
        <v/>
      </c>
    </row>
    <row r="1046">
      <c r="B1046" s="55" t="n">
        <v>55</v>
      </c>
      <c r="C1046" s="56">
        <f>IF(55&lt;posH_sn,1-55/200,IF(55=posH_sn,tstH_sn,1-(55-1)/200))</f>
        <v/>
      </c>
      <c r="D1046" s="59">
        <f>IF($C1046&gt;=1,sn_h,3/7*sn_h+4/7*sn_h/MAX($C1046,1E-12))</f>
        <v/>
      </c>
      <c r="E1046" s="57">
        <f>(fcd_sn*sn_b*sn_h*(3/7+4/7*(1-$C1046^2/3))+SUMPRODUCT($J$8:$K$8,$J1046:$K1046))/1000</f>
        <v/>
      </c>
      <c r="F1046" s="57">
        <f>-((fcd_sn*sn_b*(3/14*sn_h*(sn_h-3/7*sn_h)+4/7*sn_h*(sn_h/2-3/7*sn_h)*(1-$C1046^2/3)-16/49*sn_h^2*(1/2-$C1046^2/4))+SUMPRODUCT($J$8:$K$8,$J1046:$K1046,$J$10:$K$10))/1E6)</f>
        <v/>
      </c>
      <c r="G1046" s="57">
        <f>IF(AND(MIN($E1046,$E1047)&lt;=sn_N,sn_N&lt;=MAX($E1046,$E1047)),IF($E1046=$E1047,MAX($F1046,$F1047),$F1046+(sn_N-$E1046)*($F1047-$F1046)/($E1047-$E1046)),"")</f>
        <v/>
      </c>
      <c r="H1046" s="57">
        <f>IF(AND(MIN($E1046,$E1047)&lt;=sn_N,sn_N&lt;=MAX($E1046,$E1047)),IF($E1046=$E1047,MIN($F1046,$F1047),$F1046+(sn_N-$E1046)*($F1047-$F1046)/($E1047-$E1046)),"")</f>
        <v/>
      </c>
      <c r="J1046">
        <f>MAX(-fyd_sn,MIN(fyd_sn,200000*0.002*(1-$C1046*(7*J$9-3*sn_h)/(4*sn_h))))-fcd_sn*(1-MIN(1,MAX(0,$C1046*(7*J$9-3*sn_h)/(4*sn_h)))^2)</f>
        <v/>
      </c>
      <c r="K1046">
        <f>MAX(-fyd_sn,MIN(fyd_sn,200000*0.002*(1-$C1046*(7*K$9-3*sn_h)/(4*sn_h))))-fcd_sn*(1-MIN(1,MAX(0,$C1046*(7*K$9-3*sn_h)/(4*sn_h)))^2)</f>
        <v/>
      </c>
    </row>
    <row r="1047">
      <c r="B1047" s="55" t="n">
        <v>56</v>
      </c>
      <c r="C1047" s="56">
        <f>IF(56&lt;posH_sn,1-56/200,IF(56=posH_sn,tstH_sn,1-(56-1)/200))</f>
        <v/>
      </c>
      <c r="D1047" s="59">
        <f>IF($C1047&gt;=1,sn_h,3/7*sn_h+4/7*sn_h/MAX($C1047,1E-12))</f>
        <v/>
      </c>
      <c r="E1047" s="57">
        <f>(fcd_sn*sn_b*sn_h*(3/7+4/7*(1-$C1047^2/3))+SUMPRODUCT($J$8:$K$8,$J1047:$K1047))/1000</f>
        <v/>
      </c>
      <c r="F1047" s="57">
        <f>-((fcd_sn*sn_b*(3/14*sn_h*(sn_h-3/7*sn_h)+4/7*sn_h*(sn_h/2-3/7*sn_h)*(1-$C1047^2/3)-16/49*sn_h^2*(1/2-$C1047^2/4))+SUMPRODUCT($J$8:$K$8,$J1047:$K1047,$J$10:$K$10))/1E6)</f>
        <v/>
      </c>
      <c r="G1047" s="57">
        <f>IF(AND(MIN($E1047,$E1048)&lt;=sn_N,sn_N&lt;=MAX($E1047,$E1048)),IF($E1047=$E1048,MAX($F1047,$F1048),$F1047+(sn_N-$E1047)*($F1048-$F1047)/($E1048-$E1047)),"")</f>
        <v/>
      </c>
      <c r="H1047" s="57">
        <f>IF(AND(MIN($E1047,$E1048)&lt;=sn_N,sn_N&lt;=MAX($E1047,$E1048)),IF($E1047=$E1048,MIN($F1047,$F1048),$F1047+(sn_N-$E1047)*($F1048-$F1047)/($E1048-$E1047)),"")</f>
        <v/>
      </c>
      <c r="J1047">
        <f>MAX(-fyd_sn,MIN(fyd_sn,200000*0.002*(1-$C1047*(7*J$9-3*sn_h)/(4*sn_h))))-fcd_sn*(1-MIN(1,MAX(0,$C1047*(7*J$9-3*sn_h)/(4*sn_h)))^2)</f>
        <v/>
      </c>
      <c r="K1047">
        <f>MAX(-fyd_sn,MIN(fyd_sn,200000*0.002*(1-$C1047*(7*K$9-3*sn_h)/(4*sn_h))))-fcd_sn*(1-MIN(1,MAX(0,$C1047*(7*K$9-3*sn_h)/(4*sn_h)))^2)</f>
        <v/>
      </c>
    </row>
    <row r="1048">
      <c r="B1048" s="55" t="n">
        <v>57</v>
      </c>
      <c r="C1048" s="56">
        <f>IF(57&lt;posH_sn,1-57/200,IF(57=posH_sn,tstH_sn,1-(57-1)/200))</f>
        <v/>
      </c>
      <c r="D1048" s="59">
        <f>IF($C1048&gt;=1,sn_h,3/7*sn_h+4/7*sn_h/MAX($C1048,1E-12))</f>
        <v/>
      </c>
      <c r="E1048" s="57">
        <f>(fcd_sn*sn_b*sn_h*(3/7+4/7*(1-$C1048^2/3))+SUMPRODUCT($J$8:$K$8,$J1048:$K1048))/1000</f>
        <v/>
      </c>
      <c r="F1048" s="57">
        <f>-((fcd_sn*sn_b*(3/14*sn_h*(sn_h-3/7*sn_h)+4/7*sn_h*(sn_h/2-3/7*sn_h)*(1-$C1048^2/3)-16/49*sn_h^2*(1/2-$C1048^2/4))+SUMPRODUCT($J$8:$K$8,$J1048:$K1048,$J$10:$K$10))/1E6)</f>
        <v/>
      </c>
      <c r="G1048" s="57">
        <f>IF(AND(MIN($E1048,$E1049)&lt;=sn_N,sn_N&lt;=MAX($E1048,$E1049)),IF($E1048=$E1049,MAX($F1048,$F1049),$F1048+(sn_N-$E1048)*($F1049-$F1048)/($E1049-$E1048)),"")</f>
        <v/>
      </c>
      <c r="H1048" s="57">
        <f>IF(AND(MIN($E1048,$E1049)&lt;=sn_N,sn_N&lt;=MAX($E1048,$E1049)),IF($E1048=$E1049,MIN($F1048,$F1049),$F1048+(sn_N-$E1048)*($F1049-$F1048)/($E1049-$E1048)),"")</f>
        <v/>
      </c>
      <c r="J1048">
        <f>MAX(-fyd_sn,MIN(fyd_sn,200000*0.002*(1-$C1048*(7*J$9-3*sn_h)/(4*sn_h))))-fcd_sn*(1-MIN(1,MAX(0,$C1048*(7*J$9-3*sn_h)/(4*sn_h)))^2)</f>
        <v/>
      </c>
      <c r="K1048">
        <f>MAX(-fyd_sn,MIN(fyd_sn,200000*0.002*(1-$C1048*(7*K$9-3*sn_h)/(4*sn_h))))-fcd_sn*(1-MIN(1,MAX(0,$C1048*(7*K$9-3*sn_h)/(4*sn_h)))^2)</f>
        <v/>
      </c>
    </row>
    <row r="1049">
      <c r="B1049" s="55" t="n">
        <v>58</v>
      </c>
      <c r="C1049" s="56">
        <f>IF(58&lt;posH_sn,1-58/200,IF(58=posH_sn,tstH_sn,1-(58-1)/200))</f>
        <v/>
      </c>
      <c r="D1049" s="59">
        <f>IF($C1049&gt;=1,sn_h,3/7*sn_h+4/7*sn_h/MAX($C1049,1E-12))</f>
        <v/>
      </c>
      <c r="E1049" s="57">
        <f>(fcd_sn*sn_b*sn_h*(3/7+4/7*(1-$C1049^2/3))+SUMPRODUCT($J$8:$K$8,$J1049:$K1049))/1000</f>
        <v/>
      </c>
      <c r="F1049" s="57">
        <f>-((fcd_sn*sn_b*(3/14*sn_h*(sn_h-3/7*sn_h)+4/7*sn_h*(sn_h/2-3/7*sn_h)*(1-$C1049^2/3)-16/49*sn_h^2*(1/2-$C1049^2/4))+SUMPRODUCT($J$8:$K$8,$J1049:$K1049,$J$10:$K$10))/1E6)</f>
        <v/>
      </c>
      <c r="G1049" s="57">
        <f>IF(AND(MIN($E1049,$E1050)&lt;=sn_N,sn_N&lt;=MAX($E1049,$E1050)),IF($E1049=$E1050,MAX($F1049,$F1050),$F1049+(sn_N-$E1049)*($F1050-$F1049)/($E1050-$E1049)),"")</f>
        <v/>
      </c>
      <c r="H1049" s="57">
        <f>IF(AND(MIN($E1049,$E1050)&lt;=sn_N,sn_N&lt;=MAX($E1049,$E1050)),IF($E1049=$E1050,MIN($F1049,$F1050),$F1049+(sn_N-$E1049)*($F1050-$F1049)/($E1050-$E1049)),"")</f>
        <v/>
      </c>
      <c r="J1049">
        <f>MAX(-fyd_sn,MIN(fyd_sn,200000*0.002*(1-$C1049*(7*J$9-3*sn_h)/(4*sn_h))))-fcd_sn*(1-MIN(1,MAX(0,$C1049*(7*J$9-3*sn_h)/(4*sn_h)))^2)</f>
        <v/>
      </c>
      <c r="K1049">
        <f>MAX(-fyd_sn,MIN(fyd_sn,200000*0.002*(1-$C1049*(7*K$9-3*sn_h)/(4*sn_h))))-fcd_sn*(1-MIN(1,MAX(0,$C1049*(7*K$9-3*sn_h)/(4*sn_h)))^2)</f>
        <v/>
      </c>
    </row>
    <row r="1050">
      <c r="B1050" s="55" t="n">
        <v>59</v>
      </c>
      <c r="C1050" s="56">
        <f>IF(59&lt;posH_sn,1-59/200,IF(59=posH_sn,tstH_sn,1-(59-1)/200))</f>
        <v/>
      </c>
      <c r="D1050" s="59">
        <f>IF($C1050&gt;=1,sn_h,3/7*sn_h+4/7*sn_h/MAX($C1050,1E-12))</f>
        <v/>
      </c>
      <c r="E1050" s="57">
        <f>(fcd_sn*sn_b*sn_h*(3/7+4/7*(1-$C1050^2/3))+SUMPRODUCT($J$8:$K$8,$J1050:$K1050))/1000</f>
        <v/>
      </c>
      <c r="F1050" s="57">
        <f>-((fcd_sn*sn_b*(3/14*sn_h*(sn_h-3/7*sn_h)+4/7*sn_h*(sn_h/2-3/7*sn_h)*(1-$C1050^2/3)-16/49*sn_h^2*(1/2-$C1050^2/4))+SUMPRODUCT($J$8:$K$8,$J1050:$K1050,$J$10:$K$10))/1E6)</f>
        <v/>
      </c>
      <c r="G1050" s="57">
        <f>IF(AND(MIN($E1050,$E1051)&lt;=sn_N,sn_N&lt;=MAX($E1050,$E1051)),IF($E1050=$E1051,MAX($F1050,$F1051),$F1050+(sn_N-$E1050)*($F1051-$F1050)/($E1051-$E1050)),"")</f>
        <v/>
      </c>
      <c r="H1050" s="57">
        <f>IF(AND(MIN($E1050,$E1051)&lt;=sn_N,sn_N&lt;=MAX($E1050,$E1051)),IF($E1050=$E1051,MIN($F1050,$F1051),$F1050+(sn_N-$E1050)*($F1051-$F1050)/($E1051-$E1050)),"")</f>
        <v/>
      </c>
      <c r="J1050">
        <f>MAX(-fyd_sn,MIN(fyd_sn,200000*0.002*(1-$C1050*(7*J$9-3*sn_h)/(4*sn_h))))-fcd_sn*(1-MIN(1,MAX(0,$C1050*(7*J$9-3*sn_h)/(4*sn_h)))^2)</f>
        <v/>
      </c>
      <c r="K1050">
        <f>MAX(-fyd_sn,MIN(fyd_sn,200000*0.002*(1-$C1050*(7*K$9-3*sn_h)/(4*sn_h))))-fcd_sn*(1-MIN(1,MAX(0,$C1050*(7*K$9-3*sn_h)/(4*sn_h)))^2)</f>
        <v/>
      </c>
    </row>
    <row r="1051">
      <c r="B1051" s="55" t="n">
        <v>60</v>
      </c>
      <c r="C1051" s="56">
        <f>IF(60&lt;posH_sn,1-60/200,IF(60=posH_sn,tstH_sn,1-(60-1)/200))</f>
        <v/>
      </c>
      <c r="D1051" s="59">
        <f>IF($C1051&gt;=1,sn_h,3/7*sn_h+4/7*sn_h/MAX($C1051,1E-12))</f>
        <v/>
      </c>
      <c r="E1051" s="57">
        <f>(fcd_sn*sn_b*sn_h*(3/7+4/7*(1-$C1051^2/3))+SUMPRODUCT($J$8:$K$8,$J1051:$K1051))/1000</f>
        <v/>
      </c>
      <c r="F1051" s="57">
        <f>-((fcd_sn*sn_b*(3/14*sn_h*(sn_h-3/7*sn_h)+4/7*sn_h*(sn_h/2-3/7*sn_h)*(1-$C1051^2/3)-16/49*sn_h^2*(1/2-$C1051^2/4))+SUMPRODUCT($J$8:$K$8,$J1051:$K1051,$J$10:$K$10))/1E6)</f>
        <v/>
      </c>
      <c r="G1051" s="57">
        <f>IF(AND(MIN($E1051,$E1052)&lt;=sn_N,sn_N&lt;=MAX($E1051,$E1052)),IF($E1051=$E1052,MAX($F1051,$F1052),$F1051+(sn_N-$E1051)*($F1052-$F1051)/($E1052-$E1051)),"")</f>
        <v/>
      </c>
      <c r="H1051" s="57">
        <f>IF(AND(MIN($E1051,$E1052)&lt;=sn_N,sn_N&lt;=MAX($E1051,$E1052)),IF($E1051=$E1052,MIN($F1051,$F1052),$F1051+(sn_N-$E1051)*($F1052-$F1051)/($E1052-$E1051)),"")</f>
        <v/>
      </c>
      <c r="J1051">
        <f>MAX(-fyd_sn,MIN(fyd_sn,200000*0.002*(1-$C1051*(7*J$9-3*sn_h)/(4*sn_h))))-fcd_sn*(1-MIN(1,MAX(0,$C1051*(7*J$9-3*sn_h)/(4*sn_h)))^2)</f>
        <v/>
      </c>
      <c r="K1051">
        <f>MAX(-fyd_sn,MIN(fyd_sn,200000*0.002*(1-$C1051*(7*K$9-3*sn_h)/(4*sn_h))))-fcd_sn*(1-MIN(1,MAX(0,$C1051*(7*K$9-3*sn_h)/(4*sn_h)))^2)</f>
        <v/>
      </c>
    </row>
    <row r="1052">
      <c r="B1052" s="55" t="n">
        <v>61</v>
      </c>
      <c r="C1052" s="56">
        <f>IF(61&lt;posH_sn,1-61/200,IF(61=posH_sn,tstH_sn,1-(61-1)/200))</f>
        <v/>
      </c>
      <c r="D1052" s="59">
        <f>IF($C1052&gt;=1,sn_h,3/7*sn_h+4/7*sn_h/MAX($C1052,1E-12))</f>
        <v/>
      </c>
      <c r="E1052" s="57">
        <f>(fcd_sn*sn_b*sn_h*(3/7+4/7*(1-$C1052^2/3))+SUMPRODUCT($J$8:$K$8,$J1052:$K1052))/1000</f>
        <v/>
      </c>
      <c r="F1052" s="57">
        <f>-((fcd_sn*sn_b*(3/14*sn_h*(sn_h-3/7*sn_h)+4/7*sn_h*(sn_h/2-3/7*sn_h)*(1-$C1052^2/3)-16/49*sn_h^2*(1/2-$C1052^2/4))+SUMPRODUCT($J$8:$K$8,$J1052:$K1052,$J$10:$K$10))/1E6)</f>
        <v/>
      </c>
      <c r="G1052" s="57">
        <f>IF(AND(MIN($E1052,$E1053)&lt;=sn_N,sn_N&lt;=MAX($E1052,$E1053)),IF($E1052=$E1053,MAX($F1052,$F1053),$F1052+(sn_N-$E1052)*($F1053-$F1052)/($E1053-$E1052)),"")</f>
        <v/>
      </c>
      <c r="H1052" s="57">
        <f>IF(AND(MIN($E1052,$E1053)&lt;=sn_N,sn_N&lt;=MAX($E1052,$E1053)),IF($E1052=$E1053,MIN($F1052,$F1053),$F1052+(sn_N-$E1052)*($F1053-$F1052)/($E1053-$E1052)),"")</f>
        <v/>
      </c>
      <c r="J1052">
        <f>MAX(-fyd_sn,MIN(fyd_sn,200000*0.002*(1-$C1052*(7*J$9-3*sn_h)/(4*sn_h))))-fcd_sn*(1-MIN(1,MAX(0,$C1052*(7*J$9-3*sn_h)/(4*sn_h)))^2)</f>
        <v/>
      </c>
      <c r="K1052">
        <f>MAX(-fyd_sn,MIN(fyd_sn,200000*0.002*(1-$C1052*(7*K$9-3*sn_h)/(4*sn_h))))-fcd_sn*(1-MIN(1,MAX(0,$C1052*(7*K$9-3*sn_h)/(4*sn_h)))^2)</f>
        <v/>
      </c>
    </row>
    <row r="1053">
      <c r="B1053" s="55" t="n">
        <v>62</v>
      </c>
      <c r="C1053" s="56">
        <f>IF(62&lt;posH_sn,1-62/200,IF(62=posH_sn,tstH_sn,1-(62-1)/200))</f>
        <v/>
      </c>
      <c r="D1053" s="59">
        <f>IF($C1053&gt;=1,sn_h,3/7*sn_h+4/7*sn_h/MAX($C1053,1E-12))</f>
        <v/>
      </c>
      <c r="E1053" s="57">
        <f>(fcd_sn*sn_b*sn_h*(3/7+4/7*(1-$C1053^2/3))+SUMPRODUCT($J$8:$K$8,$J1053:$K1053))/1000</f>
        <v/>
      </c>
      <c r="F1053" s="57">
        <f>-((fcd_sn*sn_b*(3/14*sn_h*(sn_h-3/7*sn_h)+4/7*sn_h*(sn_h/2-3/7*sn_h)*(1-$C1053^2/3)-16/49*sn_h^2*(1/2-$C1053^2/4))+SUMPRODUCT($J$8:$K$8,$J1053:$K1053,$J$10:$K$10))/1E6)</f>
        <v/>
      </c>
      <c r="G1053" s="57">
        <f>IF(AND(MIN($E1053,$E1054)&lt;=sn_N,sn_N&lt;=MAX($E1053,$E1054)),IF($E1053=$E1054,MAX($F1053,$F1054),$F1053+(sn_N-$E1053)*($F1054-$F1053)/($E1054-$E1053)),"")</f>
        <v/>
      </c>
      <c r="H1053" s="57">
        <f>IF(AND(MIN($E1053,$E1054)&lt;=sn_N,sn_N&lt;=MAX($E1053,$E1054)),IF($E1053=$E1054,MIN($F1053,$F1054),$F1053+(sn_N-$E1053)*($F1054-$F1053)/($E1054-$E1053)),"")</f>
        <v/>
      </c>
      <c r="J1053">
        <f>MAX(-fyd_sn,MIN(fyd_sn,200000*0.002*(1-$C1053*(7*J$9-3*sn_h)/(4*sn_h))))-fcd_sn*(1-MIN(1,MAX(0,$C1053*(7*J$9-3*sn_h)/(4*sn_h)))^2)</f>
        <v/>
      </c>
      <c r="K1053">
        <f>MAX(-fyd_sn,MIN(fyd_sn,200000*0.002*(1-$C1053*(7*K$9-3*sn_h)/(4*sn_h))))-fcd_sn*(1-MIN(1,MAX(0,$C1053*(7*K$9-3*sn_h)/(4*sn_h)))^2)</f>
        <v/>
      </c>
    </row>
    <row r="1054">
      <c r="B1054" s="55" t="n">
        <v>63</v>
      </c>
      <c r="C1054" s="56">
        <f>IF(63&lt;posH_sn,1-63/200,IF(63=posH_sn,tstH_sn,1-(63-1)/200))</f>
        <v/>
      </c>
      <c r="D1054" s="59">
        <f>IF($C1054&gt;=1,sn_h,3/7*sn_h+4/7*sn_h/MAX($C1054,1E-12))</f>
        <v/>
      </c>
      <c r="E1054" s="57">
        <f>(fcd_sn*sn_b*sn_h*(3/7+4/7*(1-$C1054^2/3))+SUMPRODUCT($J$8:$K$8,$J1054:$K1054))/1000</f>
        <v/>
      </c>
      <c r="F1054" s="57">
        <f>-((fcd_sn*sn_b*(3/14*sn_h*(sn_h-3/7*sn_h)+4/7*sn_h*(sn_h/2-3/7*sn_h)*(1-$C1054^2/3)-16/49*sn_h^2*(1/2-$C1054^2/4))+SUMPRODUCT($J$8:$K$8,$J1054:$K1054,$J$10:$K$10))/1E6)</f>
        <v/>
      </c>
      <c r="G1054" s="57">
        <f>IF(AND(MIN($E1054,$E1055)&lt;=sn_N,sn_N&lt;=MAX($E1054,$E1055)),IF($E1054=$E1055,MAX($F1054,$F1055),$F1054+(sn_N-$E1054)*($F1055-$F1054)/($E1055-$E1054)),"")</f>
        <v/>
      </c>
      <c r="H1054" s="57">
        <f>IF(AND(MIN($E1054,$E1055)&lt;=sn_N,sn_N&lt;=MAX($E1054,$E1055)),IF($E1054=$E1055,MIN($F1054,$F1055),$F1054+(sn_N-$E1054)*($F1055-$F1054)/($E1055-$E1054)),"")</f>
        <v/>
      </c>
      <c r="J1054">
        <f>MAX(-fyd_sn,MIN(fyd_sn,200000*0.002*(1-$C1054*(7*J$9-3*sn_h)/(4*sn_h))))-fcd_sn*(1-MIN(1,MAX(0,$C1054*(7*J$9-3*sn_h)/(4*sn_h)))^2)</f>
        <v/>
      </c>
      <c r="K1054">
        <f>MAX(-fyd_sn,MIN(fyd_sn,200000*0.002*(1-$C1054*(7*K$9-3*sn_h)/(4*sn_h))))-fcd_sn*(1-MIN(1,MAX(0,$C1054*(7*K$9-3*sn_h)/(4*sn_h)))^2)</f>
        <v/>
      </c>
    </row>
    <row r="1055">
      <c r="B1055" s="55" t="n">
        <v>64</v>
      </c>
      <c r="C1055" s="56">
        <f>IF(64&lt;posH_sn,1-64/200,IF(64=posH_sn,tstH_sn,1-(64-1)/200))</f>
        <v/>
      </c>
      <c r="D1055" s="59">
        <f>IF($C1055&gt;=1,sn_h,3/7*sn_h+4/7*sn_h/MAX($C1055,1E-12))</f>
        <v/>
      </c>
      <c r="E1055" s="57">
        <f>(fcd_sn*sn_b*sn_h*(3/7+4/7*(1-$C1055^2/3))+SUMPRODUCT($J$8:$K$8,$J1055:$K1055))/1000</f>
        <v/>
      </c>
      <c r="F1055" s="57">
        <f>-((fcd_sn*sn_b*(3/14*sn_h*(sn_h-3/7*sn_h)+4/7*sn_h*(sn_h/2-3/7*sn_h)*(1-$C1055^2/3)-16/49*sn_h^2*(1/2-$C1055^2/4))+SUMPRODUCT($J$8:$K$8,$J1055:$K1055,$J$10:$K$10))/1E6)</f>
        <v/>
      </c>
      <c r="G1055" s="57">
        <f>IF(AND(MIN($E1055,$E1056)&lt;=sn_N,sn_N&lt;=MAX($E1055,$E1056)),IF($E1055=$E1056,MAX($F1055,$F1056),$F1055+(sn_N-$E1055)*($F1056-$F1055)/($E1056-$E1055)),"")</f>
        <v/>
      </c>
      <c r="H1055" s="57">
        <f>IF(AND(MIN($E1055,$E1056)&lt;=sn_N,sn_N&lt;=MAX($E1055,$E1056)),IF($E1055=$E1056,MIN($F1055,$F1056),$F1055+(sn_N-$E1055)*($F1056-$F1055)/($E1056-$E1055)),"")</f>
        <v/>
      </c>
      <c r="J1055">
        <f>MAX(-fyd_sn,MIN(fyd_sn,200000*0.002*(1-$C1055*(7*J$9-3*sn_h)/(4*sn_h))))-fcd_sn*(1-MIN(1,MAX(0,$C1055*(7*J$9-3*sn_h)/(4*sn_h)))^2)</f>
        <v/>
      </c>
      <c r="K1055">
        <f>MAX(-fyd_sn,MIN(fyd_sn,200000*0.002*(1-$C1055*(7*K$9-3*sn_h)/(4*sn_h))))-fcd_sn*(1-MIN(1,MAX(0,$C1055*(7*K$9-3*sn_h)/(4*sn_h)))^2)</f>
        <v/>
      </c>
    </row>
    <row r="1056">
      <c r="B1056" s="55" t="n">
        <v>65</v>
      </c>
      <c r="C1056" s="56">
        <f>IF(65&lt;posH_sn,1-65/200,IF(65=posH_sn,tstH_sn,1-(65-1)/200))</f>
        <v/>
      </c>
      <c r="D1056" s="59">
        <f>IF($C1056&gt;=1,sn_h,3/7*sn_h+4/7*sn_h/MAX($C1056,1E-12))</f>
        <v/>
      </c>
      <c r="E1056" s="57">
        <f>(fcd_sn*sn_b*sn_h*(3/7+4/7*(1-$C1056^2/3))+SUMPRODUCT($J$8:$K$8,$J1056:$K1056))/1000</f>
        <v/>
      </c>
      <c r="F1056" s="57">
        <f>-((fcd_sn*sn_b*(3/14*sn_h*(sn_h-3/7*sn_h)+4/7*sn_h*(sn_h/2-3/7*sn_h)*(1-$C1056^2/3)-16/49*sn_h^2*(1/2-$C1056^2/4))+SUMPRODUCT($J$8:$K$8,$J1056:$K1056,$J$10:$K$10))/1E6)</f>
        <v/>
      </c>
      <c r="G1056" s="57">
        <f>IF(AND(MIN($E1056,$E1057)&lt;=sn_N,sn_N&lt;=MAX($E1056,$E1057)),IF($E1056=$E1057,MAX($F1056,$F1057),$F1056+(sn_N-$E1056)*($F1057-$F1056)/($E1057-$E1056)),"")</f>
        <v/>
      </c>
      <c r="H1056" s="57">
        <f>IF(AND(MIN($E1056,$E1057)&lt;=sn_N,sn_N&lt;=MAX($E1056,$E1057)),IF($E1056=$E1057,MIN($F1056,$F1057),$F1056+(sn_N-$E1056)*($F1057-$F1056)/($E1057-$E1056)),"")</f>
        <v/>
      </c>
      <c r="J1056">
        <f>MAX(-fyd_sn,MIN(fyd_sn,200000*0.002*(1-$C1056*(7*J$9-3*sn_h)/(4*sn_h))))-fcd_sn*(1-MIN(1,MAX(0,$C1056*(7*J$9-3*sn_h)/(4*sn_h)))^2)</f>
        <v/>
      </c>
      <c r="K1056">
        <f>MAX(-fyd_sn,MIN(fyd_sn,200000*0.002*(1-$C1056*(7*K$9-3*sn_h)/(4*sn_h))))-fcd_sn*(1-MIN(1,MAX(0,$C1056*(7*K$9-3*sn_h)/(4*sn_h)))^2)</f>
        <v/>
      </c>
    </row>
    <row r="1057">
      <c r="B1057" s="55" t="n">
        <v>66</v>
      </c>
      <c r="C1057" s="56">
        <f>IF(66&lt;posH_sn,1-66/200,IF(66=posH_sn,tstH_sn,1-(66-1)/200))</f>
        <v/>
      </c>
      <c r="D1057" s="59">
        <f>IF($C1057&gt;=1,sn_h,3/7*sn_h+4/7*sn_h/MAX($C1057,1E-12))</f>
        <v/>
      </c>
      <c r="E1057" s="57">
        <f>(fcd_sn*sn_b*sn_h*(3/7+4/7*(1-$C1057^2/3))+SUMPRODUCT($J$8:$K$8,$J1057:$K1057))/1000</f>
        <v/>
      </c>
      <c r="F1057" s="57">
        <f>-((fcd_sn*sn_b*(3/14*sn_h*(sn_h-3/7*sn_h)+4/7*sn_h*(sn_h/2-3/7*sn_h)*(1-$C1057^2/3)-16/49*sn_h^2*(1/2-$C1057^2/4))+SUMPRODUCT($J$8:$K$8,$J1057:$K1057,$J$10:$K$10))/1E6)</f>
        <v/>
      </c>
      <c r="G1057" s="57">
        <f>IF(AND(MIN($E1057,$E1058)&lt;=sn_N,sn_N&lt;=MAX($E1057,$E1058)),IF($E1057=$E1058,MAX($F1057,$F1058),$F1057+(sn_N-$E1057)*($F1058-$F1057)/($E1058-$E1057)),"")</f>
        <v/>
      </c>
      <c r="H1057" s="57">
        <f>IF(AND(MIN($E1057,$E1058)&lt;=sn_N,sn_N&lt;=MAX($E1057,$E1058)),IF($E1057=$E1058,MIN($F1057,$F1058),$F1057+(sn_N-$E1057)*($F1058-$F1057)/($E1058-$E1057)),"")</f>
        <v/>
      </c>
      <c r="J1057">
        <f>MAX(-fyd_sn,MIN(fyd_sn,200000*0.002*(1-$C1057*(7*J$9-3*sn_h)/(4*sn_h))))-fcd_sn*(1-MIN(1,MAX(0,$C1057*(7*J$9-3*sn_h)/(4*sn_h)))^2)</f>
        <v/>
      </c>
      <c r="K1057">
        <f>MAX(-fyd_sn,MIN(fyd_sn,200000*0.002*(1-$C1057*(7*K$9-3*sn_h)/(4*sn_h))))-fcd_sn*(1-MIN(1,MAX(0,$C1057*(7*K$9-3*sn_h)/(4*sn_h)))^2)</f>
        <v/>
      </c>
    </row>
    <row r="1058">
      <c r="B1058" s="55" t="n">
        <v>67</v>
      </c>
      <c r="C1058" s="56">
        <f>IF(67&lt;posH_sn,1-67/200,IF(67=posH_sn,tstH_sn,1-(67-1)/200))</f>
        <v/>
      </c>
      <c r="D1058" s="59">
        <f>IF($C1058&gt;=1,sn_h,3/7*sn_h+4/7*sn_h/MAX($C1058,1E-12))</f>
        <v/>
      </c>
      <c r="E1058" s="57">
        <f>(fcd_sn*sn_b*sn_h*(3/7+4/7*(1-$C1058^2/3))+SUMPRODUCT($J$8:$K$8,$J1058:$K1058))/1000</f>
        <v/>
      </c>
      <c r="F1058" s="57">
        <f>-((fcd_sn*sn_b*(3/14*sn_h*(sn_h-3/7*sn_h)+4/7*sn_h*(sn_h/2-3/7*sn_h)*(1-$C1058^2/3)-16/49*sn_h^2*(1/2-$C1058^2/4))+SUMPRODUCT($J$8:$K$8,$J1058:$K1058,$J$10:$K$10))/1E6)</f>
        <v/>
      </c>
      <c r="G1058" s="57">
        <f>IF(AND(MIN($E1058,$E1059)&lt;=sn_N,sn_N&lt;=MAX($E1058,$E1059)),IF($E1058=$E1059,MAX($F1058,$F1059),$F1058+(sn_N-$E1058)*($F1059-$F1058)/($E1059-$E1058)),"")</f>
        <v/>
      </c>
      <c r="H1058" s="57">
        <f>IF(AND(MIN($E1058,$E1059)&lt;=sn_N,sn_N&lt;=MAX($E1058,$E1059)),IF($E1058=$E1059,MIN($F1058,$F1059),$F1058+(sn_N-$E1058)*($F1059-$F1058)/($E1059-$E1058)),"")</f>
        <v/>
      </c>
      <c r="J1058">
        <f>MAX(-fyd_sn,MIN(fyd_sn,200000*0.002*(1-$C1058*(7*J$9-3*sn_h)/(4*sn_h))))-fcd_sn*(1-MIN(1,MAX(0,$C1058*(7*J$9-3*sn_h)/(4*sn_h)))^2)</f>
        <v/>
      </c>
      <c r="K1058">
        <f>MAX(-fyd_sn,MIN(fyd_sn,200000*0.002*(1-$C1058*(7*K$9-3*sn_h)/(4*sn_h))))-fcd_sn*(1-MIN(1,MAX(0,$C1058*(7*K$9-3*sn_h)/(4*sn_h)))^2)</f>
        <v/>
      </c>
    </row>
    <row r="1059">
      <c r="B1059" s="55" t="n">
        <v>68</v>
      </c>
      <c r="C1059" s="56">
        <f>IF(68&lt;posH_sn,1-68/200,IF(68=posH_sn,tstH_sn,1-(68-1)/200))</f>
        <v/>
      </c>
      <c r="D1059" s="59">
        <f>IF($C1059&gt;=1,sn_h,3/7*sn_h+4/7*sn_h/MAX($C1059,1E-12))</f>
        <v/>
      </c>
      <c r="E1059" s="57">
        <f>(fcd_sn*sn_b*sn_h*(3/7+4/7*(1-$C1059^2/3))+SUMPRODUCT($J$8:$K$8,$J1059:$K1059))/1000</f>
        <v/>
      </c>
      <c r="F1059" s="57">
        <f>-((fcd_sn*sn_b*(3/14*sn_h*(sn_h-3/7*sn_h)+4/7*sn_h*(sn_h/2-3/7*sn_h)*(1-$C1059^2/3)-16/49*sn_h^2*(1/2-$C1059^2/4))+SUMPRODUCT($J$8:$K$8,$J1059:$K1059,$J$10:$K$10))/1E6)</f>
        <v/>
      </c>
      <c r="G1059" s="57">
        <f>IF(AND(MIN($E1059,$E1060)&lt;=sn_N,sn_N&lt;=MAX($E1059,$E1060)),IF($E1059=$E1060,MAX($F1059,$F1060),$F1059+(sn_N-$E1059)*($F1060-$F1059)/($E1060-$E1059)),"")</f>
        <v/>
      </c>
      <c r="H1059" s="57">
        <f>IF(AND(MIN($E1059,$E1060)&lt;=sn_N,sn_N&lt;=MAX($E1059,$E1060)),IF($E1059=$E1060,MIN($F1059,$F1060),$F1059+(sn_N-$E1059)*($F1060-$F1059)/($E1060-$E1059)),"")</f>
        <v/>
      </c>
      <c r="J1059">
        <f>MAX(-fyd_sn,MIN(fyd_sn,200000*0.002*(1-$C1059*(7*J$9-3*sn_h)/(4*sn_h))))-fcd_sn*(1-MIN(1,MAX(0,$C1059*(7*J$9-3*sn_h)/(4*sn_h)))^2)</f>
        <v/>
      </c>
      <c r="K1059">
        <f>MAX(-fyd_sn,MIN(fyd_sn,200000*0.002*(1-$C1059*(7*K$9-3*sn_h)/(4*sn_h))))-fcd_sn*(1-MIN(1,MAX(0,$C1059*(7*K$9-3*sn_h)/(4*sn_h)))^2)</f>
        <v/>
      </c>
    </row>
    <row r="1060">
      <c r="B1060" s="55" t="n">
        <v>69</v>
      </c>
      <c r="C1060" s="56">
        <f>IF(69&lt;posH_sn,1-69/200,IF(69=posH_sn,tstH_sn,1-(69-1)/200))</f>
        <v/>
      </c>
      <c r="D1060" s="59">
        <f>IF($C1060&gt;=1,sn_h,3/7*sn_h+4/7*sn_h/MAX($C1060,1E-12))</f>
        <v/>
      </c>
      <c r="E1060" s="57">
        <f>(fcd_sn*sn_b*sn_h*(3/7+4/7*(1-$C1060^2/3))+SUMPRODUCT($J$8:$K$8,$J1060:$K1060))/1000</f>
        <v/>
      </c>
      <c r="F1060" s="57">
        <f>-((fcd_sn*sn_b*(3/14*sn_h*(sn_h-3/7*sn_h)+4/7*sn_h*(sn_h/2-3/7*sn_h)*(1-$C1060^2/3)-16/49*sn_h^2*(1/2-$C1060^2/4))+SUMPRODUCT($J$8:$K$8,$J1060:$K1060,$J$10:$K$10))/1E6)</f>
        <v/>
      </c>
      <c r="G1060" s="57">
        <f>IF(AND(MIN($E1060,$E1061)&lt;=sn_N,sn_N&lt;=MAX($E1060,$E1061)),IF($E1060=$E1061,MAX($F1060,$F1061),$F1060+(sn_N-$E1060)*($F1061-$F1060)/($E1061-$E1060)),"")</f>
        <v/>
      </c>
      <c r="H1060" s="57">
        <f>IF(AND(MIN($E1060,$E1061)&lt;=sn_N,sn_N&lt;=MAX($E1060,$E1061)),IF($E1060=$E1061,MIN($F1060,$F1061),$F1060+(sn_N-$E1060)*($F1061-$F1060)/($E1061-$E1060)),"")</f>
        <v/>
      </c>
      <c r="J1060">
        <f>MAX(-fyd_sn,MIN(fyd_sn,200000*0.002*(1-$C1060*(7*J$9-3*sn_h)/(4*sn_h))))-fcd_sn*(1-MIN(1,MAX(0,$C1060*(7*J$9-3*sn_h)/(4*sn_h)))^2)</f>
        <v/>
      </c>
      <c r="K1060">
        <f>MAX(-fyd_sn,MIN(fyd_sn,200000*0.002*(1-$C1060*(7*K$9-3*sn_h)/(4*sn_h))))-fcd_sn*(1-MIN(1,MAX(0,$C1060*(7*K$9-3*sn_h)/(4*sn_h)))^2)</f>
        <v/>
      </c>
    </row>
    <row r="1061">
      <c r="B1061" s="55" t="n">
        <v>70</v>
      </c>
      <c r="C1061" s="56">
        <f>IF(70&lt;posH_sn,1-70/200,IF(70=posH_sn,tstH_sn,1-(70-1)/200))</f>
        <v/>
      </c>
      <c r="D1061" s="59">
        <f>IF($C1061&gt;=1,sn_h,3/7*sn_h+4/7*sn_h/MAX($C1061,1E-12))</f>
        <v/>
      </c>
      <c r="E1061" s="57">
        <f>(fcd_sn*sn_b*sn_h*(3/7+4/7*(1-$C1061^2/3))+SUMPRODUCT($J$8:$K$8,$J1061:$K1061))/1000</f>
        <v/>
      </c>
      <c r="F1061" s="57">
        <f>-((fcd_sn*sn_b*(3/14*sn_h*(sn_h-3/7*sn_h)+4/7*sn_h*(sn_h/2-3/7*sn_h)*(1-$C1061^2/3)-16/49*sn_h^2*(1/2-$C1061^2/4))+SUMPRODUCT($J$8:$K$8,$J1061:$K1061,$J$10:$K$10))/1E6)</f>
        <v/>
      </c>
      <c r="G1061" s="57">
        <f>IF(AND(MIN($E1061,$E1062)&lt;=sn_N,sn_N&lt;=MAX($E1061,$E1062)),IF($E1061=$E1062,MAX($F1061,$F1062),$F1061+(sn_N-$E1061)*($F1062-$F1061)/($E1062-$E1061)),"")</f>
        <v/>
      </c>
      <c r="H1061" s="57">
        <f>IF(AND(MIN($E1061,$E1062)&lt;=sn_N,sn_N&lt;=MAX($E1061,$E1062)),IF($E1061=$E1062,MIN($F1061,$F1062),$F1061+(sn_N-$E1061)*($F1062-$F1061)/($E1062-$E1061)),"")</f>
        <v/>
      </c>
      <c r="J1061">
        <f>MAX(-fyd_sn,MIN(fyd_sn,200000*0.002*(1-$C1061*(7*J$9-3*sn_h)/(4*sn_h))))-fcd_sn*(1-MIN(1,MAX(0,$C1061*(7*J$9-3*sn_h)/(4*sn_h)))^2)</f>
        <v/>
      </c>
      <c r="K1061">
        <f>MAX(-fyd_sn,MIN(fyd_sn,200000*0.002*(1-$C1061*(7*K$9-3*sn_h)/(4*sn_h))))-fcd_sn*(1-MIN(1,MAX(0,$C1061*(7*K$9-3*sn_h)/(4*sn_h)))^2)</f>
        <v/>
      </c>
    </row>
    <row r="1062">
      <c r="B1062" s="55" t="n">
        <v>71</v>
      </c>
      <c r="C1062" s="56">
        <f>IF(71&lt;posH_sn,1-71/200,IF(71=posH_sn,tstH_sn,1-(71-1)/200))</f>
        <v/>
      </c>
      <c r="D1062" s="59">
        <f>IF($C1062&gt;=1,sn_h,3/7*sn_h+4/7*sn_h/MAX($C1062,1E-12))</f>
        <v/>
      </c>
      <c r="E1062" s="57">
        <f>(fcd_sn*sn_b*sn_h*(3/7+4/7*(1-$C1062^2/3))+SUMPRODUCT($J$8:$K$8,$J1062:$K1062))/1000</f>
        <v/>
      </c>
      <c r="F1062" s="57">
        <f>-((fcd_sn*sn_b*(3/14*sn_h*(sn_h-3/7*sn_h)+4/7*sn_h*(sn_h/2-3/7*sn_h)*(1-$C1062^2/3)-16/49*sn_h^2*(1/2-$C1062^2/4))+SUMPRODUCT($J$8:$K$8,$J1062:$K1062,$J$10:$K$10))/1E6)</f>
        <v/>
      </c>
      <c r="G1062" s="57">
        <f>IF(AND(MIN($E1062,$E1063)&lt;=sn_N,sn_N&lt;=MAX($E1062,$E1063)),IF($E1062=$E1063,MAX($F1062,$F1063),$F1062+(sn_N-$E1062)*($F1063-$F1062)/($E1063-$E1062)),"")</f>
        <v/>
      </c>
      <c r="H1062" s="57">
        <f>IF(AND(MIN($E1062,$E1063)&lt;=sn_N,sn_N&lt;=MAX($E1062,$E1063)),IF($E1062=$E1063,MIN($F1062,$F1063),$F1062+(sn_N-$E1062)*($F1063-$F1062)/($E1063-$E1062)),"")</f>
        <v/>
      </c>
      <c r="J1062">
        <f>MAX(-fyd_sn,MIN(fyd_sn,200000*0.002*(1-$C1062*(7*J$9-3*sn_h)/(4*sn_h))))-fcd_sn*(1-MIN(1,MAX(0,$C1062*(7*J$9-3*sn_h)/(4*sn_h)))^2)</f>
        <v/>
      </c>
      <c r="K1062">
        <f>MAX(-fyd_sn,MIN(fyd_sn,200000*0.002*(1-$C1062*(7*K$9-3*sn_h)/(4*sn_h))))-fcd_sn*(1-MIN(1,MAX(0,$C1062*(7*K$9-3*sn_h)/(4*sn_h)))^2)</f>
        <v/>
      </c>
    </row>
    <row r="1063">
      <c r="B1063" s="55" t="n">
        <v>72</v>
      </c>
      <c r="C1063" s="56">
        <f>IF(72&lt;posH_sn,1-72/200,IF(72=posH_sn,tstH_sn,1-(72-1)/200))</f>
        <v/>
      </c>
      <c r="D1063" s="59">
        <f>IF($C1063&gt;=1,sn_h,3/7*sn_h+4/7*sn_h/MAX($C1063,1E-12))</f>
        <v/>
      </c>
      <c r="E1063" s="57">
        <f>(fcd_sn*sn_b*sn_h*(3/7+4/7*(1-$C1063^2/3))+SUMPRODUCT($J$8:$K$8,$J1063:$K1063))/1000</f>
        <v/>
      </c>
      <c r="F1063" s="57">
        <f>-((fcd_sn*sn_b*(3/14*sn_h*(sn_h-3/7*sn_h)+4/7*sn_h*(sn_h/2-3/7*sn_h)*(1-$C1063^2/3)-16/49*sn_h^2*(1/2-$C1063^2/4))+SUMPRODUCT($J$8:$K$8,$J1063:$K1063,$J$10:$K$10))/1E6)</f>
        <v/>
      </c>
      <c r="G1063" s="57">
        <f>IF(AND(MIN($E1063,$E1064)&lt;=sn_N,sn_N&lt;=MAX($E1063,$E1064)),IF($E1063=$E1064,MAX($F1063,$F1064),$F1063+(sn_N-$E1063)*($F1064-$F1063)/($E1064-$E1063)),"")</f>
        <v/>
      </c>
      <c r="H1063" s="57">
        <f>IF(AND(MIN($E1063,$E1064)&lt;=sn_N,sn_N&lt;=MAX($E1063,$E1064)),IF($E1063=$E1064,MIN($F1063,$F1064),$F1063+(sn_N-$E1063)*($F1064-$F1063)/($E1064-$E1063)),"")</f>
        <v/>
      </c>
      <c r="J1063">
        <f>MAX(-fyd_sn,MIN(fyd_sn,200000*0.002*(1-$C1063*(7*J$9-3*sn_h)/(4*sn_h))))-fcd_sn*(1-MIN(1,MAX(0,$C1063*(7*J$9-3*sn_h)/(4*sn_h)))^2)</f>
        <v/>
      </c>
      <c r="K1063">
        <f>MAX(-fyd_sn,MIN(fyd_sn,200000*0.002*(1-$C1063*(7*K$9-3*sn_h)/(4*sn_h))))-fcd_sn*(1-MIN(1,MAX(0,$C1063*(7*K$9-3*sn_h)/(4*sn_h)))^2)</f>
        <v/>
      </c>
    </row>
    <row r="1064">
      <c r="B1064" s="55" t="n">
        <v>73</v>
      </c>
      <c r="C1064" s="56">
        <f>IF(73&lt;posH_sn,1-73/200,IF(73=posH_sn,tstH_sn,1-(73-1)/200))</f>
        <v/>
      </c>
      <c r="D1064" s="59">
        <f>IF($C1064&gt;=1,sn_h,3/7*sn_h+4/7*sn_h/MAX($C1064,1E-12))</f>
        <v/>
      </c>
      <c r="E1064" s="57">
        <f>(fcd_sn*sn_b*sn_h*(3/7+4/7*(1-$C1064^2/3))+SUMPRODUCT($J$8:$K$8,$J1064:$K1064))/1000</f>
        <v/>
      </c>
      <c r="F1064" s="57">
        <f>-((fcd_sn*sn_b*(3/14*sn_h*(sn_h-3/7*sn_h)+4/7*sn_h*(sn_h/2-3/7*sn_h)*(1-$C1064^2/3)-16/49*sn_h^2*(1/2-$C1064^2/4))+SUMPRODUCT($J$8:$K$8,$J1064:$K1064,$J$10:$K$10))/1E6)</f>
        <v/>
      </c>
      <c r="G1064" s="57">
        <f>IF(AND(MIN($E1064,$E1065)&lt;=sn_N,sn_N&lt;=MAX($E1064,$E1065)),IF($E1064=$E1065,MAX($F1064,$F1065),$F1064+(sn_N-$E1064)*($F1065-$F1064)/($E1065-$E1064)),"")</f>
        <v/>
      </c>
      <c r="H1064" s="57">
        <f>IF(AND(MIN($E1064,$E1065)&lt;=sn_N,sn_N&lt;=MAX($E1064,$E1065)),IF($E1064=$E1065,MIN($F1064,$F1065),$F1064+(sn_N-$E1064)*($F1065-$F1064)/($E1065-$E1064)),"")</f>
        <v/>
      </c>
      <c r="J1064">
        <f>MAX(-fyd_sn,MIN(fyd_sn,200000*0.002*(1-$C1064*(7*J$9-3*sn_h)/(4*sn_h))))-fcd_sn*(1-MIN(1,MAX(0,$C1064*(7*J$9-3*sn_h)/(4*sn_h)))^2)</f>
        <v/>
      </c>
      <c r="K1064">
        <f>MAX(-fyd_sn,MIN(fyd_sn,200000*0.002*(1-$C1064*(7*K$9-3*sn_h)/(4*sn_h))))-fcd_sn*(1-MIN(1,MAX(0,$C1064*(7*K$9-3*sn_h)/(4*sn_h)))^2)</f>
        <v/>
      </c>
    </row>
    <row r="1065">
      <c r="B1065" s="55" t="n">
        <v>74</v>
      </c>
      <c r="C1065" s="56">
        <f>IF(74&lt;posH_sn,1-74/200,IF(74=posH_sn,tstH_sn,1-(74-1)/200))</f>
        <v/>
      </c>
      <c r="D1065" s="59">
        <f>IF($C1065&gt;=1,sn_h,3/7*sn_h+4/7*sn_h/MAX($C1065,1E-12))</f>
        <v/>
      </c>
      <c r="E1065" s="57">
        <f>(fcd_sn*sn_b*sn_h*(3/7+4/7*(1-$C1065^2/3))+SUMPRODUCT($J$8:$K$8,$J1065:$K1065))/1000</f>
        <v/>
      </c>
      <c r="F1065" s="57">
        <f>-((fcd_sn*sn_b*(3/14*sn_h*(sn_h-3/7*sn_h)+4/7*sn_h*(sn_h/2-3/7*sn_h)*(1-$C1065^2/3)-16/49*sn_h^2*(1/2-$C1065^2/4))+SUMPRODUCT($J$8:$K$8,$J1065:$K1065,$J$10:$K$10))/1E6)</f>
        <v/>
      </c>
      <c r="G1065" s="57">
        <f>IF(AND(MIN($E1065,$E1066)&lt;=sn_N,sn_N&lt;=MAX($E1065,$E1066)),IF($E1065=$E1066,MAX($F1065,$F1066),$F1065+(sn_N-$E1065)*($F1066-$F1065)/($E1066-$E1065)),"")</f>
        <v/>
      </c>
      <c r="H1065" s="57">
        <f>IF(AND(MIN($E1065,$E1066)&lt;=sn_N,sn_N&lt;=MAX($E1065,$E1066)),IF($E1065=$E1066,MIN($F1065,$F1066),$F1065+(sn_N-$E1065)*($F1066-$F1065)/($E1066-$E1065)),"")</f>
        <v/>
      </c>
      <c r="J1065">
        <f>MAX(-fyd_sn,MIN(fyd_sn,200000*0.002*(1-$C1065*(7*J$9-3*sn_h)/(4*sn_h))))-fcd_sn*(1-MIN(1,MAX(0,$C1065*(7*J$9-3*sn_h)/(4*sn_h)))^2)</f>
        <v/>
      </c>
      <c r="K1065">
        <f>MAX(-fyd_sn,MIN(fyd_sn,200000*0.002*(1-$C1065*(7*K$9-3*sn_h)/(4*sn_h))))-fcd_sn*(1-MIN(1,MAX(0,$C1065*(7*K$9-3*sn_h)/(4*sn_h)))^2)</f>
        <v/>
      </c>
    </row>
    <row r="1066">
      <c r="B1066" s="55" t="n">
        <v>75</v>
      </c>
      <c r="C1066" s="56">
        <f>IF(75&lt;posH_sn,1-75/200,IF(75=posH_sn,tstH_sn,1-(75-1)/200))</f>
        <v/>
      </c>
      <c r="D1066" s="59">
        <f>IF($C1066&gt;=1,sn_h,3/7*sn_h+4/7*sn_h/MAX($C1066,1E-12))</f>
        <v/>
      </c>
      <c r="E1066" s="57">
        <f>(fcd_sn*sn_b*sn_h*(3/7+4/7*(1-$C1066^2/3))+SUMPRODUCT($J$8:$K$8,$J1066:$K1066))/1000</f>
        <v/>
      </c>
      <c r="F1066" s="57">
        <f>-((fcd_sn*sn_b*(3/14*sn_h*(sn_h-3/7*sn_h)+4/7*sn_h*(sn_h/2-3/7*sn_h)*(1-$C1066^2/3)-16/49*sn_h^2*(1/2-$C1066^2/4))+SUMPRODUCT($J$8:$K$8,$J1066:$K1066,$J$10:$K$10))/1E6)</f>
        <v/>
      </c>
      <c r="G1066" s="57">
        <f>IF(AND(MIN($E1066,$E1067)&lt;=sn_N,sn_N&lt;=MAX($E1066,$E1067)),IF($E1066=$E1067,MAX($F1066,$F1067),$F1066+(sn_N-$E1066)*($F1067-$F1066)/($E1067-$E1066)),"")</f>
        <v/>
      </c>
      <c r="H1066" s="57">
        <f>IF(AND(MIN($E1066,$E1067)&lt;=sn_N,sn_N&lt;=MAX($E1066,$E1067)),IF($E1066=$E1067,MIN($F1066,$F1067),$F1066+(sn_N-$E1066)*($F1067-$F1066)/($E1067-$E1066)),"")</f>
        <v/>
      </c>
      <c r="J1066">
        <f>MAX(-fyd_sn,MIN(fyd_sn,200000*0.002*(1-$C1066*(7*J$9-3*sn_h)/(4*sn_h))))-fcd_sn*(1-MIN(1,MAX(0,$C1066*(7*J$9-3*sn_h)/(4*sn_h)))^2)</f>
        <v/>
      </c>
      <c r="K1066">
        <f>MAX(-fyd_sn,MIN(fyd_sn,200000*0.002*(1-$C1066*(7*K$9-3*sn_h)/(4*sn_h))))-fcd_sn*(1-MIN(1,MAX(0,$C1066*(7*K$9-3*sn_h)/(4*sn_h)))^2)</f>
        <v/>
      </c>
    </row>
    <row r="1067">
      <c r="B1067" s="55" t="n">
        <v>76</v>
      </c>
      <c r="C1067" s="56">
        <f>IF(76&lt;posH_sn,1-76/200,IF(76=posH_sn,tstH_sn,1-(76-1)/200))</f>
        <v/>
      </c>
      <c r="D1067" s="59">
        <f>IF($C1067&gt;=1,sn_h,3/7*sn_h+4/7*sn_h/MAX($C1067,1E-12))</f>
        <v/>
      </c>
      <c r="E1067" s="57">
        <f>(fcd_sn*sn_b*sn_h*(3/7+4/7*(1-$C1067^2/3))+SUMPRODUCT($J$8:$K$8,$J1067:$K1067))/1000</f>
        <v/>
      </c>
      <c r="F1067" s="57">
        <f>-((fcd_sn*sn_b*(3/14*sn_h*(sn_h-3/7*sn_h)+4/7*sn_h*(sn_h/2-3/7*sn_h)*(1-$C1067^2/3)-16/49*sn_h^2*(1/2-$C1067^2/4))+SUMPRODUCT($J$8:$K$8,$J1067:$K1067,$J$10:$K$10))/1E6)</f>
        <v/>
      </c>
      <c r="G1067" s="57">
        <f>IF(AND(MIN($E1067,$E1068)&lt;=sn_N,sn_N&lt;=MAX($E1067,$E1068)),IF($E1067=$E1068,MAX($F1067,$F1068),$F1067+(sn_N-$E1067)*($F1068-$F1067)/($E1068-$E1067)),"")</f>
        <v/>
      </c>
      <c r="H1067" s="57">
        <f>IF(AND(MIN($E1067,$E1068)&lt;=sn_N,sn_N&lt;=MAX($E1067,$E1068)),IF($E1067=$E1068,MIN($F1067,$F1068),$F1067+(sn_N-$E1067)*($F1068-$F1067)/($E1068-$E1067)),"")</f>
        <v/>
      </c>
      <c r="J1067">
        <f>MAX(-fyd_sn,MIN(fyd_sn,200000*0.002*(1-$C1067*(7*J$9-3*sn_h)/(4*sn_h))))-fcd_sn*(1-MIN(1,MAX(0,$C1067*(7*J$9-3*sn_h)/(4*sn_h)))^2)</f>
        <v/>
      </c>
      <c r="K1067">
        <f>MAX(-fyd_sn,MIN(fyd_sn,200000*0.002*(1-$C1067*(7*K$9-3*sn_h)/(4*sn_h))))-fcd_sn*(1-MIN(1,MAX(0,$C1067*(7*K$9-3*sn_h)/(4*sn_h)))^2)</f>
        <v/>
      </c>
    </row>
    <row r="1068">
      <c r="B1068" s="55" t="n">
        <v>77</v>
      </c>
      <c r="C1068" s="56">
        <f>IF(77&lt;posH_sn,1-77/200,IF(77=posH_sn,tstH_sn,1-(77-1)/200))</f>
        <v/>
      </c>
      <c r="D1068" s="59">
        <f>IF($C1068&gt;=1,sn_h,3/7*sn_h+4/7*sn_h/MAX($C1068,1E-12))</f>
        <v/>
      </c>
      <c r="E1068" s="57">
        <f>(fcd_sn*sn_b*sn_h*(3/7+4/7*(1-$C1068^2/3))+SUMPRODUCT($J$8:$K$8,$J1068:$K1068))/1000</f>
        <v/>
      </c>
      <c r="F1068" s="57">
        <f>-((fcd_sn*sn_b*(3/14*sn_h*(sn_h-3/7*sn_h)+4/7*sn_h*(sn_h/2-3/7*sn_h)*(1-$C1068^2/3)-16/49*sn_h^2*(1/2-$C1068^2/4))+SUMPRODUCT($J$8:$K$8,$J1068:$K1068,$J$10:$K$10))/1E6)</f>
        <v/>
      </c>
      <c r="G1068" s="57">
        <f>IF(AND(MIN($E1068,$E1069)&lt;=sn_N,sn_N&lt;=MAX($E1068,$E1069)),IF($E1068=$E1069,MAX($F1068,$F1069),$F1068+(sn_N-$E1068)*($F1069-$F1068)/($E1069-$E1068)),"")</f>
        <v/>
      </c>
      <c r="H1068" s="57">
        <f>IF(AND(MIN($E1068,$E1069)&lt;=sn_N,sn_N&lt;=MAX($E1068,$E1069)),IF($E1068=$E1069,MIN($F1068,$F1069),$F1068+(sn_N-$E1068)*($F1069-$F1068)/($E1069-$E1068)),"")</f>
        <v/>
      </c>
      <c r="J1068">
        <f>MAX(-fyd_sn,MIN(fyd_sn,200000*0.002*(1-$C1068*(7*J$9-3*sn_h)/(4*sn_h))))-fcd_sn*(1-MIN(1,MAX(0,$C1068*(7*J$9-3*sn_h)/(4*sn_h)))^2)</f>
        <v/>
      </c>
      <c r="K1068">
        <f>MAX(-fyd_sn,MIN(fyd_sn,200000*0.002*(1-$C1068*(7*K$9-3*sn_h)/(4*sn_h))))-fcd_sn*(1-MIN(1,MAX(0,$C1068*(7*K$9-3*sn_h)/(4*sn_h)))^2)</f>
        <v/>
      </c>
    </row>
    <row r="1069">
      <c r="B1069" s="55" t="n">
        <v>78</v>
      </c>
      <c r="C1069" s="56">
        <f>IF(78&lt;posH_sn,1-78/200,IF(78=posH_sn,tstH_sn,1-(78-1)/200))</f>
        <v/>
      </c>
      <c r="D1069" s="59">
        <f>IF($C1069&gt;=1,sn_h,3/7*sn_h+4/7*sn_h/MAX($C1069,1E-12))</f>
        <v/>
      </c>
      <c r="E1069" s="57">
        <f>(fcd_sn*sn_b*sn_h*(3/7+4/7*(1-$C1069^2/3))+SUMPRODUCT($J$8:$K$8,$J1069:$K1069))/1000</f>
        <v/>
      </c>
      <c r="F1069" s="57">
        <f>-((fcd_sn*sn_b*(3/14*sn_h*(sn_h-3/7*sn_h)+4/7*sn_h*(sn_h/2-3/7*sn_h)*(1-$C1069^2/3)-16/49*sn_h^2*(1/2-$C1069^2/4))+SUMPRODUCT($J$8:$K$8,$J1069:$K1069,$J$10:$K$10))/1E6)</f>
        <v/>
      </c>
      <c r="G1069" s="57">
        <f>IF(AND(MIN($E1069,$E1070)&lt;=sn_N,sn_N&lt;=MAX($E1069,$E1070)),IF($E1069=$E1070,MAX($F1069,$F1070),$F1069+(sn_N-$E1069)*($F1070-$F1069)/($E1070-$E1069)),"")</f>
        <v/>
      </c>
      <c r="H1069" s="57">
        <f>IF(AND(MIN($E1069,$E1070)&lt;=sn_N,sn_N&lt;=MAX($E1069,$E1070)),IF($E1069=$E1070,MIN($F1069,$F1070),$F1069+(sn_N-$E1069)*($F1070-$F1069)/($E1070-$E1069)),"")</f>
        <v/>
      </c>
      <c r="J1069">
        <f>MAX(-fyd_sn,MIN(fyd_sn,200000*0.002*(1-$C1069*(7*J$9-3*sn_h)/(4*sn_h))))-fcd_sn*(1-MIN(1,MAX(0,$C1069*(7*J$9-3*sn_h)/(4*sn_h)))^2)</f>
        <v/>
      </c>
      <c r="K1069">
        <f>MAX(-fyd_sn,MIN(fyd_sn,200000*0.002*(1-$C1069*(7*K$9-3*sn_h)/(4*sn_h))))-fcd_sn*(1-MIN(1,MAX(0,$C1069*(7*K$9-3*sn_h)/(4*sn_h)))^2)</f>
        <v/>
      </c>
    </row>
    <row r="1070">
      <c r="B1070" s="55" t="n">
        <v>79</v>
      </c>
      <c r="C1070" s="56">
        <f>IF(79&lt;posH_sn,1-79/200,IF(79=posH_sn,tstH_sn,1-(79-1)/200))</f>
        <v/>
      </c>
      <c r="D1070" s="59">
        <f>IF($C1070&gt;=1,sn_h,3/7*sn_h+4/7*sn_h/MAX($C1070,1E-12))</f>
        <v/>
      </c>
      <c r="E1070" s="57">
        <f>(fcd_sn*sn_b*sn_h*(3/7+4/7*(1-$C1070^2/3))+SUMPRODUCT($J$8:$K$8,$J1070:$K1070))/1000</f>
        <v/>
      </c>
      <c r="F1070" s="57">
        <f>-((fcd_sn*sn_b*(3/14*sn_h*(sn_h-3/7*sn_h)+4/7*sn_h*(sn_h/2-3/7*sn_h)*(1-$C1070^2/3)-16/49*sn_h^2*(1/2-$C1070^2/4))+SUMPRODUCT($J$8:$K$8,$J1070:$K1070,$J$10:$K$10))/1E6)</f>
        <v/>
      </c>
      <c r="G1070" s="57">
        <f>IF(AND(MIN($E1070,$E1071)&lt;=sn_N,sn_N&lt;=MAX($E1070,$E1071)),IF($E1070=$E1071,MAX($F1070,$F1071),$F1070+(sn_N-$E1070)*($F1071-$F1070)/($E1071-$E1070)),"")</f>
        <v/>
      </c>
      <c r="H1070" s="57">
        <f>IF(AND(MIN($E1070,$E1071)&lt;=sn_N,sn_N&lt;=MAX($E1070,$E1071)),IF($E1070=$E1071,MIN($F1070,$F1071),$F1070+(sn_N-$E1070)*($F1071-$F1070)/($E1071-$E1070)),"")</f>
        <v/>
      </c>
      <c r="J1070">
        <f>MAX(-fyd_sn,MIN(fyd_sn,200000*0.002*(1-$C1070*(7*J$9-3*sn_h)/(4*sn_h))))-fcd_sn*(1-MIN(1,MAX(0,$C1070*(7*J$9-3*sn_h)/(4*sn_h)))^2)</f>
        <v/>
      </c>
      <c r="K1070">
        <f>MAX(-fyd_sn,MIN(fyd_sn,200000*0.002*(1-$C1070*(7*K$9-3*sn_h)/(4*sn_h))))-fcd_sn*(1-MIN(1,MAX(0,$C1070*(7*K$9-3*sn_h)/(4*sn_h)))^2)</f>
        <v/>
      </c>
    </row>
    <row r="1071">
      <c r="B1071" s="55" t="n">
        <v>80</v>
      </c>
      <c r="C1071" s="56">
        <f>IF(80&lt;posH_sn,1-80/200,IF(80=posH_sn,tstH_sn,1-(80-1)/200))</f>
        <v/>
      </c>
      <c r="D1071" s="59">
        <f>IF($C1071&gt;=1,sn_h,3/7*sn_h+4/7*sn_h/MAX($C1071,1E-12))</f>
        <v/>
      </c>
      <c r="E1071" s="57">
        <f>(fcd_sn*sn_b*sn_h*(3/7+4/7*(1-$C1071^2/3))+SUMPRODUCT($J$8:$K$8,$J1071:$K1071))/1000</f>
        <v/>
      </c>
      <c r="F1071" s="57">
        <f>-((fcd_sn*sn_b*(3/14*sn_h*(sn_h-3/7*sn_h)+4/7*sn_h*(sn_h/2-3/7*sn_h)*(1-$C1071^2/3)-16/49*sn_h^2*(1/2-$C1071^2/4))+SUMPRODUCT($J$8:$K$8,$J1071:$K1071,$J$10:$K$10))/1E6)</f>
        <v/>
      </c>
      <c r="G1071" s="57">
        <f>IF(AND(MIN($E1071,$E1072)&lt;=sn_N,sn_N&lt;=MAX($E1071,$E1072)),IF($E1071=$E1072,MAX($F1071,$F1072),$F1071+(sn_N-$E1071)*($F1072-$F1071)/($E1072-$E1071)),"")</f>
        <v/>
      </c>
      <c r="H1071" s="57">
        <f>IF(AND(MIN($E1071,$E1072)&lt;=sn_N,sn_N&lt;=MAX($E1071,$E1072)),IF($E1071=$E1072,MIN($F1071,$F1072),$F1071+(sn_N-$E1071)*($F1072-$F1071)/($E1072-$E1071)),"")</f>
        <v/>
      </c>
      <c r="J1071">
        <f>MAX(-fyd_sn,MIN(fyd_sn,200000*0.002*(1-$C1071*(7*J$9-3*sn_h)/(4*sn_h))))-fcd_sn*(1-MIN(1,MAX(0,$C1071*(7*J$9-3*sn_h)/(4*sn_h)))^2)</f>
        <v/>
      </c>
      <c r="K1071">
        <f>MAX(-fyd_sn,MIN(fyd_sn,200000*0.002*(1-$C1071*(7*K$9-3*sn_h)/(4*sn_h))))-fcd_sn*(1-MIN(1,MAX(0,$C1071*(7*K$9-3*sn_h)/(4*sn_h)))^2)</f>
        <v/>
      </c>
    </row>
    <row r="1072">
      <c r="B1072" s="55" t="n">
        <v>81</v>
      </c>
      <c r="C1072" s="56">
        <f>IF(81&lt;posH_sn,1-81/200,IF(81=posH_sn,tstH_sn,1-(81-1)/200))</f>
        <v/>
      </c>
      <c r="D1072" s="59">
        <f>IF($C1072&gt;=1,sn_h,3/7*sn_h+4/7*sn_h/MAX($C1072,1E-12))</f>
        <v/>
      </c>
      <c r="E1072" s="57">
        <f>(fcd_sn*sn_b*sn_h*(3/7+4/7*(1-$C1072^2/3))+SUMPRODUCT($J$8:$K$8,$J1072:$K1072))/1000</f>
        <v/>
      </c>
      <c r="F1072" s="57">
        <f>-((fcd_sn*sn_b*(3/14*sn_h*(sn_h-3/7*sn_h)+4/7*sn_h*(sn_h/2-3/7*sn_h)*(1-$C1072^2/3)-16/49*sn_h^2*(1/2-$C1072^2/4))+SUMPRODUCT($J$8:$K$8,$J1072:$K1072,$J$10:$K$10))/1E6)</f>
        <v/>
      </c>
      <c r="G1072" s="57">
        <f>IF(AND(MIN($E1072,$E1073)&lt;=sn_N,sn_N&lt;=MAX($E1072,$E1073)),IF($E1072=$E1073,MAX($F1072,$F1073),$F1072+(sn_N-$E1072)*($F1073-$F1072)/($E1073-$E1072)),"")</f>
        <v/>
      </c>
      <c r="H1072" s="57">
        <f>IF(AND(MIN($E1072,$E1073)&lt;=sn_N,sn_N&lt;=MAX($E1072,$E1073)),IF($E1072=$E1073,MIN($F1072,$F1073),$F1072+(sn_N-$E1072)*($F1073-$F1072)/($E1073-$E1072)),"")</f>
        <v/>
      </c>
      <c r="J1072">
        <f>MAX(-fyd_sn,MIN(fyd_sn,200000*0.002*(1-$C1072*(7*J$9-3*sn_h)/(4*sn_h))))-fcd_sn*(1-MIN(1,MAX(0,$C1072*(7*J$9-3*sn_h)/(4*sn_h)))^2)</f>
        <v/>
      </c>
      <c r="K1072">
        <f>MAX(-fyd_sn,MIN(fyd_sn,200000*0.002*(1-$C1072*(7*K$9-3*sn_h)/(4*sn_h))))-fcd_sn*(1-MIN(1,MAX(0,$C1072*(7*K$9-3*sn_h)/(4*sn_h)))^2)</f>
        <v/>
      </c>
    </row>
    <row r="1073">
      <c r="B1073" s="55" t="n">
        <v>82</v>
      </c>
      <c r="C1073" s="56">
        <f>IF(82&lt;posH_sn,1-82/200,IF(82=posH_sn,tstH_sn,1-(82-1)/200))</f>
        <v/>
      </c>
      <c r="D1073" s="59">
        <f>IF($C1073&gt;=1,sn_h,3/7*sn_h+4/7*sn_h/MAX($C1073,1E-12))</f>
        <v/>
      </c>
      <c r="E1073" s="57">
        <f>(fcd_sn*sn_b*sn_h*(3/7+4/7*(1-$C1073^2/3))+SUMPRODUCT($J$8:$K$8,$J1073:$K1073))/1000</f>
        <v/>
      </c>
      <c r="F1073" s="57">
        <f>-((fcd_sn*sn_b*(3/14*sn_h*(sn_h-3/7*sn_h)+4/7*sn_h*(sn_h/2-3/7*sn_h)*(1-$C1073^2/3)-16/49*sn_h^2*(1/2-$C1073^2/4))+SUMPRODUCT($J$8:$K$8,$J1073:$K1073,$J$10:$K$10))/1E6)</f>
        <v/>
      </c>
      <c r="G1073" s="57">
        <f>IF(AND(MIN($E1073,$E1074)&lt;=sn_N,sn_N&lt;=MAX($E1073,$E1074)),IF($E1073=$E1074,MAX($F1073,$F1074),$F1073+(sn_N-$E1073)*($F1074-$F1073)/($E1074-$E1073)),"")</f>
        <v/>
      </c>
      <c r="H1073" s="57">
        <f>IF(AND(MIN($E1073,$E1074)&lt;=sn_N,sn_N&lt;=MAX($E1073,$E1074)),IF($E1073=$E1074,MIN($F1073,$F1074),$F1073+(sn_N-$E1073)*($F1074-$F1073)/($E1074-$E1073)),"")</f>
        <v/>
      </c>
      <c r="J1073">
        <f>MAX(-fyd_sn,MIN(fyd_sn,200000*0.002*(1-$C1073*(7*J$9-3*sn_h)/(4*sn_h))))-fcd_sn*(1-MIN(1,MAX(0,$C1073*(7*J$9-3*sn_h)/(4*sn_h)))^2)</f>
        <v/>
      </c>
      <c r="K1073">
        <f>MAX(-fyd_sn,MIN(fyd_sn,200000*0.002*(1-$C1073*(7*K$9-3*sn_h)/(4*sn_h))))-fcd_sn*(1-MIN(1,MAX(0,$C1073*(7*K$9-3*sn_h)/(4*sn_h)))^2)</f>
        <v/>
      </c>
    </row>
    <row r="1074">
      <c r="B1074" s="55" t="n">
        <v>83</v>
      </c>
      <c r="C1074" s="56">
        <f>IF(83&lt;posH_sn,1-83/200,IF(83=posH_sn,tstH_sn,1-(83-1)/200))</f>
        <v/>
      </c>
      <c r="D1074" s="59">
        <f>IF($C1074&gt;=1,sn_h,3/7*sn_h+4/7*sn_h/MAX($C1074,1E-12))</f>
        <v/>
      </c>
      <c r="E1074" s="57">
        <f>(fcd_sn*sn_b*sn_h*(3/7+4/7*(1-$C1074^2/3))+SUMPRODUCT($J$8:$K$8,$J1074:$K1074))/1000</f>
        <v/>
      </c>
      <c r="F1074" s="57">
        <f>-((fcd_sn*sn_b*(3/14*sn_h*(sn_h-3/7*sn_h)+4/7*sn_h*(sn_h/2-3/7*sn_h)*(1-$C1074^2/3)-16/49*sn_h^2*(1/2-$C1074^2/4))+SUMPRODUCT($J$8:$K$8,$J1074:$K1074,$J$10:$K$10))/1E6)</f>
        <v/>
      </c>
      <c r="G1074" s="57">
        <f>IF(AND(MIN($E1074,$E1075)&lt;=sn_N,sn_N&lt;=MAX($E1074,$E1075)),IF($E1074=$E1075,MAX($F1074,$F1075),$F1074+(sn_N-$E1074)*($F1075-$F1074)/($E1075-$E1074)),"")</f>
        <v/>
      </c>
      <c r="H1074" s="57">
        <f>IF(AND(MIN($E1074,$E1075)&lt;=sn_N,sn_N&lt;=MAX($E1074,$E1075)),IF($E1074=$E1075,MIN($F1074,$F1075),$F1074+(sn_N-$E1074)*($F1075-$F1074)/($E1075-$E1074)),"")</f>
        <v/>
      </c>
      <c r="J1074">
        <f>MAX(-fyd_sn,MIN(fyd_sn,200000*0.002*(1-$C1074*(7*J$9-3*sn_h)/(4*sn_h))))-fcd_sn*(1-MIN(1,MAX(0,$C1074*(7*J$9-3*sn_h)/(4*sn_h)))^2)</f>
        <v/>
      </c>
      <c r="K1074">
        <f>MAX(-fyd_sn,MIN(fyd_sn,200000*0.002*(1-$C1074*(7*K$9-3*sn_h)/(4*sn_h))))-fcd_sn*(1-MIN(1,MAX(0,$C1074*(7*K$9-3*sn_h)/(4*sn_h)))^2)</f>
        <v/>
      </c>
    </row>
    <row r="1075">
      <c r="B1075" s="55" t="n">
        <v>84</v>
      </c>
      <c r="C1075" s="56">
        <f>IF(84&lt;posH_sn,1-84/200,IF(84=posH_sn,tstH_sn,1-(84-1)/200))</f>
        <v/>
      </c>
      <c r="D1075" s="59">
        <f>IF($C1075&gt;=1,sn_h,3/7*sn_h+4/7*sn_h/MAX($C1075,1E-12))</f>
        <v/>
      </c>
      <c r="E1075" s="57">
        <f>(fcd_sn*sn_b*sn_h*(3/7+4/7*(1-$C1075^2/3))+SUMPRODUCT($J$8:$K$8,$J1075:$K1075))/1000</f>
        <v/>
      </c>
      <c r="F1075" s="57">
        <f>-((fcd_sn*sn_b*(3/14*sn_h*(sn_h-3/7*sn_h)+4/7*sn_h*(sn_h/2-3/7*sn_h)*(1-$C1075^2/3)-16/49*sn_h^2*(1/2-$C1075^2/4))+SUMPRODUCT($J$8:$K$8,$J1075:$K1075,$J$10:$K$10))/1E6)</f>
        <v/>
      </c>
      <c r="G1075" s="57">
        <f>IF(AND(MIN($E1075,$E1076)&lt;=sn_N,sn_N&lt;=MAX($E1075,$E1076)),IF($E1075=$E1076,MAX($F1075,$F1076),$F1075+(sn_N-$E1075)*($F1076-$F1075)/($E1076-$E1075)),"")</f>
        <v/>
      </c>
      <c r="H1075" s="57">
        <f>IF(AND(MIN($E1075,$E1076)&lt;=sn_N,sn_N&lt;=MAX($E1075,$E1076)),IF($E1075=$E1076,MIN($F1075,$F1076),$F1075+(sn_N-$E1075)*($F1076-$F1075)/($E1076-$E1075)),"")</f>
        <v/>
      </c>
      <c r="J1075">
        <f>MAX(-fyd_sn,MIN(fyd_sn,200000*0.002*(1-$C1075*(7*J$9-3*sn_h)/(4*sn_h))))-fcd_sn*(1-MIN(1,MAX(0,$C1075*(7*J$9-3*sn_h)/(4*sn_h)))^2)</f>
        <v/>
      </c>
      <c r="K1075">
        <f>MAX(-fyd_sn,MIN(fyd_sn,200000*0.002*(1-$C1075*(7*K$9-3*sn_h)/(4*sn_h))))-fcd_sn*(1-MIN(1,MAX(0,$C1075*(7*K$9-3*sn_h)/(4*sn_h)))^2)</f>
        <v/>
      </c>
    </row>
    <row r="1076">
      <c r="B1076" s="55" t="n">
        <v>85</v>
      </c>
      <c r="C1076" s="56">
        <f>IF(85&lt;posH_sn,1-85/200,IF(85=posH_sn,tstH_sn,1-(85-1)/200))</f>
        <v/>
      </c>
      <c r="D1076" s="59">
        <f>IF($C1076&gt;=1,sn_h,3/7*sn_h+4/7*sn_h/MAX($C1076,1E-12))</f>
        <v/>
      </c>
      <c r="E1076" s="57">
        <f>(fcd_sn*sn_b*sn_h*(3/7+4/7*(1-$C1076^2/3))+SUMPRODUCT($J$8:$K$8,$J1076:$K1076))/1000</f>
        <v/>
      </c>
      <c r="F1076" s="57">
        <f>-((fcd_sn*sn_b*(3/14*sn_h*(sn_h-3/7*sn_h)+4/7*sn_h*(sn_h/2-3/7*sn_h)*(1-$C1076^2/3)-16/49*sn_h^2*(1/2-$C1076^2/4))+SUMPRODUCT($J$8:$K$8,$J1076:$K1076,$J$10:$K$10))/1E6)</f>
        <v/>
      </c>
      <c r="G1076" s="57">
        <f>IF(AND(MIN($E1076,$E1077)&lt;=sn_N,sn_N&lt;=MAX($E1076,$E1077)),IF($E1076=$E1077,MAX($F1076,$F1077),$F1076+(sn_N-$E1076)*($F1077-$F1076)/($E1077-$E1076)),"")</f>
        <v/>
      </c>
      <c r="H1076" s="57">
        <f>IF(AND(MIN($E1076,$E1077)&lt;=sn_N,sn_N&lt;=MAX($E1076,$E1077)),IF($E1076=$E1077,MIN($F1076,$F1077),$F1076+(sn_N-$E1076)*($F1077-$F1076)/($E1077-$E1076)),"")</f>
        <v/>
      </c>
      <c r="J1076">
        <f>MAX(-fyd_sn,MIN(fyd_sn,200000*0.002*(1-$C1076*(7*J$9-3*sn_h)/(4*sn_h))))-fcd_sn*(1-MIN(1,MAX(0,$C1076*(7*J$9-3*sn_h)/(4*sn_h)))^2)</f>
        <v/>
      </c>
      <c r="K1076">
        <f>MAX(-fyd_sn,MIN(fyd_sn,200000*0.002*(1-$C1076*(7*K$9-3*sn_h)/(4*sn_h))))-fcd_sn*(1-MIN(1,MAX(0,$C1076*(7*K$9-3*sn_h)/(4*sn_h)))^2)</f>
        <v/>
      </c>
    </row>
    <row r="1077">
      <c r="B1077" s="55" t="n">
        <v>86</v>
      </c>
      <c r="C1077" s="56">
        <f>IF(86&lt;posH_sn,1-86/200,IF(86=posH_sn,tstH_sn,1-(86-1)/200))</f>
        <v/>
      </c>
      <c r="D1077" s="59">
        <f>IF($C1077&gt;=1,sn_h,3/7*sn_h+4/7*sn_h/MAX($C1077,1E-12))</f>
        <v/>
      </c>
      <c r="E1077" s="57">
        <f>(fcd_sn*sn_b*sn_h*(3/7+4/7*(1-$C1077^2/3))+SUMPRODUCT($J$8:$K$8,$J1077:$K1077))/1000</f>
        <v/>
      </c>
      <c r="F1077" s="57">
        <f>-((fcd_sn*sn_b*(3/14*sn_h*(sn_h-3/7*sn_h)+4/7*sn_h*(sn_h/2-3/7*sn_h)*(1-$C1077^2/3)-16/49*sn_h^2*(1/2-$C1077^2/4))+SUMPRODUCT($J$8:$K$8,$J1077:$K1077,$J$10:$K$10))/1E6)</f>
        <v/>
      </c>
      <c r="G1077" s="57">
        <f>IF(AND(MIN($E1077,$E1078)&lt;=sn_N,sn_N&lt;=MAX($E1077,$E1078)),IF($E1077=$E1078,MAX($F1077,$F1078),$F1077+(sn_N-$E1077)*($F1078-$F1077)/($E1078-$E1077)),"")</f>
        <v/>
      </c>
      <c r="H1077" s="57">
        <f>IF(AND(MIN($E1077,$E1078)&lt;=sn_N,sn_N&lt;=MAX($E1077,$E1078)),IF($E1077=$E1078,MIN($F1077,$F1078),$F1077+(sn_N-$E1077)*($F1078-$F1077)/($E1078-$E1077)),"")</f>
        <v/>
      </c>
      <c r="J1077">
        <f>MAX(-fyd_sn,MIN(fyd_sn,200000*0.002*(1-$C1077*(7*J$9-3*sn_h)/(4*sn_h))))-fcd_sn*(1-MIN(1,MAX(0,$C1077*(7*J$9-3*sn_h)/(4*sn_h)))^2)</f>
        <v/>
      </c>
      <c r="K1077">
        <f>MAX(-fyd_sn,MIN(fyd_sn,200000*0.002*(1-$C1077*(7*K$9-3*sn_h)/(4*sn_h))))-fcd_sn*(1-MIN(1,MAX(0,$C1077*(7*K$9-3*sn_h)/(4*sn_h)))^2)</f>
        <v/>
      </c>
    </row>
    <row r="1078">
      <c r="B1078" s="55" t="n">
        <v>87</v>
      </c>
      <c r="C1078" s="56">
        <f>IF(87&lt;posH_sn,1-87/200,IF(87=posH_sn,tstH_sn,1-(87-1)/200))</f>
        <v/>
      </c>
      <c r="D1078" s="59">
        <f>IF($C1078&gt;=1,sn_h,3/7*sn_h+4/7*sn_h/MAX($C1078,1E-12))</f>
        <v/>
      </c>
      <c r="E1078" s="57">
        <f>(fcd_sn*sn_b*sn_h*(3/7+4/7*(1-$C1078^2/3))+SUMPRODUCT($J$8:$K$8,$J1078:$K1078))/1000</f>
        <v/>
      </c>
      <c r="F1078" s="57">
        <f>-((fcd_sn*sn_b*(3/14*sn_h*(sn_h-3/7*sn_h)+4/7*sn_h*(sn_h/2-3/7*sn_h)*(1-$C1078^2/3)-16/49*sn_h^2*(1/2-$C1078^2/4))+SUMPRODUCT($J$8:$K$8,$J1078:$K1078,$J$10:$K$10))/1E6)</f>
        <v/>
      </c>
      <c r="G1078" s="57">
        <f>IF(AND(MIN($E1078,$E1079)&lt;=sn_N,sn_N&lt;=MAX($E1078,$E1079)),IF($E1078=$E1079,MAX($F1078,$F1079),$F1078+(sn_N-$E1078)*($F1079-$F1078)/($E1079-$E1078)),"")</f>
        <v/>
      </c>
      <c r="H1078" s="57">
        <f>IF(AND(MIN($E1078,$E1079)&lt;=sn_N,sn_N&lt;=MAX($E1078,$E1079)),IF($E1078=$E1079,MIN($F1078,$F1079),$F1078+(sn_N-$E1078)*($F1079-$F1078)/($E1079-$E1078)),"")</f>
        <v/>
      </c>
      <c r="J1078">
        <f>MAX(-fyd_sn,MIN(fyd_sn,200000*0.002*(1-$C1078*(7*J$9-3*sn_h)/(4*sn_h))))-fcd_sn*(1-MIN(1,MAX(0,$C1078*(7*J$9-3*sn_h)/(4*sn_h)))^2)</f>
        <v/>
      </c>
      <c r="K1078">
        <f>MAX(-fyd_sn,MIN(fyd_sn,200000*0.002*(1-$C1078*(7*K$9-3*sn_h)/(4*sn_h))))-fcd_sn*(1-MIN(1,MAX(0,$C1078*(7*K$9-3*sn_h)/(4*sn_h)))^2)</f>
        <v/>
      </c>
    </row>
    <row r="1079">
      <c r="B1079" s="55" t="n">
        <v>88</v>
      </c>
      <c r="C1079" s="56">
        <f>IF(88&lt;posH_sn,1-88/200,IF(88=posH_sn,tstH_sn,1-(88-1)/200))</f>
        <v/>
      </c>
      <c r="D1079" s="59">
        <f>IF($C1079&gt;=1,sn_h,3/7*sn_h+4/7*sn_h/MAX($C1079,1E-12))</f>
        <v/>
      </c>
      <c r="E1079" s="57">
        <f>(fcd_sn*sn_b*sn_h*(3/7+4/7*(1-$C1079^2/3))+SUMPRODUCT($J$8:$K$8,$J1079:$K1079))/1000</f>
        <v/>
      </c>
      <c r="F1079" s="57">
        <f>-((fcd_sn*sn_b*(3/14*sn_h*(sn_h-3/7*sn_h)+4/7*sn_h*(sn_h/2-3/7*sn_h)*(1-$C1079^2/3)-16/49*sn_h^2*(1/2-$C1079^2/4))+SUMPRODUCT($J$8:$K$8,$J1079:$K1079,$J$10:$K$10))/1E6)</f>
        <v/>
      </c>
      <c r="G1079" s="57">
        <f>IF(AND(MIN($E1079,$E1080)&lt;=sn_N,sn_N&lt;=MAX($E1079,$E1080)),IF($E1079=$E1080,MAX($F1079,$F1080),$F1079+(sn_N-$E1079)*($F1080-$F1079)/($E1080-$E1079)),"")</f>
        <v/>
      </c>
      <c r="H1079" s="57">
        <f>IF(AND(MIN($E1079,$E1080)&lt;=sn_N,sn_N&lt;=MAX($E1079,$E1080)),IF($E1079=$E1080,MIN($F1079,$F1080),$F1079+(sn_N-$E1079)*($F1080-$F1079)/($E1080-$E1079)),"")</f>
        <v/>
      </c>
      <c r="J1079">
        <f>MAX(-fyd_sn,MIN(fyd_sn,200000*0.002*(1-$C1079*(7*J$9-3*sn_h)/(4*sn_h))))-fcd_sn*(1-MIN(1,MAX(0,$C1079*(7*J$9-3*sn_h)/(4*sn_h)))^2)</f>
        <v/>
      </c>
      <c r="K1079">
        <f>MAX(-fyd_sn,MIN(fyd_sn,200000*0.002*(1-$C1079*(7*K$9-3*sn_h)/(4*sn_h))))-fcd_sn*(1-MIN(1,MAX(0,$C1079*(7*K$9-3*sn_h)/(4*sn_h)))^2)</f>
        <v/>
      </c>
    </row>
    <row r="1080">
      <c r="B1080" s="55" t="n">
        <v>89</v>
      </c>
      <c r="C1080" s="56">
        <f>IF(89&lt;posH_sn,1-89/200,IF(89=posH_sn,tstH_sn,1-(89-1)/200))</f>
        <v/>
      </c>
      <c r="D1080" s="59">
        <f>IF($C1080&gt;=1,sn_h,3/7*sn_h+4/7*sn_h/MAX($C1080,1E-12))</f>
        <v/>
      </c>
      <c r="E1080" s="57">
        <f>(fcd_sn*sn_b*sn_h*(3/7+4/7*(1-$C1080^2/3))+SUMPRODUCT($J$8:$K$8,$J1080:$K1080))/1000</f>
        <v/>
      </c>
      <c r="F1080" s="57">
        <f>-((fcd_sn*sn_b*(3/14*sn_h*(sn_h-3/7*sn_h)+4/7*sn_h*(sn_h/2-3/7*sn_h)*(1-$C1080^2/3)-16/49*sn_h^2*(1/2-$C1080^2/4))+SUMPRODUCT($J$8:$K$8,$J1080:$K1080,$J$10:$K$10))/1E6)</f>
        <v/>
      </c>
      <c r="G1080" s="57">
        <f>IF(AND(MIN($E1080,$E1081)&lt;=sn_N,sn_N&lt;=MAX($E1080,$E1081)),IF($E1080=$E1081,MAX($F1080,$F1081),$F1080+(sn_N-$E1080)*($F1081-$F1080)/($E1081-$E1080)),"")</f>
        <v/>
      </c>
      <c r="H1080" s="57">
        <f>IF(AND(MIN($E1080,$E1081)&lt;=sn_N,sn_N&lt;=MAX($E1080,$E1081)),IF($E1080=$E1081,MIN($F1080,$F1081),$F1080+(sn_N-$E1080)*($F1081-$F1080)/($E1081-$E1080)),"")</f>
        <v/>
      </c>
      <c r="J1080">
        <f>MAX(-fyd_sn,MIN(fyd_sn,200000*0.002*(1-$C1080*(7*J$9-3*sn_h)/(4*sn_h))))-fcd_sn*(1-MIN(1,MAX(0,$C1080*(7*J$9-3*sn_h)/(4*sn_h)))^2)</f>
        <v/>
      </c>
      <c r="K1080">
        <f>MAX(-fyd_sn,MIN(fyd_sn,200000*0.002*(1-$C1080*(7*K$9-3*sn_h)/(4*sn_h))))-fcd_sn*(1-MIN(1,MAX(0,$C1080*(7*K$9-3*sn_h)/(4*sn_h)))^2)</f>
        <v/>
      </c>
    </row>
    <row r="1081">
      <c r="B1081" s="55" t="n">
        <v>90</v>
      </c>
      <c r="C1081" s="56">
        <f>IF(90&lt;posH_sn,1-90/200,IF(90=posH_sn,tstH_sn,1-(90-1)/200))</f>
        <v/>
      </c>
      <c r="D1081" s="59">
        <f>IF($C1081&gt;=1,sn_h,3/7*sn_h+4/7*sn_h/MAX($C1081,1E-12))</f>
        <v/>
      </c>
      <c r="E1081" s="57">
        <f>(fcd_sn*sn_b*sn_h*(3/7+4/7*(1-$C1081^2/3))+SUMPRODUCT($J$8:$K$8,$J1081:$K1081))/1000</f>
        <v/>
      </c>
      <c r="F1081" s="57">
        <f>-((fcd_sn*sn_b*(3/14*sn_h*(sn_h-3/7*sn_h)+4/7*sn_h*(sn_h/2-3/7*sn_h)*(1-$C1081^2/3)-16/49*sn_h^2*(1/2-$C1081^2/4))+SUMPRODUCT($J$8:$K$8,$J1081:$K1081,$J$10:$K$10))/1E6)</f>
        <v/>
      </c>
      <c r="G1081" s="57">
        <f>IF(AND(MIN($E1081,$E1082)&lt;=sn_N,sn_N&lt;=MAX($E1081,$E1082)),IF($E1081=$E1082,MAX($F1081,$F1082),$F1081+(sn_N-$E1081)*($F1082-$F1081)/($E1082-$E1081)),"")</f>
        <v/>
      </c>
      <c r="H1081" s="57">
        <f>IF(AND(MIN($E1081,$E1082)&lt;=sn_N,sn_N&lt;=MAX($E1081,$E1082)),IF($E1081=$E1082,MIN($F1081,$F1082),$F1081+(sn_N-$E1081)*($F1082-$F1081)/($E1082-$E1081)),"")</f>
        <v/>
      </c>
      <c r="J1081">
        <f>MAX(-fyd_sn,MIN(fyd_sn,200000*0.002*(1-$C1081*(7*J$9-3*sn_h)/(4*sn_h))))-fcd_sn*(1-MIN(1,MAX(0,$C1081*(7*J$9-3*sn_h)/(4*sn_h)))^2)</f>
        <v/>
      </c>
      <c r="K1081">
        <f>MAX(-fyd_sn,MIN(fyd_sn,200000*0.002*(1-$C1081*(7*K$9-3*sn_h)/(4*sn_h))))-fcd_sn*(1-MIN(1,MAX(0,$C1081*(7*K$9-3*sn_h)/(4*sn_h)))^2)</f>
        <v/>
      </c>
    </row>
    <row r="1082">
      <c r="B1082" s="55" t="n">
        <v>91</v>
      </c>
      <c r="C1082" s="56">
        <f>IF(91&lt;posH_sn,1-91/200,IF(91=posH_sn,tstH_sn,1-(91-1)/200))</f>
        <v/>
      </c>
      <c r="D1082" s="59">
        <f>IF($C1082&gt;=1,sn_h,3/7*sn_h+4/7*sn_h/MAX($C1082,1E-12))</f>
        <v/>
      </c>
      <c r="E1082" s="57">
        <f>(fcd_sn*sn_b*sn_h*(3/7+4/7*(1-$C1082^2/3))+SUMPRODUCT($J$8:$K$8,$J1082:$K1082))/1000</f>
        <v/>
      </c>
      <c r="F1082" s="57">
        <f>-((fcd_sn*sn_b*(3/14*sn_h*(sn_h-3/7*sn_h)+4/7*sn_h*(sn_h/2-3/7*sn_h)*(1-$C1082^2/3)-16/49*sn_h^2*(1/2-$C1082^2/4))+SUMPRODUCT($J$8:$K$8,$J1082:$K1082,$J$10:$K$10))/1E6)</f>
        <v/>
      </c>
      <c r="G1082" s="57">
        <f>IF(AND(MIN($E1082,$E1083)&lt;=sn_N,sn_N&lt;=MAX($E1082,$E1083)),IF($E1082=$E1083,MAX($F1082,$F1083),$F1082+(sn_N-$E1082)*($F1083-$F1082)/($E1083-$E1082)),"")</f>
        <v/>
      </c>
      <c r="H1082" s="57">
        <f>IF(AND(MIN($E1082,$E1083)&lt;=sn_N,sn_N&lt;=MAX($E1082,$E1083)),IF($E1082=$E1083,MIN($F1082,$F1083),$F1082+(sn_N-$E1082)*($F1083-$F1082)/($E1083-$E1082)),"")</f>
        <v/>
      </c>
      <c r="J1082">
        <f>MAX(-fyd_sn,MIN(fyd_sn,200000*0.002*(1-$C1082*(7*J$9-3*sn_h)/(4*sn_h))))-fcd_sn*(1-MIN(1,MAX(0,$C1082*(7*J$9-3*sn_h)/(4*sn_h)))^2)</f>
        <v/>
      </c>
      <c r="K1082">
        <f>MAX(-fyd_sn,MIN(fyd_sn,200000*0.002*(1-$C1082*(7*K$9-3*sn_h)/(4*sn_h))))-fcd_sn*(1-MIN(1,MAX(0,$C1082*(7*K$9-3*sn_h)/(4*sn_h)))^2)</f>
        <v/>
      </c>
    </row>
    <row r="1083">
      <c r="B1083" s="55" t="n">
        <v>92</v>
      </c>
      <c r="C1083" s="56">
        <f>IF(92&lt;posH_sn,1-92/200,IF(92=posH_sn,tstH_sn,1-(92-1)/200))</f>
        <v/>
      </c>
      <c r="D1083" s="59">
        <f>IF($C1083&gt;=1,sn_h,3/7*sn_h+4/7*sn_h/MAX($C1083,1E-12))</f>
        <v/>
      </c>
      <c r="E1083" s="57">
        <f>(fcd_sn*sn_b*sn_h*(3/7+4/7*(1-$C1083^2/3))+SUMPRODUCT($J$8:$K$8,$J1083:$K1083))/1000</f>
        <v/>
      </c>
      <c r="F1083" s="57">
        <f>-((fcd_sn*sn_b*(3/14*sn_h*(sn_h-3/7*sn_h)+4/7*sn_h*(sn_h/2-3/7*sn_h)*(1-$C1083^2/3)-16/49*sn_h^2*(1/2-$C1083^2/4))+SUMPRODUCT($J$8:$K$8,$J1083:$K1083,$J$10:$K$10))/1E6)</f>
        <v/>
      </c>
      <c r="G1083" s="57">
        <f>IF(AND(MIN($E1083,$E1084)&lt;=sn_N,sn_N&lt;=MAX($E1083,$E1084)),IF($E1083=$E1084,MAX($F1083,$F1084),$F1083+(sn_N-$E1083)*($F1084-$F1083)/($E1084-$E1083)),"")</f>
        <v/>
      </c>
      <c r="H1083" s="57">
        <f>IF(AND(MIN($E1083,$E1084)&lt;=sn_N,sn_N&lt;=MAX($E1083,$E1084)),IF($E1083=$E1084,MIN($F1083,$F1084),$F1083+(sn_N-$E1083)*($F1084-$F1083)/($E1084-$E1083)),"")</f>
        <v/>
      </c>
      <c r="J1083">
        <f>MAX(-fyd_sn,MIN(fyd_sn,200000*0.002*(1-$C1083*(7*J$9-3*sn_h)/(4*sn_h))))-fcd_sn*(1-MIN(1,MAX(0,$C1083*(7*J$9-3*sn_h)/(4*sn_h)))^2)</f>
        <v/>
      </c>
      <c r="K1083">
        <f>MAX(-fyd_sn,MIN(fyd_sn,200000*0.002*(1-$C1083*(7*K$9-3*sn_h)/(4*sn_h))))-fcd_sn*(1-MIN(1,MAX(0,$C1083*(7*K$9-3*sn_h)/(4*sn_h)))^2)</f>
        <v/>
      </c>
    </row>
    <row r="1084">
      <c r="B1084" s="55" t="n">
        <v>93</v>
      </c>
      <c r="C1084" s="56">
        <f>IF(93&lt;posH_sn,1-93/200,IF(93=posH_sn,tstH_sn,1-(93-1)/200))</f>
        <v/>
      </c>
      <c r="D1084" s="59">
        <f>IF($C1084&gt;=1,sn_h,3/7*sn_h+4/7*sn_h/MAX($C1084,1E-12))</f>
        <v/>
      </c>
      <c r="E1084" s="57">
        <f>(fcd_sn*sn_b*sn_h*(3/7+4/7*(1-$C1084^2/3))+SUMPRODUCT($J$8:$K$8,$J1084:$K1084))/1000</f>
        <v/>
      </c>
      <c r="F1084" s="57">
        <f>-((fcd_sn*sn_b*(3/14*sn_h*(sn_h-3/7*sn_h)+4/7*sn_h*(sn_h/2-3/7*sn_h)*(1-$C1084^2/3)-16/49*sn_h^2*(1/2-$C1084^2/4))+SUMPRODUCT($J$8:$K$8,$J1084:$K1084,$J$10:$K$10))/1E6)</f>
        <v/>
      </c>
      <c r="G1084" s="57">
        <f>IF(AND(MIN($E1084,$E1085)&lt;=sn_N,sn_N&lt;=MAX($E1084,$E1085)),IF($E1084=$E1085,MAX($F1084,$F1085),$F1084+(sn_N-$E1084)*($F1085-$F1084)/($E1085-$E1084)),"")</f>
        <v/>
      </c>
      <c r="H1084" s="57">
        <f>IF(AND(MIN($E1084,$E1085)&lt;=sn_N,sn_N&lt;=MAX($E1084,$E1085)),IF($E1084=$E1085,MIN($F1084,$F1085),$F1084+(sn_N-$E1084)*($F1085-$F1084)/($E1085-$E1084)),"")</f>
        <v/>
      </c>
      <c r="J1084">
        <f>MAX(-fyd_sn,MIN(fyd_sn,200000*0.002*(1-$C1084*(7*J$9-3*sn_h)/(4*sn_h))))-fcd_sn*(1-MIN(1,MAX(0,$C1084*(7*J$9-3*sn_h)/(4*sn_h)))^2)</f>
        <v/>
      </c>
      <c r="K1084">
        <f>MAX(-fyd_sn,MIN(fyd_sn,200000*0.002*(1-$C1084*(7*K$9-3*sn_h)/(4*sn_h))))-fcd_sn*(1-MIN(1,MAX(0,$C1084*(7*K$9-3*sn_h)/(4*sn_h)))^2)</f>
        <v/>
      </c>
    </row>
    <row r="1085">
      <c r="B1085" s="55" t="n">
        <v>94</v>
      </c>
      <c r="C1085" s="56">
        <f>IF(94&lt;posH_sn,1-94/200,IF(94=posH_sn,tstH_sn,1-(94-1)/200))</f>
        <v/>
      </c>
      <c r="D1085" s="59">
        <f>IF($C1085&gt;=1,sn_h,3/7*sn_h+4/7*sn_h/MAX($C1085,1E-12))</f>
        <v/>
      </c>
      <c r="E1085" s="57">
        <f>(fcd_sn*sn_b*sn_h*(3/7+4/7*(1-$C1085^2/3))+SUMPRODUCT($J$8:$K$8,$J1085:$K1085))/1000</f>
        <v/>
      </c>
      <c r="F1085" s="57">
        <f>-((fcd_sn*sn_b*(3/14*sn_h*(sn_h-3/7*sn_h)+4/7*sn_h*(sn_h/2-3/7*sn_h)*(1-$C1085^2/3)-16/49*sn_h^2*(1/2-$C1085^2/4))+SUMPRODUCT($J$8:$K$8,$J1085:$K1085,$J$10:$K$10))/1E6)</f>
        <v/>
      </c>
      <c r="G1085" s="57">
        <f>IF(AND(MIN($E1085,$E1086)&lt;=sn_N,sn_N&lt;=MAX($E1085,$E1086)),IF($E1085=$E1086,MAX($F1085,$F1086),$F1085+(sn_N-$E1085)*($F1086-$F1085)/($E1086-$E1085)),"")</f>
        <v/>
      </c>
      <c r="H1085" s="57">
        <f>IF(AND(MIN($E1085,$E1086)&lt;=sn_N,sn_N&lt;=MAX($E1085,$E1086)),IF($E1085=$E1086,MIN($F1085,$F1086),$F1085+(sn_N-$E1085)*($F1086-$F1085)/($E1086-$E1085)),"")</f>
        <v/>
      </c>
      <c r="J1085">
        <f>MAX(-fyd_sn,MIN(fyd_sn,200000*0.002*(1-$C1085*(7*J$9-3*sn_h)/(4*sn_h))))-fcd_sn*(1-MIN(1,MAX(0,$C1085*(7*J$9-3*sn_h)/(4*sn_h)))^2)</f>
        <v/>
      </c>
      <c r="K1085">
        <f>MAX(-fyd_sn,MIN(fyd_sn,200000*0.002*(1-$C1085*(7*K$9-3*sn_h)/(4*sn_h))))-fcd_sn*(1-MIN(1,MAX(0,$C1085*(7*K$9-3*sn_h)/(4*sn_h)))^2)</f>
        <v/>
      </c>
    </row>
    <row r="1086">
      <c r="B1086" s="55" t="n">
        <v>95</v>
      </c>
      <c r="C1086" s="56">
        <f>IF(95&lt;posH_sn,1-95/200,IF(95=posH_sn,tstH_sn,1-(95-1)/200))</f>
        <v/>
      </c>
      <c r="D1086" s="59">
        <f>IF($C1086&gt;=1,sn_h,3/7*sn_h+4/7*sn_h/MAX($C1086,1E-12))</f>
        <v/>
      </c>
      <c r="E1086" s="57">
        <f>(fcd_sn*sn_b*sn_h*(3/7+4/7*(1-$C1086^2/3))+SUMPRODUCT($J$8:$K$8,$J1086:$K1086))/1000</f>
        <v/>
      </c>
      <c r="F1086" s="57">
        <f>-((fcd_sn*sn_b*(3/14*sn_h*(sn_h-3/7*sn_h)+4/7*sn_h*(sn_h/2-3/7*sn_h)*(1-$C1086^2/3)-16/49*sn_h^2*(1/2-$C1086^2/4))+SUMPRODUCT($J$8:$K$8,$J1086:$K1086,$J$10:$K$10))/1E6)</f>
        <v/>
      </c>
      <c r="G1086" s="57">
        <f>IF(AND(MIN($E1086,$E1087)&lt;=sn_N,sn_N&lt;=MAX($E1086,$E1087)),IF($E1086=$E1087,MAX($F1086,$F1087),$F1086+(sn_N-$E1086)*($F1087-$F1086)/($E1087-$E1086)),"")</f>
        <v/>
      </c>
      <c r="H1086" s="57">
        <f>IF(AND(MIN($E1086,$E1087)&lt;=sn_N,sn_N&lt;=MAX($E1086,$E1087)),IF($E1086=$E1087,MIN($F1086,$F1087),$F1086+(sn_N-$E1086)*($F1087-$F1086)/($E1087-$E1086)),"")</f>
        <v/>
      </c>
      <c r="J1086">
        <f>MAX(-fyd_sn,MIN(fyd_sn,200000*0.002*(1-$C1086*(7*J$9-3*sn_h)/(4*sn_h))))-fcd_sn*(1-MIN(1,MAX(0,$C1086*(7*J$9-3*sn_h)/(4*sn_h)))^2)</f>
        <v/>
      </c>
      <c r="K1086">
        <f>MAX(-fyd_sn,MIN(fyd_sn,200000*0.002*(1-$C1086*(7*K$9-3*sn_h)/(4*sn_h))))-fcd_sn*(1-MIN(1,MAX(0,$C1086*(7*K$9-3*sn_h)/(4*sn_h)))^2)</f>
        <v/>
      </c>
    </row>
    <row r="1087">
      <c r="B1087" s="55" t="n">
        <v>96</v>
      </c>
      <c r="C1087" s="56">
        <f>IF(96&lt;posH_sn,1-96/200,IF(96=posH_sn,tstH_sn,1-(96-1)/200))</f>
        <v/>
      </c>
      <c r="D1087" s="59">
        <f>IF($C1087&gt;=1,sn_h,3/7*sn_h+4/7*sn_h/MAX($C1087,1E-12))</f>
        <v/>
      </c>
      <c r="E1087" s="57">
        <f>(fcd_sn*sn_b*sn_h*(3/7+4/7*(1-$C1087^2/3))+SUMPRODUCT($J$8:$K$8,$J1087:$K1087))/1000</f>
        <v/>
      </c>
      <c r="F1087" s="57">
        <f>-((fcd_sn*sn_b*(3/14*sn_h*(sn_h-3/7*sn_h)+4/7*sn_h*(sn_h/2-3/7*sn_h)*(1-$C1087^2/3)-16/49*sn_h^2*(1/2-$C1087^2/4))+SUMPRODUCT($J$8:$K$8,$J1087:$K1087,$J$10:$K$10))/1E6)</f>
        <v/>
      </c>
      <c r="G1087" s="57">
        <f>IF(AND(MIN($E1087,$E1088)&lt;=sn_N,sn_N&lt;=MAX($E1087,$E1088)),IF($E1087=$E1088,MAX($F1087,$F1088),$F1087+(sn_N-$E1087)*($F1088-$F1087)/($E1088-$E1087)),"")</f>
        <v/>
      </c>
      <c r="H1087" s="57">
        <f>IF(AND(MIN($E1087,$E1088)&lt;=sn_N,sn_N&lt;=MAX($E1087,$E1088)),IF($E1087=$E1088,MIN($F1087,$F1088),$F1087+(sn_N-$E1087)*($F1088-$F1087)/($E1088-$E1087)),"")</f>
        <v/>
      </c>
      <c r="J1087">
        <f>MAX(-fyd_sn,MIN(fyd_sn,200000*0.002*(1-$C1087*(7*J$9-3*sn_h)/(4*sn_h))))-fcd_sn*(1-MIN(1,MAX(0,$C1087*(7*J$9-3*sn_h)/(4*sn_h)))^2)</f>
        <v/>
      </c>
      <c r="K1087">
        <f>MAX(-fyd_sn,MIN(fyd_sn,200000*0.002*(1-$C1087*(7*K$9-3*sn_h)/(4*sn_h))))-fcd_sn*(1-MIN(1,MAX(0,$C1087*(7*K$9-3*sn_h)/(4*sn_h)))^2)</f>
        <v/>
      </c>
    </row>
    <row r="1088">
      <c r="B1088" s="55" t="n">
        <v>97</v>
      </c>
      <c r="C1088" s="56">
        <f>IF(97&lt;posH_sn,1-97/200,IF(97=posH_sn,tstH_sn,1-(97-1)/200))</f>
        <v/>
      </c>
      <c r="D1088" s="59">
        <f>IF($C1088&gt;=1,sn_h,3/7*sn_h+4/7*sn_h/MAX($C1088,1E-12))</f>
        <v/>
      </c>
      <c r="E1088" s="57">
        <f>(fcd_sn*sn_b*sn_h*(3/7+4/7*(1-$C1088^2/3))+SUMPRODUCT($J$8:$K$8,$J1088:$K1088))/1000</f>
        <v/>
      </c>
      <c r="F1088" s="57">
        <f>-((fcd_sn*sn_b*(3/14*sn_h*(sn_h-3/7*sn_h)+4/7*sn_h*(sn_h/2-3/7*sn_h)*(1-$C1088^2/3)-16/49*sn_h^2*(1/2-$C1088^2/4))+SUMPRODUCT($J$8:$K$8,$J1088:$K1088,$J$10:$K$10))/1E6)</f>
        <v/>
      </c>
      <c r="G1088" s="57">
        <f>IF(AND(MIN($E1088,$E1089)&lt;=sn_N,sn_N&lt;=MAX($E1088,$E1089)),IF($E1088=$E1089,MAX($F1088,$F1089),$F1088+(sn_N-$E1088)*($F1089-$F1088)/($E1089-$E1088)),"")</f>
        <v/>
      </c>
      <c r="H1088" s="57">
        <f>IF(AND(MIN($E1088,$E1089)&lt;=sn_N,sn_N&lt;=MAX($E1088,$E1089)),IF($E1088=$E1089,MIN($F1088,$F1089),$F1088+(sn_N-$E1088)*($F1089-$F1088)/($E1089-$E1088)),"")</f>
        <v/>
      </c>
      <c r="J1088">
        <f>MAX(-fyd_sn,MIN(fyd_sn,200000*0.002*(1-$C1088*(7*J$9-3*sn_h)/(4*sn_h))))-fcd_sn*(1-MIN(1,MAX(0,$C1088*(7*J$9-3*sn_h)/(4*sn_h)))^2)</f>
        <v/>
      </c>
      <c r="K1088">
        <f>MAX(-fyd_sn,MIN(fyd_sn,200000*0.002*(1-$C1088*(7*K$9-3*sn_h)/(4*sn_h))))-fcd_sn*(1-MIN(1,MAX(0,$C1088*(7*K$9-3*sn_h)/(4*sn_h)))^2)</f>
        <v/>
      </c>
    </row>
    <row r="1089">
      <c r="B1089" s="55" t="n">
        <v>98</v>
      </c>
      <c r="C1089" s="56">
        <f>IF(98&lt;posH_sn,1-98/200,IF(98=posH_sn,tstH_sn,1-(98-1)/200))</f>
        <v/>
      </c>
      <c r="D1089" s="59">
        <f>IF($C1089&gt;=1,sn_h,3/7*sn_h+4/7*sn_h/MAX($C1089,1E-12))</f>
        <v/>
      </c>
      <c r="E1089" s="57">
        <f>(fcd_sn*sn_b*sn_h*(3/7+4/7*(1-$C1089^2/3))+SUMPRODUCT($J$8:$K$8,$J1089:$K1089))/1000</f>
        <v/>
      </c>
      <c r="F1089" s="57">
        <f>-((fcd_sn*sn_b*(3/14*sn_h*(sn_h-3/7*sn_h)+4/7*sn_h*(sn_h/2-3/7*sn_h)*(1-$C1089^2/3)-16/49*sn_h^2*(1/2-$C1089^2/4))+SUMPRODUCT($J$8:$K$8,$J1089:$K1089,$J$10:$K$10))/1E6)</f>
        <v/>
      </c>
      <c r="G1089" s="57">
        <f>IF(AND(MIN($E1089,$E1090)&lt;=sn_N,sn_N&lt;=MAX($E1089,$E1090)),IF($E1089=$E1090,MAX($F1089,$F1090),$F1089+(sn_N-$E1089)*($F1090-$F1089)/($E1090-$E1089)),"")</f>
        <v/>
      </c>
      <c r="H1089" s="57">
        <f>IF(AND(MIN($E1089,$E1090)&lt;=sn_N,sn_N&lt;=MAX($E1089,$E1090)),IF($E1089=$E1090,MIN($F1089,$F1090),$F1089+(sn_N-$E1089)*($F1090-$F1089)/($E1090-$E1089)),"")</f>
        <v/>
      </c>
      <c r="J1089">
        <f>MAX(-fyd_sn,MIN(fyd_sn,200000*0.002*(1-$C1089*(7*J$9-3*sn_h)/(4*sn_h))))-fcd_sn*(1-MIN(1,MAX(0,$C1089*(7*J$9-3*sn_h)/(4*sn_h)))^2)</f>
        <v/>
      </c>
      <c r="K1089">
        <f>MAX(-fyd_sn,MIN(fyd_sn,200000*0.002*(1-$C1089*(7*K$9-3*sn_h)/(4*sn_h))))-fcd_sn*(1-MIN(1,MAX(0,$C1089*(7*K$9-3*sn_h)/(4*sn_h)))^2)</f>
        <v/>
      </c>
    </row>
    <row r="1090">
      <c r="B1090" s="55" t="n">
        <v>99</v>
      </c>
      <c r="C1090" s="56">
        <f>IF(99&lt;posH_sn,1-99/200,IF(99=posH_sn,tstH_sn,1-(99-1)/200))</f>
        <v/>
      </c>
      <c r="D1090" s="59">
        <f>IF($C1090&gt;=1,sn_h,3/7*sn_h+4/7*sn_h/MAX($C1090,1E-12))</f>
        <v/>
      </c>
      <c r="E1090" s="57">
        <f>(fcd_sn*sn_b*sn_h*(3/7+4/7*(1-$C1090^2/3))+SUMPRODUCT($J$8:$K$8,$J1090:$K1090))/1000</f>
        <v/>
      </c>
      <c r="F1090" s="57">
        <f>-((fcd_sn*sn_b*(3/14*sn_h*(sn_h-3/7*sn_h)+4/7*sn_h*(sn_h/2-3/7*sn_h)*(1-$C1090^2/3)-16/49*sn_h^2*(1/2-$C1090^2/4))+SUMPRODUCT($J$8:$K$8,$J1090:$K1090,$J$10:$K$10))/1E6)</f>
        <v/>
      </c>
      <c r="G1090" s="57">
        <f>IF(AND(MIN($E1090,$E1091)&lt;=sn_N,sn_N&lt;=MAX($E1090,$E1091)),IF($E1090=$E1091,MAX($F1090,$F1091),$F1090+(sn_N-$E1090)*($F1091-$F1090)/($E1091-$E1090)),"")</f>
        <v/>
      </c>
      <c r="H1090" s="57">
        <f>IF(AND(MIN($E1090,$E1091)&lt;=sn_N,sn_N&lt;=MAX($E1090,$E1091)),IF($E1090=$E1091,MIN($F1090,$F1091),$F1090+(sn_N-$E1090)*($F1091-$F1090)/($E1091-$E1090)),"")</f>
        <v/>
      </c>
      <c r="J1090">
        <f>MAX(-fyd_sn,MIN(fyd_sn,200000*0.002*(1-$C1090*(7*J$9-3*sn_h)/(4*sn_h))))-fcd_sn*(1-MIN(1,MAX(0,$C1090*(7*J$9-3*sn_h)/(4*sn_h)))^2)</f>
        <v/>
      </c>
      <c r="K1090">
        <f>MAX(-fyd_sn,MIN(fyd_sn,200000*0.002*(1-$C1090*(7*K$9-3*sn_h)/(4*sn_h))))-fcd_sn*(1-MIN(1,MAX(0,$C1090*(7*K$9-3*sn_h)/(4*sn_h)))^2)</f>
        <v/>
      </c>
    </row>
    <row r="1091">
      <c r="B1091" s="55" t="n">
        <v>100</v>
      </c>
      <c r="C1091" s="56">
        <f>IF(100&lt;posH_sn,1-100/200,IF(100=posH_sn,tstH_sn,1-(100-1)/200))</f>
        <v/>
      </c>
      <c r="D1091" s="59">
        <f>IF($C1091&gt;=1,sn_h,3/7*sn_h+4/7*sn_h/MAX($C1091,1E-12))</f>
        <v/>
      </c>
      <c r="E1091" s="57">
        <f>(fcd_sn*sn_b*sn_h*(3/7+4/7*(1-$C1091^2/3))+SUMPRODUCT($J$8:$K$8,$J1091:$K1091))/1000</f>
        <v/>
      </c>
      <c r="F1091" s="57">
        <f>-((fcd_sn*sn_b*(3/14*sn_h*(sn_h-3/7*sn_h)+4/7*sn_h*(sn_h/2-3/7*sn_h)*(1-$C1091^2/3)-16/49*sn_h^2*(1/2-$C1091^2/4))+SUMPRODUCT($J$8:$K$8,$J1091:$K1091,$J$10:$K$10))/1E6)</f>
        <v/>
      </c>
      <c r="G1091" s="57">
        <f>IF(AND(MIN($E1091,$E1092)&lt;=sn_N,sn_N&lt;=MAX($E1091,$E1092)),IF($E1091=$E1092,MAX($F1091,$F1092),$F1091+(sn_N-$E1091)*($F1092-$F1091)/($E1092-$E1091)),"")</f>
        <v/>
      </c>
      <c r="H1091" s="57">
        <f>IF(AND(MIN($E1091,$E1092)&lt;=sn_N,sn_N&lt;=MAX($E1091,$E1092)),IF($E1091=$E1092,MIN($F1091,$F1092),$F1091+(sn_N-$E1091)*($F1092-$F1091)/($E1092-$E1091)),"")</f>
        <v/>
      </c>
      <c r="J1091">
        <f>MAX(-fyd_sn,MIN(fyd_sn,200000*0.002*(1-$C1091*(7*J$9-3*sn_h)/(4*sn_h))))-fcd_sn*(1-MIN(1,MAX(0,$C1091*(7*J$9-3*sn_h)/(4*sn_h)))^2)</f>
        <v/>
      </c>
      <c r="K1091">
        <f>MAX(-fyd_sn,MIN(fyd_sn,200000*0.002*(1-$C1091*(7*K$9-3*sn_h)/(4*sn_h))))-fcd_sn*(1-MIN(1,MAX(0,$C1091*(7*K$9-3*sn_h)/(4*sn_h)))^2)</f>
        <v/>
      </c>
    </row>
    <row r="1092">
      <c r="B1092" s="55" t="n">
        <v>101</v>
      </c>
      <c r="C1092" s="56">
        <f>IF(101&lt;posH_sn,1-101/200,IF(101=posH_sn,tstH_sn,1-(101-1)/200))</f>
        <v/>
      </c>
      <c r="D1092" s="59">
        <f>IF($C1092&gt;=1,sn_h,3/7*sn_h+4/7*sn_h/MAX($C1092,1E-12))</f>
        <v/>
      </c>
      <c r="E1092" s="57">
        <f>(fcd_sn*sn_b*sn_h*(3/7+4/7*(1-$C1092^2/3))+SUMPRODUCT($J$8:$K$8,$J1092:$K1092))/1000</f>
        <v/>
      </c>
      <c r="F1092" s="57">
        <f>-((fcd_sn*sn_b*(3/14*sn_h*(sn_h-3/7*sn_h)+4/7*sn_h*(sn_h/2-3/7*sn_h)*(1-$C1092^2/3)-16/49*sn_h^2*(1/2-$C1092^2/4))+SUMPRODUCT($J$8:$K$8,$J1092:$K1092,$J$10:$K$10))/1E6)</f>
        <v/>
      </c>
      <c r="G1092" s="57">
        <f>IF(AND(MIN($E1092,$E1093)&lt;=sn_N,sn_N&lt;=MAX($E1092,$E1093)),IF($E1092=$E1093,MAX($F1092,$F1093),$F1092+(sn_N-$E1092)*($F1093-$F1092)/($E1093-$E1092)),"")</f>
        <v/>
      </c>
      <c r="H1092" s="57">
        <f>IF(AND(MIN($E1092,$E1093)&lt;=sn_N,sn_N&lt;=MAX($E1092,$E1093)),IF($E1092=$E1093,MIN($F1092,$F1093),$F1092+(sn_N-$E1092)*($F1093-$F1092)/($E1093-$E1092)),"")</f>
        <v/>
      </c>
      <c r="J1092">
        <f>MAX(-fyd_sn,MIN(fyd_sn,200000*0.002*(1-$C1092*(7*J$9-3*sn_h)/(4*sn_h))))-fcd_sn*(1-MIN(1,MAX(0,$C1092*(7*J$9-3*sn_h)/(4*sn_h)))^2)</f>
        <v/>
      </c>
      <c r="K1092">
        <f>MAX(-fyd_sn,MIN(fyd_sn,200000*0.002*(1-$C1092*(7*K$9-3*sn_h)/(4*sn_h))))-fcd_sn*(1-MIN(1,MAX(0,$C1092*(7*K$9-3*sn_h)/(4*sn_h)))^2)</f>
        <v/>
      </c>
    </row>
    <row r="1093">
      <c r="B1093" s="55" t="n">
        <v>102</v>
      </c>
      <c r="C1093" s="56">
        <f>IF(102&lt;posH_sn,1-102/200,IF(102=posH_sn,tstH_sn,1-(102-1)/200))</f>
        <v/>
      </c>
      <c r="D1093" s="59">
        <f>IF($C1093&gt;=1,sn_h,3/7*sn_h+4/7*sn_h/MAX($C1093,1E-12))</f>
        <v/>
      </c>
      <c r="E1093" s="57">
        <f>(fcd_sn*sn_b*sn_h*(3/7+4/7*(1-$C1093^2/3))+SUMPRODUCT($J$8:$K$8,$J1093:$K1093))/1000</f>
        <v/>
      </c>
      <c r="F1093" s="57">
        <f>-((fcd_sn*sn_b*(3/14*sn_h*(sn_h-3/7*sn_h)+4/7*sn_h*(sn_h/2-3/7*sn_h)*(1-$C1093^2/3)-16/49*sn_h^2*(1/2-$C1093^2/4))+SUMPRODUCT($J$8:$K$8,$J1093:$K1093,$J$10:$K$10))/1E6)</f>
        <v/>
      </c>
      <c r="G1093" s="57">
        <f>IF(AND(MIN($E1093,$E1094)&lt;=sn_N,sn_N&lt;=MAX($E1093,$E1094)),IF($E1093=$E1094,MAX($F1093,$F1094),$F1093+(sn_N-$E1093)*($F1094-$F1093)/($E1094-$E1093)),"")</f>
        <v/>
      </c>
      <c r="H1093" s="57">
        <f>IF(AND(MIN($E1093,$E1094)&lt;=sn_N,sn_N&lt;=MAX($E1093,$E1094)),IF($E1093=$E1094,MIN($F1093,$F1094),$F1093+(sn_N-$E1093)*($F1094-$F1093)/($E1094-$E1093)),"")</f>
        <v/>
      </c>
      <c r="J1093">
        <f>MAX(-fyd_sn,MIN(fyd_sn,200000*0.002*(1-$C1093*(7*J$9-3*sn_h)/(4*sn_h))))-fcd_sn*(1-MIN(1,MAX(0,$C1093*(7*J$9-3*sn_h)/(4*sn_h)))^2)</f>
        <v/>
      </c>
      <c r="K1093">
        <f>MAX(-fyd_sn,MIN(fyd_sn,200000*0.002*(1-$C1093*(7*K$9-3*sn_h)/(4*sn_h))))-fcd_sn*(1-MIN(1,MAX(0,$C1093*(7*K$9-3*sn_h)/(4*sn_h)))^2)</f>
        <v/>
      </c>
    </row>
    <row r="1094">
      <c r="B1094" s="55" t="n">
        <v>103</v>
      </c>
      <c r="C1094" s="56">
        <f>IF(103&lt;posH_sn,1-103/200,IF(103=posH_sn,tstH_sn,1-(103-1)/200))</f>
        <v/>
      </c>
      <c r="D1094" s="59">
        <f>IF($C1094&gt;=1,sn_h,3/7*sn_h+4/7*sn_h/MAX($C1094,1E-12))</f>
        <v/>
      </c>
      <c r="E1094" s="57">
        <f>(fcd_sn*sn_b*sn_h*(3/7+4/7*(1-$C1094^2/3))+SUMPRODUCT($J$8:$K$8,$J1094:$K1094))/1000</f>
        <v/>
      </c>
      <c r="F1094" s="57">
        <f>-((fcd_sn*sn_b*(3/14*sn_h*(sn_h-3/7*sn_h)+4/7*sn_h*(sn_h/2-3/7*sn_h)*(1-$C1094^2/3)-16/49*sn_h^2*(1/2-$C1094^2/4))+SUMPRODUCT($J$8:$K$8,$J1094:$K1094,$J$10:$K$10))/1E6)</f>
        <v/>
      </c>
      <c r="G1094" s="57">
        <f>IF(AND(MIN($E1094,$E1095)&lt;=sn_N,sn_N&lt;=MAX($E1094,$E1095)),IF($E1094=$E1095,MAX($F1094,$F1095),$F1094+(sn_N-$E1094)*($F1095-$F1094)/($E1095-$E1094)),"")</f>
        <v/>
      </c>
      <c r="H1094" s="57">
        <f>IF(AND(MIN($E1094,$E1095)&lt;=sn_N,sn_N&lt;=MAX($E1094,$E1095)),IF($E1094=$E1095,MIN($F1094,$F1095),$F1094+(sn_N-$E1094)*($F1095-$F1094)/($E1095-$E1094)),"")</f>
        <v/>
      </c>
      <c r="J1094">
        <f>MAX(-fyd_sn,MIN(fyd_sn,200000*0.002*(1-$C1094*(7*J$9-3*sn_h)/(4*sn_h))))-fcd_sn*(1-MIN(1,MAX(0,$C1094*(7*J$9-3*sn_h)/(4*sn_h)))^2)</f>
        <v/>
      </c>
      <c r="K1094">
        <f>MAX(-fyd_sn,MIN(fyd_sn,200000*0.002*(1-$C1094*(7*K$9-3*sn_h)/(4*sn_h))))-fcd_sn*(1-MIN(1,MAX(0,$C1094*(7*K$9-3*sn_h)/(4*sn_h)))^2)</f>
        <v/>
      </c>
    </row>
    <row r="1095">
      <c r="B1095" s="55" t="n">
        <v>104</v>
      </c>
      <c r="C1095" s="56">
        <f>IF(104&lt;posH_sn,1-104/200,IF(104=posH_sn,tstH_sn,1-(104-1)/200))</f>
        <v/>
      </c>
      <c r="D1095" s="59">
        <f>IF($C1095&gt;=1,sn_h,3/7*sn_h+4/7*sn_h/MAX($C1095,1E-12))</f>
        <v/>
      </c>
      <c r="E1095" s="57">
        <f>(fcd_sn*sn_b*sn_h*(3/7+4/7*(1-$C1095^2/3))+SUMPRODUCT($J$8:$K$8,$J1095:$K1095))/1000</f>
        <v/>
      </c>
      <c r="F1095" s="57">
        <f>-((fcd_sn*sn_b*(3/14*sn_h*(sn_h-3/7*sn_h)+4/7*sn_h*(sn_h/2-3/7*sn_h)*(1-$C1095^2/3)-16/49*sn_h^2*(1/2-$C1095^2/4))+SUMPRODUCT($J$8:$K$8,$J1095:$K1095,$J$10:$K$10))/1E6)</f>
        <v/>
      </c>
      <c r="G1095" s="57">
        <f>IF(AND(MIN($E1095,$E1096)&lt;=sn_N,sn_N&lt;=MAX($E1095,$E1096)),IF($E1095=$E1096,MAX($F1095,$F1096),$F1095+(sn_N-$E1095)*($F1096-$F1095)/($E1096-$E1095)),"")</f>
        <v/>
      </c>
      <c r="H1095" s="57">
        <f>IF(AND(MIN($E1095,$E1096)&lt;=sn_N,sn_N&lt;=MAX($E1095,$E1096)),IF($E1095=$E1096,MIN($F1095,$F1096),$F1095+(sn_N-$E1095)*($F1096-$F1095)/($E1096-$E1095)),"")</f>
        <v/>
      </c>
      <c r="J1095">
        <f>MAX(-fyd_sn,MIN(fyd_sn,200000*0.002*(1-$C1095*(7*J$9-3*sn_h)/(4*sn_h))))-fcd_sn*(1-MIN(1,MAX(0,$C1095*(7*J$9-3*sn_h)/(4*sn_h)))^2)</f>
        <v/>
      </c>
      <c r="K1095">
        <f>MAX(-fyd_sn,MIN(fyd_sn,200000*0.002*(1-$C1095*(7*K$9-3*sn_h)/(4*sn_h))))-fcd_sn*(1-MIN(1,MAX(0,$C1095*(7*K$9-3*sn_h)/(4*sn_h)))^2)</f>
        <v/>
      </c>
    </row>
    <row r="1096">
      <c r="B1096" s="55" t="n">
        <v>105</v>
      </c>
      <c r="C1096" s="56">
        <f>IF(105&lt;posH_sn,1-105/200,IF(105=posH_sn,tstH_sn,1-(105-1)/200))</f>
        <v/>
      </c>
      <c r="D1096" s="59">
        <f>IF($C1096&gt;=1,sn_h,3/7*sn_h+4/7*sn_h/MAX($C1096,1E-12))</f>
        <v/>
      </c>
      <c r="E1096" s="57">
        <f>(fcd_sn*sn_b*sn_h*(3/7+4/7*(1-$C1096^2/3))+SUMPRODUCT($J$8:$K$8,$J1096:$K1096))/1000</f>
        <v/>
      </c>
      <c r="F1096" s="57">
        <f>-((fcd_sn*sn_b*(3/14*sn_h*(sn_h-3/7*sn_h)+4/7*sn_h*(sn_h/2-3/7*sn_h)*(1-$C1096^2/3)-16/49*sn_h^2*(1/2-$C1096^2/4))+SUMPRODUCT($J$8:$K$8,$J1096:$K1096,$J$10:$K$10))/1E6)</f>
        <v/>
      </c>
      <c r="G1096" s="57">
        <f>IF(AND(MIN($E1096,$E1097)&lt;=sn_N,sn_N&lt;=MAX($E1096,$E1097)),IF($E1096=$E1097,MAX($F1096,$F1097),$F1096+(sn_N-$E1096)*($F1097-$F1096)/($E1097-$E1096)),"")</f>
        <v/>
      </c>
      <c r="H1096" s="57">
        <f>IF(AND(MIN($E1096,$E1097)&lt;=sn_N,sn_N&lt;=MAX($E1096,$E1097)),IF($E1096=$E1097,MIN($F1096,$F1097),$F1096+(sn_N-$E1096)*($F1097-$F1096)/($E1097-$E1096)),"")</f>
        <v/>
      </c>
      <c r="J1096">
        <f>MAX(-fyd_sn,MIN(fyd_sn,200000*0.002*(1-$C1096*(7*J$9-3*sn_h)/(4*sn_h))))-fcd_sn*(1-MIN(1,MAX(0,$C1096*(7*J$9-3*sn_h)/(4*sn_h)))^2)</f>
        <v/>
      </c>
      <c r="K1096">
        <f>MAX(-fyd_sn,MIN(fyd_sn,200000*0.002*(1-$C1096*(7*K$9-3*sn_h)/(4*sn_h))))-fcd_sn*(1-MIN(1,MAX(0,$C1096*(7*K$9-3*sn_h)/(4*sn_h)))^2)</f>
        <v/>
      </c>
    </row>
    <row r="1097">
      <c r="B1097" s="55" t="n">
        <v>106</v>
      </c>
      <c r="C1097" s="56">
        <f>IF(106&lt;posH_sn,1-106/200,IF(106=posH_sn,tstH_sn,1-(106-1)/200))</f>
        <v/>
      </c>
      <c r="D1097" s="59">
        <f>IF($C1097&gt;=1,sn_h,3/7*sn_h+4/7*sn_h/MAX($C1097,1E-12))</f>
        <v/>
      </c>
      <c r="E1097" s="57">
        <f>(fcd_sn*sn_b*sn_h*(3/7+4/7*(1-$C1097^2/3))+SUMPRODUCT($J$8:$K$8,$J1097:$K1097))/1000</f>
        <v/>
      </c>
      <c r="F1097" s="57">
        <f>-((fcd_sn*sn_b*(3/14*sn_h*(sn_h-3/7*sn_h)+4/7*sn_h*(sn_h/2-3/7*sn_h)*(1-$C1097^2/3)-16/49*sn_h^2*(1/2-$C1097^2/4))+SUMPRODUCT($J$8:$K$8,$J1097:$K1097,$J$10:$K$10))/1E6)</f>
        <v/>
      </c>
      <c r="G1097" s="57">
        <f>IF(AND(MIN($E1097,$E1098)&lt;=sn_N,sn_N&lt;=MAX($E1097,$E1098)),IF($E1097=$E1098,MAX($F1097,$F1098),$F1097+(sn_N-$E1097)*($F1098-$F1097)/($E1098-$E1097)),"")</f>
        <v/>
      </c>
      <c r="H1097" s="57">
        <f>IF(AND(MIN($E1097,$E1098)&lt;=sn_N,sn_N&lt;=MAX($E1097,$E1098)),IF($E1097=$E1098,MIN($F1097,$F1098),$F1097+(sn_N-$E1097)*($F1098-$F1097)/($E1098-$E1097)),"")</f>
        <v/>
      </c>
      <c r="J1097">
        <f>MAX(-fyd_sn,MIN(fyd_sn,200000*0.002*(1-$C1097*(7*J$9-3*sn_h)/(4*sn_h))))-fcd_sn*(1-MIN(1,MAX(0,$C1097*(7*J$9-3*sn_h)/(4*sn_h)))^2)</f>
        <v/>
      </c>
      <c r="K1097">
        <f>MAX(-fyd_sn,MIN(fyd_sn,200000*0.002*(1-$C1097*(7*K$9-3*sn_h)/(4*sn_h))))-fcd_sn*(1-MIN(1,MAX(0,$C1097*(7*K$9-3*sn_h)/(4*sn_h)))^2)</f>
        <v/>
      </c>
    </row>
    <row r="1098">
      <c r="B1098" s="55" t="n">
        <v>107</v>
      </c>
      <c r="C1098" s="56">
        <f>IF(107&lt;posH_sn,1-107/200,IF(107=posH_sn,tstH_sn,1-(107-1)/200))</f>
        <v/>
      </c>
      <c r="D1098" s="59">
        <f>IF($C1098&gt;=1,sn_h,3/7*sn_h+4/7*sn_h/MAX($C1098,1E-12))</f>
        <v/>
      </c>
      <c r="E1098" s="57">
        <f>(fcd_sn*sn_b*sn_h*(3/7+4/7*(1-$C1098^2/3))+SUMPRODUCT($J$8:$K$8,$J1098:$K1098))/1000</f>
        <v/>
      </c>
      <c r="F1098" s="57">
        <f>-((fcd_sn*sn_b*(3/14*sn_h*(sn_h-3/7*sn_h)+4/7*sn_h*(sn_h/2-3/7*sn_h)*(1-$C1098^2/3)-16/49*sn_h^2*(1/2-$C1098^2/4))+SUMPRODUCT($J$8:$K$8,$J1098:$K1098,$J$10:$K$10))/1E6)</f>
        <v/>
      </c>
      <c r="G1098" s="57">
        <f>IF(AND(MIN($E1098,$E1099)&lt;=sn_N,sn_N&lt;=MAX($E1098,$E1099)),IF($E1098=$E1099,MAX($F1098,$F1099),$F1098+(sn_N-$E1098)*($F1099-$F1098)/($E1099-$E1098)),"")</f>
        <v/>
      </c>
      <c r="H1098" s="57">
        <f>IF(AND(MIN($E1098,$E1099)&lt;=sn_N,sn_N&lt;=MAX($E1098,$E1099)),IF($E1098=$E1099,MIN($F1098,$F1099),$F1098+(sn_N-$E1098)*($F1099-$F1098)/($E1099-$E1098)),"")</f>
        <v/>
      </c>
      <c r="J1098">
        <f>MAX(-fyd_sn,MIN(fyd_sn,200000*0.002*(1-$C1098*(7*J$9-3*sn_h)/(4*sn_h))))-fcd_sn*(1-MIN(1,MAX(0,$C1098*(7*J$9-3*sn_h)/(4*sn_h)))^2)</f>
        <v/>
      </c>
      <c r="K1098">
        <f>MAX(-fyd_sn,MIN(fyd_sn,200000*0.002*(1-$C1098*(7*K$9-3*sn_h)/(4*sn_h))))-fcd_sn*(1-MIN(1,MAX(0,$C1098*(7*K$9-3*sn_h)/(4*sn_h)))^2)</f>
        <v/>
      </c>
    </row>
    <row r="1099">
      <c r="B1099" s="55" t="n">
        <v>108</v>
      </c>
      <c r="C1099" s="56">
        <f>IF(108&lt;posH_sn,1-108/200,IF(108=posH_sn,tstH_sn,1-(108-1)/200))</f>
        <v/>
      </c>
      <c r="D1099" s="59">
        <f>IF($C1099&gt;=1,sn_h,3/7*sn_h+4/7*sn_h/MAX($C1099,1E-12))</f>
        <v/>
      </c>
      <c r="E1099" s="57">
        <f>(fcd_sn*sn_b*sn_h*(3/7+4/7*(1-$C1099^2/3))+SUMPRODUCT($J$8:$K$8,$J1099:$K1099))/1000</f>
        <v/>
      </c>
      <c r="F1099" s="57">
        <f>-((fcd_sn*sn_b*(3/14*sn_h*(sn_h-3/7*sn_h)+4/7*sn_h*(sn_h/2-3/7*sn_h)*(1-$C1099^2/3)-16/49*sn_h^2*(1/2-$C1099^2/4))+SUMPRODUCT($J$8:$K$8,$J1099:$K1099,$J$10:$K$10))/1E6)</f>
        <v/>
      </c>
      <c r="G1099" s="57">
        <f>IF(AND(MIN($E1099,$E1100)&lt;=sn_N,sn_N&lt;=MAX($E1099,$E1100)),IF($E1099=$E1100,MAX($F1099,$F1100),$F1099+(sn_N-$E1099)*($F1100-$F1099)/($E1100-$E1099)),"")</f>
        <v/>
      </c>
      <c r="H1099" s="57">
        <f>IF(AND(MIN($E1099,$E1100)&lt;=sn_N,sn_N&lt;=MAX($E1099,$E1100)),IF($E1099=$E1100,MIN($F1099,$F1100),$F1099+(sn_N-$E1099)*($F1100-$F1099)/($E1100-$E1099)),"")</f>
        <v/>
      </c>
      <c r="J1099">
        <f>MAX(-fyd_sn,MIN(fyd_sn,200000*0.002*(1-$C1099*(7*J$9-3*sn_h)/(4*sn_h))))-fcd_sn*(1-MIN(1,MAX(0,$C1099*(7*J$9-3*sn_h)/(4*sn_h)))^2)</f>
        <v/>
      </c>
      <c r="K1099">
        <f>MAX(-fyd_sn,MIN(fyd_sn,200000*0.002*(1-$C1099*(7*K$9-3*sn_h)/(4*sn_h))))-fcd_sn*(1-MIN(1,MAX(0,$C1099*(7*K$9-3*sn_h)/(4*sn_h)))^2)</f>
        <v/>
      </c>
    </row>
    <row r="1100">
      <c r="B1100" s="55" t="n">
        <v>109</v>
      </c>
      <c r="C1100" s="56">
        <f>IF(109&lt;posH_sn,1-109/200,IF(109=posH_sn,tstH_sn,1-(109-1)/200))</f>
        <v/>
      </c>
      <c r="D1100" s="59">
        <f>IF($C1100&gt;=1,sn_h,3/7*sn_h+4/7*sn_h/MAX($C1100,1E-12))</f>
        <v/>
      </c>
      <c r="E1100" s="57">
        <f>(fcd_sn*sn_b*sn_h*(3/7+4/7*(1-$C1100^2/3))+SUMPRODUCT($J$8:$K$8,$J1100:$K1100))/1000</f>
        <v/>
      </c>
      <c r="F1100" s="57">
        <f>-((fcd_sn*sn_b*(3/14*sn_h*(sn_h-3/7*sn_h)+4/7*sn_h*(sn_h/2-3/7*sn_h)*(1-$C1100^2/3)-16/49*sn_h^2*(1/2-$C1100^2/4))+SUMPRODUCT($J$8:$K$8,$J1100:$K1100,$J$10:$K$10))/1E6)</f>
        <v/>
      </c>
      <c r="G1100" s="57">
        <f>IF(AND(MIN($E1100,$E1101)&lt;=sn_N,sn_N&lt;=MAX($E1100,$E1101)),IF($E1100=$E1101,MAX($F1100,$F1101),$F1100+(sn_N-$E1100)*($F1101-$F1100)/($E1101-$E1100)),"")</f>
        <v/>
      </c>
      <c r="H1100" s="57">
        <f>IF(AND(MIN($E1100,$E1101)&lt;=sn_N,sn_N&lt;=MAX($E1100,$E1101)),IF($E1100=$E1101,MIN($F1100,$F1101),$F1100+(sn_N-$E1100)*($F1101-$F1100)/($E1101-$E1100)),"")</f>
        <v/>
      </c>
      <c r="J1100">
        <f>MAX(-fyd_sn,MIN(fyd_sn,200000*0.002*(1-$C1100*(7*J$9-3*sn_h)/(4*sn_h))))-fcd_sn*(1-MIN(1,MAX(0,$C1100*(7*J$9-3*sn_h)/(4*sn_h)))^2)</f>
        <v/>
      </c>
      <c r="K1100">
        <f>MAX(-fyd_sn,MIN(fyd_sn,200000*0.002*(1-$C1100*(7*K$9-3*sn_h)/(4*sn_h))))-fcd_sn*(1-MIN(1,MAX(0,$C1100*(7*K$9-3*sn_h)/(4*sn_h)))^2)</f>
        <v/>
      </c>
    </row>
    <row r="1101">
      <c r="B1101" s="55" t="n">
        <v>110</v>
      </c>
      <c r="C1101" s="56">
        <f>IF(110&lt;posH_sn,1-110/200,IF(110=posH_sn,tstH_sn,1-(110-1)/200))</f>
        <v/>
      </c>
      <c r="D1101" s="59">
        <f>IF($C1101&gt;=1,sn_h,3/7*sn_h+4/7*sn_h/MAX($C1101,1E-12))</f>
        <v/>
      </c>
      <c r="E1101" s="57">
        <f>(fcd_sn*sn_b*sn_h*(3/7+4/7*(1-$C1101^2/3))+SUMPRODUCT($J$8:$K$8,$J1101:$K1101))/1000</f>
        <v/>
      </c>
      <c r="F1101" s="57">
        <f>-((fcd_sn*sn_b*(3/14*sn_h*(sn_h-3/7*sn_h)+4/7*sn_h*(sn_h/2-3/7*sn_h)*(1-$C1101^2/3)-16/49*sn_h^2*(1/2-$C1101^2/4))+SUMPRODUCT($J$8:$K$8,$J1101:$K1101,$J$10:$K$10))/1E6)</f>
        <v/>
      </c>
      <c r="G1101" s="57">
        <f>IF(AND(MIN($E1101,$E1102)&lt;=sn_N,sn_N&lt;=MAX($E1101,$E1102)),IF($E1101=$E1102,MAX($F1101,$F1102),$F1101+(sn_N-$E1101)*($F1102-$F1101)/($E1102-$E1101)),"")</f>
        <v/>
      </c>
      <c r="H1101" s="57">
        <f>IF(AND(MIN($E1101,$E1102)&lt;=sn_N,sn_N&lt;=MAX($E1101,$E1102)),IF($E1101=$E1102,MIN($F1101,$F1102),$F1101+(sn_N-$E1101)*($F1102-$F1101)/($E1102-$E1101)),"")</f>
        <v/>
      </c>
      <c r="J1101">
        <f>MAX(-fyd_sn,MIN(fyd_sn,200000*0.002*(1-$C1101*(7*J$9-3*sn_h)/(4*sn_h))))-fcd_sn*(1-MIN(1,MAX(0,$C1101*(7*J$9-3*sn_h)/(4*sn_h)))^2)</f>
        <v/>
      </c>
      <c r="K1101">
        <f>MAX(-fyd_sn,MIN(fyd_sn,200000*0.002*(1-$C1101*(7*K$9-3*sn_h)/(4*sn_h))))-fcd_sn*(1-MIN(1,MAX(0,$C1101*(7*K$9-3*sn_h)/(4*sn_h)))^2)</f>
        <v/>
      </c>
    </row>
    <row r="1102">
      <c r="B1102" s="55" t="n">
        <v>111</v>
      </c>
      <c r="C1102" s="56">
        <f>IF(111&lt;posH_sn,1-111/200,IF(111=posH_sn,tstH_sn,1-(111-1)/200))</f>
        <v/>
      </c>
      <c r="D1102" s="59">
        <f>IF($C1102&gt;=1,sn_h,3/7*sn_h+4/7*sn_h/MAX($C1102,1E-12))</f>
        <v/>
      </c>
      <c r="E1102" s="57">
        <f>(fcd_sn*sn_b*sn_h*(3/7+4/7*(1-$C1102^2/3))+SUMPRODUCT($J$8:$K$8,$J1102:$K1102))/1000</f>
        <v/>
      </c>
      <c r="F1102" s="57">
        <f>-((fcd_sn*sn_b*(3/14*sn_h*(sn_h-3/7*sn_h)+4/7*sn_h*(sn_h/2-3/7*sn_h)*(1-$C1102^2/3)-16/49*sn_h^2*(1/2-$C1102^2/4))+SUMPRODUCT($J$8:$K$8,$J1102:$K1102,$J$10:$K$10))/1E6)</f>
        <v/>
      </c>
      <c r="G1102" s="57">
        <f>IF(AND(MIN($E1102,$E1103)&lt;=sn_N,sn_N&lt;=MAX($E1102,$E1103)),IF($E1102=$E1103,MAX($F1102,$F1103),$F1102+(sn_N-$E1102)*($F1103-$F1102)/($E1103-$E1102)),"")</f>
        <v/>
      </c>
      <c r="H1102" s="57">
        <f>IF(AND(MIN($E1102,$E1103)&lt;=sn_N,sn_N&lt;=MAX($E1102,$E1103)),IF($E1102=$E1103,MIN($F1102,$F1103),$F1102+(sn_N-$E1102)*($F1103-$F1102)/($E1103-$E1102)),"")</f>
        <v/>
      </c>
      <c r="J1102">
        <f>MAX(-fyd_sn,MIN(fyd_sn,200000*0.002*(1-$C1102*(7*J$9-3*sn_h)/(4*sn_h))))-fcd_sn*(1-MIN(1,MAX(0,$C1102*(7*J$9-3*sn_h)/(4*sn_h)))^2)</f>
        <v/>
      </c>
      <c r="K1102">
        <f>MAX(-fyd_sn,MIN(fyd_sn,200000*0.002*(1-$C1102*(7*K$9-3*sn_h)/(4*sn_h))))-fcd_sn*(1-MIN(1,MAX(0,$C1102*(7*K$9-3*sn_h)/(4*sn_h)))^2)</f>
        <v/>
      </c>
    </row>
    <row r="1103">
      <c r="B1103" s="55" t="n">
        <v>112</v>
      </c>
      <c r="C1103" s="56">
        <f>IF(112&lt;posH_sn,1-112/200,IF(112=posH_sn,tstH_sn,1-(112-1)/200))</f>
        <v/>
      </c>
      <c r="D1103" s="59">
        <f>IF($C1103&gt;=1,sn_h,3/7*sn_h+4/7*sn_h/MAX($C1103,1E-12))</f>
        <v/>
      </c>
      <c r="E1103" s="57">
        <f>(fcd_sn*sn_b*sn_h*(3/7+4/7*(1-$C1103^2/3))+SUMPRODUCT($J$8:$K$8,$J1103:$K1103))/1000</f>
        <v/>
      </c>
      <c r="F1103" s="57">
        <f>-((fcd_sn*sn_b*(3/14*sn_h*(sn_h-3/7*sn_h)+4/7*sn_h*(sn_h/2-3/7*sn_h)*(1-$C1103^2/3)-16/49*sn_h^2*(1/2-$C1103^2/4))+SUMPRODUCT($J$8:$K$8,$J1103:$K1103,$J$10:$K$10))/1E6)</f>
        <v/>
      </c>
      <c r="G1103" s="57">
        <f>IF(AND(MIN($E1103,$E1104)&lt;=sn_N,sn_N&lt;=MAX($E1103,$E1104)),IF($E1103=$E1104,MAX($F1103,$F1104),$F1103+(sn_N-$E1103)*($F1104-$F1103)/($E1104-$E1103)),"")</f>
        <v/>
      </c>
      <c r="H1103" s="57">
        <f>IF(AND(MIN($E1103,$E1104)&lt;=sn_N,sn_N&lt;=MAX($E1103,$E1104)),IF($E1103=$E1104,MIN($F1103,$F1104),$F1103+(sn_N-$E1103)*($F1104-$F1103)/($E1104-$E1103)),"")</f>
        <v/>
      </c>
      <c r="J1103">
        <f>MAX(-fyd_sn,MIN(fyd_sn,200000*0.002*(1-$C1103*(7*J$9-3*sn_h)/(4*sn_h))))-fcd_sn*(1-MIN(1,MAX(0,$C1103*(7*J$9-3*sn_h)/(4*sn_h)))^2)</f>
        <v/>
      </c>
      <c r="K1103">
        <f>MAX(-fyd_sn,MIN(fyd_sn,200000*0.002*(1-$C1103*(7*K$9-3*sn_h)/(4*sn_h))))-fcd_sn*(1-MIN(1,MAX(0,$C1103*(7*K$9-3*sn_h)/(4*sn_h)))^2)</f>
        <v/>
      </c>
    </row>
    <row r="1104">
      <c r="B1104" s="55" t="n">
        <v>113</v>
      </c>
      <c r="C1104" s="56">
        <f>IF(113&lt;posH_sn,1-113/200,IF(113=posH_sn,tstH_sn,1-(113-1)/200))</f>
        <v/>
      </c>
      <c r="D1104" s="59">
        <f>IF($C1104&gt;=1,sn_h,3/7*sn_h+4/7*sn_h/MAX($C1104,1E-12))</f>
        <v/>
      </c>
      <c r="E1104" s="57">
        <f>(fcd_sn*sn_b*sn_h*(3/7+4/7*(1-$C1104^2/3))+SUMPRODUCT($J$8:$K$8,$J1104:$K1104))/1000</f>
        <v/>
      </c>
      <c r="F1104" s="57">
        <f>-((fcd_sn*sn_b*(3/14*sn_h*(sn_h-3/7*sn_h)+4/7*sn_h*(sn_h/2-3/7*sn_h)*(1-$C1104^2/3)-16/49*sn_h^2*(1/2-$C1104^2/4))+SUMPRODUCT($J$8:$K$8,$J1104:$K1104,$J$10:$K$10))/1E6)</f>
        <v/>
      </c>
      <c r="G1104" s="57">
        <f>IF(AND(MIN($E1104,$E1105)&lt;=sn_N,sn_N&lt;=MAX($E1104,$E1105)),IF($E1104=$E1105,MAX($F1104,$F1105),$F1104+(sn_N-$E1104)*($F1105-$F1104)/($E1105-$E1104)),"")</f>
        <v/>
      </c>
      <c r="H1104" s="57">
        <f>IF(AND(MIN($E1104,$E1105)&lt;=sn_N,sn_N&lt;=MAX($E1104,$E1105)),IF($E1104=$E1105,MIN($F1104,$F1105),$F1104+(sn_N-$E1104)*($F1105-$F1104)/($E1105-$E1104)),"")</f>
        <v/>
      </c>
      <c r="J1104">
        <f>MAX(-fyd_sn,MIN(fyd_sn,200000*0.002*(1-$C1104*(7*J$9-3*sn_h)/(4*sn_h))))-fcd_sn*(1-MIN(1,MAX(0,$C1104*(7*J$9-3*sn_h)/(4*sn_h)))^2)</f>
        <v/>
      </c>
      <c r="K1104">
        <f>MAX(-fyd_sn,MIN(fyd_sn,200000*0.002*(1-$C1104*(7*K$9-3*sn_h)/(4*sn_h))))-fcd_sn*(1-MIN(1,MAX(0,$C1104*(7*K$9-3*sn_h)/(4*sn_h)))^2)</f>
        <v/>
      </c>
    </row>
    <row r="1105">
      <c r="B1105" s="55" t="n">
        <v>114</v>
      </c>
      <c r="C1105" s="56">
        <f>IF(114&lt;posH_sn,1-114/200,IF(114=posH_sn,tstH_sn,1-(114-1)/200))</f>
        <v/>
      </c>
      <c r="D1105" s="59">
        <f>IF($C1105&gt;=1,sn_h,3/7*sn_h+4/7*sn_h/MAX($C1105,1E-12))</f>
        <v/>
      </c>
      <c r="E1105" s="57">
        <f>(fcd_sn*sn_b*sn_h*(3/7+4/7*(1-$C1105^2/3))+SUMPRODUCT($J$8:$K$8,$J1105:$K1105))/1000</f>
        <v/>
      </c>
      <c r="F1105" s="57">
        <f>-((fcd_sn*sn_b*(3/14*sn_h*(sn_h-3/7*sn_h)+4/7*sn_h*(sn_h/2-3/7*sn_h)*(1-$C1105^2/3)-16/49*sn_h^2*(1/2-$C1105^2/4))+SUMPRODUCT($J$8:$K$8,$J1105:$K1105,$J$10:$K$10))/1E6)</f>
        <v/>
      </c>
      <c r="G1105" s="57">
        <f>IF(AND(MIN($E1105,$E1106)&lt;=sn_N,sn_N&lt;=MAX($E1105,$E1106)),IF($E1105=$E1106,MAX($F1105,$F1106),$F1105+(sn_N-$E1105)*($F1106-$F1105)/($E1106-$E1105)),"")</f>
        <v/>
      </c>
      <c r="H1105" s="57">
        <f>IF(AND(MIN($E1105,$E1106)&lt;=sn_N,sn_N&lt;=MAX($E1105,$E1106)),IF($E1105=$E1106,MIN($F1105,$F1106),$F1105+(sn_N-$E1105)*($F1106-$F1105)/($E1106-$E1105)),"")</f>
        <v/>
      </c>
      <c r="J1105">
        <f>MAX(-fyd_sn,MIN(fyd_sn,200000*0.002*(1-$C1105*(7*J$9-3*sn_h)/(4*sn_h))))-fcd_sn*(1-MIN(1,MAX(0,$C1105*(7*J$9-3*sn_h)/(4*sn_h)))^2)</f>
        <v/>
      </c>
      <c r="K1105">
        <f>MAX(-fyd_sn,MIN(fyd_sn,200000*0.002*(1-$C1105*(7*K$9-3*sn_h)/(4*sn_h))))-fcd_sn*(1-MIN(1,MAX(0,$C1105*(7*K$9-3*sn_h)/(4*sn_h)))^2)</f>
        <v/>
      </c>
    </row>
    <row r="1106">
      <c r="B1106" s="55" t="n">
        <v>115</v>
      </c>
      <c r="C1106" s="56">
        <f>IF(115&lt;posH_sn,1-115/200,IF(115=posH_sn,tstH_sn,1-(115-1)/200))</f>
        <v/>
      </c>
      <c r="D1106" s="59">
        <f>IF($C1106&gt;=1,sn_h,3/7*sn_h+4/7*sn_h/MAX($C1106,1E-12))</f>
        <v/>
      </c>
      <c r="E1106" s="57">
        <f>(fcd_sn*sn_b*sn_h*(3/7+4/7*(1-$C1106^2/3))+SUMPRODUCT($J$8:$K$8,$J1106:$K1106))/1000</f>
        <v/>
      </c>
      <c r="F1106" s="57">
        <f>-((fcd_sn*sn_b*(3/14*sn_h*(sn_h-3/7*sn_h)+4/7*sn_h*(sn_h/2-3/7*sn_h)*(1-$C1106^2/3)-16/49*sn_h^2*(1/2-$C1106^2/4))+SUMPRODUCT($J$8:$K$8,$J1106:$K1106,$J$10:$K$10))/1E6)</f>
        <v/>
      </c>
      <c r="G1106" s="57">
        <f>IF(AND(MIN($E1106,$E1107)&lt;=sn_N,sn_N&lt;=MAX($E1106,$E1107)),IF($E1106=$E1107,MAX($F1106,$F1107),$F1106+(sn_N-$E1106)*($F1107-$F1106)/($E1107-$E1106)),"")</f>
        <v/>
      </c>
      <c r="H1106" s="57">
        <f>IF(AND(MIN($E1106,$E1107)&lt;=sn_N,sn_N&lt;=MAX($E1106,$E1107)),IF($E1106=$E1107,MIN($F1106,$F1107),$F1106+(sn_N-$E1106)*($F1107-$F1106)/($E1107-$E1106)),"")</f>
        <v/>
      </c>
      <c r="J1106">
        <f>MAX(-fyd_sn,MIN(fyd_sn,200000*0.002*(1-$C1106*(7*J$9-3*sn_h)/(4*sn_h))))-fcd_sn*(1-MIN(1,MAX(0,$C1106*(7*J$9-3*sn_h)/(4*sn_h)))^2)</f>
        <v/>
      </c>
      <c r="K1106">
        <f>MAX(-fyd_sn,MIN(fyd_sn,200000*0.002*(1-$C1106*(7*K$9-3*sn_h)/(4*sn_h))))-fcd_sn*(1-MIN(1,MAX(0,$C1106*(7*K$9-3*sn_h)/(4*sn_h)))^2)</f>
        <v/>
      </c>
    </row>
    <row r="1107">
      <c r="B1107" s="55" t="n">
        <v>116</v>
      </c>
      <c r="C1107" s="56">
        <f>IF(116&lt;posH_sn,1-116/200,IF(116=posH_sn,tstH_sn,1-(116-1)/200))</f>
        <v/>
      </c>
      <c r="D1107" s="59">
        <f>IF($C1107&gt;=1,sn_h,3/7*sn_h+4/7*sn_h/MAX($C1107,1E-12))</f>
        <v/>
      </c>
      <c r="E1107" s="57">
        <f>(fcd_sn*sn_b*sn_h*(3/7+4/7*(1-$C1107^2/3))+SUMPRODUCT($J$8:$K$8,$J1107:$K1107))/1000</f>
        <v/>
      </c>
      <c r="F1107" s="57">
        <f>-((fcd_sn*sn_b*(3/14*sn_h*(sn_h-3/7*sn_h)+4/7*sn_h*(sn_h/2-3/7*sn_h)*(1-$C1107^2/3)-16/49*sn_h^2*(1/2-$C1107^2/4))+SUMPRODUCT($J$8:$K$8,$J1107:$K1107,$J$10:$K$10))/1E6)</f>
        <v/>
      </c>
      <c r="G1107" s="57">
        <f>IF(AND(MIN($E1107,$E1108)&lt;=sn_N,sn_N&lt;=MAX($E1107,$E1108)),IF($E1107=$E1108,MAX($F1107,$F1108),$F1107+(sn_N-$E1107)*($F1108-$F1107)/($E1108-$E1107)),"")</f>
        <v/>
      </c>
      <c r="H1107" s="57">
        <f>IF(AND(MIN($E1107,$E1108)&lt;=sn_N,sn_N&lt;=MAX($E1107,$E1108)),IF($E1107=$E1108,MIN($F1107,$F1108),$F1107+(sn_N-$E1107)*($F1108-$F1107)/($E1108-$E1107)),"")</f>
        <v/>
      </c>
      <c r="J1107">
        <f>MAX(-fyd_sn,MIN(fyd_sn,200000*0.002*(1-$C1107*(7*J$9-3*sn_h)/(4*sn_h))))-fcd_sn*(1-MIN(1,MAX(0,$C1107*(7*J$9-3*sn_h)/(4*sn_h)))^2)</f>
        <v/>
      </c>
      <c r="K1107">
        <f>MAX(-fyd_sn,MIN(fyd_sn,200000*0.002*(1-$C1107*(7*K$9-3*sn_h)/(4*sn_h))))-fcd_sn*(1-MIN(1,MAX(0,$C1107*(7*K$9-3*sn_h)/(4*sn_h)))^2)</f>
        <v/>
      </c>
    </row>
    <row r="1108">
      <c r="B1108" s="55" t="n">
        <v>117</v>
      </c>
      <c r="C1108" s="56">
        <f>IF(117&lt;posH_sn,1-117/200,IF(117=posH_sn,tstH_sn,1-(117-1)/200))</f>
        <v/>
      </c>
      <c r="D1108" s="59">
        <f>IF($C1108&gt;=1,sn_h,3/7*sn_h+4/7*sn_h/MAX($C1108,1E-12))</f>
        <v/>
      </c>
      <c r="E1108" s="57">
        <f>(fcd_sn*sn_b*sn_h*(3/7+4/7*(1-$C1108^2/3))+SUMPRODUCT($J$8:$K$8,$J1108:$K1108))/1000</f>
        <v/>
      </c>
      <c r="F1108" s="57">
        <f>-((fcd_sn*sn_b*(3/14*sn_h*(sn_h-3/7*sn_h)+4/7*sn_h*(sn_h/2-3/7*sn_h)*(1-$C1108^2/3)-16/49*sn_h^2*(1/2-$C1108^2/4))+SUMPRODUCT($J$8:$K$8,$J1108:$K1108,$J$10:$K$10))/1E6)</f>
        <v/>
      </c>
      <c r="G1108" s="57">
        <f>IF(AND(MIN($E1108,$E1109)&lt;=sn_N,sn_N&lt;=MAX($E1108,$E1109)),IF($E1108=$E1109,MAX($F1108,$F1109),$F1108+(sn_N-$E1108)*($F1109-$F1108)/($E1109-$E1108)),"")</f>
        <v/>
      </c>
      <c r="H1108" s="57">
        <f>IF(AND(MIN($E1108,$E1109)&lt;=sn_N,sn_N&lt;=MAX($E1108,$E1109)),IF($E1108=$E1109,MIN($F1108,$F1109),$F1108+(sn_N-$E1108)*($F1109-$F1108)/($E1109-$E1108)),"")</f>
        <v/>
      </c>
      <c r="J1108">
        <f>MAX(-fyd_sn,MIN(fyd_sn,200000*0.002*(1-$C1108*(7*J$9-3*sn_h)/(4*sn_h))))-fcd_sn*(1-MIN(1,MAX(0,$C1108*(7*J$9-3*sn_h)/(4*sn_h)))^2)</f>
        <v/>
      </c>
      <c r="K1108">
        <f>MAX(-fyd_sn,MIN(fyd_sn,200000*0.002*(1-$C1108*(7*K$9-3*sn_h)/(4*sn_h))))-fcd_sn*(1-MIN(1,MAX(0,$C1108*(7*K$9-3*sn_h)/(4*sn_h)))^2)</f>
        <v/>
      </c>
    </row>
    <row r="1109">
      <c r="B1109" s="55" t="n">
        <v>118</v>
      </c>
      <c r="C1109" s="56">
        <f>IF(118&lt;posH_sn,1-118/200,IF(118=posH_sn,tstH_sn,1-(118-1)/200))</f>
        <v/>
      </c>
      <c r="D1109" s="59">
        <f>IF($C1109&gt;=1,sn_h,3/7*sn_h+4/7*sn_h/MAX($C1109,1E-12))</f>
        <v/>
      </c>
      <c r="E1109" s="57">
        <f>(fcd_sn*sn_b*sn_h*(3/7+4/7*(1-$C1109^2/3))+SUMPRODUCT($J$8:$K$8,$J1109:$K1109))/1000</f>
        <v/>
      </c>
      <c r="F1109" s="57">
        <f>-((fcd_sn*sn_b*(3/14*sn_h*(sn_h-3/7*sn_h)+4/7*sn_h*(sn_h/2-3/7*sn_h)*(1-$C1109^2/3)-16/49*sn_h^2*(1/2-$C1109^2/4))+SUMPRODUCT($J$8:$K$8,$J1109:$K1109,$J$10:$K$10))/1E6)</f>
        <v/>
      </c>
      <c r="G1109" s="57">
        <f>IF(AND(MIN($E1109,$E1110)&lt;=sn_N,sn_N&lt;=MAX($E1109,$E1110)),IF($E1109=$E1110,MAX($F1109,$F1110),$F1109+(sn_N-$E1109)*($F1110-$F1109)/($E1110-$E1109)),"")</f>
        <v/>
      </c>
      <c r="H1109" s="57">
        <f>IF(AND(MIN($E1109,$E1110)&lt;=sn_N,sn_N&lt;=MAX($E1109,$E1110)),IF($E1109=$E1110,MIN($F1109,$F1110),$F1109+(sn_N-$E1109)*($F1110-$F1109)/($E1110-$E1109)),"")</f>
        <v/>
      </c>
      <c r="J1109">
        <f>MAX(-fyd_sn,MIN(fyd_sn,200000*0.002*(1-$C1109*(7*J$9-3*sn_h)/(4*sn_h))))-fcd_sn*(1-MIN(1,MAX(0,$C1109*(7*J$9-3*sn_h)/(4*sn_h)))^2)</f>
        <v/>
      </c>
      <c r="K1109">
        <f>MAX(-fyd_sn,MIN(fyd_sn,200000*0.002*(1-$C1109*(7*K$9-3*sn_h)/(4*sn_h))))-fcd_sn*(1-MIN(1,MAX(0,$C1109*(7*K$9-3*sn_h)/(4*sn_h)))^2)</f>
        <v/>
      </c>
    </row>
    <row r="1110">
      <c r="B1110" s="55" t="n">
        <v>119</v>
      </c>
      <c r="C1110" s="56">
        <f>IF(119&lt;posH_sn,1-119/200,IF(119=posH_sn,tstH_sn,1-(119-1)/200))</f>
        <v/>
      </c>
      <c r="D1110" s="59">
        <f>IF($C1110&gt;=1,sn_h,3/7*sn_h+4/7*sn_h/MAX($C1110,1E-12))</f>
        <v/>
      </c>
      <c r="E1110" s="57">
        <f>(fcd_sn*sn_b*sn_h*(3/7+4/7*(1-$C1110^2/3))+SUMPRODUCT($J$8:$K$8,$J1110:$K1110))/1000</f>
        <v/>
      </c>
      <c r="F1110" s="57">
        <f>-((fcd_sn*sn_b*(3/14*sn_h*(sn_h-3/7*sn_h)+4/7*sn_h*(sn_h/2-3/7*sn_h)*(1-$C1110^2/3)-16/49*sn_h^2*(1/2-$C1110^2/4))+SUMPRODUCT($J$8:$K$8,$J1110:$K1110,$J$10:$K$10))/1E6)</f>
        <v/>
      </c>
      <c r="G1110" s="57">
        <f>IF(AND(MIN($E1110,$E1111)&lt;=sn_N,sn_N&lt;=MAX($E1110,$E1111)),IF($E1110=$E1111,MAX($F1110,$F1111),$F1110+(sn_N-$E1110)*($F1111-$F1110)/($E1111-$E1110)),"")</f>
        <v/>
      </c>
      <c r="H1110" s="57">
        <f>IF(AND(MIN($E1110,$E1111)&lt;=sn_N,sn_N&lt;=MAX($E1110,$E1111)),IF($E1110=$E1111,MIN($F1110,$F1111),$F1110+(sn_N-$E1110)*($F1111-$F1110)/($E1111-$E1110)),"")</f>
        <v/>
      </c>
      <c r="J1110">
        <f>MAX(-fyd_sn,MIN(fyd_sn,200000*0.002*(1-$C1110*(7*J$9-3*sn_h)/(4*sn_h))))-fcd_sn*(1-MIN(1,MAX(0,$C1110*(7*J$9-3*sn_h)/(4*sn_h)))^2)</f>
        <v/>
      </c>
      <c r="K1110">
        <f>MAX(-fyd_sn,MIN(fyd_sn,200000*0.002*(1-$C1110*(7*K$9-3*sn_h)/(4*sn_h))))-fcd_sn*(1-MIN(1,MAX(0,$C1110*(7*K$9-3*sn_h)/(4*sn_h)))^2)</f>
        <v/>
      </c>
    </row>
    <row r="1111">
      <c r="B1111" s="55" t="n">
        <v>120</v>
      </c>
      <c r="C1111" s="56">
        <f>IF(120&lt;posH_sn,1-120/200,IF(120=posH_sn,tstH_sn,1-(120-1)/200))</f>
        <v/>
      </c>
      <c r="D1111" s="59">
        <f>IF($C1111&gt;=1,sn_h,3/7*sn_h+4/7*sn_h/MAX($C1111,1E-12))</f>
        <v/>
      </c>
      <c r="E1111" s="57">
        <f>(fcd_sn*sn_b*sn_h*(3/7+4/7*(1-$C1111^2/3))+SUMPRODUCT($J$8:$K$8,$J1111:$K1111))/1000</f>
        <v/>
      </c>
      <c r="F1111" s="57">
        <f>-((fcd_sn*sn_b*(3/14*sn_h*(sn_h-3/7*sn_h)+4/7*sn_h*(sn_h/2-3/7*sn_h)*(1-$C1111^2/3)-16/49*sn_h^2*(1/2-$C1111^2/4))+SUMPRODUCT($J$8:$K$8,$J1111:$K1111,$J$10:$K$10))/1E6)</f>
        <v/>
      </c>
      <c r="G1111" s="57">
        <f>IF(AND(MIN($E1111,$E1112)&lt;=sn_N,sn_N&lt;=MAX($E1111,$E1112)),IF($E1111=$E1112,MAX($F1111,$F1112),$F1111+(sn_N-$E1111)*($F1112-$F1111)/($E1112-$E1111)),"")</f>
        <v/>
      </c>
      <c r="H1111" s="57">
        <f>IF(AND(MIN($E1111,$E1112)&lt;=sn_N,sn_N&lt;=MAX($E1111,$E1112)),IF($E1111=$E1112,MIN($F1111,$F1112),$F1111+(sn_N-$E1111)*($F1112-$F1111)/($E1112-$E1111)),"")</f>
        <v/>
      </c>
      <c r="J1111">
        <f>MAX(-fyd_sn,MIN(fyd_sn,200000*0.002*(1-$C1111*(7*J$9-3*sn_h)/(4*sn_h))))-fcd_sn*(1-MIN(1,MAX(0,$C1111*(7*J$9-3*sn_h)/(4*sn_h)))^2)</f>
        <v/>
      </c>
      <c r="K1111">
        <f>MAX(-fyd_sn,MIN(fyd_sn,200000*0.002*(1-$C1111*(7*K$9-3*sn_h)/(4*sn_h))))-fcd_sn*(1-MIN(1,MAX(0,$C1111*(7*K$9-3*sn_h)/(4*sn_h)))^2)</f>
        <v/>
      </c>
    </row>
    <row r="1112">
      <c r="B1112" s="55" t="n">
        <v>121</v>
      </c>
      <c r="C1112" s="56">
        <f>IF(121&lt;posH_sn,1-121/200,IF(121=posH_sn,tstH_sn,1-(121-1)/200))</f>
        <v/>
      </c>
      <c r="D1112" s="59">
        <f>IF($C1112&gt;=1,sn_h,3/7*sn_h+4/7*sn_h/MAX($C1112,1E-12))</f>
        <v/>
      </c>
      <c r="E1112" s="57">
        <f>(fcd_sn*sn_b*sn_h*(3/7+4/7*(1-$C1112^2/3))+SUMPRODUCT($J$8:$K$8,$J1112:$K1112))/1000</f>
        <v/>
      </c>
      <c r="F1112" s="57">
        <f>-((fcd_sn*sn_b*(3/14*sn_h*(sn_h-3/7*sn_h)+4/7*sn_h*(sn_h/2-3/7*sn_h)*(1-$C1112^2/3)-16/49*sn_h^2*(1/2-$C1112^2/4))+SUMPRODUCT($J$8:$K$8,$J1112:$K1112,$J$10:$K$10))/1E6)</f>
        <v/>
      </c>
      <c r="G1112" s="57">
        <f>IF(AND(MIN($E1112,$E1113)&lt;=sn_N,sn_N&lt;=MAX($E1112,$E1113)),IF($E1112=$E1113,MAX($F1112,$F1113),$F1112+(sn_N-$E1112)*($F1113-$F1112)/($E1113-$E1112)),"")</f>
        <v/>
      </c>
      <c r="H1112" s="57">
        <f>IF(AND(MIN($E1112,$E1113)&lt;=sn_N,sn_N&lt;=MAX($E1112,$E1113)),IF($E1112=$E1113,MIN($F1112,$F1113),$F1112+(sn_N-$E1112)*($F1113-$F1112)/($E1113-$E1112)),"")</f>
        <v/>
      </c>
      <c r="J1112">
        <f>MAX(-fyd_sn,MIN(fyd_sn,200000*0.002*(1-$C1112*(7*J$9-3*sn_h)/(4*sn_h))))-fcd_sn*(1-MIN(1,MAX(0,$C1112*(7*J$9-3*sn_h)/(4*sn_h)))^2)</f>
        <v/>
      </c>
      <c r="K1112">
        <f>MAX(-fyd_sn,MIN(fyd_sn,200000*0.002*(1-$C1112*(7*K$9-3*sn_h)/(4*sn_h))))-fcd_sn*(1-MIN(1,MAX(0,$C1112*(7*K$9-3*sn_h)/(4*sn_h)))^2)</f>
        <v/>
      </c>
    </row>
    <row r="1113">
      <c r="B1113" s="55" t="n">
        <v>122</v>
      </c>
      <c r="C1113" s="56">
        <f>IF(122&lt;posH_sn,1-122/200,IF(122=posH_sn,tstH_sn,1-(122-1)/200))</f>
        <v/>
      </c>
      <c r="D1113" s="59">
        <f>IF($C1113&gt;=1,sn_h,3/7*sn_h+4/7*sn_h/MAX($C1113,1E-12))</f>
        <v/>
      </c>
      <c r="E1113" s="57">
        <f>(fcd_sn*sn_b*sn_h*(3/7+4/7*(1-$C1113^2/3))+SUMPRODUCT($J$8:$K$8,$J1113:$K1113))/1000</f>
        <v/>
      </c>
      <c r="F1113" s="57">
        <f>-((fcd_sn*sn_b*(3/14*sn_h*(sn_h-3/7*sn_h)+4/7*sn_h*(sn_h/2-3/7*sn_h)*(1-$C1113^2/3)-16/49*sn_h^2*(1/2-$C1113^2/4))+SUMPRODUCT($J$8:$K$8,$J1113:$K1113,$J$10:$K$10))/1E6)</f>
        <v/>
      </c>
      <c r="G1113" s="57">
        <f>IF(AND(MIN($E1113,$E1114)&lt;=sn_N,sn_N&lt;=MAX($E1113,$E1114)),IF($E1113=$E1114,MAX($F1113,$F1114),$F1113+(sn_N-$E1113)*($F1114-$F1113)/($E1114-$E1113)),"")</f>
        <v/>
      </c>
      <c r="H1113" s="57">
        <f>IF(AND(MIN($E1113,$E1114)&lt;=sn_N,sn_N&lt;=MAX($E1113,$E1114)),IF($E1113=$E1114,MIN($F1113,$F1114),$F1113+(sn_N-$E1113)*($F1114-$F1113)/($E1114-$E1113)),"")</f>
        <v/>
      </c>
      <c r="J1113">
        <f>MAX(-fyd_sn,MIN(fyd_sn,200000*0.002*(1-$C1113*(7*J$9-3*sn_h)/(4*sn_h))))-fcd_sn*(1-MIN(1,MAX(0,$C1113*(7*J$9-3*sn_h)/(4*sn_h)))^2)</f>
        <v/>
      </c>
      <c r="K1113">
        <f>MAX(-fyd_sn,MIN(fyd_sn,200000*0.002*(1-$C1113*(7*K$9-3*sn_h)/(4*sn_h))))-fcd_sn*(1-MIN(1,MAX(0,$C1113*(7*K$9-3*sn_h)/(4*sn_h)))^2)</f>
        <v/>
      </c>
    </row>
    <row r="1114">
      <c r="B1114" s="55" t="n">
        <v>123</v>
      </c>
      <c r="C1114" s="56">
        <f>IF(123&lt;posH_sn,1-123/200,IF(123=posH_sn,tstH_sn,1-(123-1)/200))</f>
        <v/>
      </c>
      <c r="D1114" s="59">
        <f>IF($C1114&gt;=1,sn_h,3/7*sn_h+4/7*sn_h/MAX($C1114,1E-12))</f>
        <v/>
      </c>
      <c r="E1114" s="57">
        <f>(fcd_sn*sn_b*sn_h*(3/7+4/7*(1-$C1114^2/3))+SUMPRODUCT($J$8:$K$8,$J1114:$K1114))/1000</f>
        <v/>
      </c>
      <c r="F1114" s="57">
        <f>-((fcd_sn*sn_b*(3/14*sn_h*(sn_h-3/7*sn_h)+4/7*sn_h*(sn_h/2-3/7*sn_h)*(1-$C1114^2/3)-16/49*sn_h^2*(1/2-$C1114^2/4))+SUMPRODUCT($J$8:$K$8,$J1114:$K1114,$J$10:$K$10))/1E6)</f>
        <v/>
      </c>
      <c r="G1114" s="57">
        <f>IF(AND(MIN($E1114,$E1115)&lt;=sn_N,sn_N&lt;=MAX($E1114,$E1115)),IF($E1114=$E1115,MAX($F1114,$F1115),$F1114+(sn_N-$E1114)*($F1115-$F1114)/($E1115-$E1114)),"")</f>
        <v/>
      </c>
      <c r="H1114" s="57">
        <f>IF(AND(MIN($E1114,$E1115)&lt;=sn_N,sn_N&lt;=MAX($E1114,$E1115)),IF($E1114=$E1115,MIN($F1114,$F1115),$F1114+(sn_N-$E1114)*($F1115-$F1114)/($E1115-$E1114)),"")</f>
        <v/>
      </c>
      <c r="J1114">
        <f>MAX(-fyd_sn,MIN(fyd_sn,200000*0.002*(1-$C1114*(7*J$9-3*sn_h)/(4*sn_h))))-fcd_sn*(1-MIN(1,MAX(0,$C1114*(7*J$9-3*sn_h)/(4*sn_h)))^2)</f>
        <v/>
      </c>
      <c r="K1114">
        <f>MAX(-fyd_sn,MIN(fyd_sn,200000*0.002*(1-$C1114*(7*K$9-3*sn_h)/(4*sn_h))))-fcd_sn*(1-MIN(1,MAX(0,$C1114*(7*K$9-3*sn_h)/(4*sn_h)))^2)</f>
        <v/>
      </c>
    </row>
    <row r="1115">
      <c r="B1115" s="55" t="n">
        <v>124</v>
      </c>
      <c r="C1115" s="56">
        <f>IF(124&lt;posH_sn,1-124/200,IF(124=posH_sn,tstH_sn,1-(124-1)/200))</f>
        <v/>
      </c>
      <c r="D1115" s="59">
        <f>IF($C1115&gt;=1,sn_h,3/7*sn_h+4/7*sn_h/MAX($C1115,1E-12))</f>
        <v/>
      </c>
      <c r="E1115" s="57">
        <f>(fcd_sn*sn_b*sn_h*(3/7+4/7*(1-$C1115^2/3))+SUMPRODUCT($J$8:$K$8,$J1115:$K1115))/1000</f>
        <v/>
      </c>
      <c r="F1115" s="57">
        <f>-((fcd_sn*sn_b*(3/14*sn_h*(sn_h-3/7*sn_h)+4/7*sn_h*(sn_h/2-3/7*sn_h)*(1-$C1115^2/3)-16/49*sn_h^2*(1/2-$C1115^2/4))+SUMPRODUCT($J$8:$K$8,$J1115:$K1115,$J$10:$K$10))/1E6)</f>
        <v/>
      </c>
      <c r="G1115" s="57">
        <f>IF(AND(MIN($E1115,$E1116)&lt;=sn_N,sn_N&lt;=MAX($E1115,$E1116)),IF($E1115=$E1116,MAX($F1115,$F1116),$F1115+(sn_N-$E1115)*($F1116-$F1115)/($E1116-$E1115)),"")</f>
        <v/>
      </c>
      <c r="H1115" s="57">
        <f>IF(AND(MIN($E1115,$E1116)&lt;=sn_N,sn_N&lt;=MAX($E1115,$E1116)),IF($E1115=$E1116,MIN($F1115,$F1116),$F1115+(sn_N-$E1115)*($F1116-$F1115)/($E1116-$E1115)),"")</f>
        <v/>
      </c>
      <c r="J1115">
        <f>MAX(-fyd_sn,MIN(fyd_sn,200000*0.002*(1-$C1115*(7*J$9-3*sn_h)/(4*sn_h))))-fcd_sn*(1-MIN(1,MAX(0,$C1115*(7*J$9-3*sn_h)/(4*sn_h)))^2)</f>
        <v/>
      </c>
      <c r="K1115">
        <f>MAX(-fyd_sn,MIN(fyd_sn,200000*0.002*(1-$C1115*(7*K$9-3*sn_h)/(4*sn_h))))-fcd_sn*(1-MIN(1,MAX(0,$C1115*(7*K$9-3*sn_h)/(4*sn_h)))^2)</f>
        <v/>
      </c>
    </row>
    <row r="1116">
      <c r="B1116" s="55" t="n">
        <v>125</v>
      </c>
      <c r="C1116" s="56">
        <f>IF(125&lt;posH_sn,1-125/200,IF(125=posH_sn,tstH_sn,1-(125-1)/200))</f>
        <v/>
      </c>
      <c r="D1116" s="59">
        <f>IF($C1116&gt;=1,sn_h,3/7*sn_h+4/7*sn_h/MAX($C1116,1E-12))</f>
        <v/>
      </c>
      <c r="E1116" s="57">
        <f>(fcd_sn*sn_b*sn_h*(3/7+4/7*(1-$C1116^2/3))+SUMPRODUCT($J$8:$K$8,$J1116:$K1116))/1000</f>
        <v/>
      </c>
      <c r="F1116" s="57">
        <f>-((fcd_sn*sn_b*(3/14*sn_h*(sn_h-3/7*sn_h)+4/7*sn_h*(sn_h/2-3/7*sn_h)*(1-$C1116^2/3)-16/49*sn_h^2*(1/2-$C1116^2/4))+SUMPRODUCT($J$8:$K$8,$J1116:$K1116,$J$10:$K$10))/1E6)</f>
        <v/>
      </c>
      <c r="G1116" s="57">
        <f>IF(AND(MIN($E1116,$E1117)&lt;=sn_N,sn_N&lt;=MAX($E1116,$E1117)),IF($E1116=$E1117,MAX($F1116,$F1117),$F1116+(sn_N-$E1116)*($F1117-$F1116)/($E1117-$E1116)),"")</f>
        <v/>
      </c>
      <c r="H1116" s="57">
        <f>IF(AND(MIN($E1116,$E1117)&lt;=sn_N,sn_N&lt;=MAX($E1116,$E1117)),IF($E1116=$E1117,MIN($F1116,$F1117),$F1116+(sn_N-$E1116)*($F1117-$F1116)/($E1117-$E1116)),"")</f>
        <v/>
      </c>
      <c r="J1116">
        <f>MAX(-fyd_sn,MIN(fyd_sn,200000*0.002*(1-$C1116*(7*J$9-3*sn_h)/(4*sn_h))))-fcd_sn*(1-MIN(1,MAX(0,$C1116*(7*J$9-3*sn_h)/(4*sn_h)))^2)</f>
        <v/>
      </c>
      <c r="K1116">
        <f>MAX(-fyd_sn,MIN(fyd_sn,200000*0.002*(1-$C1116*(7*K$9-3*sn_h)/(4*sn_h))))-fcd_sn*(1-MIN(1,MAX(0,$C1116*(7*K$9-3*sn_h)/(4*sn_h)))^2)</f>
        <v/>
      </c>
    </row>
    <row r="1117">
      <c r="B1117" s="55" t="n">
        <v>126</v>
      </c>
      <c r="C1117" s="56">
        <f>IF(126&lt;posH_sn,1-126/200,IF(126=posH_sn,tstH_sn,1-(126-1)/200))</f>
        <v/>
      </c>
      <c r="D1117" s="59">
        <f>IF($C1117&gt;=1,sn_h,3/7*sn_h+4/7*sn_h/MAX($C1117,1E-12))</f>
        <v/>
      </c>
      <c r="E1117" s="57">
        <f>(fcd_sn*sn_b*sn_h*(3/7+4/7*(1-$C1117^2/3))+SUMPRODUCT($J$8:$K$8,$J1117:$K1117))/1000</f>
        <v/>
      </c>
      <c r="F1117" s="57">
        <f>-((fcd_sn*sn_b*(3/14*sn_h*(sn_h-3/7*sn_h)+4/7*sn_h*(sn_h/2-3/7*sn_h)*(1-$C1117^2/3)-16/49*sn_h^2*(1/2-$C1117^2/4))+SUMPRODUCT($J$8:$K$8,$J1117:$K1117,$J$10:$K$10))/1E6)</f>
        <v/>
      </c>
      <c r="G1117" s="57">
        <f>IF(AND(MIN($E1117,$E1118)&lt;=sn_N,sn_N&lt;=MAX($E1117,$E1118)),IF($E1117=$E1118,MAX($F1117,$F1118),$F1117+(sn_N-$E1117)*($F1118-$F1117)/($E1118-$E1117)),"")</f>
        <v/>
      </c>
      <c r="H1117" s="57">
        <f>IF(AND(MIN($E1117,$E1118)&lt;=sn_N,sn_N&lt;=MAX($E1117,$E1118)),IF($E1117=$E1118,MIN($F1117,$F1118),$F1117+(sn_N-$E1117)*($F1118-$F1117)/($E1118-$E1117)),"")</f>
        <v/>
      </c>
      <c r="J1117">
        <f>MAX(-fyd_sn,MIN(fyd_sn,200000*0.002*(1-$C1117*(7*J$9-3*sn_h)/(4*sn_h))))-fcd_sn*(1-MIN(1,MAX(0,$C1117*(7*J$9-3*sn_h)/(4*sn_h)))^2)</f>
        <v/>
      </c>
      <c r="K1117">
        <f>MAX(-fyd_sn,MIN(fyd_sn,200000*0.002*(1-$C1117*(7*K$9-3*sn_h)/(4*sn_h))))-fcd_sn*(1-MIN(1,MAX(0,$C1117*(7*K$9-3*sn_h)/(4*sn_h)))^2)</f>
        <v/>
      </c>
    </row>
    <row r="1118">
      <c r="B1118" s="55" t="n">
        <v>127</v>
      </c>
      <c r="C1118" s="56">
        <f>IF(127&lt;posH_sn,1-127/200,IF(127=posH_sn,tstH_sn,1-(127-1)/200))</f>
        <v/>
      </c>
      <c r="D1118" s="59">
        <f>IF($C1118&gt;=1,sn_h,3/7*sn_h+4/7*sn_h/MAX($C1118,1E-12))</f>
        <v/>
      </c>
      <c r="E1118" s="57">
        <f>(fcd_sn*sn_b*sn_h*(3/7+4/7*(1-$C1118^2/3))+SUMPRODUCT($J$8:$K$8,$J1118:$K1118))/1000</f>
        <v/>
      </c>
      <c r="F1118" s="57">
        <f>-((fcd_sn*sn_b*(3/14*sn_h*(sn_h-3/7*sn_h)+4/7*sn_h*(sn_h/2-3/7*sn_h)*(1-$C1118^2/3)-16/49*sn_h^2*(1/2-$C1118^2/4))+SUMPRODUCT($J$8:$K$8,$J1118:$K1118,$J$10:$K$10))/1E6)</f>
        <v/>
      </c>
      <c r="G1118" s="57">
        <f>IF(AND(MIN($E1118,$E1119)&lt;=sn_N,sn_N&lt;=MAX($E1118,$E1119)),IF($E1118=$E1119,MAX($F1118,$F1119),$F1118+(sn_N-$E1118)*($F1119-$F1118)/($E1119-$E1118)),"")</f>
        <v/>
      </c>
      <c r="H1118" s="57">
        <f>IF(AND(MIN($E1118,$E1119)&lt;=sn_N,sn_N&lt;=MAX($E1118,$E1119)),IF($E1118=$E1119,MIN($F1118,$F1119),$F1118+(sn_N-$E1118)*($F1119-$F1118)/($E1119-$E1118)),"")</f>
        <v/>
      </c>
      <c r="J1118">
        <f>MAX(-fyd_sn,MIN(fyd_sn,200000*0.002*(1-$C1118*(7*J$9-3*sn_h)/(4*sn_h))))-fcd_sn*(1-MIN(1,MAX(0,$C1118*(7*J$9-3*sn_h)/(4*sn_h)))^2)</f>
        <v/>
      </c>
      <c r="K1118">
        <f>MAX(-fyd_sn,MIN(fyd_sn,200000*0.002*(1-$C1118*(7*K$9-3*sn_h)/(4*sn_h))))-fcd_sn*(1-MIN(1,MAX(0,$C1118*(7*K$9-3*sn_h)/(4*sn_h)))^2)</f>
        <v/>
      </c>
    </row>
    <row r="1119">
      <c r="B1119" s="55" t="n">
        <v>128</v>
      </c>
      <c r="C1119" s="56">
        <f>IF(128&lt;posH_sn,1-128/200,IF(128=posH_sn,tstH_sn,1-(128-1)/200))</f>
        <v/>
      </c>
      <c r="D1119" s="59">
        <f>IF($C1119&gt;=1,sn_h,3/7*sn_h+4/7*sn_h/MAX($C1119,1E-12))</f>
        <v/>
      </c>
      <c r="E1119" s="57">
        <f>(fcd_sn*sn_b*sn_h*(3/7+4/7*(1-$C1119^2/3))+SUMPRODUCT($J$8:$K$8,$J1119:$K1119))/1000</f>
        <v/>
      </c>
      <c r="F1119" s="57">
        <f>-((fcd_sn*sn_b*(3/14*sn_h*(sn_h-3/7*sn_h)+4/7*sn_h*(sn_h/2-3/7*sn_h)*(1-$C1119^2/3)-16/49*sn_h^2*(1/2-$C1119^2/4))+SUMPRODUCT($J$8:$K$8,$J1119:$K1119,$J$10:$K$10))/1E6)</f>
        <v/>
      </c>
      <c r="G1119" s="57">
        <f>IF(AND(MIN($E1119,$E1120)&lt;=sn_N,sn_N&lt;=MAX($E1119,$E1120)),IF($E1119=$E1120,MAX($F1119,$F1120),$F1119+(sn_N-$E1119)*($F1120-$F1119)/($E1120-$E1119)),"")</f>
        <v/>
      </c>
      <c r="H1119" s="57">
        <f>IF(AND(MIN($E1119,$E1120)&lt;=sn_N,sn_N&lt;=MAX($E1119,$E1120)),IF($E1119=$E1120,MIN($F1119,$F1120),$F1119+(sn_N-$E1119)*($F1120-$F1119)/($E1120-$E1119)),"")</f>
        <v/>
      </c>
      <c r="J1119">
        <f>MAX(-fyd_sn,MIN(fyd_sn,200000*0.002*(1-$C1119*(7*J$9-3*sn_h)/(4*sn_h))))-fcd_sn*(1-MIN(1,MAX(0,$C1119*(7*J$9-3*sn_h)/(4*sn_h)))^2)</f>
        <v/>
      </c>
      <c r="K1119">
        <f>MAX(-fyd_sn,MIN(fyd_sn,200000*0.002*(1-$C1119*(7*K$9-3*sn_h)/(4*sn_h))))-fcd_sn*(1-MIN(1,MAX(0,$C1119*(7*K$9-3*sn_h)/(4*sn_h)))^2)</f>
        <v/>
      </c>
    </row>
    <row r="1120">
      <c r="B1120" s="55" t="n">
        <v>129</v>
      </c>
      <c r="C1120" s="56">
        <f>IF(129&lt;posH_sn,1-129/200,IF(129=posH_sn,tstH_sn,1-(129-1)/200))</f>
        <v/>
      </c>
      <c r="D1120" s="59">
        <f>IF($C1120&gt;=1,sn_h,3/7*sn_h+4/7*sn_h/MAX($C1120,1E-12))</f>
        <v/>
      </c>
      <c r="E1120" s="57">
        <f>(fcd_sn*sn_b*sn_h*(3/7+4/7*(1-$C1120^2/3))+SUMPRODUCT($J$8:$K$8,$J1120:$K1120))/1000</f>
        <v/>
      </c>
      <c r="F1120" s="57">
        <f>-((fcd_sn*sn_b*(3/14*sn_h*(sn_h-3/7*sn_h)+4/7*sn_h*(sn_h/2-3/7*sn_h)*(1-$C1120^2/3)-16/49*sn_h^2*(1/2-$C1120^2/4))+SUMPRODUCT($J$8:$K$8,$J1120:$K1120,$J$10:$K$10))/1E6)</f>
        <v/>
      </c>
      <c r="G1120" s="57">
        <f>IF(AND(MIN($E1120,$E1121)&lt;=sn_N,sn_N&lt;=MAX($E1120,$E1121)),IF($E1120=$E1121,MAX($F1120,$F1121),$F1120+(sn_N-$E1120)*($F1121-$F1120)/($E1121-$E1120)),"")</f>
        <v/>
      </c>
      <c r="H1120" s="57">
        <f>IF(AND(MIN($E1120,$E1121)&lt;=sn_N,sn_N&lt;=MAX($E1120,$E1121)),IF($E1120=$E1121,MIN($F1120,$F1121),$F1120+(sn_N-$E1120)*($F1121-$F1120)/($E1121-$E1120)),"")</f>
        <v/>
      </c>
      <c r="J1120">
        <f>MAX(-fyd_sn,MIN(fyd_sn,200000*0.002*(1-$C1120*(7*J$9-3*sn_h)/(4*sn_h))))-fcd_sn*(1-MIN(1,MAX(0,$C1120*(7*J$9-3*sn_h)/(4*sn_h)))^2)</f>
        <v/>
      </c>
      <c r="K1120">
        <f>MAX(-fyd_sn,MIN(fyd_sn,200000*0.002*(1-$C1120*(7*K$9-3*sn_h)/(4*sn_h))))-fcd_sn*(1-MIN(1,MAX(0,$C1120*(7*K$9-3*sn_h)/(4*sn_h)))^2)</f>
        <v/>
      </c>
    </row>
    <row r="1121">
      <c r="B1121" s="55" t="n">
        <v>130</v>
      </c>
      <c r="C1121" s="56">
        <f>IF(130&lt;posH_sn,1-130/200,IF(130=posH_sn,tstH_sn,1-(130-1)/200))</f>
        <v/>
      </c>
      <c r="D1121" s="59">
        <f>IF($C1121&gt;=1,sn_h,3/7*sn_h+4/7*sn_h/MAX($C1121,1E-12))</f>
        <v/>
      </c>
      <c r="E1121" s="57">
        <f>(fcd_sn*sn_b*sn_h*(3/7+4/7*(1-$C1121^2/3))+SUMPRODUCT($J$8:$K$8,$J1121:$K1121))/1000</f>
        <v/>
      </c>
      <c r="F1121" s="57">
        <f>-((fcd_sn*sn_b*(3/14*sn_h*(sn_h-3/7*sn_h)+4/7*sn_h*(sn_h/2-3/7*sn_h)*(1-$C1121^2/3)-16/49*sn_h^2*(1/2-$C1121^2/4))+SUMPRODUCT($J$8:$K$8,$J1121:$K1121,$J$10:$K$10))/1E6)</f>
        <v/>
      </c>
      <c r="G1121" s="57">
        <f>IF(AND(MIN($E1121,$E1122)&lt;=sn_N,sn_N&lt;=MAX($E1121,$E1122)),IF($E1121=$E1122,MAX($F1121,$F1122),$F1121+(sn_N-$E1121)*($F1122-$F1121)/($E1122-$E1121)),"")</f>
        <v/>
      </c>
      <c r="H1121" s="57">
        <f>IF(AND(MIN($E1121,$E1122)&lt;=sn_N,sn_N&lt;=MAX($E1121,$E1122)),IF($E1121=$E1122,MIN($F1121,$F1122),$F1121+(sn_N-$E1121)*($F1122-$F1121)/($E1122-$E1121)),"")</f>
        <v/>
      </c>
      <c r="J1121">
        <f>MAX(-fyd_sn,MIN(fyd_sn,200000*0.002*(1-$C1121*(7*J$9-3*sn_h)/(4*sn_h))))-fcd_sn*(1-MIN(1,MAX(0,$C1121*(7*J$9-3*sn_h)/(4*sn_h)))^2)</f>
        <v/>
      </c>
      <c r="K1121">
        <f>MAX(-fyd_sn,MIN(fyd_sn,200000*0.002*(1-$C1121*(7*K$9-3*sn_h)/(4*sn_h))))-fcd_sn*(1-MIN(1,MAX(0,$C1121*(7*K$9-3*sn_h)/(4*sn_h)))^2)</f>
        <v/>
      </c>
    </row>
    <row r="1122">
      <c r="B1122" s="55" t="n">
        <v>131</v>
      </c>
      <c r="C1122" s="56">
        <f>IF(131&lt;posH_sn,1-131/200,IF(131=posH_sn,tstH_sn,1-(131-1)/200))</f>
        <v/>
      </c>
      <c r="D1122" s="59">
        <f>IF($C1122&gt;=1,sn_h,3/7*sn_h+4/7*sn_h/MAX($C1122,1E-12))</f>
        <v/>
      </c>
      <c r="E1122" s="57">
        <f>(fcd_sn*sn_b*sn_h*(3/7+4/7*(1-$C1122^2/3))+SUMPRODUCT($J$8:$K$8,$J1122:$K1122))/1000</f>
        <v/>
      </c>
      <c r="F1122" s="57">
        <f>-((fcd_sn*sn_b*(3/14*sn_h*(sn_h-3/7*sn_h)+4/7*sn_h*(sn_h/2-3/7*sn_h)*(1-$C1122^2/3)-16/49*sn_h^2*(1/2-$C1122^2/4))+SUMPRODUCT($J$8:$K$8,$J1122:$K1122,$J$10:$K$10))/1E6)</f>
        <v/>
      </c>
      <c r="G1122" s="57">
        <f>IF(AND(MIN($E1122,$E1123)&lt;=sn_N,sn_N&lt;=MAX($E1122,$E1123)),IF($E1122=$E1123,MAX($F1122,$F1123),$F1122+(sn_N-$E1122)*($F1123-$F1122)/($E1123-$E1122)),"")</f>
        <v/>
      </c>
      <c r="H1122" s="57">
        <f>IF(AND(MIN($E1122,$E1123)&lt;=sn_N,sn_N&lt;=MAX($E1122,$E1123)),IF($E1122=$E1123,MIN($F1122,$F1123),$F1122+(sn_N-$E1122)*($F1123-$F1122)/($E1123-$E1122)),"")</f>
        <v/>
      </c>
      <c r="J1122">
        <f>MAX(-fyd_sn,MIN(fyd_sn,200000*0.002*(1-$C1122*(7*J$9-3*sn_h)/(4*sn_h))))-fcd_sn*(1-MIN(1,MAX(0,$C1122*(7*J$9-3*sn_h)/(4*sn_h)))^2)</f>
        <v/>
      </c>
      <c r="K1122">
        <f>MAX(-fyd_sn,MIN(fyd_sn,200000*0.002*(1-$C1122*(7*K$9-3*sn_h)/(4*sn_h))))-fcd_sn*(1-MIN(1,MAX(0,$C1122*(7*K$9-3*sn_h)/(4*sn_h)))^2)</f>
        <v/>
      </c>
    </row>
    <row r="1123">
      <c r="B1123" s="55" t="n">
        <v>132</v>
      </c>
      <c r="C1123" s="56">
        <f>IF(132&lt;posH_sn,1-132/200,IF(132=posH_sn,tstH_sn,1-(132-1)/200))</f>
        <v/>
      </c>
      <c r="D1123" s="59">
        <f>IF($C1123&gt;=1,sn_h,3/7*sn_h+4/7*sn_h/MAX($C1123,1E-12))</f>
        <v/>
      </c>
      <c r="E1123" s="57">
        <f>(fcd_sn*sn_b*sn_h*(3/7+4/7*(1-$C1123^2/3))+SUMPRODUCT($J$8:$K$8,$J1123:$K1123))/1000</f>
        <v/>
      </c>
      <c r="F1123" s="57">
        <f>-((fcd_sn*sn_b*(3/14*sn_h*(sn_h-3/7*sn_h)+4/7*sn_h*(sn_h/2-3/7*sn_h)*(1-$C1123^2/3)-16/49*sn_h^2*(1/2-$C1123^2/4))+SUMPRODUCT($J$8:$K$8,$J1123:$K1123,$J$10:$K$10))/1E6)</f>
        <v/>
      </c>
      <c r="G1123" s="57">
        <f>IF(AND(MIN($E1123,$E1124)&lt;=sn_N,sn_N&lt;=MAX($E1123,$E1124)),IF($E1123=$E1124,MAX($F1123,$F1124),$F1123+(sn_N-$E1123)*($F1124-$F1123)/($E1124-$E1123)),"")</f>
        <v/>
      </c>
      <c r="H1123" s="57">
        <f>IF(AND(MIN($E1123,$E1124)&lt;=sn_N,sn_N&lt;=MAX($E1123,$E1124)),IF($E1123=$E1124,MIN($F1123,$F1124),$F1123+(sn_N-$E1123)*($F1124-$F1123)/($E1124-$E1123)),"")</f>
        <v/>
      </c>
      <c r="J1123">
        <f>MAX(-fyd_sn,MIN(fyd_sn,200000*0.002*(1-$C1123*(7*J$9-3*sn_h)/(4*sn_h))))-fcd_sn*(1-MIN(1,MAX(0,$C1123*(7*J$9-3*sn_h)/(4*sn_h)))^2)</f>
        <v/>
      </c>
      <c r="K1123">
        <f>MAX(-fyd_sn,MIN(fyd_sn,200000*0.002*(1-$C1123*(7*K$9-3*sn_h)/(4*sn_h))))-fcd_sn*(1-MIN(1,MAX(0,$C1123*(7*K$9-3*sn_h)/(4*sn_h)))^2)</f>
        <v/>
      </c>
    </row>
    <row r="1124">
      <c r="B1124" s="55" t="n">
        <v>133</v>
      </c>
      <c r="C1124" s="56">
        <f>IF(133&lt;posH_sn,1-133/200,IF(133=posH_sn,tstH_sn,1-(133-1)/200))</f>
        <v/>
      </c>
      <c r="D1124" s="59">
        <f>IF($C1124&gt;=1,sn_h,3/7*sn_h+4/7*sn_h/MAX($C1124,1E-12))</f>
        <v/>
      </c>
      <c r="E1124" s="57">
        <f>(fcd_sn*sn_b*sn_h*(3/7+4/7*(1-$C1124^2/3))+SUMPRODUCT($J$8:$K$8,$J1124:$K1124))/1000</f>
        <v/>
      </c>
      <c r="F1124" s="57">
        <f>-((fcd_sn*sn_b*(3/14*sn_h*(sn_h-3/7*sn_h)+4/7*sn_h*(sn_h/2-3/7*sn_h)*(1-$C1124^2/3)-16/49*sn_h^2*(1/2-$C1124^2/4))+SUMPRODUCT($J$8:$K$8,$J1124:$K1124,$J$10:$K$10))/1E6)</f>
        <v/>
      </c>
      <c r="G1124" s="57">
        <f>IF(AND(MIN($E1124,$E1125)&lt;=sn_N,sn_N&lt;=MAX($E1124,$E1125)),IF($E1124=$E1125,MAX($F1124,$F1125),$F1124+(sn_N-$E1124)*($F1125-$F1124)/($E1125-$E1124)),"")</f>
        <v/>
      </c>
      <c r="H1124" s="57">
        <f>IF(AND(MIN($E1124,$E1125)&lt;=sn_N,sn_N&lt;=MAX($E1124,$E1125)),IF($E1124=$E1125,MIN($F1124,$F1125),$F1124+(sn_N-$E1124)*($F1125-$F1124)/($E1125-$E1124)),"")</f>
        <v/>
      </c>
      <c r="J1124">
        <f>MAX(-fyd_sn,MIN(fyd_sn,200000*0.002*(1-$C1124*(7*J$9-3*sn_h)/(4*sn_h))))-fcd_sn*(1-MIN(1,MAX(0,$C1124*(7*J$9-3*sn_h)/(4*sn_h)))^2)</f>
        <v/>
      </c>
      <c r="K1124">
        <f>MAX(-fyd_sn,MIN(fyd_sn,200000*0.002*(1-$C1124*(7*K$9-3*sn_h)/(4*sn_h))))-fcd_sn*(1-MIN(1,MAX(0,$C1124*(7*K$9-3*sn_h)/(4*sn_h)))^2)</f>
        <v/>
      </c>
    </row>
    <row r="1125">
      <c r="B1125" s="55" t="n">
        <v>134</v>
      </c>
      <c r="C1125" s="56">
        <f>IF(134&lt;posH_sn,1-134/200,IF(134=posH_sn,tstH_sn,1-(134-1)/200))</f>
        <v/>
      </c>
      <c r="D1125" s="59">
        <f>IF($C1125&gt;=1,sn_h,3/7*sn_h+4/7*sn_h/MAX($C1125,1E-12))</f>
        <v/>
      </c>
      <c r="E1125" s="57">
        <f>(fcd_sn*sn_b*sn_h*(3/7+4/7*(1-$C1125^2/3))+SUMPRODUCT($J$8:$K$8,$J1125:$K1125))/1000</f>
        <v/>
      </c>
      <c r="F1125" s="57">
        <f>-((fcd_sn*sn_b*(3/14*sn_h*(sn_h-3/7*sn_h)+4/7*sn_h*(sn_h/2-3/7*sn_h)*(1-$C1125^2/3)-16/49*sn_h^2*(1/2-$C1125^2/4))+SUMPRODUCT($J$8:$K$8,$J1125:$K1125,$J$10:$K$10))/1E6)</f>
        <v/>
      </c>
      <c r="G1125" s="57">
        <f>IF(AND(MIN($E1125,$E1126)&lt;=sn_N,sn_N&lt;=MAX($E1125,$E1126)),IF($E1125=$E1126,MAX($F1125,$F1126),$F1125+(sn_N-$E1125)*($F1126-$F1125)/($E1126-$E1125)),"")</f>
        <v/>
      </c>
      <c r="H1125" s="57">
        <f>IF(AND(MIN($E1125,$E1126)&lt;=sn_N,sn_N&lt;=MAX($E1125,$E1126)),IF($E1125=$E1126,MIN($F1125,$F1126),$F1125+(sn_N-$E1125)*($F1126-$F1125)/($E1126-$E1125)),"")</f>
        <v/>
      </c>
      <c r="J1125">
        <f>MAX(-fyd_sn,MIN(fyd_sn,200000*0.002*(1-$C1125*(7*J$9-3*sn_h)/(4*sn_h))))-fcd_sn*(1-MIN(1,MAX(0,$C1125*(7*J$9-3*sn_h)/(4*sn_h)))^2)</f>
        <v/>
      </c>
      <c r="K1125">
        <f>MAX(-fyd_sn,MIN(fyd_sn,200000*0.002*(1-$C1125*(7*K$9-3*sn_h)/(4*sn_h))))-fcd_sn*(1-MIN(1,MAX(0,$C1125*(7*K$9-3*sn_h)/(4*sn_h)))^2)</f>
        <v/>
      </c>
    </row>
    <row r="1126">
      <c r="B1126" s="55" t="n">
        <v>135</v>
      </c>
      <c r="C1126" s="56">
        <f>IF(135&lt;posH_sn,1-135/200,IF(135=posH_sn,tstH_sn,1-(135-1)/200))</f>
        <v/>
      </c>
      <c r="D1126" s="59">
        <f>IF($C1126&gt;=1,sn_h,3/7*sn_h+4/7*sn_h/MAX($C1126,1E-12))</f>
        <v/>
      </c>
      <c r="E1126" s="57">
        <f>(fcd_sn*sn_b*sn_h*(3/7+4/7*(1-$C1126^2/3))+SUMPRODUCT($J$8:$K$8,$J1126:$K1126))/1000</f>
        <v/>
      </c>
      <c r="F1126" s="57">
        <f>-((fcd_sn*sn_b*(3/14*sn_h*(sn_h-3/7*sn_h)+4/7*sn_h*(sn_h/2-3/7*sn_h)*(1-$C1126^2/3)-16/49*sn_h^2*(1/2-$C1126^2/4))+SUMPRODUCT($J$8:$K$8,$J1126:$K1126,$J$10:$K$10))/1E6)</f>
        <v/>
      </c>
      <c r="G1126" s="57">
        <f>IF(AND(MIN($E1126,$E1127)&lt;=sn_N,sn_N&lt;=MAX($E1126,$E1127)),IF($E1126=$E1127,MAX($F1126,$F1127),$F1126+(sn_N-$E1126)*($F1127-$F1126)/($E1127-$E1126)),"")</f>
        <v/>
      </c>
      <c r="H1126" s="57">
        <f>IF(AND(MIN($E1126,$E1127)&lt;=sn_N,sn_N&lt;=MAX($E1126,$E1127)),IF($E1126=$E1127,MIN($F1126,$F1127),$F1126+(sn_N-$E1126)*($F1127-$F1126)/($E1127-$E1126)),"")</f>
        <v/>
      </c>
      <c r="J1126">
        <f>MAX(-fyd_sn,MIN(fyd_sn,200000*0.002*(1-$C1126*(7*J$9-3*sn_h)/(4*sn_h))))-fcd_sn*(1-MIN(1,MAX(0,$C1126*(7*J$9-3*sn_h)/(4*sn_h)))^2)</f>
        <v/>
      </c>
      <c r="K1126">
        <f>MAX(-fyd_sn,MIN(fyd_sn,200000*0.002*(1-$C1126*(7*K$9-3*sn_h)/(4*sn_h))))-fcd_sn*(1-MIN(1,MAX(0,$C1126*(7*K$9-3*sn_h)/(4*sn_h)))^2)</f>
        <v/>
      </c>
    </row>
    <row r="1127">
      <c r="B1127" s="55" t="n">
        <v>136</v>
      </c>
      <c r="C1127" s="56">
        <f>IF(136&lt;posH_sn,1-136/200,IF(136=posH_sn,tstH_sn,1-(136-1)/200))</f>
        <v/>
      </c>
      <c r="D1127" s="59">
        <f>IF($C1127&gt;=1,sn_h,3/7*sn_h+4/7*sn_h/MAX($C1127,1E-12))</f>
        <v/>
      </c>
      <c r="E1127" s="57">
        <f>(fcd_sn*sn_b*sn_h*(3/7+4/7*(1-$C1127^2/3))+SUMPRODUCT($J$8:$K$8,$J1127:$K1127))/1000</f>
        <v/>
      </c>
      <c r="F1127" s="57">
        <f>-((fcd_sn*sn_b*(3/14*sn_h*(sn_h-3/7*sn_h)+4/7*sn_h*(sn_h/2-3/7*sn_h)*(1-$C1127^2/3)-16/49*sn_h^2*(1/2-$C1127^2/4))+SUMPRODUCT($J$8:$K$8,$J1127:$K1127,$J$10:$K$10))/1E6)</f>
        <v/>
      </c>
      <c r="G1127" s="57">
        <f>IF(AND(MIN($E1127,$E1128)&lt;=sn_N,sn_N&lt;=MAX($E1127,$E1128)),IF($E1127=$E1128,MAX($F1127,$F1128),$F1127+(sn_N-$E1127)*($F1128-$F1127)/($E1128-$E1127)),"")</f>
        <v/>
      </c>
      <c r="H1127" s="57">
        <f>IF(AND(MIN($E1127,$E1128)&lt;=sn_N,sn_N&lt;=MAX($E1127,$E1128)),IF($E1127=$E1128,MIN($F1127,$F1128),$F1127+(sn_N-$E1127)*($F1128-$F1127)/($E1128-$E1127)),"")</f>
        <v/>
      </c>
      <c r="J1127">
        <f>MAX(-fyd_sn,MIN(fyd_sn,200000*0.002*(1-$C1127*(7*J$9-3*sn_h)/(4*sn_h))))-fcd_sn*(1-MIN(1,MAX(0,$C1127*(7*J$9-3*sn_h)/(4*sn_h)))^2)</f>
        <v/>
      </c>
      <c r="K1127">
        <f>MAX(-fyd_sn,MIN(fyd_sn,200000*0.002*(1-$C1127*(7*K$9-3*sn_h)/(4*sn_h))))-fcd_sn*(1-MIN(1,MAX(0,$C1127*(7*K$9-3*sn_h)/(4*sn_h)))^2)</f>
        <v/>
      </c>
    </row>
    <row r="1128">
      <c r="B1128" s="55" t="n">
        <v>137</v>
      </c>
      <c r="C1128" s="56">
        <f>IF(137&lt;posH_sn,1-137/200,IF(137=posH_sn,tstH_sn,1-(137-1)/200))</f>
        <v/>
      </c>
      <c r="D1128" s="59">
        <f>IF($C1128&gt;=1,sn_h,3/7*sn_h+4/7*sn_h/MAX($C1128,1E-12))</f>
        <v/>
      </c>
      <c r="E1128" s="57">
        <f>(fcd_sn*sn_b*sn_h*(3/7+4/7*(1-$C1128^2/3))+SUMPRODUCT($J$8:$K$8,$J1128:$K1128))/1000</f>
        <v/>
      </c>
      <c r="F1128" s="57">
        <f>-((fcd_sn*sn_b*(3/14*sn_h*(sn_h-3/7*sn_h)+4/7*sn_h*(sn_h/2-3/7*sn_h)*(1-$C1128^2/3)-16/49*sn_h^2*(1/2-$C1128^2/4))+SUMPRODUCT($J$8:$K$8,$J1128:$K1128,$J$10:$K$10))/1E6)</f>
        <v/>
      </c>
      <c r="G1128" s="57">
        <f>IF(AND(MIN($E1128,$E1129)&lt;=sn_N,sn_N&lt;=MAX($E1128,$E1129)),IF($E1128=$E1129,MAX($F1128,$F1129),$F1128+(sn_N-$E1128)*($F1129-$F1128)/($E1129-$E1128)),"")</f>
        <v/>
      </c>
      <c r="H1128" s="57">
        <f>IF(AND(MIN($E1128,$E1129)&lt;=sn_N,sn_N&lt;=MAX($E1128,$E1129)),IF($E1128=$E1129,MIN($F1128,$F1129),$F1128+(sn_N-$E1128)*($F1129-$F1128)/($E1129-$E1128)),"")</f>
        <v/>
      </c>
      <c r="J1128">
        <f>MAX(-fyd_sn,MIN(fyd_sn,200000*0.002*(1-$C1128*(7*J$9-3*sn_h)/(4*sn_h))))-fcd_sn*(1-MIN(1,MAX(0,$C1128*(7*J$9-3*sn_h)/(4*sn_h)))^2)</f>
        <v/>
      </c>
      <c r="K1128">
        <f>MAX(-fyd_sn,MIN(fyd_sn,200000*0.002*(1-$C1128*(7*K$9-3*sn_h)/(4*sn_h))))-fcd_sn*(1-MIN(1,MAX(0,$C1128*(7*K$9-3*sn_h)/(4*sn_h)))^2)</f>
        <v/>
      </c>
    </row>
    <row r="1129">
      <c r="B1129" s="55" t="n">
        <v>138</v>
      </c>
      <c r="C1129" s="56">
        <f>IF(138&lt;posH_sn,1-138/200,IF(138=posH_sn,tstH_sn,1-(138-1)/200))</f>
        <v/>
      </c>
      <c r="D1129" s="59">
        <f>IF($C1129&gt;=1,sn_h,3/7*sn_h+4/7*sn_h/MAX($C1129,1E-12))</f>
        <v/>
      </c>
      <c r="E1129" s="57">
        <f>(fcd_sn*sn_b*sn_h*(3/7+4/7*(1-$C1129^2/3))+SUMPRODUCT($J$8:$K$8,$J1129:$K1129))/1000</f>
        <v/>
      </c>
      <c r="F1129" s="57">
        <f>-((fcd_sn*sn_b*(3/14*sn_h*(sn_h-3/7*sn_h)+4/7*sn_h*(sn_h/2-3/7*sn_h)*(1-$C1129^2/3)-16/49*sn_h^2*(1/2-$C1129^2/4))+SUMPRODUCT($J$8:$K$8,$J1129:$K1129,$J$10:$K$10))/1E6)</f>
        <v/>
      </c>
      <c r="G1129" s="57">
        <f>IF(AND(MIN($E1129,$E1130)&lt;=sn_N,sn_N&lt;=MAX($E1129,$E1130)),IF($E1129=$E1130,MAX($F1129,$F1130),$F1129+(sn_N-$E1129)*($F1130-$F1129)/($E1130-$E1129)),"")</f>
        <v/>
      </c>
      <c r="H1129" s="57">
        <f>IF(AND(MIN($E1129,$E1130)&lt;=sn_N,sn_N&lt;=MAX($E1129,$E1130)),IF($E1129=$E1130,MIN($F1129,$F1130),$F1129+(sn_N-$E1129)*($F1130-$F1129)/($E1130-$E1129)),"")</f>
        <v/>
      </c>
      <c r="J1129">
        <f>MAX(-fyd_sn,MIN(fyd_sn,200000*0.002*(1-$C1129*(7*J$9-3*sn_h)/(4*sn_h))))-fcd_sn*(1-MIN(1,MAX(0,$C1129*(7*J$9-3*sn_h)/(4*sn_h)))^2)</f>
        <v/>
      </c>
      <c r="K1129">
        <f>MAX(-fyd_sn,MIN(fyd_sn,200000*0.002*(1-$C1129*(7*K$9-3*sn_h)/(4*sn_h))))-fcd_sn*(1-MIN(1,MAX(0,$C1129*(7*K$9-3*sn_h)/(4*sn_h)))^2)</f>
        <v/>
      </c>
    </row>
    <row r="1130">
      <c r="B1130" s="55" t="n">
        <v>139</v>
      </c>
      <c r="C1130" s="56">
        <f>IF(139&lt;posH_sn,1-139/200,IF(139=posH_sn,tstH_sn,1-(139-1)/200))</f>
        <v/>
      </c>
      <c r="D1130" s="59">
        <f>IF($C1130&gt;=1,sn_h,3/7*sn_h+4/7*sn_h/MAX($C1130,1E-12))</f>
        <v/>
      </c>
      <c r="E1130" s="57">
        <f>(fcd_sn*sn_b*sn_h*(3/7+4/7*(1-$C1130^2/3))+SUMPRODUCT($J$8:$K$8,$J1130:$K1130))/1000</f>
        <v/>
      </c>
      <c r="F1130" s="57">
        <f>-((fcd_sn*sn_b*(3/14*sn_h*(sn_h-3/7*sn_h)+4/7*sn_h*(sn_h/2-3/7*sn_h)*(1-$C1130^2/3)-16/49*sn_h^2*(1/2-$C1130^2/4))+SUMPRODUCT($J$8:$K$8,$J1130:$K1130,$J$10:$K$10))/1E6)</f>
        <v/>
      </c>
      <c r="G1130" s="57">
        <f>IF(AND(MIN($E1130,$E1131)&lt;=sn_N,sn_N&lt;=MAX($E1130,$E1131)),IF($E1130=$E1131,MAX($F1130,$F1131),$F1130+(sn_N-$E1130)*($F1131-$F1130)/($E1131-$E1130)),"")</f>
        <v/>
      </c>
      <c r="H1130" s="57">
        <f>IF(AND(MIN($E1130,$E1131)&lt;=sn_N,sn_N&lt;=MAX($E1130,$E1131)),IF($E1130=$E1131,MIN($F1130,$F1131),$F1130+(sn_N-$E1130)*($F1131-$F1130)/($E1131-$E1130)),"")</f>
        <v/>
      </c>
      <c r="J1130">
        <f>MAX(-fyd_sn,MIN(fyd_sn,200000*0.002*(1-$C1130*(7*J$9-3*sn_h)/(4*sn_h))))-fcd_sn*(1-MIN(1,MAX(0,$C1130*(7*J$9-3*sn_h)/(4*sn_h)))^2)</f>
        <v/>
      </c>
      <c r="K1130">
        <f>MAX(-fyd_sn,MIN(fyd_sn,200000*0.002*(1-$C1130*(7*K$9-3*sn_h)/(4*sn_h))))-fcd_sn*(1-MIN(1,MAX(0,$C1130*(7*K$9-3*sn_h)/(4*sn_h)))^2)</f>
        <v/>
      </c>
    </row>
    <row r="1131">
      <c r="B1131" s="55" t="n">
        <v>140</v>
      </c>
      <c r="C1131" s="56">
        <f>IF(140&lt;posH_sn,1-140/200,IF(140=posH_sn,tstH_sn,1-(140-1)/200))</f>
        <v/>
      </c>
      <c r="D1131" s="59">
        <f>IF($C1131&gt;=1,sn_h,3/7*sn_h+4/7*sn_h/MAX($C1131,1E-12))</f>
        <v/>
      </c>
      <c r="E1131" s="57">
        <f>(fcd_sn*sn_b*sn_h*(3/7+4/7*(1-$C1131^2/3))+SUMPRODUCT($J$8:$K$8,$J1131:$K1131))/1000</f>
        <v/>
      </c>
      <c r="F1131" s="57">
        <f>-((fcd_sn*sn_b*(3/14*sn_h*(sn_h-3/7*sn_h)+4/7*sn_h*(sn_h/2-3/7*sn_h)*(1-$C1131^2/3)-16/49*sn_h^2*(1/2-$C1131^2/4))+SUMPRODUCT($J$8:$K$8,$J1131:$K1131,$J$10:$K$10))/1E6)</f>
        <v/>
      </c>
      <c r="G1131" s="57">
        <f>IF(AND(MIN($E1131,$E1132)&lt;=sn_N,sn_N&lt;=MAX($E1131,$E1132)),IF($E1131=$E1132,MAX($F1131,$F1132),$F1131+(sn_N-$E1131)*($F1132-$F1131)/($E1132-$E1131)),"")</f>
        <v/>
      </c>
      <c r="H1131" s="57">
        <f>IF(AND(MIN($E1131,$E1132)&lt;=sn_N,sn_N&lt;=MAX($E1131,$E1132)),IF($E1131=$E1132,MIN($F1131,$F1132),$F1131+(sn_N-$E1131)*($F1132-$F1131)/($E1132-$E1131)),"")</f>
        <v/>
      </c>
      <c r="J1131">
        <f>MAX(-fyd_sn,MIN(fyd_sn,200000*0.002*(1-$C1131*(7*J$9-3*sn_h)/(4*sn_h))))-fcd_sn*(1-MIN(1,MAX(0,$C1131*(7*J$9-3*sn_h)/(4*sn_h)))^2)</f>
        <v/>
      </c>
      <c r="K1131">
        <f>MAX(-fyd_sn,MIN(fyd_sn,200000*0.002*(1-$C1131*(7*K$9-3*sn_h)/(4*sn_h))))-fcd_sn*(1-MIN(1,MAX(0,$C1131*(7*K$9-3*sn_h)/(4*sn_h)))^2)</f>
        <v/>
      </c>
    </row>
    <row r="1132">
      <c r="B1132" s="55" t="n">
        <v>141</v>
      </c>
      <c r="C1132" s="56">
        <f>IF(141&lt;posH_sn,1-141/200,IF(141=posH_sn,tstH_sn,1-(141-1)/200))</f>
        <v/>
      </c>
      <c r="D1132" s="59">
        <f>IF($C1132&gt;=1,sn_h,3/7*sn_h+4/7*sn_h/MAX($C1132,1E-12))</f>
        <v/>
      </c>
      <c r="E1132" s="57">
        <f>(fcd_sn*sn_b*sn_h*(3/7+4/7*(1-$C1132^2/3))+SUMPRODUCT($J$8:$K$8,$J1132:$K1132))/1000</f>
        <v/>
      </c>
      <c r="F1132" s="57">
        <f>-((fcd_sn*sn_b*(3/14*sn_h*(sn_h-3/7*sn_h)+4/7*sn_h*(sn_h/2-3/7*sn_h)*(1-$C1132^2/3)-16/49*sn_h^2*(1/2-$C1132^2/4))+SUMPRODUCT($J$8:$K$8,$J1132:$K1132,$J$10:$K$10))/1E6)</f>
        <v/>
      </c>
      <c r="G1132" s="57">
        <f>IF(AND(MIN($E1132,$E1133)&lt;=sn_N,sn_N&lt;=MAX($E1132,$E1133)),IF($E1132=$E1133,MAX($F1132,$F1133),$F1132+(sn_N-$E1132)*($F1133-$F1132)/($E1133-$E1132)),"")</f>
        <v/>
      </c>
      <c r="H1132" s="57">
        <f>IF(AND(MIN($E1132,$E1133)&lt;=sn_N,sn_N&lt;=MAX($E1132,$E1133)),IF($E1132=$E1133,MIN($F1132,$F1133),$F1132+(sn_N-$E1132)*($F1133-$F1132)/($E1133-$E1132)),"")</f>
        <v/>
      </c>
      <c r="J1132">
        <f>MAX(-fyd_sn,MIN(fyd_sn,200000*0.002*(1-$C1132*(7*J$9-3*sn_h)/(4*sn_h))))-fcd_sn*(1-MIN(1,MAX(0,$C1132*(7*J$9-3*sn_h)/(4*sn_h)))^2)</f>
        <v/>
      </c>
      <c r="K1132">
        <f>MAX(-fyd_sn,MIN(fyd_sn,200000*0.002*(1-$C1132*(7*K$9-3*sn_h)/(4*sn_h))))-fcd_sn*(1-MIN(1,MAX(0,$C1132*(7*K$9-3*sn_h)/(4*sn_h)))^2)</f>
        <v/>
      </c>
    </row>
    <row r="1133">
      <c r="B1133" s="55" t="n">
        <v>142</v>
      </c>
      <c r="C1133" s="56">
        <f>IF(142&lt;posH_sn,1-142/200,IF(142=posH_sn,tstH_sn,1-(142-1)/200))</f>
        <v/>
      </c>
      <c r="D1133" s="59">
        <f>IF($C1133&gt;=1,sn_h,3/7*sn_h+4/7*sn_h/MAX($C1133,1E-12))</f>
        <v/>
      </c>
      <c r="E1133" s="57">
        <f>(fcd_sn*sn_b*sn_h*(3/7+4/7*(1-$C1133^2/3))+SUMPRODUCT($J$8:$K$8,$J1133:$K1133))/1000</f>
        <v/>
      </c>
      <c r="F1133" s="57">
        <f>-((fcd_sn*sn_b*(3/14*sn_h*(sn_h-3/7*sn_h)+4/7*sn_h*(sn_h/2-3/7*sn_h)*(1-$C1133^2/3)-16/49*sn_h^2*(1/2-$C1133^2/4))+SUMPRODUCT($J$8:$K$8,$J1133:$K1133,$J$10:$K$10))/1E6)</f>
        <v/>
      </c>
      <c r="G1133" s="57">
        <f>IF(AND(MIN($E1133,$E1134)&lt;=sn_N,sn_N&lt;=MAX($E1133,$E1134)),IF($E1133=$E1134,MAX($F1133,$F1134),$F1133+(sn_N-$E1133)*($F1134-$F1133)/($E1134-$E1133)),"")</f>
        <v/>
      </c>
      <c r="H1133" s="57">
        <f>IF(AND(MIN($E1133,$E1134)&lt;=sn_N,sn_N&lt;=MAX($E1133,$E1134)),IF($E1133=$E1134,MIN($F1133,$F1134),$F1133+(sn_N-$E1133)*($F1134-$F1133)/($E1134-$E1133)),"")</f>
        <v/>
      </c>
      <c r="J1133">
        <f>MAX(-fyd_sn,MIN(fyd_sn,200000*0.002*(1-$C1133*(7*J$9-3*sn_h)/(4*sn_h))))-fcd_sn*(1-MIN(1,MAX(0,$C1133*(7*J$9-3*sn_h)/(4*sn_h)))^2)</f>
        <v/>
      </c>
      <c r="K1133">
        <f>MAX(-fyd_sn,MIN(fyd_sn,200000*0.002*(1-$C1133*(7*K$9-3*sn_h)/(4*sn_h))))-fcd_sn*(1-MIN(1,MAX(0,$C1133*(7*K$9-3*sn_h)/(4*sn_h)))^2)</f>
        <v/>
      </c>
    </row>
    <row r="1134">
      <c r="B1134" s="55" t="n">
        <v>143</v>
      </c>
      <c r="C1134" s="56">
        <f>IF(143&lt;posH_sn,1-143/200,IF(143=posH_sn,tstH_sn,1-(143-1)/200))</f>
        <v/>
      </c>
      <c r="D1134" s="59">
        <f>IF($C1134&gt;=1,sn_h,3/7*sn_h+4/7*sn_h/MAX($C1134,1E-12))</f>
        <v/>
      </c>
      <c r="E1134" s="57">
        <f>(fcd_sn*sn_b*sn_h*(3/7+4/7*(1-$C1134^2/3))+SUMPRODUCT($J$8:$K$8,$J1134:$K1134))/1000</f>
        <v/>
      </c>
      <c r="F1134" s="57">
        <f>-((fcd_sn*sn_b*(3/14*sn_h*(sn_h-3/7*sn_h)+4/7*sn_h*(sn_h/2-3/7*sn_h)*(1-$C1134^2/3)-16/49*sn_h^2*(1/2-$C1134^2/4))+SUMPRODUCT($J$8:$K$8,$J1134:$K1134,$J$10:$K$10))/1E6)</f>
        <v/>
      </c>
      <c r="G1134" s="57">
        <f>IF(AND(MIN($E1134,$E1135)&lt;=sn_N,sn_N&lt;=MAX($E1134,$E1135)),IF($E1134=$E1135,MAX($F1134,$F1135),$F1134+(sn_N-$E1134)*($F1135-$F1134)/($E1135-$E1134)),"")</f>
        <v/>
      </c>
      <c r="H1134" s="57">
        <f>IF(AND(MIN($E1134,$E1135)&lt;=sn_N,sn_N&lt;=MAX($E1134,$E1135)),IF($E1134=$E1135,MIN($F1134,$F1135),$F1134+(sn_N-$E1134)*($F1135-$F1134)/($E1135-$E1134)),"")</f>
        <v/>
      </c>
      <c r="J1134">
        <f>MAX(-fyd_sn,MIN(fyd_sn,200000*0.002*(1-$C1134*(7*J$9-3*sn_h)/(4*sn_h))))-fcd_sn*(1-MIN(1,MAX(0,$C1134*(7*J$9-3*sn_h)/(4*sn_h)))^2)</f>
        <v/>
      </c>
      <c r="K1134">
        <f>MAX(-fyd_sn,MIN(fyd_sn,200000*0.002*(1-$C1134*(7*K$9-3*sn_h)/(4*sn_h))))-fcd_sn*(1-MIN(1,MAX(0,$C1134*(7*K$9-3*sn_h)/(4*sn_h)))^2)</f>
        <v/>
      </c>
    </row>
    <row r="1135">
      <c r="B1135" s="55" t="n">
        <v>144</v>
      </c>
      <c r="C1135" s="56">
        <f>IF(144&lt;posH_sn,1-144/200,IF(144=posH_sn,tstH_sn,1-(144-1)/200))</f>
        <v/>
      </c>
      <c r="D1135" s="59">
        <f>IF($C1135&gt;=1,sn_h,3/7*sn_h+4/7*sn_h/MAX($C1135,1E-12))</f>
        <v/>
      </c>
      <c r="E1135" s="57">
        <f>(fcd_sn*sn_b*sn_h*(3/7+4/7*(1-$C1135^2/3))+SUMPRODUCT($J$8:$K$8,$J1135:$K1135))/1000</f>
        <v/>
      </c>
      <c r="F1135" s="57">
        <f>-((fcd_sn*sn_b*(3/14*sn_h*(sn_h-3/7*sn_h)+4/7*sn_h*(sn_h/2-3/7*sn_h)*(1-$C1135^2/3)-16/49*sn_h^2*(1/2-$C1135^2/4))+SUMPRODUCT($J$8:$K$8,$J1135:$K1135,$J$10:$K$10))/1E6)</f>
        <v/>
      </c>
      <c r="G1135" s="57">
        <f>IF(AND(MIN($E1135,$E1136)&lt;=sn_N,sn_N&lt;=MAX($E1135,$E1136)),IF($E1135=$E1136,MAX($F1135,$F1136),$F1135+(sn_N-$E1135)*($F1136-$F1135)/($E1136-$E1135)),"")</f>
        <v/>
      </c>
      <c r="H1135" s="57">
        <f>IF(AND(MIN($E1135,$E1136)&lt;=sn_N,sn_N&lt;=MAX($E1135,$E1136)),IF($E1135=$E1136,MIN($F1135,$F1136),$F1135+(sn_N-$E1135)*($F1136-$F1135)/($E1136-$E1135)),"")</f>
        <v/>
      </c>
      <c r="J1135">
        <f>MAX(-fyd_sn,MIN(fyd_sn,200000*0.002*(1-$C1135*(7*J$9-3*sn_h)/(4*sn_h))))-fcd_sn*(1-MIN(1,MAX(0,$C1135*(7*J$9-3*sn_h)/(4*sn_h)))^2)</f>
        <v/>
      </c>
      <c r="K1135">
        <f>MAX(-fyd_sn,MIN(fyd_sn,200000*0.002*(1-$C1135*(7*K$9-3*sn_h)/(4*sn_h))))-fcd_sn*(1-MIN(1,MAX(0,$C1135*(7*K$9-3*sn_h)/(4*sn_h)))^2)</f>
        <v/>
      </c>
    </row>
    <row r="1136">
      <c r="B1136" s="55" t="n">
        <v>145</v>
      </c>
      <c r="C1136" s="56">
        <f>IF(145&lt;posH_sn,1-145/200,IF(145=posH_sn,tstH_sn,1-(145-1)/200))</f>
        <v/>
      </c>
      <c r="D1136" s="59">
        <f>IF($C1136&gt;=1,sn_h,3/7*sn_h+4/7*sn_h/MAX($C1136,1E-12))</f>
        <v/>
      </c>
      <c r="E1136" s="57">
        <f>(fcd_sn*sn_b*sn_h*(3/7+4/7*(1-$C1136^2/3))+SUMPRODUCT($J$8:$K$8,$J1136:$K1136))/1000</f>
        <v/>
      </c>
      <c r="F1136" s="57">
        <f>-((fcd_sn*sn_b*(3/14*sn_h*(sn_h-3/7*sn_h)+4/7*sn_h*(sn_h/2-3/7*sn_h)*(1-$C1136^2/3)-16/49*sn_h^2*(1/2-$C1136^2/4))+SUMPRODUCT($J$8:$K$8,$J1136:$K1136,$J$10:$K$10))/1E6)</f>
        <v/>
      </c>
      <c r="G1136" s="57">
        <f>IF(AND(MIN($E1136,$E1137)&lt;=sn_N,sn_N&lt;=MAX($E1136,$E1137)),IF($E1136=$E1137,MAX($F1136,$F1137),$F1136+(sn_N-$E1136)*($F1137-$F1136)/($E1137-$E1136)),"")</f>
        <v/>
      </c>
      <c r="H1136" s="57">
        <f>IF(AND(MIN($E1136,$E1137)&lt;=sn_N,sn_N&lt;=MAX($E1136,$E1137)),IF($E1136=$E1137,MIN($F1136,$F1137),$F1136+(sn_N-$E1136)*($F1137-$F1136)/($E1137-$E1136)),"")</f>
        <v/>
      </c>
      <c r="J1136">
        <f>MAX(-fyd_sn,MIN(fyd_sn,200000*0.002*(1-$C1136*(7*J$9-3*sn_h)/(4*sn_h))))-fcd_sn*(1-MIN(1,MAX(0,$C1136*(7*J$9-3*sn_h)/(4*sn_h)))^2)</f>
        <v/>
      </c>
      <c r="K1136">
        <f>MAX(-fyd_sn,MIN(fyd_sn,200000*0.002*(1-$C1136*(7*K$9-3*sn_h)/(4*sn_h))))-fcd_sn*(1-MIN(1,MAX(0,$C1136*(7*K$9-3*sn_h)/(4*sn_h)))^2)</f>
        <v/>
      </c>
    </row>
    <row r="1137">
      <c r="B1137" s="55" t="n">
        <v>146</v>
      </c>
      <c r="C1137" s="56">
        <f>IF(146&lt;posH_sn,1-146/200,IF(146=posH_sn,tstH_sn,1-(146-1)/200))</f>
        <v/>
      </c>
      <c r="D1137" s="59">
        <f>IF($C1137&gt;=1,sn_h,3/7*sn_h+4/7*sn_h/MAX($C1137,1E-12))</f>
        <v/>
      </c>
      <c r="E1137" s="57">
        <f>(fcd_sn*sn_b*sn_h*(3/7+4/7*(1-$C1137^2/3))+SUMPRODUCT($J$8:$K$8,$J1137:$K1137))/1000</f>
        <v/>
      </c>
      <c r="F1137" s="57">
        <f>-((fcd_sn*sn_b*(3/14*sn_h*(sn_h-3/7*sn_h)+4/7*sn_h*(sn_h/2-3/7*sn_h)*(1-$C1137^2/3)-16/49*sn_h^2*(1/2-$C1137^2/4))+SUMPRODUCT($J$8:$K$8,$J1137:$K1137,$J$10:$K$10))/1E6)</f>
        <v/>
      </c>
      <c r="G1137" s="57">
        <f>IF(AND(MIN($E1137,$E1138)&lt;=sn_N,sn_N&lt;=MAX($E1137,$E1138)),IF($E1137=$E1138,MAX($F1137,$F1138),$F1137+(sn_N-$E1137)*($F1138-$F1137)/($E1138-$E1137)),"")</f>
        <v/>
      </c>
      <c r="H1137" s="57">
        <f>IF(AND(MIN($E1137,$E1138)&lt;=sn_N,sn_N&lt;=MAX($E1137,$E1138)),IF($E1137=$E1138,MIN($F1137,$F1138),$F1137+(sn_N-$E1137)*($F1138-$F1137)/($E1138-$E1137)),"")</f>
        <v/>
      </c>
      <c r="J1137">
        <f>MAX(-fyd_sn,MIN(fyd_sn,200000*0.002*(1-$C1137*(7*J$9-3*sn_h)/(4*sn_h))))-fcd_sn*(1-MIN(1,MAX(0,$C1137*(7*J$9-3*sn_h)/(4*sn_h)))^2)</f>
        <v/>
      </c>
      <c r="K1137">
        <f>MAX(-fyd_sn,MIN(fyd_sn,200000*0.002*(1-$C1137*(7*K$9-3*sn_h)/(4*sn_h))))-fcd_sn*(1-MIN(1,MAX(0,$C1137*(7*K$9-3*sn_h)/(4*sn_h)))^2)</f>
        <v/>
      </c>
    </row>
    <row r="1138">
      <c r="B1138" s="55" t="n">
        <v>147</v>
      </c>
      <c r="C1138" s="56">
        <f>IF(147&lt;posH_sn,1-147/200,IF(147=posH_sn,tstH_sn,1-(147-1)/200))</f>
        <v/>
      </c>
      <c r="D1138" s="59">
        <f>IF($C1138&gt;=1,sn_h,3/7*sn_h+4/7*sn_h/MAX($C1138,1E-12))</f>
        <v/>
      </c>
      <c r="E1138" s="57">
        <f>(fcd_sn*sn_b*sn_h*(3/7+4/7*(1-$C1138^2/3))+SUMPRODUCT($J$8:$K$8,$J1138:$K1138))/1000</f>
        <v/>
      </c>
      <c r="F1138" s="57">
        <f>-((fcd_sn*sn_b*(3/14*sn_h*(sn_h-3/7*sn_h)+4/7*sn_h*(sn_h/2-3/7*sn_h)*(1-$C1138^2/3)-16/49*sn_h^2*(1/2-$C1138^2/4))+SUMPRODUCT($J$8:$K$8,$J1138:$K1138,$J$10:$K$10))/1E6)</f>
        <v/>
      </c>
      <c r="G1138" s="57">
        <f>IF(AND(MIN($E1138,$E1139)&lt;=sn_N,sn_N&lt;=MAX($E1138,$E1139)),IF($E1138=$E1139,MAX($F1138,$F1139),$F1138+(sn_N-$E1138)*($F1139-$F1138)/($E1139-$E1138)),"")</f>
        <v/>
      </c>
      <c r="H1138" s="57">
        <f>IF(AND(MIN($E1138,$E1139)&lt;=sn_N,sn_N&lt;=MAX($E1138,$E1139)),IF($E1138=$E1139,MIN($F1138,$F1139),$F1138+(sn_N-$E1138)*($F1139-$F1138)/($E1139-$E1138)),"")</f>
        <v/>
      </c>
      <c r="J1138">
        <f>MAX(-fyd_sn,MIN(fyd_sn,200000*0.002*(1-$C1138*(7*J$9-3*sn_h)/(4*sn_h))))-fcd_sn*(1-MIN(1,MAX(0,$C1138*(7*J$9-3*sn_h)/(4*sn_h)))^2)</f>
        <v/>
      </c>
      <c r="K1138">
        <f>MAX(-fyd_sn,MIN(fyd_sn,200000*0.002*(1-$C1138*(7*K$9-3*sn_h)/(4*sn_h))))-fcd_sn*(1-MIN(1,MAX(0,$C1138*(7*K$9-3*sn_h)/(4*sn_h)))^2)</f>
        <v/>
      </c>
    </row>
    <row r="1139">
      <c r="B1139" s="55" t="n">
        <v>148</v>
      </c>
      <c r="C1139" s="56">
        <f>IF(148&lt;posH_sn,1-148/200,IF(148=posH_sn,tstH_sn,1-(148-1)/200))</f>
        <v/>
      </c>
      <c r="D1139" s="59">
        <f>IF($C1139&gt;=1,sn_h,3/7*sn_h+4/7*sn_h/MAX($C1139,1E-12))</f>
        <v/>
      </c>
      <c r="E1139" s="57">
        <f>(fcd_sn*sn_b*sn_h*(3/7+4/7*(1-$C1139^2/3))+SUMPRODUCT($J$8:$K$8,$J1139:$K1139))/1000</f>
        <v/>
      </c>
      <c r="F1139" s="57">
        <f>-((fcd_sn*sn_b*(3/14*sn_h*(sn_h-3/7*sn_h)+4/7*sn_h*(sn_h/2-3/7*sn_h)*(1-$C1139^2/3)-16/49*sn_h^2*(1/2-$C1139^2/4))+SUMPRODUCT($J$8:$K$8,$J1139:$K1139,$J$10:$K$10))/1E6)</f>
        <v/>
      </c>
      <c r="G1139" s="57">
        <f>IF(AND(MIN($E1139,$E1140)&lt;=sn_N,sn_N&lt;=MAX($E1139,$E1140)),IF($E1139=$E1140,MAX($F1139,$F1140),$F1139+(sn_N-$E1139)*($F1140-$F1139)/($E1140-$E1139)),"")</f>
        <v/>
      </c>
      <c r="H1139" s="57">
        <f>IF(AND(MIN($E1139,$E1140)&lt;=sn_N,sn_N&lt;=MAX($E1139,$E1140)),IF($E1139=$E1140,MIN($F1139,$F1140),$F1139+(sn_N-$E1139)*($F1140-$F1139)/($E1140-$E1139)),"")</f>
        <v/>
      </c>
      <c r="J1139">
        <f>MAX(-fyd_sn,MIN(fyd_sn,200000*0.002*(1-$C1139*(7*J$9-3*sn_h)/(4*sn_h))))-fcd_sn*(1-MIN(1,MAX(0,$C1139*(7*J$9-3*sn_h)/(4*sn_h)))^2)</f>
        <v/>
      </c>
      <c r="K1139">
        <f>MAX(-fyd_sn,MIN(fyd_sn,200000*0.002*(1-$C1139*(7*K$9-3*sn_h)/(4*sn_h))))-fcd_sn*(1-MIN(1,MAX(0,$C1139*(7*K$9-3*sn_h)/(4*sn_h)))^2)</f>
        <v/>
      </c>
    </row>
    <row r="1140">
      <c r="B1140" s="55" t="n">
        <v>149</v>
      </c>
      <c r="C1140" s="56">
        <f>IF(149&lt;posH_sn,1-149/200,IF(149=posH_sn,tstH_sn,1-(149-1)/200))</f>
        <v/>
      </c>
      <c r="D1140" s="59">
        <f>IF($C1140&gt;=1,sn_h,3/7*sn_h+4/7*sn_h/MAX($C1140,1E-12))</f>
        <v/>
      </c>
      <c r="E1140" s="57">
        <f>(fcd_sn*sn_b*sn_h*(3/7+4/7*(1-$C1140^2/3))+SUMPRODUCT($J$8:$K$8,$J1140:$K1140))/1000</f>
        <v/>
      </c>
      <c r="F1140" s="57">
        <f>-((fcd_sn*sn_b*(3/14*sn_h*(sn_h-3/7*sn_h)+4/7*sn_h*(sn_h/2-3/7*sn_h)*(1-$C1140^2/3)-16/49*sn_h^2*(1/2-$C1140^2/4))+SUMPRODUCT($J$8:$K$8,$J1140:$K1140,$J$10:$K$10))/1E6)</f>
        <v/>
      </c>
      <c r="G1140" s="57">
        <f>IF(AND(MIN($E1140,$E1141)&lt;=sn_N,sn_N&lt;=MAX($E1140,$E1141)),IF($E1140=$E1141,MAX($F1140,$F1141),$F1140+(sn_N-$E1140)*($F1141-$F1140)/($E1141-$E1140)),"")</f>
        <v/>
      </c>
      <c r="H1140" s="57">
        <f>IF(AND(MIN($E1140,$E1141)&lt;=sn_N,sn_N&lt;=MAX($E1140,$E1141)),IF($E1140=$E1141,MIN($F1140,$F1141),$F1140+(sn_N-$E1140)*($F1141-$F1140)/($E1141-$E1140)),"")</f>
        <v/>
      </c>
      <c r="J1140">
        <f>MAX(-fyd_sn,MIN(fyd_sn,200000*0.002*(1-$C1140*(7*J$9-3*sn_h)/(4*sn_h))))-fcd_sn*(1-MIN(1,MAX(0,$C1140*(7*J$9-3*sn_h)/(4*sn_h)))^2)</f>
        <v/>
      </c>
      <c r="K1140">
        <f>MAX(-fyd_sn,MIN(fyd_sn,200000*0.002*(1-$C1140*(7*K$9-3*sn_h)/(4*sn_h))))-fcd_sn*(1-MIN(1,MAX(0,$C1140*(7*K$9-3*sn_h)/(4*sn_h)))^2)</f>
        <v/>
      </c>
    </row>
    <row r="1141">
      <c r="B1141" s="55" t="n">
        <v>150</v>
      </c>
      <c r="C1141" s="56">
        <f>IF(150&lt;posH_sn,1-150/200,IF(150=posH_sn,tstH_sn,1-(150-1)/200))</f>
        <v/>
      </c>
      <c r="D1141" s="59">
        <f>IF($C1141&gt;=1,sn_h,3/7*sn_h+4/7*sn_h/MAX($C1141,1E-12))</f>
        <v/>
      </c>
      <c r="E1141" s="57">
        <f>(fcd_sn*sn_b*sn_h*(3/7+4/7*(1-$C1141^2/3))+SUMPRODUCT($J$8:$K$8,$J1141:$K1141))/1000</f>
        <v/>
      </c>
      <c r="F1141" s="57">
        <f>-((fcd_sn*sn_b*(3/14*sn_h*(sn_h-3/7*sn_h)+4/7*sn_h*(sn_h/2-3/7*sn_h)*(1-$C1141^2/3)-16/49*sn_h^2*(1/2-$C1141^2/4))+SUMPRODUCT($J$8:$K$8,$J1141:$K1141,$J$10:$K$10))/1E6)</f>
        <v/>
      </c>
      <c r="G1141" s="57">
        <f>IF(AND(MIN($E1141,$E1142)&lt;=sn_N,sn_N&lt;=MAX($E1141,$E1142)),IF($E1141=$E1142,MAX($F1141,$F1142),$F1141+(sn_N-$E1141)*($F1142-$F1141)/($E1142-$E1141)),"")</f>
        <v/>
      </c>
      <c r="H1141" s="57">
        <f>IF(AND(MIN($E1141,$E1142)&lt;=sn_N,sn_N&lt;=MAX($E1141,$E1142)),IF($E1141=$E1142,MIN($F1141,$F1142),$F1141+(sn_N-$E1141)*($F1142-$F1141)/($E1142-$E1141)),"")</f>
        <v/>
      </c>
      <c r="J1141">
        <f>MAX(-fyd_sn,MIN(fyd_sn,200000*0.002*(1-$C1141*(7*J$9-3*sn_h)/(4*sn_h))))-fcd_sn*(1-MIN(1,MAX(0,$C1141*(7*J$9-3*sn_h)/(4*sn_h)))^2)</f>
        <v/>
      </c>
      <c r="K1141">
        <f>MAX(-fyd_sn,MIN(fyd_sn,200000*0.002*(1-$C1141*(7*K$9-3*sn_h)/(4*sn_h))))-fcd_sn*(1-MIN(1,MAX(0,$C1141*(7*K$9-3*sn_h)/(4*sn_h)))^2)</f>
        <v/>
      </c>
    </row>
    <row r="1142">
      <c r="B1142" s="55" t="n">
        <v>151</v>
      </c>
      <c r="C1142" s="56">
        <f>IF(151&lt;posH_sn,1-151/200,IF(151=posH_sn,tstH_sn,1-(151-1)/200))</f>
        <v/>
      </c>
      <c r="D1142" s="59">
        <f>IF($C1142&gt;=1,sn_h,3/7*sn_h+4/7*sn_h/MAX($C1142,1E-12))</f>
        <v/>
      </c>
      <c r="E1142" s="57">
        <f>(fcd_sn*sn_b*sn_h*(3/7+4/7*(1-$C1142^2/3))+SUMPRODUCT($J$8:$K$8,$J1142:$K1142))/1000</f>
        <v/>
      </c>
      <c r="F1142" s="57">
        <f>-((fcd_sn*sn_b*(3/14*sn_h*(sn_h-3/7*sn_h)+4/7*sn_h*(sn_h/2-3/7*sn_h)*(1-$C1142^2/3)-16/49*sn_h^2*(1/2-$C1142^2/4))+SUMPRODUCT($J$8:$K$8,$J1142:$K1142,$J$10:$K$10))/1E6)</f>
        <v/>
      </c>
      <c r="G1142" s="57">
        <f>IF(AND(MIN($E1142,$E1143)&lt;=sn_N,sn_N&lt;=MAX($E1142,$E1143)),IF($E1142=$E1143,MAX($F1142,$F1143),$F1142+(sn_N-$E1142)*($F1143-$F1142)/($E1143-$E1142)),"")</f>
        <v/>
      </c>
      <c r="H1142" s="57">
        <f>IF(AND(MIN($E1142,$E1143)&lt;=sn_N,sn_N&lt;=MAX($E1142,$E1143)),IF($E1142=$E1143,MIN($F1142,$F1143),$F1142+(sn_N-$E1142)*($F1143-$F1142)/($E1143-$E1142)),"")</f>
        <v/>
      </c>
      <c r="J1142">
        <f>MAX(-fyd_sn,MIN(fyd_sn,200000*0.002*(1-$C1142*(7*J$9-3*sn_h)/(4*sn_h))))-fcd_sn*(1-MIN(1,MAX(0,$C1142*(7*J$9-3*sn_h)/(4*sn_h)))^2)</f>
        <v/>
      </c>
      <c r="K1142">
        <f>MAX(-fyd_sn,MIN(fyd_sn,200000*0.002*(1-$C1142*(7*K$9-3*sn_h)/(4*sn_h))))-fcd_sn*(1-MIN(1,MAX(0,$C1142*(7*K$9-3*sn_h)/(4*sn_h)))^2)</f>
        <v/>
      </c>
    </row>
    <row r="1143">
      <c r="B1143" s="55" t="n">
        <v>152</v>
      </c>
      <c r="C1143" s="56">
        <f>IF(152&lt;posH_sn,1-152/200,IF(152=posH_sn,tstH_sn,1-(152-1)/200))</f>
        <v/>
      </c>
      <c r="D1143" s="59">
        <f>IF($C1143&gt;=1,sn_h,3/7*sn_h+4/7*sn_h/MAX($C1143,1E-12))</f>
        <v/>
      </c>
      <c r="E1143" s="57">
        <f>(fcd_sn*sn_b*sn_h*(3/7+4/7*(1-$C1143^2/3))+SUMPRODUCT($J$8:$K$8,$J1143:$K1143))/1000</f>
        <v/>
      </c>
      <c r="F1143" s="57">
        <f>-((fcd_sn*sn_b*(3/14*sn_h*(sn_h-3/7*sn_h)+4/7*sn_h*(sn_h/2-3/7*sn_h)*(1-$C1143^2/3)-16/49*sn_h^2*(1/2-$C1143^2/4))+SUMPRODUCT($J$8:$K$8,$J1143:$K1143,$J$10:$K$10))/1E6)</f>
        <v/>
      </c>
      <c r="G1143" s="57">
        <f>IF(AND(MIN($E1143,$E1144)&lt;=sn_N,sn_N&lt;=MAX($E1143,$E1144)),IF($E1143=$E1144,MAX($F1143,$F1144),$F1143+(sn_N-$E1143)*($F1144-$F1143)/($E1144-$E1143)),"")</f>
        <v/>
      </c>
      <c r="H1143" s="57">
        <f>IF(AND(MIN($E1143,$E1144)&lt;=sn_N,sn_N&lt;=MAX($E1143,$E1144)),IF($E1143=$E1144,MIN($F1143,$F1144),$F1143+(sn_N-$E1143)*($F1144-$F1143)/($E1144-$E1143)),"")</f>
        <v/>
      </c>
      <c r="J1143">
        <f>MAX(-fyd_sn,MIN(fyd_sn,200000*0.002*(1-$C1143*(7*J$9-3*sn_h)/(4*sn_h))))-fcd_sn*(1-MIN(1,MAX(0,$C1143*(7*J$9-3*sn_h)/(4*sn_h)))^2)</f>
        <v/>
      </c>
      <c r="K1143">
        <f>MAX(-fyd_sn,MIN(fyd_sn,200000*0.002*(1-$C1143*(7*K$9-3*sn_h)/(4*sn_h))))-fcd_sn*(1-MIN(1,MAX(0,$C1143*(7*K$9-3*sn_h)/(4*sn_h)))^2)</f>
        <v/>
      </c>
    </row>
    <row r="1144">
      <c r="B1144" s="55" t="n">
        <v>153</v>
      </c>
      <c r="C1144" s="56">
        <f>IF(153&lt;posH_sn,1-153/200,IF(153=posH_sn,tstH_sn,1-(153-1)/200))</f>
        <v/>
      </c>
      <c r="D1144" s="59">
        <f>IF($C1144&gt;=1,sn_h,3/7*sn_h+4/7*sn_h/MAX($C1144,1E-12))</f>
        <v/>
      </c>
      <c r="E1144" s="57">
        <f>(fcd_sn*sn_b*sn_h*(3/7+4/7*(1-$C1144^2/3))+SUMPRODUCT($J$8:$K$8,$J1144:$K1144))/1000</f>
        <v/>
      </c>
      <c r="F1144" s="57">
        <f>-((fcd_sn*sn_b*(3/14*sn_h*(sn_h-3/7*sn_h)+4/7*sn_h*(sn_h/2-3/7*sn_h)*(1-$C1144^2/3)-16/49*sn_h^2*(1/2-$C1144^2/4))+SUMPRODUCT($J$8:$K$8,$J1144:$K1144,$J$10:$K$10))/1E6)</f>
        <v/>
      </c>
      <c r="G1144" s="57">
        <f>IF(AND(MIN($E1144,$E1145)&lt;=sn_N,sn_N&lt;=MAX($E1144,$E1145)),IF($E1144=$E1145,MAX($F1144,$F1145),$F1144+(sn_N-$E1144)*($F1145-$F1144)/($E1145-$E1144)),"")</f>
        <v/>
      </c>
      <c r="H1144" s="57">
        <f>IF(AND(MIN($E1144,$E1145)&lt;=sn_N,sn_N&lt;=MAX($E1144,$E1145)),IF($E1144=$E1145,MIN($F1144,$F1145),$F1144+(sn_N-$E1144)*($F1145-$F1144)/($E1145-$E1144)),"")</f>
        <v/>
      </c>
      <c r="J1144">
        <f>MAX(-fyd_sn,MIN(fyd_sn,200000*0.002*(1-$C1144*(7*J$9-3*sn_h)/(4*sn_h))))-fcd_sn*(1-MIN(1,MAX(0,$C1144*(7*J$9-3*sn_h)/(4*sn_h)))^2)</f>
        <v/>
      </c>
      <c r="K1144">
        <f>MAX(-fyd_sn,MIN(fyd_sn,200000*0.002*(1-$C1144*(7*K$9-3*sn_h)/(4*sn_h))))-fcd_sn*(1-MIN(1,MAX(0,$C1144*(7*K$9-3*sn_h)/(4*sn_h)))^2)</f>
        <v/>
      </c>
    </row>
    <row r="1145">
      <c r="B1145" s="55" t="n">
        <v>154</v>
      </c>
      <c r="C1145" s="56">
        <f>IF(154&lt;posH_sn,1-154/200,IF(154=posH_sn,tstH_sn,1-(154-1)/200))</f>
        <v/>
      </c>
      <c r="D1145" s="59">
        <f>IF($C1145&gt;=1,sn_h,3/7*sn_h+4/7*sn_h/MAX($C1145,1E-12))</f>
        <v/>
      </c>
      <c r="E1145" s="57">
        <f>(fcd_sn*sn_b*sn_h*(3/7+4/7*(1-$C1145^2/3))+SUMPRODUCT($J$8:$K$8,$J1145:$K1145))/1000</f>
        <v/>
      </c>
      <c r="F1145" s="57">
        <f>-((fcd_sn*sn_b*(3/14*sn_h*(sn_h-3/7*sn_h)+4/7*sn_h*(sn_h/2-3/7*sn_h)*(1-$C1145^2/3)-16/49*sn_h^2*(1/2-$C1145^2/4))+SUMPRODUCT($J$8:$K$8,$J1145:$K1145,$J$10:$K$10))/1E6)</f>
        <v/>
      </c>
      <c r="G1145" s="57">
        <f>IF(AND(MIN($E1145,$E1146)&lt;=sn_N,sn_N&lt;=MAX($E1145,$E1146)),IF($E1145=$E1146,MAX($F1145,$F1146),$F1145+(sn_N-$E1145)*($F1146-$F1145)/($E1146-$E1145)),"")</f>
        <v/>
      </c>
      <c r="H1145" s="57">
        <f>IF(AND(MIN($E1145,$E1146)&lt;=sn_N,sn_N&lt;=MAX($E1145,$E1146)),IF($E1145=$E1146,MIN($F1145,$F1146),$F1145+(sn_N-$E1145)*($F1146-$F1145)/($E1146-$E1145)),"")</f>
        <v/>
      </c>
      <c r="J1145">
        <f>MAX(-fyd_sn,MIN(fyd_sn,200000*0.002*(1-$C1145*(7*J$9-3*sn_h)/(4*sn_h))))-fcd_sn*(1-MIN(1,MAX(0,$C1145*(7*J$9-3*sn_h)/(4*sn_h)))^2)</f>
        <v/>
      </c>
      <c r="K1145">
        <f>MAX(-fyd_sn,MIN(fyd_sn,200000*0.002*(1-$C1145*(7*K$9-3*sn_h)/(4*sn_h))))-fcd_sn*(1-MIN(1,MAX(0,$C1145*(7*K$9-3*sn_h)/(4*sn_h)))^2)</f>
        <v/>
      </c>
    </row>
    <row r="1146">
      <c r="B1146" s="55" t="n">
        <v>155</v>
      </c>
      <c r="C1146" s="56">
        <f>IF(155&lt;posH_sn,1-155/200,IF(155=posH_sn,tstH_sn,1-(155-1)/200))</f>
        <v/>
      </c>
      <c r="D1146" s="59">
        <f>IF($C1146&gt;=1,sn_h,3/7*sn_h+4/7*sn_h/MAX($C1146,1E-12))</f>
        <v/>
      </c>
      <c r="E1146" s="57">
        <f>(fcd_sn*sn_b*sn_h*(3/7+4/7*(1-$C1146^2/3))+SUMPRODUCT($J$8:$K$8,$J1146:$K1146))/1000</f>
        <v/>
      </c>
      <c r="F1146" s="57">
        <f>-((fcd_sn*sn_b*(3/14*sn_h*(sn_h-3/7*sn_h)+4/7*sn_h*(sn_h/2-3/7*sn_h)*(1-$C1146^2/3)-16/49*sn_h^2*(1/2-$C1146^2/4))+SUMPRODUCT($J$8:$K$8,$J1146:$K1146,$J$10:$K$10))/1E6)</f>
        <v/>
      </c>
      <c r="G1146" s="57">
        <f>IF(AND(MIN($E1146,$E1147)&lt;=sn_N,sn_N&lt;=MAX($E1146,$E1147)),IF($E1146=$E1147,MAX($F1146,$F1147),$F1146+(sn_N-$E1146)*($F1147-$F1146)/($E1147-$E1146)),"")</f>
        <v/>
      </c>
      <c r="H1146" s="57">
        <f>IF(AND(MIN($E1146,$E1147)&lt;=sn_N,sn_N&lt;=MAX($E1146,$E1147)),IF($E1146=$E1147,MIN($F1146,$F1147),$F1146+(sn_N-$E1146)*($F1147-$F1146)/($E1147-$E1146)),"")</f>
        <v/>
      </c>
      <c r="J1146">
        <f>MAX(-fyd_sn,MIN(fyd_sn,200000*0.002*(1-$C1146*(7*J$9-3*sn_h)/(4*sn_h))))-fcd_sn*(1-MIN(1,MAX(0,$C1146*(7*J$9-3*sn_h)/(4*sn_h)))^2)</f>
        <v/>
      </c>
      <c r="K1146">
        <f>MAX(-fyd_sn,MIN(fyd_sn,200000*0.002*(1-$C1146*(7*K$9-3*sn_h)/(4*sn_h))))-fcd_sn*(1-MIN(1,MAX(0,$C1146*(7*K$9-3*sn_h)/(4*sn_h)))^2)</f>
        <v/>
      </c>
    </row>
    <row r="1147">
      <c r="B1147" s="55" t="n">
        <v>156</v>
      </c>
      <c r="C1147" s="56">
        <f>IF(156&lt;posH_sn,1-156/200,IF(156=posH_sn,tstH_sn,1-(156-1)/200))</f>
        <v/>
      </c>
      <c r="D1147" s="59">
        <f>IF($C1147&gt;=1,sn_h,3/7*sn_h+4/7*sn_h/MAX($C1147,1E-12))</f>
        <v/>
      </c>
      <c r="E1147" s="57">
        <f>(fcd_sn*sn_b*sn_h*(3/7+4/7*(1-$C1147^2/3))+SUMPRODUCT($J$8:$K$8,$J1147:$K1147))/1000</f>
        <v/>
      </c>
      <c r="F1147" s="57">
        <f>-((fcd_sn*sn_b*(3/14*sn_h*(sn_h-3/7*sn_h)+4/7*sn_h*(sn_h/2-3/7*sn_h)*(1-$C1147^2/3)-16/49*sn_h^2*(1/2-$C1147^2/4))+SUMPRODUCT($J$8:$K$8,$J1147:$K1147,$J$10:$K$10))/1E6)</f>
        <v/>
      </c>
      <c r="G1147" s="57">
        <f>IF(AND(MIN($E1147,$E1148)&lt;=sn_N,sn_N&lt;=MAX($E1147,$E1148)),IF($E1147=$E1148,MAX($F1147,$F1148),$F1147+(sn_N-$E1147)*($F1148-$F1147)/($E1148-$E1147)),"")</f>
        <v/>
      </c>
      <c r="H1147" s="57">
        <f>IF(AND(MIN($E1147,$E1148)&lt;=sn_N,sn_N&lt;=MAX($E1147,$E1148)),IF($E1147=$E1148,MIN($F1147,$F1148),$F1147+(sn_N-$E1147)*($F1148-$F1147)/($E1148-$E1147)),"")</f>
        <v/>
      </c>
      <c r="J1147">
        <f>MAX(-fyd_sn,MIN(fyd_sn,200000*0.002*(1-$C1147*(7*J$9-3*sn_h)/(4*sn_h))))-fcd_sn*(1-MIN(1,MAX(0,$C1147*(7*J$9-3*sn_h)/(4*sn_h)))^2)</f>
        <v/>
      </c>
      <c r="K1147">
        <f>MAX(-fyd_sn,MIN(fyd_sn,200000*0.002*(1-$C1147*(7*K$9-3*sn_h)/(4*sn_h))))-fcd_sn*(1-MIN(1,MAX(0,$C1147*(7*K$9-3*sn_h)/(4*sn_h)))^2)</f>
        <v/>
      </c>
    </row>
    <row r="1148">
      <c r="B1148" s="55" t="n">
        <v>157</v>
      </c>
      <c r="C1148" s="56">
        <f>IF(157&lt;posH_sn,1-157/200,IF(157=posH_sn,tstH_sn,1-(157-1)/200))</f>
        <v/>
      </c>
      <c r="D1148" s="59">
        <f>IF($C1148&gt;=1,sn_h,3/7*sn_h+4/7*sn_h/MAX($C1148,1E-12))</f>
        <v/>
      </c>
      <c r="E1148" s="57">
        <f>(fcd_sn*sn_b*sn_h*(3/7+4/7*(1-$C1148^2/3))+SUMPRODUCT($J$8:$K$8,$J1148:$K1148))/1000</f>
        <v/>
      </c>
      <c r="F1148" s="57">
        <f>-((fcd_sn*sn_b*(3/14*sn_h*(sn_h-3/7*sn_h)+4/7*sn_h*(sn_h/2-3/7*sn_h)*(1-$C1148^2/3)-16/49*sn_h^2*(1/2-$C1148^2/4))+SUMPRODUCT($J$8:$K$8,$J1148:$K1148,$J$10:$K$10))/1E6)</f>
        <v/>
      </c>
      <c r="G1148" s="57">
        <f>IF(AND(MIN($E1148,$E1149)&lt;=sn_N,sn_N&lt;=MAX($E1148,$E1149)),IF($E1148=$E1149,MAX($F1148,$F1149),$F1148+(sn_N-$E1148)*($F1149-$F1148)/($E1149-$E1148)),"")</f>
        <v/>
      </c>
      <c r="H1148" s="57">
        <f>IF(AND(MIN($E1148,$E1149)&lt;=sn_N,sn_N&lt;=MAX($E1148,$E1149)),IF($E1148=$E1149,MIN($F1148,$F1149),$F1148+(sn_N-$E1148)*($F1149-$F1148)/($E1149-$E1148)),"")</f>
        <v/>
      </c>
      <c r="J1148">
        <f>MAX(-fyd_sn,MIN(fyd_sn,200000*0.002*(1-$C1148*(7*J$9-3*sn_h)/(4*sn_h))))-fcd_sn*(1-MIN(1,MAX(0,$C1148*(7*J$9-3*sn_h)/(4*sn_h)))^2)</f>
        <v/>
      </c>
      <c r="K1148">
        <f>MAX(-fyd_sn,MIN(fyd_sn,200000*0.002*(1-$C1148*(7*K$9-3*sn_h)/(4*sn_h))))-fcd_sn*(1-MIN(1,MAX(0,$C1148*(7*K$9-3*sn_h)/(4*sn_h)))^2)</f>
        <v/>
      </c>
    </row>
    <row r="1149">
      <c r="B1149" s="55" t="n">
        <v>158</v>
      </c>
      <c r="C1149" s="56">
        <f>IF(158&lt;posH_sn,1-158/200,IF(158=posH_sn,tstH_sn,1-(158-1)/200))</f>
        <v/>
      </c>
      <c r="D1149" s="59">
        <f>IF($C1149&gt;=1,sn_h,3/7*sn_h+4/7*sn_h/MAX($C1149,1E-12))</f>
        <v/>
      </c>
      <c r="E1149" s="57">
        <f>(fcd_sn*sn_b*sn_h*(3/7+4/7*(1-$C1149^2/3))+SUMPRODUCT($J$8:$K$8,$J1149:$K1149))/1000</f>
        <v/>
      </c>
      <c r="F1149" s="57">
        <f>-((fcd_sn*sn_b*(3/14*sn_h*(sn_h-3/7*sn_h)+4/7*sn_h*(sn_h/2-3/7*sn_h)*(1-$C1149^2/3)-16/49*sn_h^2*(1/2-$C1149^2/4))+SUMPRODUCT($J$8:$K$8,$J1149:$K1149,$J$10:$K$10))/1E6)</f>
        <v/>
      </c>
      <c r="G1149" s="57">
        <f>IF(AND(MIN($E1149,$E1150)&lt;=sn_N,sn_N&lt;=MAX($E1149,$E1150)),IF($E1149=$E1150,MAX($F1149,$F1150),$F1149+(sn_N-$E1149)*($F1150-$F1149)/($E1150-$E1149)),"")</f>
        <v/>
      </c>
      <c r="H1149" s="57">
        <f>IF(AND(MIN($E1149,$E1150)&lt;=sn_N,sn_N&lt;=MAX($E1149,$E1150)),IF($E1149=$E1150,MIN($F1149,$F1150),$F1149+(sn_N-$E1149)*($F1150-$F1149)/($E1150-$E1149)),"")</f>
        <v/>
      </c>
      <c r="J1149">
        <f>MAX(-fyd_sn,MIN(fyd_sn,200000*0.002*(1-$C1149*(7*J$9-3*sn_h)/(4*sn_h))))-fcd_sn*(1-MIN(1,MAX(0,$C1149*(7*J$9-3*sn_h)/(4*sn_h)))^2)</f>
        <v/>
      </c>
      <c r="K1149">
        <f>MAX(-fyd_sn,MIN(fyd_sn,200000*0.002*(1-$C1149*(7*K$9-3*sn_h)/(4*sn_h))))-fcd_sn*(1-MIN(1,MAX(0,$C1149*(7*K$9-3*sn_h)/(4*sn_h)))^2)</f>
        <v/>
      </c>
    </row>
    <row r="1150">
      <c r="B1150" s="55" t="n">
        <v>159</v>
      </c>
      <c r="C1150" s="56">
        <f>IF(159&lt;posH_sn,1-159/200,IF(159=posH_sn,tstH_sn,1-(159-1)/200))</f>
        <v/>
      </c>
      <c r="D1150" s="59">
        <f>IF($C1150&gt;=1,sn_h,3/7*sn_h+4/7*sn_h/MAX($C1150,1E-12))</f>
        <v/>
      </c>
      <c r="E1150" s="57">
        <f>(fcd_sn*sn_b*sn_h*(3/7+4/7*(1-$C1150^2/3))+SUMPRODUCT($J$8:$K$8,$J1150:$K1150))/1000</f>
        <v/>
      </c>
      <c r="F1150" s="57">
        <f>-((fcd_sn*sn_b*(3/14*sn_h*(sn_h-3/7*sn_h)+4/7*sn_h*(sn_h/2-3/7*sn_h)*(1-$C1150^2/3)-16/49*sn_h^2*(1/2-$C1150^2/4))+SUMPRODUCT($J$8:$K$8,$J1150:$K1150,$J$10:$K$10))/1E6)</f>
        <v/>
      </c>
      <c r="G1150" s="57">
        <f>IF(AND(MIN($E1150,$E1151)&lt;=sn_N,sn_N&lt;=MAX($E1150,$E1151)),IF($E1150=$E1151,MAX($F1150,$F1151),$F1150+(sn_N-$E1150)*($F1151-$F1150)/($E1151-$E1150)),"")</f>
        <v/>
      </c>
      <c r="H1150" s="57">
        <f>IF(AND(MIN($E1150,$E1151)&lt;=sn_N,sn_N&lt;=MAX($E1150,$E1151)),IF($E1150=$E1151,MIN($F1150,$F1151),$F1150+(sn_N-$E1150)*($F1151-$F1150)/($E1151-$E1150)),"")</f>
        <v/>
      </c>
      <c r="J1150">
        <f>MAX(-fyd_sn,MIN(fyd_sn,200000*0.002*(1-$C1150*(7*J$9-3*sn_h)/(4*sn_h))))-fcd_sn*(1-MIN(1,MAX(0,$C1150*(7*J$9-3*sn_h)/(4*sn_h)))^2)</f>
        <v/>
      </c>
      <c r="K1150">
        <f>MAX(-fyd_sn,MIN(fyd_sn,200000*0.002*(1-$C1150*(7*K$9-3*sn_h)/(4*sn_h))))-fcd_sn*(1-MIN(1,MAX(0,$C1150*(7*K$9-3*sn_h)/(4*sn_h)))^2)</f>
        <v/>
      </c>
    </row>
    <row r="1151">
      <c r="B1151" s="55" t="n">
        <v>160</v>
      </c>
      <c r="C1151" s="56">
        <f>IF(160&lt;posH_sn,1-160/200,IF(160=posH_sn,tstH_sn,1-(160-1)/200))</f>
        <v/>
      </c>
      <c r="D1151" s="59">
        <f>IF($C1151&gt;=1,sn_h,3/7*sn_h+4/7*sn_h/MAX($C1151,1E-12))</f>
        <v/>
      </c>
      <c r="E1151" s="57">
        <f>(fcd_sn*sn_b*sn_h*(3/7+4/7*(1-$C1151^2/3))+SUMPRODUCT($J$8:$K$8,$J1151:$K1151))/1000</f>
        <v/>
      </c>
      <c r="F1151" s="57">
        <f>-((fcd_sn*sn_b*(3/14*sn_h*(sn_h-3/7*sn_h)+4/7*sn_h*(sn_h/2-3/7*sn_h)*(1-$C1151^2/3)-16/49*sn_h^2*(1/2-$C1151^2/4))+SUMPRODUCT($J$8:$K$8,$J1151:$K1151,$J$10:$K$10))/1E6)</f>
        <v/>
      </c>
      <c r="G1151" s="57">
        <f>IF(AND(MIN($E1151,$E1152)&lt;=sn_N,sn_N&lt;=MAX($E1151,$E1152)),IF($E1151=$E1152,MAX($F1151,$F1152),$F1151+(sn_N-$E1151)*($F1152-$F1151)/($E1152-$E1151)),"")</f>
        <v/>
      </c>
      <c r="H1151" s="57">
        <f>IF(AND(MIN($E1151,$E1152)&lt;=sn_N,sn_N&lt;=MAX($E1151,$E1152)),IF($E1151=$E1152,MIN($F1151,$F1152),$F1151+(sn_N-$E1151)*($F1152-$F1151)/($E1152-$E1151)),"")</f>
        <v/>
      </c>
      <c r="J1151">
        <f>MAX(-fyd_sn,MIN(fyd_sn,200000*0.002*(1-$C1151*(7*J$9-3*sn_h)/(4*sn_h))))-fcd_sn*(1-MIN(1,MAX(0,$C1151*(7*J$9-3*sn_h)/(4*sn_h)))^2)</f>
        <v/>
      </c>
      <c r="K1151">
        <f>MAX(-fyd_sn,MIN(fyd_sn,200000*0.002*(1-$C1151*(7*K$9-3*sn_h)/(4*sn_h))))-fcd_sn*(1-MIN(1,MAX(0,$C1151*(7*K$9-3*sn_h)/(4*sn_h)))^2)</f>
        <v/>
      </c>
    </row>
    <row r="1152">
      <c r="B1152" s="55" t="n">
        <v>161</v>
      </c>
      <c r="C1152" s="56">
        <f>IF(161&lt;posH_sn,1-161/200,IF(161=posH_sn,tstH_sn,1-(161-1)/200))</f>
        <v/>
      </c>
      <c r="D1152" s="59">
        <f>IF($C1152&gt;=1,sn_h,3/7*sn_h+4/7*sn_h/MAX($C1152,1E-12))</f>
        <v/>
      </c>
      <c r="E1152" s="57">
        <f>(fcd_sn*sn_b*sn_h*(3/7+4/7*(1-$C1152^2/3))+SUMPRODUCT($J$8:$K$8,$J1152:$K1152))/1000</f>
        <v/>
      </c>
      <c r="F1152" s="57">
        <f>-((fcd_sn*sn_b*(3/14*sn_h*(sn_h-3/7*sn_h)+4/7*sn_h*(sn_h/2-3/7*sn_h)*(1-$C1152^2/3)-16/49*sn_h^2*(1/2-$C1152^2/4))+SUMPRODUCT($J$8:$K$8,$J1152:$K1152,$J$10:$K$10))/1E6)</f>
        <v/>
      </c>
      <c r="G1152" s="57">
        <f>IF(AND(MIN($E1152,$E1153)&lt;=sn_N,sn_N&lt;=MAX($E1152,$E1153)),IF($E1152=$E1153,MAX($F1152,$F1153),$F1152+(sn_N-$E1152)*($F1153-$F1152)/($E1153-$E1152)),"")</f>
        <v/>
      </c>
      <c r="H1152" s="57">
        <f>IF(AND(MIN($E1152,$E1153)&lt;=sn_N,sn_N&lt;=MAX($E1152,$E1153)),IF($E1152=$E1153,MIN($F1152,$F1153),$F1152+(sn_N-$E1152)*($F1153-$F1152)/($E1153-$E1152)),"")</f>
        <v/>
      </c>
      <c r="J1152">
        <f>MAX(-fyd_sn,MIN(fyd_sn,200000*0.002*(1-$C1152*(7*J$9-3*sn_h)/(4*sn_h))))-fcd_sn*(1-MIN(1,MAX(0,$C1152*(7*J$9-3*sn_h)/(4*sn_h)))^2)</f>
        <v/>
      </c>
      <c r="K1152">
        <f>MAX(-fyd_sn,MIN(fyd_sn,200000*0.002*(1-$C1152*(7*K$9-3*sn_h)/(4*sn_h))))-fcd_sn*(1-MIN(1,MAX(0,$C1152*(7*K$9-3*sn_h)/(4*sn_h)))^2)</f>
        <v/>
      </c>
    </row>
    <row r="1153">
      <c r="B1153" s="55" t="n">
        <v>162</v>
      </c>
      <c r="C1153" s="56">
        <f>IF(162&lt;posH_sn,1-162/200,IF(162=posH_sn,tstH_sn,1-(162-1)/200))</f>
        <v/>
      </c>
      <c r="D1153" s="59">
        <f>IF($C1153&gt;=1,sn_h,3/7*sn_h+4/7*sn_h/MAX($C1153,1E-12))</f>
        <v/>
      </c>
      <c r="E1153" s="57">
        <f>(fcd_sn*sn_b*sn_h*(3/7+4/7*(1-$C1153^2/3))+SUMPRODUCT($J$8:$K$8,$J1153:$K1153))/1000</f>
        <v/>
      </c>
      <c r="F1153" s="57">
        <f>-((fcd_sn*sn_b*(3/14*sn_h*(sn_h-3/7*sn_h)+4/7*sn_h*(sn_h/2-3/7*sn_h)*(1-$C1153^2/3)-16/49*sn_h^2*(1/2-$C1153^2/4))+SUMPRODUCT($J$8:$K$8,$J1153:$K1153,$J$10:$K$10))/1E6)</f>
        <v/>
      </c>
      <c r="G1153" s="57">
        <f>IF(AND(MIN($E1153,$E1154)&lt;=sn_N,sn_N&lt;=MAX($E1153,$E1154)),IF($E1153=$E1154,MAX($F1153,$F1154),$F1153+(sn_N-$E1153)*($F1154-$F1153)/($E1154-$E1153)),"")</f>
        <v/>
      </c>
      <c r="H1153" s="57">
        <f>IF(AND(MIN($E1153,$E1154)&lt;=sn_N,sn_N&lt;=MAX($E1153,$E1154)),IF($E1153=$E1154,MIN($F1153,$F1154),$F1153+(sn_N-$E1153)*($F1154-$F1153)/($E1154-$E1153)),"")</f>
        <v/>
      </c>
      <c r="J1153">
        <f>MAX(-fyd_sn,MIN(fyd_sn,200000*0.002*(1-$C1153*(7*J$9-3*sn_h)/(4*sn_h))))-fcd_sn*(1-MIN(1,MAX(0,$C1153*(7*J$9-3*sn_h)/(4*sn_h)))^2)</f>
        <v/>
      </c>
      <c r="K1153">
        <f>MAX(-fyd_sn,MIN(fyd_sn,200000*0.002*(1-$C1153*(7*K$9-3*sn_h)/(4*sn_h))))-fcd_sn*(1-MIN(1,MAX(0,$C1153*(7*K$9-3*sn_h)/(4*sn_h)))^2)</f>
        <v/>
      </c>
    </row>
    <row r="1154">
      <c r="B1154" s="55" t="n">
        <v>163</v>
      </c>
      <c r="C1154" s="56">
        <f>IF(163&lt;posH_sn,1-163/200,IF(163=posH_sn,tstH_sn,1-(163-1)/200))</f>
        <v/>
      </c>
      <c r="D1154" s="59">
        <f>IF($C1154&gt;=1,sn_h,3/7*sn_h+4/7*sn_h/MAX($C1154,1E-12))</f>
        <v/>
      </c>
      <c r="E1154" s="57">
        <f>(fcd_sn*sn_b*sn_h*(3/7+4/7*(1-$C1154^2/3))+SUMPRODUCT($J$8:$K$8,$J1154:$K1154))/1000</f>
        <v/>
      </c>
      <c r="F1154" s="57">
        <f>-((fcd_sn*sn_b*(3/14*sn_h*(sn_h-3/7*sn_h)+4/7*sn_h*(sn_h/2-3/7*sn_h)*(1-$C1154^2/3)-16/49*sn_h^2*(1/2-$C1154^2/4))+SUMPRODUCT($J$8:$K$8,$J1154:$K1154,$J$10:$K$10))/1E6)</f>
        <v/>
      </c>
      <c r="G1154" s="57">
        <f>IF(AND(MIN($E1154,$E1155)&lt;=sn_N,sn_N&lt;=MAX($E1154,$E1155)),IF($E1154=$E1155,MAX($F1154,$F1155),$F1154+(sn_N-$E1154)*($F1155-$F1154)/($E1155-$E1154)),"")</f>
        <v/>
      </c>
      <c r="H1154" s="57">
        <f>IF(AND(MIN($E1154,$E1155)&lt;=sn_N,sn_N&lt;=MAX($E1154,$E1155)),IF($E1154=$E1155,MIN($F1154,$F1155),$F1154+(sn_N-$E1154)*($F1155-$F1154)/($E1155-$E1154)),"")</f>
        <v/>
      </c>
      <c r="J1154">
        <f>MAX(-fyd_sn,MIN(fyd_sn,200000*0.002*(1-$C1154*(7*J$9-3*sn_h)/(4*sn_h))))-fcd_sn*(1-MIN(1,MAX(0,$C1154*(7*J$9-3*sn_h)/(4*sn_h)))^2)</f>
        <v/>
      </c>
      <c r="K1154">
        <f>MAX(-fyd_sn,MIN(fyd_sn,200000*0.002*(1-$C1154*(7*K$9-3*sn_h)/(4*sn_h))))-fcd_sn*(1-MIN(1,MAX(0,$C1154*(7*K$9-3*sn_h)/(4*sn_h)))^2)</f>
        <v/>
      </c>
    </row>
    <row r="1155">
      <c r="B1155" s="55" t="n">
        <v>164</v>
      </c>
      <c r="C1155" s="56">
        <f>IF(164&lt;posH_sn,1-164/200,IF(164=posH_sn,tstH_sn,1-(164-1)/200))</f>
        <v/>
      </c>
      <c r="D1155" s="59">
        <f>IF($C1155&gt;=1,sn_h,3/7*sn_h+4/7*sn_h/MAX($C1155,1E-12))</f>
        <v/>
      </c>
      <c r="E1155" s="57">
        <f>(fcd_sn*sn_b*sn_h*(3/7+4/7*(1-$C1155^2/3))+SUMPRODUCT($J$8:$K$8,$J1155:$K1155))/1000</f>
        <v/>
      </c>
      <c r="F1155" s="57">
        <f>-((fcd_sn*sn_b*(3/14*sn_h*(sn_h-3/7*sn_h)+4/7*sn_h*(sn_h/2-3/7*sn_h)*(1-$C1155^2/3)-16/49*sn_h^2*(1/2-$C1155^2/4))+SUMPRODUCT($J$8:$K$8,$J1155:$K1155,$J$10:$K$10))/1E6)</f>
        <v/>
      </c>
      <c r="G1155" s="57">
        <f>IF(AND(MIN($E1155,$E1156)&lt;=sn_N,sn_N&lt;=MAX($E1155,$E1156)),IF($E1155=$E1156,MAX($F1155,$F1156),$F1155+(sn_N-$E1155)*($F1156-$F1155)/($E1156-$E1155)),"")</f>
        <v/>
      </c>
      <c r="H1155" s="57">
        <f>IF(AND(MIN($E1155,$E1156)&lt;=sn_N,sn_N&lt;=MAX($E1155,$E1156)),IF($E1155=$E1156,MIN($F1155,$F1156),$F1155+(sn_N-$E1155)*($F1156-$F1155)/($E1156-$E1155)),"")</f>
        <v/>
      </c>
      <c r="J1155">
        <f>MAX(-fyd_sn,MIN(fyd_sn,200000*0.002*(1-$C1155*(7*J$9-3*sn_h)/(4*sn_h))))-fcd_sn*(1-MIN(1,MAX(0,$C1155*(7*J$9-3*sn_h)/(4*sn_h)))^2)</f>
        <v/>
      </c>
      <c r="K1155">
        <f>MAX(-fyd_sn,MIN(fyd_sn,200000*0.002*(1-$C1155*(7*K$9-3*sn_h)/(4*sn_h))))-fcd_sn*(1-MIN(1,MAX(0,$C1155*(7*K$9-3*sn_h)/(4*sn_h)))^2)</f>
        <v/>
      </c>
    </row>
    <row r="1156">
      <c r="B1156" s="55" t="n">
        <v>165</v>
      </c>
      <c r="C1156" s="56">
        <f>IF(165&lt;posH_sn,1-165/200,IF(165=posH_sn,tstH_sn,1-(165-1)/200))</f>
        <v/>
      </c>
      <c r="D1156" s="59">
        <f>IF($C1156&gt;=1,sn_h,3/7*sn_h+4/7*sn_h/MAX($C1156,1E-12))</f>
        <v/>
      </c>
      <c r="E1156" s="57">
        <f>(fcd_sn*sn_b*sn_h*(3/7+4/7*(1-$C1156^2/3))+SUMPRODUCT($J$8:$K$8,$J1156:$K1156))/1000</f>
        <v/>
      </c>
      <c r="F1156" s="57">
        <f>-((fcd_sn*sn_b*(3/14*sn_h*(sn_h-3/7*sn_h)+4/7*sn_h*(sn_h/2-3/7*sn_h)*(1-$C1156^2/3)-16/49*sn_h^2*(1/2-$C1156^2/4))+SUMPRODUCT($J$8:$K$8,$J1156:$K1156,$J$10:$K$10))/1E6)</f>
        <v/>
      </c>
      <c r="G1156" s="57">
        <f>IF(AND(MIN($E1156,$E1157)&lt;=sn_N,sn_N&lt;=MAX($E1156,$E1157)),IF($E1156=$E1157,MAX($F1156,$F1157),$F1156+(sn_N-$E1156)*($F1157-$F1156)/($E1157-$E1156)),"")</f>
        <v/>
      </c>
      <c r="H1156" s="57">
        <f>IF(AND(MIN($E1156,$E1157)&lt;=sn_N,sn_N&lt;=MAX($E1156,$E1157)),IF($E1156=$E1157,MIN($F1156,$F1157),$F1156+(sn_N-$E1156)*($F1157-$F1156)/($E1157-$E1156)),"")</f>
        <v/>
      </c>
      <c r="J1156">
        <f>MAX(-fyd_sn,MIN(fyd_sn,200000*0.002*(1-$C1156*(7*J$9-3*sn_h)/(4*sn_h))))-fcd_sn*(1-MIN(1,MAX(0,$C1156*(7*J$9-3*sn_h)/(4*sn_h)))^2)</f>
        <v/>
      </c>
      <c r="K1156">
        <f>MAX(-fyd_sn,MIN(fyd_sn,200000*0.002*(1-$C1156*(7*K$9-3*sn_h)/(4*sn_h))))-fcd_sn*(1-MIN(1,MAX(0,$C1156*(7*K$9-3*sn_h)/(4*sn_h)))^2)</f>
        <v/>
      </c>
    </row>
    <row r="1157">
      <c r="B1157" s="55" t="n">
        <v>166</v>
      </c>
      <c r="C1157" s="56">
        <f>IF(166&lt;posH_sn,1-166/200,IF(166=posH_sn,tstH_sn,1-(166-1)/200))</f>
        <v/>
      </c>
      <c r="D1157" s="59">
        <f>IF($C1157&gt;=1,sn_h,3/7*sn_h+4/7*sn_h/MAX($C1157,1E-12))</f>
        <v/>
      </c>
      <c r="E1157" s="57">
        <f>(fcd_sn*sn_b*sn_h*(3/7+4/7*(1-$C1157^2/3))+SUMPRODUCT($J$8:$K$8,$J1157:$K1157))/1000</f>
        <v/>
      </c>
      <c r="F1157" s="57">
        <f>-((fcd_sn*sn_b*(3/14*sn_h*(sn_h-3/7*sn_h)+4/7*sn_h*(sn_h/2-3/7*sn_h)*(1-$C1157^2/3)-16/49*sn_h^2*(1/2-$C1157^2/4))+SUMPRODUCT($J$8:$K$8,$J1157:$K1157,$J$10:$K$10))/1E6)</f>
        <v/>
      </c>
      <c r="G1157" s="57">
        <f>IF(AND(MIN($E1157,$E1158)&lt;=sn_N,sn_N&lt;=MAX($E1157,$E1158)),IF($E1157=$E1158,MAX($F1157,$F1158),$F1157+(sn_N-$E1157)*($F1158-$F1157)/($E1158-$E1157)),"")</f>
        <v/>
      </c>
      <c r="H1157" s="57">
        <f>IF(AND(MIN($E1157,$E1158)&lt;=sn_N,sn_N&lt;=MAX($E1157,$E1158)),IF($E1157=$E1158,MIN($F1157,$F1158),$F1157+(sn_N-$E1157)*($F1158-$F1157)/($E1158-$E1157)),"")</f>
        <v/>
      </c>
      <c r="J1157">
        <f>MAX(-fyd_sn,MIN(fyd_sn,200000*0.002*(1-$C1157*(7*J$9-3*sn_h)/(4*sn_h))))-fcd_sn*(1-MIN(1,MAX(0,$C1157*(7*J$9-3*sn_h)/(4*sn_h)))^2)</f>
        <v/>
      </c>
      <c r="K1157">
        <f>MAX(-fyd_sn,MIN(fyd_sn,200000*0.002*(1-$C1157*(7*K$9-3*sn_h)/(4*sn_h))))-fcd_sn*(1-MIN(1,MAX(0,$C1157*(7*K$9-3*sn_h)/(4*sn_h)))^2)</f>
        <v/>
      </c>
    </row>
    <row r="1158">
      <c r="B1158" s="55" t="n">
        <v>167</v>
      </c>
      <c r="C1158" s="56">
        <f>IF(167&lt;posH_sn,1-167/200,IF(167=posH_sn,tstH_sn,1-(167-1)/200))</f>
        <v/>
      </c>
      <c r="D1158" s="59">
        <f>IF($C1158&gt;=1,sn_h,3/7*sn_h+4/7*sn_h/MAX($C1158,1E-12))</f>
        <v/>
      </c>
      <c r="E1158" s="57">
        <f>(fcd_sn*sn_b*sn_h*(3/7+4/7*(1-$C1158^2/3))+SUMPRODUCT($J$8:$K$8,$J1158:$K1158))/1000</f>
        <v/>
      </c>
      <c r="F1158" s="57">
        <f>-((fcd_sn*sn_b*(3/14*sn_h*(sn_h-3/7*sn_h)+4/7*sn_h*(sn_h/2-3/7*sn_h)*(1-$C1158^2/3)-16/49*sn_h^2*(1/2-$C1158^2/4))+SUMPRODUCT($J$8:$K$8,$J1158:$K1158,$J$10:$K$10))/1E6)</f>
        <v/>
      </c>
      <c r="G1158" s="57">
        <f>IF(AND(MIN($E1158,$E1159)&lt;=sn_N,sn_N&lt;=MAX($E1158,$E1159)),IF($E1158=$E1159,MAX($F1158,$F1159),$F1158+(sn_N-$E1158)*($F1159-$F1158)/($E1159-$E1158)),"")</f>
        <v/>
      </c>
      <c r="H1158" s="57">
        <f>IF(AND(MIN($E1158,$E1159)&lt;=sn_N,sn_N&lt;=MAX($E1158,$E1159)),IF($E1158=$E1159,MIN($F1158,$F1159),$F1158+(sn_N-$E1158)*($F1159-$F1158)/($E1159-$E1158)),"")</f>
        <v/>
      </c>
      <c r="J1158">
        <f>MAX(-fyd_sn,MIN(fyd_sn,200000*0.002*(1-$C1158*(7*J$9-3*sn_h)/(4*sn_h))))-fcd_sn*(1-MIN(1,MAX(0,$C1158*(7*J$9-3*sn_h)/(4*sn_h)))^2)</f>
        <v/>
      </c>
      <c r="K1158">
        <f>MAX(-fyd_sn,MIN(fyd_sn,200000*0.002*(1-$C1158*(7*K$9-3*sn_h)/(4*sn_h))))-fcd_sn*(1-MIN(1,MAX(0,$C1158*(7*K$9-3*sn_h)/(4*sn_h)))^2)</f>
        <v/>
      </c>
    </row>
    <row r="1159">
      <c r="B1159" s="55" t="n">
        <v>168</v>
      </c>
      <c r="C1159" s="56">
        <f>IF(168&lt;posH_sn,1-168/200,IF(168=posH_sn,tstH_sn,1-(168-1)/200))</f>
        <v/>
      </c>
      <c r="D1159" s="59">
        <f>IF($C1159&gt;=1,sn_h,3/7*sn_h+4/7*sn_h/MAX($C1159,1E-12))</f>
        <v/>
      </c>
      <c r="E1159" s="57">
        <f>(fcd_sn*sn_b*sn_h*(3/7+4/7*(1-$C1159^2/3))+SUMPRODUCT($J$8:$K$8,$J1159:$K1159))/1000</f>
        <v/>
      </c>
      <c r="F1159" s="57">
        <f>-((fcd_sn*sn_b*(3/14*sn_h*(sn_h-3/7*sn_h)+4/7*sn_h*(sn_h/2-3/7*sn_h)*(1-$C1159^2/3)-16/49*sn_h^2*(1/2-$C1159^2/4))+SUMPRODUCT($J$8:$K$8,$J1159:$K1159,$J$10:$K$10))/1E6)</f>
        <v/>
      </c>
      <c r="G1159" s="57">
        <f>IF(AND(MIN($E1159,$E1160)&lt;=sn_N,sn_N&lt;=MAX($E1159,$E1160)),IF($E1159=$E1160,MAX($F1159,$F1160),$F1159+(sn_N-$E1159)*($F1160-$F1159)/($E1160-$E1159)),"")</f>
        <v/>
      </c>
      <c r="H1159" s="57">
        <f>IF(AND(MIN($E1159,$E1160)&lt;=sn_N,sn_N&lt;=MAX($E1159,$E1160)),IF($E1159=$E1160,MIN($F1159,$F1160),$F1159+(sn_N-$E1159)*($F1160-$F1159)/($E1160-$E1159)),"")</f>
        <v/>
      </c>
      <c r="J1159">
        <f>MAX(-fyd_sn,MIN(fyd_sn,200000*0.002*(1-$C1159*(7*J$9-3*sn_h)/(4*sn_h))))-fcd_sn*(1-MIN(1,MAX(0,$C1159*(7*J$9-3*sn_h)/(4*sn_h)))^2)</f>
        <v/>
      </c>
      <c r="K1159">
        <f>MAX(-fyd_sn,MIN(fyd_sn,200000*0.002*(1-$C1159*(7*K$9-3*sn_h)/(4*sn_h))))-fcd_sn*(1-MIN(1,MAX(0,$C1159*(7*K$9-3*sn_h)/(4*sn_h)))^2)</f>
        <v/>
      </c>
    </row>
    <row r="1160">
      <c r="B1160" s="55" t="n">
        <v>169</v>
      </c>
      <c r="C1160" s="56">
        <f>IF(169&lt;posH_sn,1-169/200,IF(169=posH_sn,tstH_sn,1-(169-1)/200))</f>
        <v/>
      </c>
      <c r="D1160" s="59">
        <f>IF($C1160&gt;=1,sn_h,3/7*sn_h+4/7*sn_h/MAX($C1160,1E-12))</f>
        <v/>
      </c>
      <c r="E1160" s="57">
        <f>(fcd_sn*sn_b*sn_h*(3/7+4/7*(1-$C1160^2/3))+SUMPRODUCT($J$8:$K$8,$J1160:$K1160))/1000</f>
        <v/>
      </c>
      <c r="F1160" s="57">
        <f>-((fcd_sn*sn_b*(3/14*sn_h*(sn_h-3/7*sn_h)+4/7*sn_h*(sn_h/2-3/7*sn_h)*(1-$C1160^2/3)-16/49*sn_h^2*(1/2-$C1160^2/4))+SUMPRODUCT($J$8:$K$8,$J1160:$K1160,$J$10:$K$10))/1E6)</f>
        <v/>
      </c>
      <c r="G1160" s="57">
        <f>IF(AND(MIN($E1160,$E1161)&lt;=sn_N,sn_N&lt;=MAX($E1160,$E1161)),IF($E1160=$E1161,MAX($F1160,$F1161),$F1160+(sn_N-$E1160)*($F1161-$F1160)/($E1161-$E1160)),"")</f>
        <v/>
      </c>
      <c r="H1160" s="57">
        <f>IF(AND(MIN($E1160,$E1161)&lt;=sn_N,sn_N&lt;=MAX($E1160,$E1161)),IF($E1160=$E1161,MIN($F1160,$F1161),$F1160+(sn_N-$E1160)*($F1161-$F1160)/($E1161-$E1160)),"")</f>
        <v/>
      </c>
      <c r="J1160">
        <f>MAX(-fyd_sn,MIN(fyd_sn,200000*0.002*(1-$C1160*(7*J$9-3*sn_h)/(4*sn_h))))-fcd_sn*(1-MIN(1,MAX(0,$C1160*(7*J$9-3*sn_h)/(4*sn_h)))^2)</f>
        <v/>
      </c>
      <c r="K1160">
        <f>MAX(-fyd_sn,MIN(fyd_sn,200000*0.002*(1-$C1160*(7*K$9-3*sn_h)/(4*sn_h))))-fcd_sn*(1-MIN(1,MAX(0,$C1160*(7*K$9-3*sn_h)/(4*sn_h)))^2)</f>
        <v/>
      </c>
    </row>
    <row r="1161">
      <c r="B1161" s="55" t="n">
        <v>170</v>
      </c>
      <c r="C1161" s="56">
        <f>IF(170&lt;posH_sn,1-170/200,IF(170=posH_sn,tstH_sn,1-(170-1)/200))</f>
        <v/>
      </c>
      <c r="D1161" s="59">
        <f>IF($C1161&gt;=1,sn_h,3/7*sn_h+4/7*sn_h/MAX($C1161,1E-12))</f>
        <v/>
      </c>
      <c r="E1161" s="57">
        <f>(fcd_sn*sn_b*sn_h*(3/7+4/7*(1-$C1161^2/3))+SUMPRODUCT($J$8:$K$8,$J1161:$K1161))/1000</f>
        <v/>
      </c>
      <c r="F1161" s="57">
        <f>-((fcd_sn*sn_b*(3/14*sn_h*(sn_h-3/7*sn_h)+4/7*sn_h*(sn_h/2-3/7*sn_h)*(1-$C1161^2/3)-16/49*sn_h^2*(1/2-$C1161^2/4))+SUMPRODUCT($J$8:$K$8,$J1161:$K1161,$J$10:$K$10))/1E6)</f>
        <v/>
      </c>
      <c r="G1161" s="57">
        <f>IF(AND(MIN($E1161,$E1162)&lt;=sn_N,sn_N&lt;=MAX($E1161,$E1162)),IF($E1161=$E1162,MAX($F1161,$F1162),$F1161+(sn_N-$E1161)*($F1162-$F1161)/($E1162-$E1161)),"")</f>
        <v/>
      </c>
      <c r="H1161" s="57">
        <f>IF(AND(MIN($E1161,$E1162)&lt;=sn_N,sn_N&lt;=MAX($E1161,$E1162)),IF($E1161=$E1162,MIN($F1161,$F1162),$F1161+(sn_N-$E1161)*($F1162-$F1161)/($E1162-$E1161)),"")</f>
        <v/>
      </c>
      <c r="J1161">
        <f>MAX(-fyd_sn,MIN(fyd_sn,200000*0.002*(1-$C1161*(7*J$9-3*sn_h)/(4*sn_h))))-fcd_sn*(1-MIN(1,MAX(0,$C1161*(7*J$9-3*sn_h)/(4*sn_h)))^2)</f>
        <v/>
      </c>
      <c r="K1161">
        <f>MAX(-fyd_sn,MIN(fyd_sn,200000*0.002*(1-$C1161*(7*K$9-3*sn_h)/(4*sn_h))))-fcd_sn*(1-MIN(1,MAX(0,$C1161*(7*K$9-3*sn_h)/(4*sn_h)))^2)</f>
        <v/>
      </c>
    </row>
    <row r="1162">
      <c r="B1162" s="55" t="n">
        <v>171</v>
      </c>
      <c r="C1162" s="56">
        <f>IF(171&lt;posH_sn,1-171/200,IF(171=posH_sn,tstH_sn,1-(171-1)/200))</f>
        <v/>
      </c>
      <c r="D1162" s="59">
        <f>IF($C1162&gt;=1,sn_h,3/7*sn_h+4/7*sn_h/MAX($C1162,1E-12))</f>
        <v/>
      </c>
      <c r="E1162" s="57">
        <f>(fcd_sn*sn_b*sn_h*(3/7+4/7*(1-$C1162^2/3))+SUMPRODUCT($J$8:$K$8,$J1162:$K1162))/1000</f>
        <v/>
      </c>
      <c r="F1162" s="57">
        <f>-((fcd_sn*sn_b*(3/14*sn_h*(sn_h-3/7*sn_h)+4/7*sn_h*(sn_h/2-3/7*sn_h)*(1-$C1162^2/3)-16/49*sn_h^2*(1/2-$C1162^2/4))+SUMPRODUCT($J$8:$K$8,$J1162:$K1162,$J$10:$K$10))/1E6)</f>
        <v/>
      </c>
      <c r="G1162" s="57">
        <f>IF(AND(MIN($E1162,$E1163)&lt;=sn_N,sn_N&lt;=MAX($E1162,$E1163)),IF($E1162=$E1163,MAX($F1162,$F1163),$F1162+(sn_N-$E1162)*($F1163-$F1162)/($E1163-$E1162)),"")</f>
        <v/>
      </c>
      <c r="H1162" s="57">
        <f>IF(AND(MIN($E1162,$E1163)&lt;=sn_N,sn_N&lt;=MAX($E1162,$E1163)),IF($E1162=$E1163,MIN($F1162,$F1163),$F1162+(sn_N-$E1162)*($F1163-$F1162)/($E1163-$E1162)),"")</f>
        <v/>
      </c>
      <c r="J1162">
        <f>MAX(-fyd_sn,MIN(fyd_sn,200000*0.002*(1-$C1162*(7*J$9-3*sn_h)/(4*sn_h))))-fcd_sn*(1-MIN(1,MAX(0,$C1162*(7*J$9-3*sn_h)/(4*sn_h)))^2)</f>
        <v/>
      </c>
      <c r="K1162">
        <f>MAX(-fyd_sn,MIN(fyd_sn,200000*0.002*(1-$C1162*(7*K$9-3*sn_h)/(4*sn_h))))-fcd_sn*(1-MIN(1,MAX(0,$C1162*(7*K$9-3*sn_h)/(4*sn_h)))^2)</f>
        <v/>
      </c>
    </row>
    <row r="1163">
      <c r="B1163" s="55" t="n">
        <v>172</v>
      </c>
      <c r="C1163" s="56">
        <f>IF(172&lt;posH_sn,1-172/200,IF(172=posH_sn,tstH_sn,1-(172-1)/200))</f>
        <v/>
      </c>
      <c r="D1163" s="59">
        <f>IF($C1163&gt;=1,sn_h,3/7*sn_h+4/7*sn_h/MAX($C1163,1E-12))</f>
        <v/>
      </c>
      <c r="E1163" s="57">
        <f>(fcd_sn*sn_b*sn_h*(3/7+4/7*(1-$C1163^2/3))+SUMPRODUCT($J$8:$K$8,$J1163:$K1163))/1000</f>
        <v/>
      </c>
      <c r="F1163" s="57">
        <f>-((fcd_sn*sn_b*(3/14*sn_h*(sn_h-3/7*sn_h)+4/7*sn_h*(sn_h/2-3/7*sn_h)*(1-$C1163^2/3)-16/49*sn_h^2*(1/2-$C1163^2/4))+SUMPRODUCT($J$8:$K$8,$J1163:$K1163,$J$10:$K$10))/1E6)</f>
        <v/>
      </c>
      <c r="G1163" s="57">
        <f>IF(AND(MIN($E1163,$E1164)&lt;=sn_N,sn_N&lt;=MAX($E1163,$E1164)),IF($E1163=$E1164,MAX($F1163,$F1164),$F1163+(sn_N-$E1163)*($F1164-$F1163)/($E1164-$E1163)),"")</f>
        <v/>
      </c>
      <c r="H1163" s="57">
        <f>IF(AND(MIN($E1163,$E1164)&lt;=sn_N,sn_N&lt;=MAX($E1163,$E1164)),IF($E1163=$E1164,MIN($F1163,$F1164),$F1163+(sn_N-$E1163)*($F1164-$F1163)/($E1164-$E1163)),"")</f>
        <v/>
      </c>
      <c r="J1163">
        <f>MAX(-fyd_sn,MIN(fyd_sn,200000*0.002*(1-$C1163*(7*J$9-3*sn_h)/(4*sn_h))))-fcd_sn*(1-MIN(1,MAX(0,$C1163*(7*J$9-3*sn_h)/(4*sn_h)))^2)</f>
        <v/>
      </c>
      <c r="K1163">
        <f>MAX(-fyd_sn,MIN(fyd_sn,200000*0.002*(1-$C1163*(7*K$9-3*sn_h)/(4*sn_h))))-fcd_sn*(1-MIN(1,MAX(0,$C1163*(7*K$9-3*sn_h)/(4*sn_h)))^2)</f>
        <v/>
      </c>
    </row>
    <row r="1164">
      <c r="B1164" s="55" t="n">
        <v>173</v>
      </c>
      <c r="C1164" s="56">
        <f>IF(173&lt;posH_sn,1-173/200,IF(173=posH_sn,tstH_sn,1-(173-1)/200))</f>
        <v/>
      </c>
      <c r="D1164" s="59">
        <f>IF($C1164&gt;=1,sn_h,3/7*sn_h+4/7*sn_h/MAX($C1164,1E-12))</f>
        <v/>
      </c>
      <c r="E1164" s="57">
        <f>(fcd_sn*sn_b*sn_h*(3/7+4/7*(1-$C1164^2/3))+SUMPRODUCT($J$8:$K$8,$J1164:$K1164))/1000</f>
        <v/>
      </c>
      <c r="F1164" s="57">
        <f>-((fcd_sn*sn_b*(3/14*sn_h*(sn_h-3/7*sn_h)+4/7*sn_h*(sn_h/2-3/7*sn_h)*(1-$C1164^2/3)-16/49*sn_h^2*(1/2-$C1164^2/4))+SUMPRODUCT($J$8:$K$8,$J1164:$K1164,$J$10:$K$10))/1E6)</f>
        <v/>
      </c>
      <c r="G1164" s="57">
        <f>IF(AND(MIN($E1164,$E1165)&lt;=sn_N,sn_N&lt;=MAX($E1164,$E1165)),IF($E1164=$E1165,MAX($F1164,$F1165),$F1164+(sn_N-$E1164)*($F1165-$F1164)/($E1165-$E1164)),"")</f>
        <v/>
      </c>
      <c r="H1164" s="57">
        <f>IF(AND(MIN($E1164,$E1165)&lt;=sn_N,sn_N&lt;=MAX($E1164,$E1165)),IF($E1164=$E1165,MIN($F1164,$F1165),$F1164+(sn_N-$E1164)*($F1165-$F1164)/($E1165-$E1164)),"")</f>
        <v/>
      </c>
      <c r="J1164">
        <f>MAX(-fyd_sn,MIN(fyd_sn,200000*0.002*(1-$C1164*(7*J$9-3*sn_h)/(4*sn_h))))-fcd_sn*(1-MIN(1,MAX(0,$C1164*(7*J$9-3*sn_h)/(4*sn_h)))^2)</f>
        <v/>
      </c>
      <c r="K1164">
        <f>MAX(-fyd_sn,MIN(fyd_sn,200000*0.002*(1-$C1164*(7*K$9-3*sn_h)/(4*sn_h))))-fcd_sn*(1-MIN(1,MAX(0,$C1164*(7*K$9-3*sn_h)/(4*sn_h)))^2)</f>
        <v/>
      </c>
    </row>
    <row r="1165">
      <c r="B1165" s="55" t="n">
        <v>174</v>
      </c>
      <c r="C1165" s="56">
        <f>IF(174&lt;posH_sn,1-174/200,IF(174=posH_sn,tstH_sn,1-(174-1)/200))</f>
        <v/>
      </c>
      <c r="D1165" s="59">
        <f>IF($C1165&gt;=1,sn_h,3/7*sn_h+4/7*sn_h/MAX($C1165,1E-12))</f>
        <v/>
      </c>
      <c r="E1165" s="57">
        <f>(fcd_sn*sn_b*sn_h*(3/7+4/7*(1-$C1165^2/3))+SUMPRODUCT($J$8:$K$8,$J1165:$K1165))/1000</f>
        <v/>
      </c>
      <c r="F1165" s="57">
        <f>-((fcd_sn*sn_b*(3/14*sn_h*(sn_h-3/7*sn_h)+4/7*sn_h*(sn_h/2-3/7*sn_h)*(1-$C1165^2/3)-16/49*sn_h^2*(1/2-$C1165^2/4))+SUMPRODUCT($J$8:$K$8,$J1165:$K1165,$J$10:$K$10))/1E6)</f>
        <v/>
      </c>
      <c r="G1165" s="57">
        <f>IF(AND(MIN($E1165,$E1166)&lt;=sn_N,sn_N&lt;=MAX($E1165,$E1166)),IF($E1165=$E1166,MAX($F1165,$F1166),$F1165+(sn_N-$E1165)*($F1166-$F1165)/($E1166-$E1165)),"")</f>
        <v/>
      </c>
      <c r="H1165" s="57">
        <f>IF(AND(MIN($E1165,$E1166)&lt;=sn_N,sn_N&lt;=MAX($E1165,$E1166)),IF($E1165=$E1166,MIN($F1165,$F1166),$F1165+(sn_N-$E1165)*($F1166-$F1165)/($E1166-$E1165)),"")</f>
        <v/>
      </c>
      <c r="J1165">
        <f>MAX(-fyd_sn,MIN(fyd_sn,200000*0.002*(1-$C1165*(7*J$9-3*sn_h)/(4*sn_h))))-fcd_sn*(1-MIN(1,MAX(0,$C1165*(7*J$9-3*sn_h)/(4*sn_h)))^2)</f>
        <v/>
      </c>
      <c r="K1165">
        <f>MAX(-fyd_sn,MIN(fyd_sn,200000*0.002*(1-$C1165*(7*K$9-3*sn_h)/(4*sn_h))))-fcd_sn*(1-MIN(1,MAX(0,$C1165*(7*K$9-3*sn_h)/(4*sn_h)))^2)</f>
        <v/>
      </c>
    </row>
    <row r="1166">
      <c r="B1166" s="55" t="n">
        <v>175</v>
      </c>
      <c r="C1166" s="56">
        <f>IF(175&lt;posH_sn,1-175/200,IF(175=posH_sn,tstH_sn,1-(175-1)/200))</f>
        <v/>
      </c>
      <c r="D1166" s="59">
        <f>IF($C1166&gt;=1,sn_h,3/7*sn_h+4/7*sn_h/MAX($C1166,1E-12))</f>
        <v/>
      </c>
      <c r="E1166" s="57">
        <f>(fcd_sn*sn_b*sn_h*(3/7+4/7*(1-$C1166^2/3))+SUMPRODUCT($J$8:$K$8,$J1166:$K1166))/1000</f>
        <v/>
      </c>
      <c r="F1166" s="57">
        <f>-((fcd_sn*sn_b*(3/14*sn_h*(sn_h-3/7*sn_h)+4/7*sn_h*(sn_h/2-3/7*sn_h)*(1-$C1166^2/3)-16/49*sn_h^2*(1/2-$C1166^2/4))+SUMPRODUCT($J$8:$K$8,$J1166:$K1166,$J$10:$K$10))/1E6)</f>
        <v/>
      </c>
      <c r="G1166" s="57">
        <f>IF(AND(MIN($E1166,$E1167)&lt;=sn_N,sn_N&lt;=MAX($E1166,$E1167)),IF($E1166=$E1167,MAX($F1166,$F1167),$F1166+(sn_N-$E1166)*($F1167-$F1166)/($E1167-$E1166)),"")</f>
        <v/>
      </c>
      <c r="H1166" s="57">
        <f>IF(AND(MIN($E1166,$E1167)&lt;=sn_N,sn_N&lt;=MAX($E1166,$E1167)),IF($E1166=$E1167,MIN($F1166,$F1167),$F1166+(sn_N-$E1166)*($F1167-$F1166)/($E1167-$E1166)),"")</f>
        <v/>
      </c>
      <c r="J1166">
        <f>MAX(-fyd_sn,MIN(fyd_sn,200000*0.002*(1-$C1166*(7*J$9-3*sn_h)/(4*sn_h))))-fcd_sn*(1-MIN(1,MAX(0,$C1166*(7*J$9-3*sn_h)/(4*sn_h)))^2)</f>
        <v/>
      </c>
      <c r="K1166">
        <f>MAX(-fyd_sn,MIN(fyd_sn,200000*0.002*(1-$C1166*(7*K$9-3*sn_h)/(4*sn_h))))-fcd_sn*(1-MIN(1,MAX(0,$C1166*(7*K$9-3*sn_h)/(4*sn_h)))^2)</f>
        <v/>
      </c>
    </row>
    <row r="1167">
      <c r="B1167" s="55" t="n">
        <v>176</v>
      </c>
      <c r="C1167" s="56">
        <f>IF(176&lt;posH_sn,1-176/200,IF(176=posH_sn,tstH_sn,1-(176-1)/200))</f>
        <v/>
      </c>
      <c r="D1167" s="59">
        <f>IF($C1167&gt;=1,sn_h,3/7*sn_h+4/7*sn_h/MAX($C1167,1E-12))</f>
        <v/>
      </c>
      <c r="E1167" s="57">
        <f>(fcd_sn*sn_b*sn_h*(3/7+4/7*(1-$C1167^2/3))+SUMPRODUCT($J$8:$K$8,$J1167:$K1167))/1000</f>
        <v/>
      </c>
      <c r="F1167" s="57">
        <f>-((fcd_sn*sn_b*(3/14*sn_h*(sn_h-3/7*sn_h)+4/7*sn_h*(sn_h/2-3/7*sn_h)*(1-$C1167^2/3)-16/49*sn_h^2*(1/2-$C1167^2/4))+SUMPRODUCT($J$8:$K$8,$J1167:$K1167,$J$10:$K$10))/1E6)</f>
        <v/>
      </c>
      <c r="G1167" s="57">
        <f>IF(AND(MIN($E1167,$E1168)&lt;=sn_N,sn_N&lt;=MAX($E1167,$E1168)),IF($E1167=$E1168,MAX($F1167,$F1168),$F1167+(sn_N-$E1167)*($F1168-$F1167)/($E1168-$E1167)),"")</f>
        <v/>
      </c>
      <c r="H1167" s="57">
        <f>IF(AND(MIN($E1167,$E1168)&lt;=sn_N,sn_N&lt;=MAX($E1167,$E1168)),IF($E1167=$E1168,MIN($F1167,$F1168),$F1167+(sn_N-$E1167)*($F1168-$F1167)/($E1168-$E1167)),"")</f>
        <v/>
      </c>
      <c r="J1167">
        <f>MAX(-fyd_sn,MIN(fyd_sn,200000*0.002*(1-$C1167*(7*J$9-3*sn_h)/(4*sn_h))))-fcd_sn*(1-MIN(1,MAX(0,$C1167*(7*J$9-3*sn_h)/(4*sn_h)))^2)</f>
        <v/>
      </c>
      <c r="K1167">
        <f>MAX(-fyd_sn,MIN(fyd_sn,200000*0.002*(1-$C1167*(7*K$9-3*sn_h)/(4*sn_h))))-fcd_sn*(1-MIN(1,MAX(0,$C1167*(7*K$9-3*sn_h)/(4*sn_h)))^2)</f>
        <v/>
      </c>
    </row>
    <row r="1168">
      <c r="B1168" s="55" t="n">
        <v>177</v>
      </c>
      <c r="C1168" s="56">
        <f>IF(177&lt;posH_sn,1-177/200,IF(177=posH_sn,tstH_sn,1-(177-1)/200))</f>
        <v/>
      </c>
      <c r="D1168" s="59">
        <f>IF($C1168&gt;=1,sn_h,3/7*sn_h+4/7*sn_h/MAX($C1168,1E-12))</f>
        <v/>
      </c>
      <c r="E1168" s="57">
        <f>(fcd_sn*sn_b*sn_h*(3/7+4/7*(1-$C1168^2/3))+SUMPRODUCT($J$8:$K$8,$J1168:$K1168))/1000</f>
        <v/>
      </c>
      <c r="F1168" s="57">
        <f>-((fcd_sn*sn_b*(3/14*sn_h*(sn_h-3/7*sn_h)+4/7*sn_h*(sn_h/2-3/7*sn_h)*(1-$C1168^2/3)-16/49*sn_h^2*(1/2-$C1168^2/4))+SUMPRODUCT($J$8:$K$8,$J1168:$K1168,$J$10:$K$10))/1E6)</f>
        <v/>
      </c>
      <c r="G1168" s="57">
        <f>IF(AND(MIN($E1168,$E1169)&lt;=sn_N,sn_N&lt;=MAX($E1168,$E1169)),IF($E1168=$E1169,MAX($F1168,$F1169),$F1168+(sn_N-$E1168)*($F1169-$F1168)/($E1169-$E1168)),"")</f>
        <v/>
      </c>
      <c r="H1168" s="57">
        <f>IF(AND(MIN($E1168,$E1169)&lt;=sn_N,sn_N&lt;=MAX($E1168,$E1169)),IF($E1168=$E1169,MIN($F1168,$F1169),$F1168+(sn_N-$E1168)*($F1169-$F1168)/($E1169-$E1168)),"")</f>
        <v/>
      </c>
      <c r="J1168">
        <f>MAX(-fyd_sn,MIN(fyd_sn,200000*0.002*(1-$C1168*(7*J$9-3*sn_h)/(4*sn_h))))-fcd_sn*(1-MIN(1,MAX(0,$C1168*(7*J$9-3*sn_h)/(4*sn_h)))^2)</f>
        <v/>
      </c>
      <c r="K1168">
        <f>MAX(-fyd_sn,MIN(fyd_sn,200000*0.002*(1-$C1168*(7*K$9-3*sn_h)/(4*sn_h))))-fcd_sn*(1-MIN(1,MAX(0,$C1168*(7*K$9-3*sn_h)/(4*sn_h)))^2)</f>
        <v/>
      </c>
    </row>
    <row r="1169">
      <c r="B1169" s="55" t="n">
        <v>178</v>
      </c>
      <c r="C1169" s="56">
        <f>IF(178&lt;posH_sn,1-178/200,IF(178=posH_sn,tstH_sn,1-(178-1)/200))</f>
        <v/>
      </c>
      <c r="D1169" s="59">
        <f>IF($C1169&gt;=1,sn_h,3/7*sn_h+4/7*sn_h/MAX($C1169,1E-12))</f>
        <v/>
      </c>
      <c r="E1169" s="57">
        <f>(fcd_sn*sn_b*sn_h*(3/7+4/7*(1-$C1169^2/3))+SUMPRODUCT($J$8:$K$8,$J1169:$K1169))/1000</f>
        <v/>
      </c>
      <c r="F1169" s="57">
        <f>-((fcd_sn*sn_b*(3/14*sn_h*(sn_h-3/7*sn_h)+4/7*sn_h*(sn_h/2-3/7*sn_h)*(1-$C1169^2/3)-16/49*sn_h^2*(1/2-$C1169^2/4))+SUMPRODUCT($J$8:$K$8,$J1169:$K1169,$J$10:$K$10))/1E6)</f>
        <v/>
      </c>
      <c r="G1169" s="57">
        <f>IF(AND(MIN($E1169,$E1170)&lt;=sn_N,sn_N&lt;=MAX($E1169,$E1170)),IF($E1169=$E1170,MAX($F1169,$F1170),$F1169+(sn_N-$E1169)*($F1170-$F1169)/($E1170-$E1169)),"")</f>
        <v/>
      </c>
      <c r="H1169" s="57">
        <f>IF(AND(MIN($E1169,$E1170)&lt;=sn_N,sn_N&lt;=MAX($E1169,$E1170)),IF($E1169=$E1170,MIN($F1169,$F1170),$F1169+(sn_N-$E1169)*($F1170-$F1169)/($E1170-$E1169)),"")</f>
        <v/>
      </c>
      <c r="J1169">
        <f>MAX(-fyd_sn,MIN(fyd_sn,200000*0.002*(1-$C1169*(7*J$9-3*sn_h)/(4*sn_h))))-fcd_sn*(1-MIN(1,MAX(0,$C1169*(7*J$9-3*sn_h)/(4*sn_h)))^2)</f>
        <v/>
      </c>
      <c r="K1169">
        <f>MAX(-fyd_sn,MIN(fyd_sn,200000*0.002*(1-$C1169*(7*K$9-3*sn_h)/(4*sn_h))))-fcd_sn*(1-MIN(1,MAX(0,$C1169*(7*K$9-3*sn_h)/(4*sn_h)))^2)</f>
        <v/>
      </c>
    </row>
    <row r="1170">
      <c r="B1170" s="55" t="n">
        <v>179</v>
      </c>
      <c r="C1170" s="56">
        <f>IF(179&lt;posH_sn,1-179/200,IF(179=posH_sn,tstH_sn,1-(179-1)/200))</f>
        <v/>
      </c>
      <c r="D1170" s="59">
        <f>IF($C1170&gt;=1,sn_h,3/7*sn_h+4/7*sn_h/MAX($C1170,1E-12))</f>
        <v/>
      </c>
      <c r="E1170" s="57">
        <f>(fcd_sn*sn_b*sn_h*(3/7+4/7*(1-$C1170^2/3))+SUMPRODUCT($J$8:$K$8,$J1170:$K1170))/1000</f>
        <v/>
      </c>
      <c r="F1170" s="57">
        <f>-((fcd_sn*sn_b*(3/14*sn_h*(sn_h-3/7*sn_h)+4/7*sn_h*(sn_h/2-3/7*sn_h)*(1-$C1170^2/3)-16/49*sn_h^2*(1/2-$C1170^2/4))+SUMPRODUCT($J$8:$K$8,$J1170:$K1170,$J$10:$K$10))/1E6)</f>
        <v/>
      </c>
      <c r="G1170" s="57">
        <f>IF(AND(MIN($E1170,$E1171)&lt;=sn_N,sn_N&lt;=MAX($E1170,$E1171)),IF($E1170=$E1171,MAX($F1170,$F1171),$F1170+(sn_N-$E1170)*($F1171-$F1170)/($E1171-$E1170)),"")</f>
        <v/>
      </c>
      <c r="H1170" s="57">
        <f>IF(AND(MIN($E1170,$E1171)&lt;=sn_N,sn_N&lt;=MAX($E1170,$E1171)),IF($E1170=$E1171,MIN($F1170,$F1171),$F1170+(sn_N-$E1170)*($F1171-$F1170)/($E1171-$E1170)),"")</f>
        <v/>
      </c>
      <c r="J1170">
        <f>MAX(-fyd_sn,MIN(fyd_sn,200000*0.002*(1-$C1170*(7*J$9-3*sn_h)/(4*sn_h))))-fcd_sn*(1-MIN(1,MAX(0,$C1170*(7*J$9-3*sn_h)/(4*sn_h)))^2)</f>
        <v/>
      </c>
      <c r="K1170">
        <f>MAX(-fyd_sn,MIN(fyd_sn,200000*0.002*(1-$C1170*(7*K$9-3*sn_h)/(4*sn_h))))-fcd_sn*(1-MIN(1,MAX(0,$C1170*(7*K$9-3*sn_h)/(4*sn_h)))^2)</f>
        <v/>
      </c>
    </row>
    <row r="1171">
      <c r="B1171" s="55" t="n">
        <v>180</v>
      </c>
      <c r="C1171" s="56">
        <f>IF(180&lt;posH_sn,1-180/200,IF(180=posH_sn,tstH_sn,1-(180-1)/200))</f>
        <v/>
      </c>
      <c r="D1171" s="59">
        <f>IF($C1171&gt;=1,sn_h,3/7*sn_h+4/7*sn_h/MAX($C1171,1E-12))</f>
        <v/>
      </c>
      <c r="E1171" s="57">
        <f>(fcd_sn*sn_b*sn_h*(3/7+4/7*(1-$C1171^2/3))+SUMPRODUCT($J$8:$K$8,$J1171:$K1171))/1000</f>
        <v/>
      </c>
      <c r="F1171" s="57">
        <f>-((fcd_sn*sn_b*(3/14*sn_h*(sn_h-3/7*sn_h)+4/7*sn_h*(sn_h/2-3/7*sn_h)*(1-$C1171^2/3)-16/49*sn_h^2*(1/2-$C1171^2/4))+SUMPRODUCT($J$8:$K$8,$J1171:$K1171,$J$10:$K$10))/1E6)</f>
        <v/>
      </c>
      <c r="G1171" s="57">
        <f>IF(AND(MIN($E1171,$E1172)&lt;=sn_N,sn_N&lt;=MAX($E1171,$E1172)),IF($E1171=$E1172,MAX($F1171,$F1172),$F1171+(sn_N-$E1171)*($F1172-$F1171)/($E1172-$E1171)),"")</f>
        <v/>
      </c>
      <c r="H1171" s="57">
        <f>IF(AND(MIN($E1171,$E1172)&lt;=sn_N,sn_N&lt;=MAX($E1171,$E1172)),IF($E1171=$E1172,MIN($F1171,$F1172),$F1171+(sn_N-$E1171)*($F1172-$F1171)/($E1172-$E1171)),"")</f>
        <v/>
      </c>
      <c r="J1171">
        <f>MAX(-fyd_sn,MIN(fyd_sn,200000*0.002*(1-$C1171*(7*J$9-3*sn_h)/(4*sn_h))))-fcd_sn*(1-MIN(1,MAX(0,$C1171*(7*J$9-3*sn_h)/(4*sn_h)))^2)</f>
        <v/>
      </c>
      <c r="K1171">
        <f>MAX(-fyd_sn,MIN(fyd_sn,200000*0.002*(1-$C1171*(7*K$9-3*sn_h)/(4*sn_h))))-fcd_sn*(1-MIN(1,MAX(0,$C1171*(7*K$9-3*sn_h)/(4*sn_h)))^2)</f>
        <v/>
      </c>
    </row>
    <row r="1172">
      <c r="B1172" s="55" t="n">
        <v>181</v>
      </c>
      <c r="C1172" s="56">
        <f>IF(181&lt;posH_sn,1-181/200,IF(181=posH_sn,tstH_sn,1-(181-1)/200))</f>
        <v/>
      </c>
      <c r="D1172" s="59">
        <f>IF($C1172&gt;=1,sn_h,3/7*sn_h+4/7*sn_h/MAX($C1172,1E-12))</f>
        <v/>
      </c>
      <c r="E1172" s="57">
        <f>(fcd_sn*sn_b*sn_h*(3/7+4/7*(1-$C1172^2/3))+SUMPRODUCT($J$8:$K$8,$J1172:$K1172))/1000</f>
        <v/>
      </c>
      <c r="F1172" s="57">
        <f>-((fcd_sn*sn_b*(3/14*sn_h*(sn_h-3/7*sn_h)+4/7*sn_h*(sn_h/2-3/7*sn_h)*(1-$C1172^2/3)-16/49*sn_h^2*(1/2-$C1172^2/4))+SUMPRODUCT($J$8:$K$8,$J1172:$K1172,$J$10:$K$10))/1E6)</f>
        <v/>
      </c>
      <c r="G1172" s="57">
        <f>IF(AND(MIN($E1172,$E1173)&lt;=sn_N,sn_N&lt;=MAX($E1172,$E1173)),IF($E1172=$E1173,MAX($F1172,$F1173),$F1172+(sn_N-$E1172)*($F1173-$F1172)/($E1173-$E1172)),"")</f>
        <v/>
      </c>
      <c r="H1172" s="57">
        <f>IF(AND(MIN($E1172,$E1173)&lt;=sn_N,sn_N&lt;=MAX($E1172,$E1173)),IF($E1172=$E1173,MIN($F1172,$F1173),$F1172+(sn_N-$E1172)*($F1173-$F1172)/($E1173-$E1172)),"")</f>
        <v/>
      </c>
      <c r="J1172">
        <f>MAX(-fyd_sn,MIN(fyd_sn,200000*0.002*(1-$C1172*(7*J$9-3*sn_h)/(4*sn_h))))-fcd_sn*(1-MIN(1,MAX(0,$C1172*(7*J$9-3*sn_h)/(4*sn_h)))^2)</f>
        <v/>
      </c>
      <c r="K1172">
        <f>MAX(-fyd_sn,MIN(fyd_sn,200000*0.002*(1-$C1172*(7*K$9-3*sn_h)/(4*sn_h))))-fcd_sn*(1-MIN(1,MAX(0,$C1172*(7*K$9-3*sn_h)/(4*sn_h)))^2)</f>
        <v/>
      </c>
    </row>
    <row r="1173">
      <c r="B1173" s="55" t="n">
        <v>182</v>
      </c>
      <c r="C1173" s="56">
        <f>IF(182&lt;posH_sn,1-182/200,IF(182=posH_sn,tstH_sn,1-(182-1)/200))</f>
        <v/>
      </c>
      <c r="D1173" s="59">
        <f>IF($C1173&gt;=1,sn_h,3/7*sn_h+4/7*sn_h/MAX($C1173,1E-12))</f>
        <v/>
      </c>
      <c r="E1173" s="57">
        <f>(fcd_sn*sn_b*sn_h*(3/7+4/7*(1-$C1173^2/3))+SUMPRODUCT($J$8:$K$8,$J1173:$K1173))/1000</f>
        <v/>
      </c>
      <c r="F1173" s="57">
        <f>-((fcd_sn*sn_b*(3/14*sn_h*(sn_h-3/7*sn_h)+4/7*sn_h*(sn_h/2-3/7*sn_h)*(1-$C1173^2/3)-16/49*sn_h^2*(1/2-$C1173^2/4))+SUMPRODUCT($J$8:$K$8,$J1173:$K1173,$J$10:$K$10))/1E6)</f>
        <v/>
      </c>
      <c r="G1173" s="57">
        <f>IF(AND(MIN($E1173,$E1174)&lt;=sn_N,sn_N&lt;=MAX($E1173,$E1174)),IF($E1173=$E1174,MAX($F1173,$F1174),$F1173+(sn_N-$E1173)*($F1174-$F1173)/($E1174-$E1173)),"")</f>
        <v/>
      </c>
      <c r="H1173" s="57">
        <f>IF(AND(MIN($E1173,$E1174)&lt;=sn_N,sn_N&lt;=MAX($E1173,$E1174)),IF($E1173=$E1174,MIN($F1173,$F1174),$F1173+(sn_N-$E1173)*($F1174-$F1173)/($E1174-$E1173)),"")</f>
        <v/>
      </c>
      <c r="J1173">
        <f>MAX(-fyd_sn,MIN(fyd_sn,200000*0.002*(1-$C1173*(7*J$9-3*sn_h)/(4*sn_h))))-fcd_sn*(1-MIN(1,MAX(0,$C1173*(7*J$9-3*sn_h)/(4*sn_h)))^2)</f>
        <v/>
      </c>
      <c r="K1173">
        <f>MAX(-fyd_sn,MIN(fyd_sn,200000*0.002*(1-$C1173*(7*K$9-3*sn_h)/(4*sn_h))))-fcd_sn*(1-MIN(1,MAX(0,$C1173*(7*K$9-3*sn_h)/(4*sn_h)))^2)</f>
        <v/>
      </c>
    </row>
    <row r="1174">
      <c r="B1174" s="55" t="n">
        <v>183</v>
      </c>
      <c r="C1174" s="56">
        <f>IF(183&lt;posH_sn,1-183/200,IF(183=posH_sn,tstH_sn,1-(183-1)/200))</f>
        <v/>
      </c>
      <c r="D1174" s="59">
        <f>IF($C1174&gt;=1,sn_h,3/7*sn_h+4/7*sn_h/MAX($C1174,1E-12))</f>
        <v/>
      </c>
      <c r="E1174" s="57">
        <f>(fcd_sn*sn_b*sn_h*(3/7+4/7*(1-$C1174^2/3))+SUMPRODUCT($J$8:$K$8,$J1174:$K1174))/1000</f>
        <v/>
      </c>
      <c r="F1174" s="57">
        <f>-((fcd_sn*sn_b*(3/14*sn_h*(sn_h-3/7*sn_h)+4/7*sn_h*(sn_h/2-3/7*sn_h)*(1-$C1174^2/3)-16/49*sn_h^2*(1/2-$C1174^2/4))+SUMPRODUCT($J$8:$K$8,$J1174:$K1174,$J$10:$K$10))/1E6)</f>
        <v/>
      </c>
      <c r="G1174" s="57">
        <f>IF(AND(MIN($E1174,$E1175)&lt;=sn_N,sn_N&lt;=MAX($E1174,$E1175)),IF($E1174=$E1175,MAX($F1174,$F1175),$F1174+(sn_N-$E1174)*($F1175-$F1174)/($E1175-$E1174)),"")</f>
        <v/>
      </c>
      <c r="H1174" s="57">
        <f>IF(AND(MIN($E1174,$E1175)&lt;=sn_N,sn_N&lt;=MAX($E1174,$E1175)),IF($E1174=$E1175,MIN($F1174,$F1175),$F1174+(sn_N-$E1174)*($F1175-$F1174)/($E1175-$E1174)),"")</f>
        <v/>
      </c>
      <c r="J1174">
        <f>MAX(-fyd_sn,MIN(fyd_sn,200000*0.002*(1-$C1174*(7*J$9-3*sn_h)/(4*sn_h))))-fcd_sn*(1-MIN(1,MAX(0,$C1174*(7*J$9-3*sn_h)/(4*sn_h)))^2)</f>
        <v/>
      </c>
      <c r="K1174">
        <f>MAX(-fyd_sn,MIN(fyd_sn,200000*0.002*(1-$C1174*(7*K$9-3*sn_h)/(4*sn_h))))-fcd_sn*(1-MIN(1,MAX(0,$C1174*(7*K$9-3*sn_h)/(4*sn_h)))^2)</f>
        <v/>
      </c>
    </row>
    <row r="1175">
      <c r="B1175" s="55" t="n">
        <v>184</v>
      </c>
      <c r="C1175" s="56">
        <f>IF(184&lt;posH_sn,1-184/200,IF(184=posH_sn,tstH_sn,1-(184-1)/200))</f>
        <v/>
      </c>
      <c r="D1175" s="59">
        <f>IF($C1175&gt;=1,sn_h,3/7*sn_h+4/7*sn_h/MAX($C1175,1E-12))</f>
        <v/>
      </c>
      <c r="E1175" s="57">
        <f>(fcd_sn*sn_b*sn_h*(3/7+4/7*(1-$C1175^2/3))+SUMPRODUCT($J$8:$K$8,$J1175:$K1175))/1000</f>
        <v/>
      </c>
      <c r="F1175" s="57">
        <f>-((fcd_sn*sn_b*(3/14*sn_h*(sn_h-3/7*sn_h)+4/7*sn_h*(sn_h/2-3/7*sn_h)*(1-$C1175^2/3)-16/49*sn_h^2*(1/2-$C1175^2/4))+SUMPRODUCT($J$8:$K$8,$J1175:$K1175,$J$10:$K$10))/1E6)</f>
        <v/>
      </c>
      <c r="G1175" s="57">
        <f>IF(AND(MIN($E1175,$E1176)&lt;=sn_N,sn_N&lt;=MAX($E1175,$E1176)),IF($E1175=$E1176,MAX($F1175,$F1176),$F1175+(sn_N-$E1175)*($F1176-$F1175)/($E1176-$E1175)),"")</f>
        <v/>
      </c>
      <c r="H1175" s="57">
        <f>IF(AND(MIN($E1175,$E1176)&lt;=sn_N,sn_N&lt;=MAX($E1175,$E1176)),IF($E1175=$E1176,MIN($F1175,$F1176),$F1175+(sn_N-$E1175)*($F1176-$F1175)/($E1176-$E1175)),"")</f>
        <v/>
      </c>
      <c r="J1175">
        <f>MAX(-fyd_sn,MIN(fyd_sn,200000*0.002*(1-$C1175*(7*J$9-3*sn_h)/(4*sn_h))))-fcd_sn*(1-MIN(1,MAX(0,$C1175*(7*J$9-3*sn_h)/(4*sn_h)))^2)</f>
        <v/>
      </c>
      <c r="K1175">
        <f>MAX(-fyd_sn,MIN(fyd_sn,200000*0.002*(1-$C1175*(7*K$9-3*sn_h)/(4*sn_h))))-fcd_sn*(1-MIN(1,MAX(0,$C1175*(7*K$9-3*sn_h)/(4*sn_h)))^2)</f>
        <v/>
      </c>
    </row>
    <row r="1176">
      <c r="B1176" s="55" t="n">
        <v>185</v>
      </c>
      <c r="C1176" s="56">
        <f>IF(185&lt;posH_sn,1-185/200,IF(185=posH_sn,tstH_sn,1-(185-1)/200))</f>
        <v/>
      </c>
      <c r="D1176" s="59">
        <f>IF($C1176&gt;=1,sn_h,3/7*sn_h+4/7*sn_h/MAX($C1176,1E-12))</f>
        <v/>
      </c>
      <c r="E1176" s="57">
        <f>(fcd_sn*sn_b*sn_h*(3/7+4/7*(1-$C1176^2/3))+SUMPRODUCT($J$8:$K$8,$J1176:$K1176))/1000</f>
        <v/>
      </c>
      <c r="F1176" s="57">
        <f>-((fcd_sn*sn_b*(3/14*sn_h*(sn_h-3/7*sn_h)+4/7*sn_h*(sn_h/2-3/7*sn_h)*(1-$C1176^2/3)-16/49*sn_h^2*(1/2-$C1176^2/4))+SUMPRODUCT($J$8:$K$8,$J1176:$K1176,$J$10:$K$10))/1E6)</f>
        <v/>
      </c>
      <c r="G1176" s="57">
        <f>IF(AND(MIN($E1176,$E1177)&lt;=sn_N,sn_N&lt;=MAX($E1176,$E1177)),IF($E1176=$E1177,MAX($F1176,$F1177),$F1176+(sn_N-$E1176)*($F1177-$F1176)/($E1177-$E1176)),"")</f>
        <v/>
      </c>
      <c r="H1176" s="57">
        <f>IF(AND(MIN($E1176,$E1177)&lt;=sn_N,sn_N&lt;=MAX($E1176,$E1177)),IF($E1176=$E1177,MIN($F1176,$F1177),$F1176+(sn_N-$E1176)*($F1177-$F1176)/($E1177-$E1176)),"")</f>
        <v/>
      </c>
      <c r="J1176">
        <f>MAX(-fyd_sn,MIN(fyd_sn,200000*0.002*(1-$C1176*(7*J$9-3*sn_h)/(4*sn_h))))-fcd_sn*(1-MIN(1,MAX(0,$C1176*(7*J$9-3*sn_h)/(4*sn_h)))^2)</f>
        <v/>
      </c>
      <c r="K1176">
        <f>MAX(-fyd_sn,MIN(fyd_sn,200000*0.002*(1-$C1176*(7*K$9-3*sn_h)/(4*sn_h))))-fcd_sn*(1-MIN(1,MAX(0,$C1176*(7*K$9-3*sn_h)/(4*sn_h)))^2)</f>
        <v/>
      </c>
    </row>
    <row r="1177">
      <c r="B1177" s="55" t="n">
        <v>186</v>
      </c>
      <c r="C1177" s="56">
        <f>IF(186&lt;posH_sn,1-186/200,IF(186=posH_sn,tstH_sn,1-(186-1)/200))</f>
        <v/>
      </c>
      <c r="D1177" s="59">
        <f>IF($C1177&gt;=1,sn_h,3/7*sn_h+4/7*sn_h/MAX($C1177,1E-12))</f>
        <v/>
      </c>
      <c r="E1177" s="57">
        <f>(fcd_sn*sn_b*sn_h*(3/7+4/7*(1-$C1177^2/3))+SUMPRODUCT($J$8:$K$8,$J1177:$K1177))/1000</f>
        <v/>
      </c>
      <c r="F1177" s="57">
        <f>-((fcd_sn*sn_b*(3/14*sn_h*(sn_h-3/7*sn_h)+4/7*sn_h*(sn_h/2-3/7*sn_h)*(1-$C1177^2/3)-16/49*sn_h^2*(1/2-$C1177^2/4))+SUMPRODUCT($J$8:$K$8,$J1177:$K1177,$J$10:$K$10))/1E6)</f>
        <v/>
      </c>
      <c r="G1177" s="57">
        <f>IF(AND(MIN($E1177,$E1178)&lt;=sn_N,sn_N&lt;=MAX($E1177,$E1178)),IF($E1177=$E1178,MAX($F1177,$F1178),$F1177+(sn_N-$E1177)*($F1178-$F1177)/($E1178-$E1177)),"")</f>
        <v/>
      </c>
      <c r="H1177" s="57">
        <f>IF(AND(MIN($E1177,$E1178)&lt;=sn_N,sn_N&lt;=MAX($E1177,$E1178)),IF($E1177=$E1178,MIN($F1177,$F1178),$F1177+(sn_N-$E1177)*($F1178-$F1177)/($E1178-$E1177)),"")</f>
        <v/>
      </c>
      <c r="J1177">
        <f>MAX(-fyd_sn,MIN(fyd_sn,200000*0.002*(1-$C1177*(7*J$9-3*sn_h)/(4*sn_h))))-fcd_sn*(1-MIN(1,MAX(0,$C1177*(7*J$9-3*sn_h)/(4*sn_h)))^2)</f>
        <v/>
      </c>
      <c r="K1177">
        <f>MAX(-fyd_sn,MIN(fyd_sn,200000*0.002*(1-$C1177*(7*K$9-3*sn_h)/(4*sn_h))))-fcd_sn*(1-MIN(1,MAX(0,$C1177*(7*K$9-3*sn_h)/(4*sn_h)))^2)</f>
        <v/>
      </c>
    </row>
    <row r="1178">
      <c r="B1178" s="55" t="n">
        <v>187</v>
      </c>
      <c r="C1178" s="56">
        <f>IF(187&lt;posH_sn,1-187/200,IF(187=posH_sn,tstH_sn,1-(187-1)/200))</f>
        <v/>
      </c>
      <c r="D1178" s="59">
        <f>IF($C1178&gt;=1,sn_h,3/7*sn_h+4/7*sn_h/MAX($C1178,1E-12))</f>
        <v/>
      </c>
      <c r="E1178" s="57">
        <f>(fcd_sn*sn_b*sn_h*(3/7+4/7*(1-$C1178^2/3))+SUMPRODUCT($J$8:$K$8,$J1178:$K1178))/1000</f>
        <v/>
      </c>
      <c r="F1178" s="57">
        <f>-((fcd_sn*sn_b*(3/14*sn_h*(sn_h-3/7*sn_h)+4/7*sn_h*(sn_h/2-3/7*sn_h)*(1-$C1178^2/3)-16/49*sn_h^2*(1/2-$C1178^2/4))+SUMPRODUCT($J$8:$K$8,$J1178:$K1178,$J$10:$K$10))/1E6)</f>
        <v/>
      </c>
      <c r="G1178" s="57">
        <f>IF(AND(MIN($E1178,$E1179)&lt;=sn_N,sn_N&lt;=MAX($E1178,$E1179)),IF($E1178=$E1179,MAX($F1178,$F1179),$F1178+(sn_N-$E1178)*($F1179-$F1178)/($E1179-$E1178)),"")</f>
        <v/>
      </c>
      <c r="H1178" s="57">
        <f>IF(AND(MIN($E1178,$E1179)&lt;=sn_N,sn_N&lt;=MAX($E1178,$E1179)),IF($E1178=$E1179,MIN($F1178,$F1179),$F1178+(sn_N-$E1178)*($F1179-$F1178)/($E1179-$E1178)),"")</f>
        <v/>
      </c>
      <c r="J1178">
        <f>MAX(-fyd_sn,MIN(fyd_sn,200000*0.002*(1-$C1178*(7*J$9-3*sn_h)/(4*sn_h))))-fcd_sn*(1-MIN(1,MAX(0,$C1178*(7*J$9-3*sn_h)/(4*sn_h)))^2)</f>
        <v/>
      </c>
      <c r="K1178">
        <f>MAX(-fyd_sn,MIN(fyd_sn,200000*0.002*(1-$C1178*(7*K$9-3*sn_h)/(4*sn_h))))-fcd_sn*(1-MIN(1,MAX(0,$C1178*(7*K$9-3*sn_h)/(4*sn_h)))^2)</f>
        <v/>
      </c>
    </row>
    <row r="1179">
      <c r="B1179" s="55" t="n">
        <v>188</v>
      </c>
      <c r="C1179" s="56">
        <f>IF(188&lt;posH_sn,1-188/200,IF(188=posH_sn,tstH_sn,1-(188-1)/200))</f>
        <v/>
      </c>
      <c r="D1179" s="59">
        <f>IF($C1179&gt;=1,sn_h,3/7*sn_h+4/7*sn_h/MAX($C1179,1E-12))</f>
        <v/>
      </c>
      <c r="E1179" s="57">
        <f>(fcd_sn*sn_b*sn_h*(3/7+4/7*(1-$C1179^2/3))+SUMPRODUCT($J$8:$K$8,$J1179:$K1179))/1000</f>
        <v/>
      </c>
      <c r="F1179" s="57">
        <f>-((fcd_sn*sn_b*(3/14*sn_h*(sn_h-3/7*sn_h)+4/7*sn_h*(sn_h/2-3/7*sn_h)*(1-$C1179^2/3)-16/49*sn_h^2*(1/2-$C1179^2/4))+SUMPRODUCT($J$8:$K$8,$J1179:$K1179,$J$10:$K$10))/1E6)</f>
        <v/>
      </c>
      <c r="G1179" s="57">
        <f>IF(AND(MIN($E1179,$E1180)&lt;=sn_N,sn_N&lt;=MAX($E1179,$E1180)),IF($E1179=$E1180,MAX($F1179,$F1180),$F1179+(sn_N-$E1179)*($F1180-$F1179)/($E1180-$E1179)),"")</f>
        <v/>
      </c>
      <c r="H1179" s="57">
        <f>IF(AND(MIN($E1179,$E1180)&lt;=sn_N,sn_N&lt;=MAX($E1179,$E1180)),IF($E1179=$E1180,MIN($F1179,$F1180),$F1179+(sn_N-$E1179)*($F1180-$F1179)/($E1180-$E1179)),"")</f>
        <v/>
      </c>
      <c r="J1179">
        <f>MAX(-fyd_sn,MIN(fyd_sn,200000*0.002*(1-$C1179*(7*J$9-3*sn_h)/(4*sn_h))))-fcd_sn*(1-MIN(1,MAX(0,$C1179*(7*J$9-3*sn_h)/(4*sn_h)))^2)</f>
        <v/>
      </c>
      <c r="K1179">
        <f>MAX(-fyd_sn,MIN(fyd_sn,200000*0.002*(1-$C1179*(7*K$9-3*sn_h)/(4*sn_h))))-fcd_sn*(1-MIN(1,MAX(0,$C1179*(7*K$9-3*sn_h)/(4*sn_h)))^2)</f>
        <v/>
      </c>
    </row>
    <row r="1180">
      <c r="B1180" s="55" t="n">
        <v>189</v>
      </c>
      <c r="C1180" s="56">
        <f>IF(189&lt;posH_sn,1-189/200,IF(189=posH_sn,tstH_sn,1-(189-1)/200))</f>
        <v/>
      </c>
      <c r="D1180" s="59">
        <f>IF($C1180&gt;=1,sn_h,3/7*sn_h+4/7*sn_h/MAX($C1180,1E-12))</f>
        <v/>
      </c>
      <c r="E1180" s="57">
        <f>(fcd_sn*sn_b*sn_h*(3/7+4/7*(1-$C1180^2/3))+SUMPRODUCT($J$8:$K$8,$J1180:$K1180))/1000</f>
        <v/>
      </c>
      <c r="F1180" s="57">
        <f>-((fcd_sn*sn_b*(3/14*sn_h*(sn_h-3/7*sn_h)+4/7*sn_h*(sn_h/2-3/7*sn_h)*(1-$C1180^2/3)-16/49*sn_h^2*(1/2-$C1180^2/4))+SUMPRODUCT($J$8:$K$8,$J1180:$K1180,$J$10:$K$10))/1E6)</f>
        <v/>
      </c>
      <c r="G1180" s="57">
        <f>IF(AND(MIN($E1180,$E1181)&lt;=sn_N,sn_N&lt;=MAX($E1180,$E1181)),IF($E1180=$E1181,MAX($F1180,$F1181),$F1180+(sn_N-$E1180)*($F1181-$F1180)/($E1181-$E1180)),"")</f>
        <v/>
      </c>
      <c r="H1180" s="57">
        <f>IF(AND(MIN($E1180,$E1181)&lt;=sn_N,sn_N&lt;=MAX($E1180,$E1181)),IF($E1180=$E1181,MIN($F1180,$F1181),$F1180+(sn_N-$E1180)*($F1181-$F1180)/($E1181-$E1180)),"")</f>
        <v/>
      </c>
      <c r="J1180">
        <f>MAX(-fyd_sn,MIN(fyd_sn,200000*0.002*(1-$C1180*(7*J$9-3*sn_h)/(4*sn_h))))-fcd_sn*(1-MIN(1,MAX(0,$C1180*(7*J$9-3*sn_h)/(4*sn_h)))^2)</f>
        <v/>
      </c>
      <c r="K1180">
        <f>MAX(-fyd_sn,MIN(fyd_sn,200000*0.002*(1-$C1180*(7*K$9-3*sn_h)/(4*sn_h))))-fcd_sn*(1-MIN(1,MAX(0,$C1180*(7*K$9-3*sn_h)/(4*sn_h)))^2)</f>
        <v/>
      </c>
    </row>
    <row r="1181">
      <c r="B1181" s="55" t="n">
        <v>190</v>
      </c>
      <c r="C1181" s="56">
        <f>IF(190&lt;posH_sn,1-190/200,IF(190=posH_sn,tstH_sn,1-(190-1)/200))</f>
        <v/>
      </c>
      <c r="D1181" s="59">
        <f>IF($C1181&gt;=1,sn_h,3/7*sn_h+4/7*sn_h/MAX($C1181,1E-12))</f>
        <v/>
      </c>
      <c r="E1181" s="57">
        <f>(fcd_sn*sn_b*sn_h*(3/7+4/7*(1-$C1181^2/3))+SUMPRODUCT($J$8:$K$8,$J1181:$K1181))/1000</f>
        <v/>
      </c>
      <c r="F1181" s="57">
        <f>-((fcd_sn*sn_b*(3/14*sn_h*(sn_h-3/7*sn_h)+4/7*sn_h*(sn_h/2-3/7*sn_h)*(1-$C1181^2/3)-16/49*sn_h^2*(1/2-$C1181^2/4))+SUMPRODUCT($J$8:$K$8,$J1181:$K1181,$J$10:$K$10))/1E6)</f>
        <v/>
      </c>
      <c r="G1181" s="57">
        <f>IF(AND(MIN($E1181,$E1182)&lt;=sn_N,sn_N&lt;=MAX($E1181,$E1182)),IF($E1181=$E1182,MAX($F1181,$F1182),$F1181+(sn_N-$E1181)*($F1182-$F1181)/($E1182-$E1181)),"")</f>
        <v/>
      </c>
      <c r="H1181" s="57">
        <f>IF(AND(MIN($E1181,$E1182)&lt;=sn_N,sn_N&lt;=MAX($E1181,$E1182)),IF($E1181=$E1182,MIN($F1181,$F1182),$F1181+(sn_N-$E1181)*($F1182-$F1181)/($E1182-$E1181)),"")</f>
        <v/>
      </c>
      <c r="J1181">
        <f>MAX(-fyd_sn,MIN(fyd_sn,200000*0.002*(1-$C1181*(7*J$9-3*sn_h)/(4*sn_h))))-fcd_sn*(1-MIN(1,MAX(0,$C1181*(7*J$9-3*sn_h)/(4*sn_h)))^2)</f>
        <v/>
      </c>
      <c r="K1181">
        <f>MAX(-fyd_sn,MIN(fyd_sn,200000*0.002*(1-$C1181*(7*K$9-3*sn_h)/(4*sn_h))))-fcd_sn*(1-MIN(1,MAX(0,$C1181*(7*K$9-3*sn_h)/(4*sn_h)))^2)</f>
        <v/>
      </c>
    </row>
    <row r="1182">
      <c r="B1182" s="55" t="n">
        <v>191</v>
      </c>
      <c r="C1182" s="56">
        <f>IF(191&lt;posH_sn,1-191/200,IF(191=posH_sn,tstH_sn,1-(191-1)/200))</f>
        <v/>
      </c>
      <c r="D1182" s="59">
        <f>IF($C1182&gt;=1,sn_h,3/7*sn_h+4/7*sn_h/MAX($C1182,1E-12))</f>
        <v/>
      </c>
      <c r="E1182" s="57">
        <f>(fcd_sn*sn_b*sn_h*(3/7+4/7*(1-$C1182^2/3))+SUMPRODUCT($J$8:$K$8,$J1182:$K1182))/1000</f>
        <v/>
      </c>
      <c r="F1182" s="57">
        <f>-((fcd_sn*sn_b*(3/14*sn_h*(sn_h-3/7*sn_h)+4/7*sn_h*(sn_h/2-3/7*sn_h)*(1-$C1182^2/3)-16/49*sn_h^2*(1/2-$C1182^2/4))+SUMPRODUCT($J$8:$K$8,$J1182:$K1182,$J$10:$K$10))/1E6)</f>
        <v/>
      </c>
      <c r="G1182" s="57">
        <f>IF(AND(MIN($E1182,$E1183)&lt;=sn_N,sn_N&lt;=MAX($E1182,$E1183)),IF($E1182=$E1183,MAX($F1182,$F1183),$F1182+(sn_N-$E1182)*($F1183-$F1182)/($E1183-$E1182)),"")</f>
        <v/>
      </c>
      <c r="H1182" s="57">
        <f>IF(AND(MIN($E1182,$E1183)&lt;=sn_N,sn_N&lt;=MAX($E1182,$E1183)),IF($E1182=$E1183,MIN($F1182,$F1183),$F1182+(sn_N-$E1182)*($F1183-$F1182)/($E1183-$E1182)),"")</f>
        <v/>
      </c>
      <c r="J1182">
        <f>MAX(-fyd_sn,MIN(fyd_sn,200000*0.002*(1-$C1182*(7*J$9-3*sn_h)/(4*sn_h))))-fcd_sn*(1-MIN(1,MAX(0,$C1182*(7*J$9-3*sn_h)/(4*sn_h)))^2)</f>
        <v/>
      </c>
      <c r="K1182">
        <f>MAX(-fyd_sn,MIN(fyd_sn,200000*0.002*(1-$C1182*(7*K$9-3*sn_h)/(4*sn_h))))-fcd_sn*(1-MIN(1,MAX(0,$C1182*(7*K$9-3*sn_h)/(4*sn_h)))^2)</f>
        <v/>
      </c>
    </row>
    <row r="1183">
      <c r="B1183" s="55" t="n">
        <v>192</v>
      </c>
      <c r="C1183" s="56">
        <f>IF(192&lt;posH_sn,1-192/200,IF(192=posH_sn,tstH_sn,1-(192-1)/200))</f>
        <v/>
      </c>
      <c r="D1183" s="59">
        <f>IF($C1183&gt;=1,sn_h,3/7*sn_h+4/7*sn_h/MAX($C1183,1E-12))</f>
        <v/>
      </c>
      <c r="E1183" s="57">
        <f>(fcd_sn*sn_b*sn_h*(3/7+4/7*(1-$C1183^2/3))+SUMPRODUCT($J$8:$K$8,$J1183:$K1183))/1000</f>
        <v/>
      </c>
      <c r="F1183" s="57">
        <f>-((fcd_sn*sn_b*(3/14*sn_h*(sn_h-3/7*sn_h)+4/7*sn_h*(sn_h/2-3/7*sn_h)*(1-$C1183^2/3)-16/49*sn_h^2*(1/2-$C1183^2/4))+SUMPRODUCT($J$8:$K$8,$J1183:$K1183,$J$10:$K$10))/1E6)</f>
        <v/>
      </c>
      <c r="G1183" s="57">
        <f>IF(AND(MIN($E1183,$E1184)&lt;=sn_N,sn_N&lt;=MAX($E1183,$E1184)),IF($E1183=$E1184,MAX($F1183,$F1184),$F1183+(sn_N-$E1183)*($F1184-$F1183)/($E1184-$E1183)),"")</f>
        <v/>
      </c>
      <c r="H1183" s="57">
        <f>IF(AND(MIN($E1183,$E1184)&lt;=sn_N,sn_N&lt;=MAX($E1183,$E1184)),IF($E1183=$E1184,MIN($F1183,$F1184),$F1183+(sn_N-$E1183)*($F1184-$F1183)/($E1184-$E1183)),"")</f>
        <v/>
      </c>
      <c r="J1183">
        <f>MAX(-fyd_sn,MIN(fyd_sn,200000*0.002*(1-$C1183*(7*J$9-3*sn_h)/(4*sn_h))))-fcd_sn*(1-MIN(1,MAX(0,$C1183*(7*J$9-3*sn_h)/(4*sn_h)))^2)</f>
        <v/>
      </c>
      <c r="K1183">
        <f>MAX(-fyd_sn,MIN(fyd_sn,200000*0.002*(1-$C1183*(7*K$9-3*sn_h)/(4*sn_h))))-fcd_sn*(1-MIN(1,MAX(0,$C1183*(7*K$9-3*sn_h)/(4*sn_h)))^2)</f>
        <v/>
      </c>
    </row>
    <row r="1184">
      <c r="B1184" s="55" t="n">
        <v>193</v>
      </c>
      <c r="C1184" s="56">
        <f>IF(193&lt;posH_sn,1-193/200,IF(193=posH_sn,tstH_sn,1-(193-1)/200))</f>
        <v/>
      </c>
      <c r="D1184" s="59">
        <f>IF($C1184&gt;=1,sn_h,3/7*sn_h+4/7*sn_h/MAX($C1184,1E-12))</f>
        <v/>
      </c>
      <c r="E1184" s="57">
        <f>(fcd_sn*sn_b*sn_h*(3/7+4/7*(1-$C1184^2/3))+SUMPRODUCT($J$8:$K$8,$J1184:$K1184))/1000</f>
        <v/>
      </c>
      <c r="F1184" s="57">
        <f>-((fcd_sn*sn_b*(3/14*sn_h*(sn_h-3/7*sn_h)+4/7*sn_h*(sn_h/2-3/7*sn_h)*(1-$C1184^2/3)-16/49*sn_h^2*(1/2-$C1184^2/4))+SUMPRODUCT($J$8:$K$8,$J1184:$K1184,$J$10:$K$10))/1E6)</f>
        <v/>
      </c>
      <c r="G1184" s="57">
        <f>IF(AND(MIN($E1184,$E1185)&lt;=sn_N,sn_N&lt;=MAX($E1184,$E1185)),IF($E1184=$E1185,MAX($F1184,$F1185),$F1184+(sn_N-$E1184)*($F1185-$F1184)/($E1185-$E1184)),"")</f>
        <v/>
      </c>
      <c r="H1184" s="57">
        <f>IF(AND(MIN($E1184,$E1185)&lt;=sn_N,sn_N&lt;=MAX($E1184,$E1185)),IF($E1184=$E1185,MIN($F1184,$F1185),$F1184+(sn_N-$E1184)*($F1185-$F1184)/($E1185-$E1184)),"")</f>
        <v/>
      </c>
      <c r="J1184">
        <f>MAX(-fyd_sn,MIN(fyd_sn,200000*0.002*(1-$C1184*(7*J$9-3*sn_h)/(4*sn_h))))-fcd_sn*(1-MIN(1,MAX(0,$C1184*(7*J$9-3*sn_h)/(4*sn_h)))^2)</f>
        <v/>
      </c>
      <c r="K1184">
        <f>MAX(-fyd_sn,MIN(fyd_sn,200000*0.002*(1-$C1184*(7*K$9-3*sn_h)/(4*sn_h))))-fcd_sn*(1-MIN(1,MAX(0,$C1184*(7*K$9-3*sn_h)/(4*sn_h)))^2)</f>
        <v/>
      </c>
    </row>
    <row r="1185">
      <c r="B1185" s="55" t="n">
        <v>194</v>
      </c>
      <c r="C1185" s="56">
        <f>IF(194&lt;posH_sn,1-194/200,IF(194=posH_sn,tstH_sn,1-(194-1)/200))</f>
        <v/>
      </c>
      <c r="D1185" s="59">
        <f>IF($C1185&gt;=1,sn_h,3/7*sn_h+4/7*sn_h/MAX($C1185,1E-12))</f>
        <v/>
      </c>
      <c r="E1185" s="57">
        <f>(fcd_sn*sn_b*sn_h*(3/7+4/7*(1-$C1185^2/3))+SUMPRODUCT($J$8:$K$8,$J1185:$K1185))/1000</f>
        <v/>
      </c>
      <c r="F1185" s="57">
        <f>-((fcd_sn*sn_b*(3/14*sn_h*(sn_h-3/7*sn_h)+4/7*sn_h*(sn_h/2-3/7*sn_h)*(1-$C1185^2/3)-16/49*sn_h^2*(1/2-$C1185^2/4))+SUMPRODUCT($J$8:$K$8,$J1185:$K1185,$J$10:$K$10))/1E6)</f>
        <v/>
      </c>
      <c r="G1185" s="57">
        <f>IF(AND(MIN($E1185,$E1186)&lt;=sn_N,sn_N&lt;=MAX($E1185,$E1186)),IF($E1185=$E1186,MAX($F1185,$F1186),$F1185+(sn_N-$E1185)*($F1186-$F1185)/($E1186-$E1185)),"")</f>
        <v/>
      </c>
      <c r="H1185" s="57">
        <f>IF(AND(MIN($E1185,$E1186)&lt;=sn_N,sn_N&lt;=MAX($E1185,$E1186)),IF($E1185=$E1186,MIN($F1185,$F1186),$F1185+(sn_N-$E1185)*($F1186-$F1185)/($E1186-$E1185)),"")</f>
        <v/>
      </c>
      <c r="J1185">
        <f>MAX(-fyd_sn,MIN(fyd_sn,200000*0.002*(1-$C1185*(7*J$9-3*sn_h)/(4*sn_h))))-fcd_sn*(1-MIN(1,MAX(0,$C1185*(7*J$9-3*sn_h)/(4*sn_h)))^2)</f>
        <v/>
      </c>
      <c r="K1185">
        <f>MAX(-fyd_sn,MIN(fyd_sn,200000*0.002*(1-$C1185*(7*K$9-3*sn_h)/(4*sn_h))))-fcd_sn*(1-MIN(1,MAX(0,$C1185*(7*K$9-3*sn_h)/(4*sn_h)))^2)</f>
        <v/>
      </c>
    </row>
    <row r="1186">
      <c r="B1186" s="55" t="n">
        <v>195</v>
      </c>
      <c r="C1186" s="56">
        <f>IF(195&lt;posH_sn,1-195/200,IF(195=posH_sn,tstH_sn,1-(195-1)/200))</f>
        <v/>
      </c>
      <c r="D1186" s="59">
        <f>IF($C1186&gt;=1,sn_h,3/7*sn_h+4/7*sn_h/MAX($C1186,1E-12))</f>
        <v/>
      </c>
      <c r="E1186" s="57">
        <f>(fcd_sn*sn_b*sn_h*(3/7+4/7*(1-$C1186^2/3))+SUMPRODUCT($J$8:$K$8,$J1186:$K1186))/1000</f>
        <v/>
      </c>
      <c r="F1186" s="57">
        <f>-((fcd_sn*sn_b*(3/14*sn_h*(sn_h-3/7*sn_h)+4/7*sn_h*(sn_h/2-3/7*sn_h)*(1-$C1186^2/3)-16/49*sn_h^2*(1/2-$C1186^2/4))+SUMPRODUCT($J$8:$K$8,$J1186:$K1186,$J$10:$K$10))/1E6)</f>
        <v/>
      </c>
      <c r="G1186" s="57">
        <f>IF(AND(MIN($E1186,$E1187)&lt;=sn_N,sn_N&lt;=MAX($E1186,$E1187)),IF($E1186=$E1187,MAX($F1186,$F1187),$F1186+(sn_N-$E1186)*($F1187-$F1186)/($E1187-$E1186)),"")</f>
        <v/>
      </c>
      <c r="H1186" s="57">
        <f>IF(AND(MIN($E1186,$E1187)&lt;=sn_N,sn_N&lt;=MAX($E1186,$E1187)),IF($E1186=$E1187,MIN($F1186,$F1187),$F1186+(sn_N-$E1186)*($F1187-$F1186)/($E1187-$E1186)),"")</f>
        <v/>
      </c>
      <c r="J1186">
        <f>MAX(-fyd_sn,MIN(fyd_sn,200000*0.002*(1-$C1186*(7*J$9-3*sn_h)/(4*sn_h))))-fcd_sn*(1-MIN(1,MAX(0,$C1186*(7*J$9-3*sn_h)/(4*sn_h)))^2)</f>
        <v/>
      </c>
      <c r="K1186">
        <f>MAX(-fyd_sn,MIN(fyd_sn,200000*0.002*(1-$C1186*(7*K$9-3*sn_h)/(4*sn_h))))-fcd_sn*(1-MIN(1,MAX(0,$C1186*(7*K$9-3*sn_h)/(4*sn_h)))^2)</f>
        <v/>
      </c>
    </row>
    <row r="1187">
      <c r="B1187" s="55" t="n">
        <v>196</v>
      </c>
      <c r="C1187" s="56">
        <f>IF(196&lt;posH_sn,1-196/200,IF(196=posH_sn,tstH_sn,1-(196-1)/200))</f>
        <v/>
      </c>
      <c r="D1187" s="59">
        <f>IF($C1187&gt;=1,sn_h,3/7*sn_h+4/7*sn_h/MAX($C1187,1E-12))</f>
        <v/>
      </c>
      <c r="E1187" s="57">
        <f>(fcd_sn*sn_b*sn_h*(3/7+4/7*(1-$C1187^2/3))+SUMPRODUCT($J$8:$K$8,$J1187:$K1187))/1000</f>
        <v/>
      </c>
      <c r="F1187" s="57">
        <f>-((fcd_sn*sn_b*(3/14*sn_h*(sn_h-3/7*sn_h)+4/7*sn_h*(sn_h/2-3/7*sn_h)*(1-$C1187^2/3)-16/49*sn_h^2*(1/2-$C1187^2/4))+SUMPRODUCT($J$8:$K$8,$J1187:$K1187,$J$10:$K$10))/1E6)</f>
        <v/>
      </c>
      <c r="G1187" s="57">
        <f>IF(AND(MIN($E1187,$E1188)&lt;=sn_N,sn_N&lt;=MAX($E1187,$E1188)),IF($E1187=$E1188,MAX($F1187,$F1188),$F1187+(sn_N-$E1187)*($F1188-$F1187)/($E1188-$E1187)),"")</f>
        <v/>
      </c>
      <c r="H1187" s="57">
        <f>IF(AND(MIN($E1187,$E1188)&lt;=sn_N,sn_N&lt;=MAX($E1187,$E1188)),IF($E1187=$E1188,MIN($F1187,$F1188),$F1187+(sn_N-$E1187)*($F1188-$F1187)/($E1188-$E1187)),"")</f>
        <v/>
      </c>
      <c r="J1187">
        <f>MAX(-fyd_sn,MIN(fyd_sn,200000*0.002*(1-$C1187*(7*J$9-3*sn_h)/(4*sn_h))))-fcd_sn*(1-MIN(1,MAX(0,$C1187*(7*J$9-3*sn_h)/(4*sn_h)))^2)</f>
        <v/>
      </c>
      <c r="K1187">
        <f>MAX(-fyd_sn,MIN(fyd_sn,200000*0.002*(1-$C1187*(7*K$9-3*sn_h)/(4*sn_h))))-fcd_sn*(1-MIN(1,MAX(0,$C1187*(7*K$9-3*sn_h)/(4*sn_h)))^2)</f>
        <v/>
      </c>
    </row>
    <row r="1188">
      <c r="B1188" s="55" t="n">
        <v>197</v>
      </c>
      <c r="C1188" s="56">
        <f>IF(197&lt;posH_sn,1-197/200,IF(197=posH_sn,tstH_sn,1-(197-1)/200))</f>
        <v/>
      </c>
      <c r="D1188" s="59">
        <f>IF($C1188&gt;=1,sn_h,3/7*sn_h+4/7*sn_h/MAX($C1188,1E-12))</f>
        <v/>
      </c>
      <c r="E1188" s="57">
        <f>(fcd_sn*sn_b*sn_h*(3/7+4/7*(1-$C1188^2/3))+SUMPRODUCT($J$8:$K$8,$J1188:$K1188))/1000</f>
        <v/>
      </c>
      <c r="F1188" s="57">
        <f>-((fcd_sn*sn_b*(3/14*sn_h*(sn_h-3/7*sn_h)+4/7*sn_h*(sn_h/2-3/7*sn_h)*(1-$C1188^2/3)-16/49*sn_h^2*(1/2-$C1188^2/4))+SUMPRODUCT($J$8:$K$8,$J1188:$K1188,$J$10:$K$10))/1E6)</f>
        <v/>
      </c>
      <c r="G1188" s="57">
        <f>IF(AND(MIN($E1188,$E1189)&lt;=sn_N,sn_N&lt;=MAX($E1188,$E1189)),IF($E1188=$E1189,MAX($F1188,$F1189),$F1188+(sn_N-$E1188)*($F1189-$F1188)/($E1189-$E1188)),"")</f>
        <v/>
      </c>
      <c r="H1188" s="57">
        <f>IF(AND(MIN($E1188,$E1189)&lt;=sn_N,sn_N&lt;=MAX($E1188,$E1189)),IF($E1188=$E1189,MIN($F1188,$F1189),$F1188+(sn_N-$E1188)*($F1189-$F1188)/($E1189-$E1188)),"")</f>
        <v/>
      </c>
      <c r="J1188">
        <f>MAX(-fyd_sn,MIN(fyd_sn,200000*0.002*(1-$C1188*(7*J$9-3*sn_h)/(4*sn_h))))-fcd_sn*(1-MIN(1,MAX(0,$C1188*(7*J$9-3*sn_h)/(4*sn_h)))^2)</f>
        <v/>
      </c>
      <c r="K1188">
        <f>MAX(-fyd_sn,MIN(fyd_sn,200000*0.002*(1-$C1188*(7*K$9-3*sn_h)/(4*sn_h))))-fcd_sn*(1-MIN(1,MAX(0,$C1188*(7*K$9-3*sn_h)/(4*sn_h)))^2)</f>
        <v/>
      </c>
    </row>
    <row r="1189">
      <c r="B1189" s="55" t="n">
        <v>198</v>
      </c>
      <c r="C1189" s="56">
        <f>IF(198&lt;posH_sn,1-198/200,IF(198=posH_sn,tstH_sn,1-(198-1)/200))</f>
        <v/>
      </c>
      <c r="D1189" s="59">
        <f>IF($C1189&gt;=1,sn_h,3/7*sn_h+4/7*sn_h/MAX($C1189,1E-12))</f>
        <v/>
      </c>
      <c r="E1189" s="57">
        <f>(fcd_sn*sn_b*sn_h*(3/7+4/7*(1-$C1189^2/3))+SUMPRODUCT($J$8:$K$8,$J1189:$K1189))/1000</f>
        <v/>
      </c>
      <c r="F1189" s="57">
        <f>-((fcd_sn*sn_b*(3/14*sn_h*(sn_h-3/7*sn_h)+4/7*sn_h*(sn_h/2-3/7*sn_h)*(1-$C1189^2/3)-16/49*sn_h^2*(1/2-$C1189^2/4))+SUMPRODUCT($J$8:$K$8,$J1189:$K1189,$J$10:$K$10))/1E6)</f>
        <v/>
      </c>
      <c r="G1189" s="57">
        <f>IF(AND(MIN($E1189,$E1190)&lt;=sn_N,sn_N&lt;=MAX($E1189,$E1190)),IF($E1189=$E1190,MAX($F1189,$F1190),$F1189+(sn_N-$E1189)*($F1190-$F1189)/($E1190-$E1189)),"")</f>
        <v/>
      </c>
      <c r="H1189" s="57">
        <f>IF(AND(MIN($E1189,$E1190)&lt;=sn_N,sn_N&lt;=MAX($E1189,$E1190)),IF($E1189=$E1190,MIN($F1189,$F1190),$F1189+(sn_N-$E1189)*($F1190-$F1189)/($E1190-$E1189)),"")</f>
        <v/>
      </c>
      <c r="J1189">
        <f>MAX(-fyd_sn,MIN(fyd_sn,200000*0.002*(1-$C1189*(7*J$9-3*sn_h)/(4*sn_h))))-fcd_sn*(1-MIN(1,MAX(0,$C1189*(7*J$9-3*sn_h)/(4*sn_h)))^2)</f>
        <v/>
      </c>
      <c r="K1189">
        <f>MAX(-fyd_sn,MIN(fyd_sn,200000*0.002*(1-$C1189*(7*K$9-3*sn_h)/(4*sn_h))))-fcd_sn*(1-MIN(1,MAX(0,$C1189*(7*K$9-3*sn_h)/(4*sn_h)))^2)</f>
        <v/>
      </c>
    </row>
    <row r="1190">
      <c r="B1190" s="55" t="n">
        <v>199</v>
      </c>
      <c r="C1190" s="56">
        <f>IF(199&lt;posH_sn,1-199/200,IF(199=posH_sn,tstH_sn,1-(199-1)/200))</f>
        <v/>
      </c>
      <c r="D1190" s="59">
        <f>IF($C1190&gt;=1,sn_h,3/7*sn_h+4/7*sn_h/MAX($C1190,1E-12))</f>
        <v/>
      </c>
      <c r="E1190" s="57">
        <f>(fcd_sn*sn_b*sn_h*(3/7+4/7*(1-$C1190^2/3))+SUMPRODUCT($J$8:$K$8,$J1190:$K1190))/1000</f>
        <v/>
      </c>
      <c r="F1190" s="57">
        <f>-((fcd_sn*sn_b*(3/14*sn_h*(sn_h-3/7*sn_h)+4/7*sn_h*(sn_h/2-3/7*sn_h)*(1-$C1190^2/3)-16/49*sn_h^2*(1/2-$C1190^2/4))+SUMPRODUCT($J$8:$K$8,$J1190:$K1190,$J$10:$K$10))/1E6)</f>
        <v/>
      </c>
      <c r="G1190" s="57">
        <f>IF(AND(MIN($E1190,$E1191)&lt;=sn_N,sn_N&lt;=MAX($E1190,$E1191)),IF($E1190=$E1191,MAX($F1190,$F1191),$F1190+(sn_N-$E1190)*($F1191-$F1190)/($E1191-$E1190)),"")</f>
        <v/>
      </c>
      <c r="H1190" s="57">
        <f>IF(AND(MIN($E1190,$E1191)&lt;=sn_N,sn_N&lt;=MAX($E1190,$E1191)),IF($E1190=$E1191,MIN($F1190,$F1191),$F1190+(sn_N-$E1190)*($F1191-$F1190)/($E1191-$E1190)),"")</f>
        <v/>
      </c>
      <c r="J1190">
        <f>MAX(-fyd_sn,MIN(fyd_sn,200000*0.002*(1-$C1190*(7*J$9-3*sn_h)/(4*sn_h))))-fcd_sn*(1-MIN(1,MAX(0,$C1190*(7*J$9-3*sn_h)/(4*sn_h)))^2)</f>
        <v/>
      </c>
      <c r="K1190">
        <f>MAX(-fyd_sn,MIN(fyd_sn,200000*0.002*(1-$C1190*(7*K$9-3*sn_h)/(4*sn_h))))-fcd_sn*(1-MIN(1,MAX(0,$C1190*(7*K$9-3*sn_h)/(4*sn_h)))^2)</f>
        <v/>
      </c>
    </row>
    <row r="1191">
      <c r="B1191" s="55" t="n">
        <v>200</v>
      </c>
      <c r="C1191" s="56">
        <f>IF(200&lt;posH_sn,1-200/200,IF(200=posH_sn,tstH_sn,1-(200-1)/200))</f>
        <v/>
      </c>
      <c r="D1191" s="59">
        <f>IF($C1191&gt;=1,sn_h,3/7*sn_h+4/7*sn_h/MAX($C1191,1E-12))</f>
        <v/>
      </c>
      <c r="E1191" s="57">
        <f>(fcd_sn*sn_b*sn_h*(3/7+4/7*(1-$C1191^2/3))+SUMPRODUCT($J$8:$K$8,$J1191:$K1191))/1000</f>
        <v/>
      </c>
      <c r="F1191" s="57">
        <f>-((fcd_sn*sn_b*(3/14*sn_h*(sn_h-3/7*sn_h)+4/7*sn_h*(sn_h/2-3/7*sn_h)*(1-$C1191^2/3)-16/49*sn_h^2*(1/2-$C1191^2/4))+SUMPRODUCT($J$8:$K$8,$J1191:$K1191,$J$10:$K$10))/1E6)</f>
        <v/>
      </c>
      <c r="G1191" s="57">
        <f>IF(AND(MIN($E1191,$E1192)&lt;=sn_N,sn_N&lt;=MAX($E1191,$E1192)),IF($E1191=$E1192,MAX($F1191,$F1192),$F1191+(sn_N-$E1191)*($F1192-$F1191)/($E1192-$E1191)),"")</f>
        <v/>
      </c>
      <c r="H1191" s="57">
        <f>IF(AND(MIN($E1191,$E1192)&lt;=sn_N,sn_N&lt;=MAX($E1191,$E1192)),IF($E1191=$E1192,MIN($F1191,$F1192),$F1191+(sn_N-$E1191)*($F1192-$F1191)/($E1192-$E1191)),"")</f>
        <v/>
      </c>
      <c r="J1191">
        <f>MAX(-fyd_sn,MIN(fyd_sn,200000*0.002*(1-$C1191*(7*J$9-3*sn_h)/(4*sn_h))))-fcd_sn*(1-MIN(1,MAX(0,$C1191*(7*J$9-3*sn_h)/(4*sn_h)))^2)</f>
        <v/>
      </c>
      <c r="K1191">
        <f>MAX(-fyd_sn,MIN(fyd_sn,200000*0.002*(1-$C1191*(7*K$9-3*sn_h)/(4*sn_h))))-fcd_sn*(1-MIN(1,MAX(0,$C1191*(7*K$9-3*sn_h)/(4*sn_h)))^2)</f>
        <v/>
      </c>
    </row>
    <row r="1192">
      <c r="B1192" s="55" t="n">
        <v>201</v>
      </c>
      <c r="C1192" s="56">
        <f>IF(201&lt;posH_sn,1-201/200,IF(201=posH_sn,tstH_sn,1-(201-1)/200))</f>
        <v/>
      </c>
      <c r="D1192" s="59">
        <f>IF($C1192&gt;=1,sn_h,3/7*sn_h+4/7*sn_h/MAX($C1192,1E-12))</f>
        <v/>
      </c>
      <c r="E1192" s="57">
        <f>(fcd_sn*sn_b*sn_h*(3/7+4/7*(1-$C1192^2/3))+SUMPRODUCT($J$8:$K$8,$J1192:$K1192))/1000</f>
        <v/>
      </c>
      <c r="F1192" s="57">
        <f>-((fcd_sn*sn_b*(3/14*sn_h*(sn_h-3/7*sn_h)+4/7*sn_h*(sn_h/2-3/7*sn_h)*(1-$C1192^2/3)-16/49*sn_h^2*(1/2-$C1192^2/4))+SUMPRODUCT($J$8:$K$8,$J1192:$K1192,$J$10:$K$10))/1E6)</f>
        <v/>
      </c>
      <c r="G1192" s="57" t="n"/>
      <c r="H1192" s="57" t="n"/>
      <c r="J1192">
        <f>MAX(-fyd_sn,MIN(fyd_sn,200000*0.002*(1-$C1192*(7*J$9-3*sn_h)/(4*sn_h))))-fcd_sn*(1-MIN(1,MAX(0,$C1192*(7*J$9-3*sn_h)/(4*sn_h)))^2)</f>
        <v/>
      </c>
      <c r="K1192">
        <f>MAX(-fyd_sn,MIN(fyd_sn,200000*0.002*(1-$C1192*(7*K$9-3*sn_h)/(4*sn_h))))-fcd_sn*(1-MIN(1,MAX(0,$C1192*(7*K$9-3*sn_h)/(4*sn_h)))^2)</f>
        <v/>
      </c>
    </row>
    <row r="1194">
      <c r="B1194" s="54" t="inlineStr">
        <is>
          <t>Bottom face compressed  ·  4. root in the bracket of the largest moment</t>
        </is>
      </c>
    </row>
    <row r="1195">
      <c r="B1195" s="48" t="inlineStr">
        <is>
          <t>step</t>
        </is>
      </c>
      <c r="C1195" s="48" t="inlineStr">
        <is>
          <t>t (N &lt; NEd)</t>
        </is>
      </c>
      <c r="D1195" s="48" t="inlineStr">
        <is>
          <t>t (N ≥ NEd)</t>
        </is>
      </c>
      <c r="E1195" s="48" t="inlineStr">
        <is>
          <t>t</t>
        </is>
      </c>
      <c r="F1195" s="48" t="inlineStr">
        <is>
          <t>N (kN)</t>
        </is>
      </c>
      <c r="G1195" s="48" t="inlineStr">
        <is>
          <t>M signed</t>
        </is>
      </c>
    </row>
    <row r="1196">
      <c r="B1196" s="55" t="n">
        <v>1</v>
      </c>
      <c r="C1196" s="56">
        <f>IF(INDEX(finH_N,$I1196)&lt;=INDEX(finH_N,$I1196+1),INDEX(finH_t,$I1196),INDEX(finH_t,$I1196+1))</f>
        <v/>
      </c>
      <c r="D1196" s="56">
        <f>IF(INDEX(finH_N,$I1196)&lt;=INDEX(finH_N,$I1196+1),INDEX(finH_t,$I1196+1),INDEX(finH_t,$I1196))</f>
        <v/>
      </c>
      <c r="E1196" s="56">
        <f>($C1196+$D1196)/2</f>
        <v/>
      </c>
      <c r="F1196" s="60">
        <f>(fcd_sn*sn_b*sn_h*(3/7+4/7*(1-$E1196^2/3))+SUMPRODUCT($J$8:$K$8,$J1196:$K1196))/1000</f>
        <v/>
      </c>
      <c r="G1196" s="60">
        <f>-((fcd_sn*sn_b*(3/14*sn_h*(sn_h-3/7*sn_h)+4/7*sn_h*(sn_h/2-3/7*sn_h)*(1-$E1196^2/3)-16/49*sn_h^2*(1/2-$E1196^2/4))+SUMPRODUCT($J$8:$K$8,$J1196:$K1196,$J$10:$K$10))/1E6)</f>
        <v/>
      </c>
      <c r="I1196">
        <f>IF(cntH_sn&gt;0,MATCH(MAX(finH_hi),finH_hi,0),1)</f>
        <v/>
      </c>
      <c r="J1196">
        <f>MAX(-fyd_sn,MIN(fyd_sn,200000*0.002*(1-$E1196*(7*J$9-3*sn_h)/(4*sn_h))))-fcd_sn*(1-MIN(1,MAX(0,$E1196*(7*J$9-3*sn_h)/(4*sn_h)))^2)</f>
        <v/>
      </c>
      <c r="K1196">
        <f>MAX(-fyd_sn,MIN(fyd_sn,200000*0.002*(1-$E1196*(7*K$9-3*sn_h)/(4*sn_h))))-fcd_sn*(1-MIN(1,MAX(0,$E1196*(7*K$9-3*sn_h)/(4*sn_h)))^2)</f>
        <v/>
      </c>
    </row>
    <row r="1197">
      <c r="B1197" s="55" t="n">
        <v>2</v>
      </c>
      <c r="C1197" s="56">
        <f>IF($F1196&lt;sn_N,$E1196,$C1196)</f>
        <v/>
      </c>
      <c r="D1197" s="56">
        <f>IF($F1196&lt;sn_N,$D1196,$E1196)</f>
        <v/>
      </c>
      <c r="E1197" s="56">
        <f>($C1197+$D1197)/2</f>
        <v/>
      </c>
      <c r="F1197" s="60">
        <f>(fcd_sn*sn_b*sn_h*(3/7+4/7*(1-$E1197^2/3))+SUMPRODUCT($J$8:$K$8,$J1197:$K1197))/1000</f>
        <v/>
      </c>
      <c r="G1197" s="60">
        <f>-((fcd_sn*sn_b*(3/14*sn_h*(sn_h-3/7*sn_h)+4/7*sn_h*(sn_h/2-3/7*sn_h)*(1-$E1197^2/3)-16/49*sn_h^2*(1/2-$E1197^2/4))+SUMPRODUCT($J$8:$K$8,$J1197:$K1197,$J$10:$K$10))/1E6)</f>
        <v/>
      </c>
      <c r="J1197">
        <f>MAX(-fyd_sn,MIN(fyd_sn,200000*0.002*(1-$E1197*(7*J$9-3*sn_h)/(4*sn_h))))-fcd_sn*(1-MIN(1,MAX(0,$E1197*(7*J$9-3*sn_h)/(4*sn_h)))^2)</f>
        <v/>
      </c>
      <c r="K1197">
        <f>MAX(-fyd_sn,MIN(fyd_sn,200000*0.002*(1-$E1197*(7*K$9-3*sn_h)/(4*sn_h))))-fcd_sn*(1-MIN(1,MAX(0,$E1197*(7*K$9-3*sn_h)/(4*sn_h)))^2)</f>
        <v/>
      </c>
    </row>
    <row r="1198">
      <c r="B1198" s="55" t="n">
        <v>3</v>
      </c>
      <c r="C1198" s="56">
        <f>IF($F1197&lt;sn_N,$E1197,$C1197)</f>
        <v/>
      </c>
      <c r="D1198" s="56">
        <f>IF($F1197&lt;sn_N,$D1197,$E1197)</f>
        <v/>
      </c>
      <c r="E1198" s="56">
        <f>($C1198+$D1198)/2</f>
        <v/>
      </c>
      <c r="F1198" s="60">
        <f>(fcd_sn*sn_b*sn_h*(3/7+4/7*(1-$E1198^2/3))+SUMPRODUCT($J$8:$K$8,$J1198:$K1198))/1000</f>
        <v/>
      </c>
      <c r="G1198" s="60">
        <f>-((fcd_sn*sn_b*(3/14*sn_h*(sn_h-3/7*sn_h)+4/7*sn_h*(sn_h/2-3/7*sn_h)*(1-$E1198^2/3)-16/49*sn_h^2*(1/2-$E1198^2/4))+SUMPRODUCT($J$8:$K$8,$J1198:$K1198,$J$10:$K$10))/1E6)</f>
        <v/>
      </c>
      <c r="J1198">
        <f>MAX(-fyd_sn,MIN(fyd_sn,200000*0.002*(1-$E1198*(7*J$9-3*sn_h)/(4*sn_h))))-fcd_sn*(1-MIN(1,MAX(0,$E1198*(7*J$9-3*sn_h)/(4*sn_h)))^2)</f>
        <v/>
      </c>
      <c r="K1198">
        <f>MAX(-fyd_sn,MIN(fyd_sn,200000*0.002*(1-$E1198*(7*K$9-3*sn_h)/(4*sn_h))))-fcd_sn*(1-MIN(1,MAX(0,$E1198*(7*K$9-3*sn_h)/(4*sn_h)))^2)</f>
        <v/>
      </c>
    </row>
    <row r="1199">
      <c r="B1199" s="55" t="n">
        <v>4</v>
      </c>
      <c r="C1199" s="56">
        <f>IF($F1198&lt;sn_N,$E1198,$C1198)</f>
        <v/>
      </c>
      <c r="D1199" s="56">
        <f>IF($F1198&lt;sn_N,$D1198,$E1198)</f>
        <v/>
      </c>
      <c r="E1199" s="56">
        <f>($C1199+$D1199)/2</f>
        <v/>
      </c>
      <c r="F1199" s="60">
        <f>(fcd_sn*sn_b*sn_h*(3/7+4/7*(1-$E1199^2/3))+SUMPRODUCT($J$8:$K$8,$J1199:$K1199))/1000</f>
        <v/>
      </c>
      <c r="G1199" s="60">
        <f>-((fcd_sn*sn_b*(3/14*sn_h*(sn_h-3/7*sn_h)+4/7*sn_h*(sn_h/2-3/7*sn_h)*(1-$E1199^2/3)-16/49*sn_h^2*(1/2-$E1199^2/4))+SUMPRODUCT($J$8:$K$8,$J1199:$K1199,$J$10:$K$10))/1E6)</f>
        <v/>
      </c>
      <c r="J1199">
        <f>MAX(-fyd_sn,MIN(fyd_sn,200000*0.002*(1-$E1199*(7*J$9-3*sn_h)/(4*sn_h))))-fcd_sn*(1-MIN(1,MAX(0,$E1199*(7*J$9-3*sn_h)/(4*sn_h)))^2)</f>
        <v/>
      </c>
      <c r="K1199">
        <f>MAX(-fyd_sn,MIN(fyd_sn,200000*0.002*(1-$E1199*(7*K$9-3*sn_h)/(4*sn_h))))-fcd_sn*(1-MIN(1,MAX(0,$E1199*(7*K$9-3*sn_h)/(4*sn_h)))^2)</f>
        <v/>
      </c>
    </row>
    <row r="1200">
      <c r="B1200" s="55" t="n">
        <v>5</v>
      </c>
      <c r="C1200" s="56">
        <f>IF($F1199&lt;sn_N,$E1199,$C1199)</f>
        <v/>
      </c>
      <c r="D1200" s="56">
        <f>IF($F1199&lt;sn_N,$D1199,$E1199)</f>
        <v/>
      </c>
      <c r="E1200" s="56">
        <f>($C1200+$D1200)/2</f>
        <v/>
      </c>
      <c r="F1200" s="60">
        <f>(fcd_sn*sn_b*sn_h*(3/7+4/7*(1-$E1200^2/3))+SUMPRODUCT($J$8:$K$8,$J1200:$K1200))/1000</f>
        <v/>
      </c>
      <c r="G1200" s="60">
        <f>-((fcd_sn*sn_b*(3/14*sn_h*(sn_h-3/7*sn_h)+4/7*sn_h*(sn_h/2-3/7*sn_h)*(1-$E1200^2/3)-16/49*sn_h^2*(1/2-$E1200^2/4))+SUMPRODUCT($J$8:$K$8,$J1200:$K1200,$J$10:$K$10))/1E6)</f>
        <v/>
      </c>
      <c r="J1200">
        <f>MAX(-fyd_sn,MIN(fyd_sn,200000*0.002*(1-$E1200*(7*J$9-3*sn_h)/(4*sn_h))))-fcd_sn*(1-MIN(1,MAX(0,$E1200*(7*J$9-3*sn_h)/(4*sn_h)))^2)</f>
        <v/>
      </c>
      <c r="K1200">
        <f>MAX(-fyd_sn,MIN(fyd_sn,200000*0.002*(1-$E1200*(7*K$9-3*sn_h)/(4*sn_h))))-fcd_sn*(1-MIN(1,MAX(0,$E1200*(7*K$9-3*sn_h)/(4*sn_h)))^2)</f>
        <v/>
      </c>
    </row>
    <row r="1201">
      <c r="B1201" s="55" t="n">
        <v>6</v>
      </c>
      <c r="C1201" s="56">
        <f>IF($F1200&lt;sn_N,$E1200,$C1200)</f>
        <v/>
      </c>
      <c r="D1201" s="56">
        <f>IF($F1200&lt;sn_N,$D1200,$E1200)</f>
        <v/>
      </c>
      <c r="E1201" s="56">
        <f>($C1201+$D1201)/2</f>
        <v/>
      </c>
      <c r="F1201" s="60">
        <f>(fcd_sn*sn_b*sn_h*(3/7+4/7*(1-$E1201^2/3))+SUMPRODUCT($J$8:$K$8,$J1201:$K1201))/1000</f>
        <v/>
      </c>
      <c r="G1201" s="60">
        <f>-((fcd_sn*sn_b*(3/14*sn_h*(sn_h-3/7*sn_h)+4/7*sn_h*(sn_h/2-3/7*sn_h)*(1-$E1201^2/3)-16/49*sn_h^2*(1/2-$E1201^2/4))+SUMPRODUCT($J$8:$K$8,$J1201:$K1201,$J$10:$K$10))/1E6)</f>
        <v/>
      </c>
      <c r="J1201">
        <f>MAX(-fyd_sn,MIN(fyd_sn,200000*0.002*(1-$E1201*(7*J$9-3*sn_h)/(4*sn_h))))-fcd_sn*(1-MIN(1,MAX(0,$E1201*(7*J$9-3*sn_h)/(4*sn_h)))^2)</f>
        <v/>
      </c>
      <c r="K1201">
        <f>MAX(-fyd_sn,MIN(fyd_sn,200000*0.002*(1-$E1201*(7*K$9-3*sn_h)/(4*sn_h))))-fcd_sn*(1-MIN(1,MAX(0,$E1201*(7*K$9-3*sn_h)/(4*sn_h)))^2)</f>
        <v/>
      </c>
    </row>
    <row r="1202">
      <c r="B1202" s="55" t="n">
        <v>7</v>
      </c>
      <c r="C1202" s="56">
        <f>IF($F1201&lt;sn_N,$E1201,$C1201)</f>
        <v/>
      </c>
      <c r="D1202" s="56">
        <f>IF($F1201&lt;sn_N,$D1201,$E1201)</f>
        <v/>
      </c>
      <c r="E1202" s="56">
        <f>($C1202+$D1202)/2</f>
        <v/>
      </c>
      <c r="F1202" s="60">
        <f>(fcd_sn*sn_b*sn_h*(3/7+4/7*(1-$E1202^2/3))+SUMPRODUCT($J$8:$K$8,$J1202:$K1202))/1000</f>
        <v/>
      </c>
      <c r="G1202" s="60">
        <f>-((fcd_sn*sn_b*(3/14*sn_h*(sn_h-3/7*sn_h)+4/7*sn_h*(sn_h/2-3/7*sn_h)*(1-$E1202^2/3)-16/49*sn_h^2*(1/2-$E1202^2/4))+SUMPRODUCT($J$8:$K$8,$J1202:$K1202,$J$10:$K$10))/1E6)</f>
        <v/>
      </c>
      <c r="J1202">
        <f>MAX(-fyd_sn,MIN(fyd_sn,200000*0.002*(1-$E1202*(7*J$9-3*sn_h)/(4*sn_h))))-fcd_sn*(1-MIN(1,MAX(0,$E1202*(7*J$9-3*sn_h)/(4*sn_h)))^2)</f>
        <v/>
      </c>
      <c r="K1202">
        <f>MAX(-fyd_sn,MIN(fyd_sn,200000*0.002*(1-$E1202*(7*K$9-3*sn_h)/(4*sn_h))))-fcd_sn*(1-MIN(1,MAX(0,$E1202*(7*K$9-3*sn_h)/(4*sn_h)))^2)</f>
        <v/>
      </c>
    </row>
    <row r="1203">
      <c r="B1203" s="55" t="n">
        <v>8</v>
      </c>
      <c r="C1203" s="56">
        <f>IF($F1202&lt;sn_N,$E1202,$C1202)</f>
        <v/>
      </c>
      <c r="D1203" s="56">
        <f>IF($F1202&lt;sn_N,$D1202,$E1202)</f>
        <v/>
      </c>
      <c r="E1203" s="56">
        <f>($C1203+$D1203)/2</f>
        <v/>
      </c>
      <c r="F1203" s="60">
        <f>(fcd_sn*sn_b*sn_h*(3/7+4/7*(1-$E1203^2/3))+SUMPRODUCT($J$8:$K$8,$J1203:$K1203))/1000</f>
        <v/>
      </c>
      <c r="G1203" s="60">
        <f>-((fcd_sn*sn_b*(3/14*sn_h*(sn_h-3/7*sn_h)+4/7*sn_h*(sn_h/2-3/7*sn_h)*(1-$E1203^2/3)-16/49*sn_h^2*(1/2-$E1203^2/4))+SUMPRODUCT($J$8:$K$8,$J1203:$K1203,$J$10:$K$10))/1E6)</f>
        <v/>
      </c>
      <c r="J1203">
        <f>MAX(-fyd_sn,MIN(fyd_sn,200000*0.002*(1-$E1203*(7*J$9-3*sn_h)/(4*sn_h))))-fcd_sn*(1-MIN(1,MAX(0,$E1203*(7*J$9-3*sn_h)/(4*sn_h)))^2)</f>
        <v/>
      </c>
      <c r="K1203">
        <f>MAX(-fyd_sn,MIN(fyd_sn,200000*0.002*(1-$E1203*(7*K$9-3*sn_h)/(4*sn_h))))-fcd_sn*(1-MIN(1,MAX(0,$E1203*(7*K$9-3*sn_h)/(4*sn_h)))^2)</f>
        <v/>
      </c>
    </row>
    <row r="1204">
      <c r="B1204" s="55" t="n">
        <v>9</v>
      </c>
      <c r="C1204" s="56">
        <f>IF($F1203&lt;sn_N,$E1203,$C1203)</f>
        <v/>
      </c>
      <c r="D1204" s="56">
        <f>IF($F1203&lt;sn_N,$D1203,$E1203)</f>
        <v/>
      </c>
      <c r="E1204" s="56">
        <f>($C1204+$D1204)/2</f>
        <v/>
      </c>
      <c r="F1204" s="60">
        <f>(fcd_sn*sn_b*sn_h*(3/7+4/7*(1-$E1204^2/3))+SUMPRODUCT($J$8:$K$8,$J1204:$K1204))/1000</f>
        <v/>
      </c>
      <c r="G1204" s="60">
        <f>-((fcd_sn*sn_b*(3/14*sn_h*(sn_h-3/7*sn_h)+4/7*sn_h*(sn_h/2-3/7*sn_h)*(1-$E1204^2/3)-16/49*sn_h^2*(1/2-$E1204^2/4))+SUMPRODUCT($J$8:$K$8,$J1204:$K1204,$J$10:$K$10))/1E6)</f>
        <v/>
      </c>
      <c r="J1204">
        <f>MAX(-fyd_sn,MIN(fyd_sn,200000*0.002*(1-$E1204*(7*J$9-3*sn_h)/(4*sn_h))))-fcd_sn*(1-MIN(1,MAX(0,$E1204*(7*J$9-3*sn_h)/(4*sn_h)))^2)</f>
        <v/>
      </c>
      <c r="K1204">
        <f>MAX(-fyd_sn,MIN(fyd_sn,200000*0.002*(1-$E1204*(7*K$9-3*sn_h)/(4*sn_h))))-fcd_sn*(1-MIN(1,MAX(0,$E1204*(7*K$9-3*sn_h)/(4*sn_h)))^2)</f>
        <v/>
      </c>
    </row>
    <row r="1205">
      <c r="B1205" s="55" t="n">
        <v>10</v>
      </c>
      <c r="C1205" s="56">
        <f>IF($F1204&lt;sn_N,$E1204,$C1204)</f>
        <v/>
      </c>
      <c r="D1205" s="56">
        <f>IF($F1204&lt;sn_N,$D1204,$E1204)</f>
        <v/>
      </c>
      <c r="E1205" s="56">
        <f>($C1205+$D1205)/2</f>
        <v/>
      </c>
      <c r="F1205" s="60">
        <f>(fcd_sn*sn_b*sn_h*(3/7+4/7*(1-$E1205^2/3))+SUMPRODUCT($J$8:$K$8,$J1205:$K1205))/1000</f>
        <v/>
      </c>
      <c r="G1205" s="60">
        <f>-((fcd_sn*sn_b*(3/14*sn_h*(sn_h-3/7*sn_h)+4/7*sn_h*(sn_h/2-3/7*sn_h)*(1-$E1205^2/3)-16/49*sn_h^2*(1/2-$E1205^2/4))+SUMPRODUCT($J$8:$K$8,$J1205:$K1205,$J$10:$K$10))/1E6)</f>
        <v/>
      </c>
      <c r="J1205">
        <f>MAX(-fyd_sn,MIN(fyd_sn,200000*0.002*(1-$E1205*(7*J$9-3*sn_h)/(4*sn_h))))-fcd_sn*(1-MIN(1,MAX(0,$E1205*(7*J$9-3*sn_h)/(4*sn_h)))^2)</f>
        <v/>
      </c>
      <c r="K1205">
        <f>MAX(-fyd_sn,MIN(fyd_sn,200000*0.002*(1-$E1205*(7*K$9-3*sn_h)/(4*sn_h))))-fcd_sn*(1-MIN(1,MAX(0,$E1205*(7*K$9-3*sn_h)/(4*sn_h)))^2)</f>
        <v/>
      </c>
    </row>
    <row r="1206">
      <c r="B1206" s="55" t="n">
        <v>11</v>
      </c>
      <c r="C1206" s="56">
        <f>IF($F1205&lt;sn_N,$E1205,$C1205)</f>
        <v/>
      </c>
      <c r="D1206" s="56">
        <f>IF($F1205&lt;sn_N,$D1205,$E1205)</f>
        <v/>
      </c>
      <c r="E1206" s="56">
        <f>($C1206+$D1206)/2</f>
        <v/>
      </c>
      <c r="F1206" s="60">
        <f>(fcd_sn*sn_b*sn_h*(3/7+4/7*(1-$E1206^2/3))+SUMPRODUCT($J$8:$K$8,$J1206:$K1206))/1000</f>
        <v/>
      </c>
      <c r="G1206" s="60">
        <f>-((fcd_sn*sn_b*(3/14*sn_h*(sn_h-3/7*sn_h)+4/7*sn_h*(sn_h/2-3/7*sn_h)*(1-$E1206^2/3)-16/49*sn_h^2*(1/2-$E1206^2/4))+SUMPRODUCT($J$8:$K$8,$J1206:$K1206,$J$10:$K$10))/1E6)</f>
        <v/>
      </c>
      <c r="J1206">
        <f>MAX(-fyd_sn,MIN(fyd_sn,200000*0.002*(1-$E1206*(7*J$9-3*sn_h)/(4*sn_h))))-fcd_sn*(1-MIN(1,MAX(0,$E1206*(7*J$9-3*sn_h)/(4*sn_h)))^2)</f>
        <v/>
      </c>
      <c r="K1206">
        <f>MAX(-fyd_sn,MIN(fyd_sn,200000*0.002*(1-$E1206*(7*K$9-3*sn_h)/(4*sn_h))))-fcd_sn*(1-MIN(1,MAX(0,$E1206*(7*K$9-3*sn_h)/(4*sn_h)))^2)</f>
        <v/>
      </c>
    </row>
    <row r="1207">
      <c r="B1207" s="55" t="n">
        <v>12</v>
      </c>
      <c r="C1207" s="56">
        <f>IF($F1206&lt;sn_N,$E1206,$C1206)</f>
        <v/>
      </c>
      <c r="D1207" s="56">
        <f>IF($F1206&lt;sn_N,$D1206,$E1206)</f>
        <v/>
      </c>
      <c r="E1207" s="56">
        <f>($C1207+$D1207)/2</f>
        <v/>
      </c>
      <c r="F1207" s="60">
        <f>(fcd_sn*sn_b*sn_h*(3/7+4/7*(1-$E1207^2/3))+SUMPRODUCT($J$8:$K$8,$J1207:$K1207))/1000</f>
        <v/>
      </c>
      <c r="G1207" s="60">
        <f>-((fcd_sn*sn_b*(3/14*sn_h*(sn_h-3/7*sn_h)+4/7*sn_h*(sn_h/2-3/7*sn_h)*(1-$E1207^2/3)-16/49*sn_h^2*(1/2-$E1207^2/4))+SUMPRODUCT($J$8:$K$8,$J1207:$K1207,$J$10:$K$10))/1E6)</f>
        <v/>
      </c>
      <c r="J1207">
        <f>MAX(-fyd_sn,MIN(fyd_sn,200000*0.002*(1-$E1207*(7*J$9-3*sn_h)/(4*sn_h))))-fcd_sn*(1-MIN(1,MAX(0,$E1207*(7*J$9-3*sn_h)/(4*sn_h)))^2)</f>
        <v/>
      </c>
      <c r="K1207">
        <f>MAX(-fyd_sn,MIN(fyd_sn,200000*0.002*(1-$E1207*(7*K$9-3*sn_h)/(4*sn_h))))-fcd_sn*(1-MIN(1,MAX(0,$E1207*(7*K$9-3*sn_h)/(4*sn_h)))^2)</f>
        <v/>
      </c>
    </row>
    <row r="1208">
      <c r="B1208" s="55" t="n">
        <v>13</v>
      </c>
      <c r="C1208" s="56">
        <f>IF($F1207&lt;sn_N,$E1207,$C1207)</f>
        <v/>
      </c>
      <c r="D1208" s="56">
        <f>IF($F1207&lt;sn_N,$D1207,$E1207)</f>
        <v/>
      </c>
      <c r="E1208" s="56">
        <f>($C1208+$D1208)/2</f>
        <v/>
      </c>
      <c r="F1208" s="60">
        <f>(fcd_sn*sn_b*sn_h*(3/7+4/7*(1-$E1208^2/3))+SUMPRODUCT($J$8:$K$8,$J1208:$K1208))/1000</f>
        <v/>
      </c>
      <c r="G1208" s="60">
        <f>-((fcd_sn*sn_b*(3/14*sn_h*(sn_h-3/7*sn_h)+4/7*sn_h*(sn_h/2-3/7*sn_h)*(1-$E1208^2/3)-16/49*sn_h^2*(1/2-$E1208^2/4))+SUMPRODUCT($J$8:$K$8,$J1208:$K1208,$J$10:$K$10))/1E6)</f>
        <v/>
      </c>
      <c r="J1208">
        <f>MAX(-fyd_sn,MIN(fyd_sn,200000*0.002*(1-$E1208*(7*J$9-3*sn_h)/(4*sn_h))))-fcd_sn*(1-MIN(1,MAX(0,$E1208*(7*J$9-3*sn_h)/(4*sn_h)))^2)</f>
        <v/>
      </c>
      <c r="K1208">
        <f>MAX(-fyd_sn,MIN(fyd_sn,200000*0.002*(1-$E1208*(7*K$9-3*sn_h)/(4*sn_h))))-fcd_sn*(1-MIN(1,MAX(0,$E1208*(7*K$9-3*sn_h)/(4*sn_h)))^2)</f>
        <v/>
      </c>
    </row>
    <row r="1209">
      <c r="B1209" s="55" t="n">
        <v>14</v>
      </c>
      <c r="C1209" s="56">
        <f>IF($F1208&lt;sn_N,$E1208,$C1208)</f>
        <v/>
      </c>
      <c r="D1209" s="56">
        <f>IF($F1208&lt;sn_N,$D1208,$E1208)</f>
        <v/>
      </c>
      <c r="E1209" s="56">
        <f>($C1209+$D1209)/2</f>
        <v/>
      </c>
      <c r="F1209" s="60">
        <f>(fcd_sn*sn_b*sn_h*(3/7+4/7*(1-$E1209^2/3))+SUMPRODUCT($J$8:$K$8,$J1209:$K1209))/1000</f>
        <v/>
      </c>
      <c r="G1209" s="60">
        <f>-((fcd_sn*sn_b*(3/14*sn_h*(sn_h-3/7*sn_h)+4/7*sn_h*(sn_h/2-3/7*sn_h)*(1-$E1209^2/3)-16/49*sn_h^2*(1/2-$E1209^2/4))+SUMPRODUCT($J$8:$K$8,$J1209:$K1209,$J$10:$K$10))/1E6)</f>
        <v/>
      </c>
      <c r="J1209">
        <f>MAX(-fyd_sn,MIN(fyd_sn,200000*0.002*(1-$E1209*(7*J$9-3*sn_h)/(4*sn_h))))-fcd_sn*(1-MIN(1,MAX(0,$E1209*(7*J$9-3*sn_h)/(4*sn_h)))^2)</f>
        <v/>
      </c>
      <c r="K1209">
        <f>MAX(-fyd_sn,MIN(fyd_sn,200000*0.002*(1-$E1209*(7*K$9-3*sn_h)/(4*sn_h))))-fcd_sn*(1-MIN(1,MAX(0,$E1209*(7*K$9-3*sn_h)/(4*sn_h)))^2)</f>
        <v/>
      </c>
    </row>
    <row r="1210">
      <c r="B1210" s="55" t="n">
        <v>15</v>
      </c>
      <c r="C1210" s="56">
        <f>IF($F1209&lt;sn_N,$E1209,$C1209)</f>
        <v/>
      </c>
      <c r="D1210" s="56">
        <f>IF($F1209&lt;sn_N,$D1209,$E1209)</f>
        <v/>
      </c>
      <c r="E1210" s="56">
        <f>($C1210+$D1210)/2</f>
        <v/>
      </c>
      <c r="F1210" s="60">
        <f>(fcd_sn*sn_b*sn_h*(3/7+4/7*(1-$E1210^2/3))+SUMPRODUCT($J$8:$K$8,$J1210:$K1210))/1000</f>
        <v/>
      </c>
      <c r="G1210" s="60">
        <f>-((fcd_sn*sn_b*(3/14*sn_h*(sn_h-3/7*sn_h)+4/7*sn_h*(sn_h/2-3/7*sn_h)*(1-$E1210^2/3)-16/49*sn_h^2*(1/2-$E1210^2/4))+SUMPRODUCT($J$8:$K$8,$J1210:$K1210,$J$10:$K$10))/1E6)</f>
        <v/>
      </c>
      <c r="J1210">
        <f>MAX(-fyd_sn,MIN(fyd_sn,200000*0.002*(1-$E1210*(7*J$9-3*sn_h)/(4*sn_h))))-fcd_sn*(1-MIN(1,MAX(0,$E1210*(7*J$9-3*sn_h)/(4*sn_h)))^2)</f>
        <v/>
      </c>
      <c r="K1210">
        <f>MAX(-fyd_sn,MIN(fyd_sn,200000*0.002*(1-$E1210*(7*K$9-3*sn_h)/(4*sn_h))))-fcd_sn*(1-MIN(1,MAX(0,$E1210*(7*K$9-3*sn_h)/(4*sn_h)))^2)</f>
        <v/>
      </c>
    </row>
    <row r="1211">
      <c r="B1211" s="55" t="n">
        <v>16</v>
      </c>
      <c r="C1211" s="56">
        <f>IF($F1210&lt;sn_N,$E1210,$C1210)</f>
        <v/>
      </c>
      <c r="D1211" s="56">
        <f>IF($F1210&lt;sn_N,$D1210,$E1210)</f>
        <v/>
      </c>
      <c r="E1211" s="56">
        <f>($C1211+$D1211)/2</f>
        <v/>
      </c>
      <c r="F1211" s="60">
        <f>(fcd_sn*sn_b*sn_h*(3/7+4/7*(1-$E1211^2/3))+SUMPRODUCT($J$8:$K$8,$J1211:$K1211))/1000</f>
        <v/>
      </c>
      <c r="G1211" s="60">
        <f>-((fcd_sn*sn_b*(3/14*sn_h*(sn_h-3/7*sn_h)+4/7*sn_h*(sn_h/2-3/7*sn_h)*(1-$E1211^2/3)-16/49*sn_h^2*(1/2-$E1211^2/4))+SUMPRODUCT($J$8:$K$8,$J1211:$K1211,$J$10:$K$10))/1E6)</f>
        <v/>
      </c>
      <c r="J1211">
        <f>MAX(-fyd_sn,MIN(fyd_sn,200000*0.002*(1-$E1211*(7*J$9-3*sn_h)/(4*sn_h))))-fcd_sn*(1-MIN(1,MAX(0,$E1211*(7*J$9-3*sn_h)/(4*sn_h)))^2)</f>
        <v/>
      </c>
      <c r="K1211">
        <f>MAX(-fyd_sn,MIN(fyd_sn,200000*0.002*(1-$E1211*(7*K$9-3*sn_h)/(4*sn_h))))-fcd_sn*(1-MIN(1,MAX(0,$E1211*(7*K$9-3*sn_h)/(4*sn_h)))^2)</f>
        <v/>
      </c>
    </row>
    <row r="1212">
      <c r="B1212" s="55" t="n">
        <v>17</v>
      </c>
      <c r="C1212" s="56">
        <f>IF($F1211&lt;sn_N,$E1211,$C1211)</f>
        <v/>
      </c>
      <c r="D1212" s="56">
        <f>IF($F1211&lt;sn_N,$D1211,$E1211)</f>
        <v/>
      </c>
      <c r="E1212" s="56">
        <f>($C1212+$D1212)/2</f>
        <v/>
      </c>
      <c r="F1212" s="60">
        <f>(fcd_sn*sn_b*sn_h*(3/7+4/7*(1-$E1212^2/3))+SUMPRODUCT($J$8:$K$8,$J1212:$K1212))/1000</f>
        <v/>
      </c>
      <c r="G1212" s="60">
        <f>-((fcd_sn*sn_b*(3/14*sn_h*(sn_h-3/7*sn_h)+4/7*sn_h*(sn_h/2-3/7*sn_h)*(1-$E1212^2/3)-16/49*sn_h^2*(1/2-$E1212^2/4))+SUMPRODUCT($J$8:$K$8,$J1212:$K1212,$J$10:$K$10))/1E6)</f>
        <v/>
      </c>
      <c r="J1212">
        <f>MAX(-fyd_sn,MIN(fyd_sn,200000*0.002*(1-$E1212*(7*J$9-3*sn_h)/(4*sn_h))))-fcd_sn*(1-MIN(1,MAX(0,$E1212*(7*J$9-3*sn_h)/(4*sn_h)))^2)</f>
        <v/>
      </c>
      <c r="K1212">
        <f>MAX(-fyd_sn,MIN(fyd_sn,200000*0.002*(1-$E1212*(7*K$9-3*sn_h)/(4*sn_h))))-fcd_sn*(1-MIN(1,MAX(0,$E1212*(7*K$9-3*sn_h)/(4*sn_h)))^2)</f>
        <v/>
      </c>
    </row>
    <row r="1213">
      <c r="B1213" s="55" t="n">
        <v>18</v>
      </c>
      <c r="C1213" s="56">
        <f>IF($F1212&lt;sn_N,$E1212,$C1212)</f>
        <v/>
      </c>
      <c r="D1213" s="56">
        <f>IF($F1212&lt;sn_N,$D1212,$E1212)</f>
        <v/>
      </c>
      <c r="E1213" s="56">
        <f>($C1213+$D1213)/2</f>
        <v/>
      </c>
      <c r="F1213" s="60">
        <f>(fcd_sn*sn_b*sn_h*(3/7+4/7*(1-$E1213^2/3))+SUMPRODUCT($J$8:$K$8,$J1213:$K1213))/1000</f>
        <v/>
      </c>
      <c r="G1213" s="60">
        <f>-((fcd_sn*sn_b*(3/14*sn_h*(sn_h-3/7*sn_h)+4/7*sn_h*(sn_h/2-3/7*sn_h)*(1-$E1213^2/3)-16/49*sn_h^2*(1/2-$E1213^2/4))+SUMPRODUCT($J$8:$K$8,$J1213:$K1213,$J$10:$K$10))/1E6)</f>
        <v/>
      </c>
      <c r="J1213">
        <f>MAX(-fyd_sn,MIN(fyd_sn,200000*0.002*(1-$E1213*(7*J$9-3*sn_h)/(4*sn_h))))-fcd_sn*(1-MIN(1,MAX(0,$E1213*(7*J$9-3*sn_h)/(4*sn_h)))^2)</f>
        <v/>
      </c>
      <c r="K1213">
        <f>MAX(-fyd_sn,MIN(fyd_sn,200000*0.002*(1-$E1213*(7*K$9-3*sn_h)/(4*sn_h))))-fcd_sn*(1-MIN(1,MAX(0,$E1213*(7*K$9-3*sn_h)/(4*sn_h)))^2)</f>
        <v/>
      </c>
    </row>
    <row r="1214">
      <c r="B1214" s="55" t="n">
        <v>19</v>
      </c>
      <c r="C1214" s="56">
        <f>IF($F1213&lt;sn_N,$E1213,$C1213)</f>
        <v/>
      </c>
      <c r="D1214" s="56">
        <f>IF($F1213&lt;sn_N,$D1213,$E1213)</f>
        <v/>
      </c>
      <c r="E1214" s="56">
        <f>($C1214+$D1214)/2</f>
        <v/>
      </c>
      <c r="F1214" s="60">
        <f>(fcd_sn*sn_b*sn_h*(3/7+4/7*(1-$E1214^2/3))+SUMPRODUCT($J$8:$K$8,$J1214:$K1214))/1000</f>
        <v/>
      </c>
      <c r="G1214" s="60">
        <f>-((fcd_sn*sn_b*(3/14*sn_h*(sn_h-3/7*sn_h)+4/7*sn_h*(sn_h/2-3/7*sn_h)*(1-$E1214^2/3)-16/49*sn_h^2*(1/2-$E1214^2/4))+SUMPRODUCT($J$8:$K$8,$J1214:$K1214,$J$10:$K$10))/1E6)</f>
        <v/>
      </c>
      <c r="J1214">
        <f>MAX(-fyd_sn,MIN(fyd_sn,200000*0.002*(1-$E1214*(7*J$9-3*sn_h)/(4*sn_h))))-fcd_sn*(1-MIN(1,MAX(0,$E1214*(7*J$9-3*sn_h)/(4*sn_h)))^2)</f>
        <v/>
      </c>
      <c r="K1214">
        <f>MAX(-fyd_sn,MIN(fyd_sn,200000*0.002*(1-$E1214*(7*K$9-3*sn_h)/(4*sn_h))))-fcd_sn*(1-MIN(1,MAX(0,$E1214*(7*K$9-3*sn_h)/(4*sn_h)))^2)</f>
        <v/>
      </c>
    </row>
    <row r="1215">
      <c r="B1215" s="55" t="n">
        <v>20</v>
      </c>
      <c r="C1215" s="56">
        <f>IF($F1214&lt;sn_N,$E1214,$C1214)</f>
        <v/>
      </c>
      <c r="D1215" s="56">
        <f>IF($F1214&lt;sn_N,$D1214,$E1214)</f>
        <v/>
      </c>
      <c r="E1215" s="56">
        <f>($C1215+$D1215)/2</f>
        <v/>
      </c>
      <c r="F1215" s="60">
        <f>(fcd_sn*sn_b*sn_h*(3/7+4/7*(1-$E1215^2/3))+SUMPRODUCT($J$8:$K$8,$J1215:$K1215))/1000</f>
        <v/>
      </c>
      <c r="G1215" s="60">
        <f>-((fcd_sn*sn_b*(3/14*sn_h*(sn_h-3/7*sn_h)+4/7*sn_h*(sn_h/2-3/7*sn_h)*(1-$E1215^2/3)-16/49*sn_h^2*(1/2-$E1215^2/4))+SUMPRODUCT($J$8:$K$8,$J1215:$K1215,$J$10:$K$10))/1E6)</f>
        <v/>
      </c>
      <c r="J1215">
        <f>MAX(-fyd_sn,MIN(fyd_sn,200000*0.002*(1-$E1215*(7*J$9-3*sn_h)/(4*sn_h))))-fcd_sn*(1-MIN(1,MAX(0,$E1215*(7*J$9-3*sn_h)/(4*sn_h)))^2)</f>
        <v/>
      </c>
      <c r="K1215">
        <f>MAX(-fyd_sn,MIN(fyd_sn,200000*0.002*(1-$E1215*(7*K$9-3*sn_h)/(4*sn_h))))-fcd_sn*(1-MIN(1,MAX(0,$E1215*(7*K$9-3*sn_h)/(4*sn_h)))^2)</f>
        <v/>
      </c>
    </row>
    <row r="1216">
      <c r="B1216" s="55" t="n">
        <v>21</v>
      </c>
      <c r="C1216" s="56">
        <f>IF($F1215&lt;sn_N,$E1215,$C1215)</f>
        <v/>
      </c>
      <c r="D1216" s="56">
        <f>IF($F1215&lt;sn_N,$D1215,$E1215)</f>
        <v/>
      </c>
      <c r="E1216" s="56">
        <f>($C1216+$D1216)/2</f>
        <v/>
      </c>
      <c r="F1216" s="60">
        <f>(fcd_sn*sn_b*sn_h*(3/7+4/7*(1-$E1216^2/3))+SUMPRODUCT($J$8:$K$8,$J1216:$K1216))/1000</f>
        <v/>
      </c>
      <c r="G1216" s="60">
        <f>-((fcd_sn*sn_b*(3/14*sn_h*(sn_h-3/7*sn_h)+4/7*sn_h*(sn_h/2-3/7*sn_h)*(1-$E1216^2/3)-16/49*sn_h^2*(1/2-$E1216^2/4))+SUMPRODUCT($J$8:$K$8,$J1216:$K1216,$J$10:$K$10))/1E6)</f>
        <v/>
      </c>
      <c r="J1216">
        <f>MAX(-fyd_sn,MIN(fyd_sn,200000*0.002*(1-$E1216*(7*J$9-3*sn_h)/(4*sn_h))))-fcd_sn*(1-MIN(1,MAX(0,$E1216*(7*J$9-3*sn_h)/(4*sn_h)))^2)</f>
        <v/>
      </c>
      <c r="K1216">
        <f>MAX(-fyd_sn,MIN(fyd_sn,200000*0.002*(1-$E1216*(7*K$9-3*sn_h)/(4*sn_h))))-fcd_sn*(1-MIN(1,MAX(0,$E1216*(7*K$9-3*sn_h)/(4*sn_h)))^2)</f>
        <v/>
      </c>
    </row>
    <row r="1217">
      <c r="B1217" s="55" t="n">
        <v>22</v>
      </c>
      <c r="C1217" s="56">
        <f>IF($F1216&lt;sn_N,$E1216,$C1216)</f>
        <v/>
      </c>
      <c r="D1217" s="56">
        <f>IF($F1216&lt;sn_N,$D1216,$E1216)</f>
        <v/>
      </c>
      <c r="E1217" s="56">
        <f>($C1217+$D1217)/2</f>
        <v/>
      </c>
      <c r="F1217" s="60">
        <f>(fcd_sn*sn_b*sn_h*(3/7+4/7*(1-$E1217^2/3))+SUMPRODUCT($J$8:$K$8,$J1217:$K1217))/1000</f>
        <v/>
      </c>
      <c r="G1217" s="60">
        <f>-((fcd_sn*sn_b*(3/14*sn_h*(sn_h-3/7*sn_h)+4/7*sn_h*(sn_h/2-3/7*sn_h)*(1-$E1217^2/3)-16/49*sn_h^2*(1/2-$E1217^2/4))+SUMPRODUCT($J$8:$K$8,$J1217:$K1217,$J$10:$K$10))/1E6)</f>
        <v/>
      </c>
      <c r="J1217">
        <f>MAX(-fyd_sn,MIN(fyd_sn,200000*0.002*(1-$E1217*(7*J$9-3*sn_h)/(4*sn_h))))-fcd_sn*(1-MIN(1,MAX(0,$E1217*(7*J$9-3*sn_h)/(4*sn_h)))^2)</f>
        <v/>
      </c>
      <c r="K1217">
        <f>MAX(-fyd_sn,MIN(fyd_sn,200000*0.002*(1-$E1217*(7*K$9-3*sn_h)/(4*sn_h))))-fcd_sn*(1-MIN(1,MAX(0,$E1217*(7*K$9-3*sn_h)/(4*sn_h)))^2)</f>
        <v/>
      </c>
    </row>
    <row r="1218">
      <c r="B1218" s="55" t="n">
        <v>23</v>
      </c>
      <c r="C1218" s="56">
        <f>IF($F1217&lt;sn_N,$E1217,$C1217)</f>
        <v/>
      </c>
      <c r="D1218" s="56">
        <f>IF($F1217&lt;sn_N,$D1217,$E1217)</f>
        <v/>
      </c>
      <c r="E1218" s="56">
        <f>($C1218+$D1218)/2</f>
        <v/>
      </c>
      <c r="F1218" s="60">
        <f>(fcd_sn*sn_b*sn_h*(3/7+4/7*(1-$E1218^2/3))+SUMPRODUCT($J$8:$K$8,$J1218:$K1218))/1000</f>
        <v/>
      </c>
      <c r="G1218" s="60">
        <f>-((fcd_sn*sn_b*(3/14*sn_h*(sn_h-3/7*sn_h)+4/7*sn_h*(sn_h/2-3/7*sn_h)*(1-$E1218^2/3)-16/49*sn_h^2*(1/2-$E1218^2/4))+SUMPRODUCT($J$8:$K$8,$J1218:$K1218,$J$10:$K$10))/1E6)</f>
        <v/>
      </c>
      <c r="J1218">
        <f>MAX(-fyd_sn,MIN(fyd_sn,200000*0.002*(1-$E1218*(7*J$9-3*sn_h)/(4*sn_h))))-fcd_sn*(1-MIN(1,MAX(0,$E1218*(7*J$9-3*sn_h)/(4*sn_h)))^2)</f>
        <v/>
      </c>
      <c r="K1218">
        <f>MAX(-fyd_sn,MIN(fyd_sn,200000*0.002*(1-$E1218*(7*K$9-3*sn_h)/(4*sn_h))))-fcd_sn*(1-MIN(1,MAX(0,$E1218*(7*K$9-3*sn_h)/(4*sn_h)))^2)</f>
        <v/>
      </c>
    </row>
    <row r="1219">
      <c r="B1219" s="55" t="n">
        <v>24</v>
      </c>
      <c r="C1219" s="56">
        <f>IF($F1218&lt;sn_N,$E1218,$C1218)</f>
        <v/>
      </c>
      <c r="D1219" s="56">
        <f>IF($F1218&lt;sn_N,$D1218,$E1218)</f>
        <v/>
      </c>
      <c r="E1219" s="56">
        <f>($C1219+$D1219)/2</f>
        <v/>
      </c>
      <c r="F1219" s="60">
        <f>(fcd_sn*sn_b*sn_h*(3/7+4/7*(1-$E1219^2/3))+SUMPRODUCT($J$8:$K$8,$J1219:$K1219))/1000</f>
        <v/>
      </c>
      <c r="G1219" s="60">
        <f>-((fcd_sn*sn_b*(3/14*sn_h*(sn_h-3/7*sn_h)+4/7*sn_h*(sn_h/2-3/7*sn_h)*(1-$E1219^2/3)-16/49*sn_h^2*(1/2-$E1219^2/4))+SUMPRODUCT($J$8:$K$8,$J1219:$K1219,$J$10:$K$10))/1E6)</f>
        <v/>
      </c>
      <c r="J1219">
        <f>MAX(-fyd_sn,MIN(fyd_sn,200000*0.002*(1-$E1219*(7*J$9-3*sn_h)/(4*sn_h))))-fcd_sn*(1-MIN(1,MAX(0,$E1219*(7*J$9-3*sn_h)/(4*sn_h)))^2)</f>
        <v/>
      </c>
      <c r="K1219">
        <f>MAX(-fyd_sn,MIN(fyd_sn,200000*0.002*(1-$E1219*(7*K$9-3*sn_h)/(4*sn_h))))-fcd_sn*(1-MIN(1,MAX(0,$E1219*(7*K$9-3*sn_h)/(4*sn_h)))^2)</f>
        <v/>
      </c>
    </row>
    <row r="1220">
      <c r="B1220" s="55" t="n">
        <v>25</v>
      </c>
      <c r="C1220" s="56">
        <f>IF($F1219&lt;sn_N,$E1219,$C1219)</f>
        <v/>
      </c>
      <c r="D1220" s="56">
        <f>IF($F1219&lt;sn_N,$D1219,$E1219)</f>
        <v/>
      </c>
      <c r="E1220" s="56">
        <f>($C1220+$D1220)/2</f>
        <v/>
      </c>
      <c r="F1220" s="60">
        <f>(fcd_sn*sn_b*sn_h*(3/7+4/7*(1-$E1220^2/3))+SUMPRODUCT($J$8:$K$8,$J1220:$K1220))/1000</f>
        <v/>
      </c>
      <c r="G1220" s="60">
        <f>-((fcd_sn*sn_b*(3/14*sn_h*(sn_h-3/7*sn_h)+4/7*sn_h*(sn_h/2-3/7*sn_h)*(1-$E1220^2/3)-16/49*sn_h^2*(1/2-$E1220^2/4))+SUMPRODUCT($J$8:$K$8,$J1220:$K1220,$J$10:$K$10))/1E6)</f>
        <v/>
      </c>
      <c r="J1220">
        <f>MAX(-fyd_sn,MIN(fyd_sn,200000*0.002*(1-$E1220*(7*J$9-3*sn_h)/(4*sn_h))))-fcd_sn*(1-MIN(1,MAX(0,$E1220*(7*J$9-3*sn_h)/(4*sn_h)))^2)</f>
        <v/>
      </c>
      <c r="K1220">
        <f>MAX(-fyd_sn,MIN(fyd_sn,200000*0.002*(1-$E1220*(7*K$9-3*sn_h)/(4*sn_h))))-fcd_sn*(1-MIN(1,MAX(0,$E1220*(7*K$9-3*sn_h)/(4*sn_h)))^2)</f>
        <v/>
      </c>
    </row>
    <row r="1221">
      <c r="B1221" s="55" t="n">
        <v>26</v>
      </c>
      <c r="C1221" s="56">
        <f>IF($F1220&lt;sn_N,$E1220,$C1220)</f>
        <v/>
      </c>
      <c r="D1221" s="56">
        <f>IF($F1220&lt;sn_N,$D1220,$E1220)</f>
        <v/>
      </c>
      <c r="E1221" s="56">
        <f>($C1221+$D1221)/2</f>
        <v/>
      </c>
      <c r="F1221" s="60">
        <f>(fcd_sn*sn_b*sn_h*(3/7+4/7*(1-$E1221^2/3))+SUMPRODUCT($J$8:$K$8,$J1221:$K1221))/1000</f>
        <v/>
      </c>
      <c r="G1221" s="60">
        <f>-((fcd_sn*sn_b*(3/14*sn_h*(sn_h-3/7*sn_h)+4/7*sn_h*(sn_h/2-3/7*sn_h)*(1-$E1221^2/3)-16/49*sn_h^2*(1/2-$E1221^2/4))+SUMPRODUCT($J$8:$K$8,$J1221:$K1221,$J$10:$K$10))/1E6)</f>
        <v/>
      </c>
      <c r="J1221">
        <f>MAX(-fyd_sn,MIN(fyd_sn,200000*0.002*(1-$E1221*(7*J$9-3*sn_h)/(4*sn_h))))-fcd_sn*(1-MIN(1,MAX(0,$E1221*(7*J$9-3*sn_h)/(4*sn_h)))^2)</f>
        <v/>
      </c>
      <c r="K1221">
        <f>MAX(-fyd_sn,MIN(fyd_sn,200000*0.002*(1-$E1221*(7*K$9-3*sn_h)/(4*sn_h))))-fcd_sn*(1-MIN(1,MAX(0,$E1221*(7*K$9-3*sn_h)/(4*sn_h)))^2)</f>
        <v/>
      </c>
    </row>
    <row r="1222">
      <c r="B1222" s="55" t="n">
        <v>27</v>
      </c>
      <c r="C1222" s="56">
        <f>IF($F1221&lt;sn_N,$E1221,$C1221)</f>
        <v/>
      </c>
      <c r="D1222" s="56">
        <f>IF($F1221&lt;sn_N,$D1221,$E1221)</f>
        <v/>
      </c>
      <c r="E1222" s="56">
        <f>($C1222+$D1222)/2</f>
        <v/>
      </c>
      <c r="F1222" s="60">
        <f>(fcd_sn*sn_b*sn_h*(3/7+4/7*(1-$E1222^2/3))+SUMPRODUCT($J$8:$K$8,$J1222:$K1222))/1000</f>
        <v/>
      </c>
      <c r="G1222" s="60">
        <f>-((fcd_sn*sn_b*(3/14*sn_h*(sn_h-3/7*sn_h)+4/7*sn_h*(sn_h/2-3/7*sn_h)*(1-$E1222^2/3)-16/49*sn_h^2*(1/2-$E1222^2/4))+SUMPRODUCT($J$8:$K$8,$J1222:$K1222,$J$10:$K$10))/1E6)</f>
        <v/>
      </c>
      <c r="J1222">
        <f>MAX(-fyd_sn,MIN(fyd_sn,200000*0.002*(1-$E1222*(7*J$9-3*sn_h)/(4*sn_h))))-fcd_sn*(1-MIN(1,MAX(0,$E1222*(7*J$9-3*sn_h)/(4*sn_h)))^2)</f>
        <v/>
      </c>
      <c r="K1222">
        <f>MAX(-fyd_sn,MIN(fyd_sn,200000*0.002*(1-$E1222*(7*K$9-3*sn_h)/(4*sn_h))))-fcd_sn*(1-MIN(1,MAX(0,$E1222*(7*K$9-3*sn_h)/(4*sn_h)))^2)</f>
        <v/>
      </c>
    </row>
    <row r="1223">
      <c r="B1223" s="55" t="n">
        <v>28</v>
      </c>
      <c r="C1223" s="56">
        <f>IF($F1222&lt;sn_N,$E1222,$C1222)</f>
        <v/>
      </c>
      <c r="D1223" s="56">
        <f>IF($F1222&lt;sn_N,$D1222,$E1222)</f>
        <v/>
      </c>
      <c r="E1223" s="56">
        <f>($C1223+$D1223)/2</f>
        <v/>
      </c>
      <c r="F1223" s="60">
        <f>(fcd_sn*sn_b*sn_h*(3/7+4/7*(1-$E1223^2/3))+SUMPRODUCT($J$8:$K$8,$J1223:$K1223))/1000</f>
        <v/>
      </c>
      <c r="G1223" s="60">
        <f>-((fcd_sn*sn_b*(3/14*sn_h*(sn_h-3/7*sn_h)+4/7*sn_h*(sn_h/2-3/7*sn_h)*(1-$E1223^2/3)-16/49*sn_h^2*(1/2-$E1223^2/4))+SUMPRODUCT($J$8:$K$8,$J1223:$K1223,$J$10:$K$10))/1E6)</f>
        <v/>
      </c>
      <c r="J1223">
        <f>MAX(-fyd_sn,MIN(fyd_sn,200000*0.002*(1-$E1223*(7*J$9-3*sn_h)/(4*sn_h))))-fcd_sn*(1-MIN(1,MAX(0,$E1223*(7*J$9-3*sn_h)/(4*sn_h)))^2)</f>
        <v/>
      </c>
      <c r="K1223">
        <f>MAX(-fyd_sn,MIN(fyd_sn,200000*0.002*(1-$E1223*(7*K$9-3*sn_h)/(4*sn_h))))-fcd_sn*(1-MIN(1,MAX(0,$E1223*(7*K$9-3*sn_h)/(4*sn_h)))^2)</f>
        <v/>
      </c>
    </row>
    <row r="1224">
      <c r="B1224" s="55" t="n">
        <v>29</v>
      </c>
      <c r="C1224" s="56">
        <f>IF($F1223&lt;sn_N,$E1223,$C1223)</f>
        <v/>
      </c>
      <c r="D1224" s="56">
        <f>IF($F1223&lt;sn_N,$D1223,$E1223)</f>
        <v/>
      </c>
      <c r="E1224" s="56">
        <f>($C1224+$D1224)/2</f>
        <v/>
      </c>
      <c r="F1224" s="60">
        <f>(fcd_sn*sn_b*sn_h*(3/7+4/7*(1-$E1224^2/3))+SUMPRODUCT($J$8:$K$8,$J1224:$K1224))/1000</f>
        <v/>
      </c>
      <c r="G1224" s="60">
        <f>-((fcd_sn*sn_b*(3/14*sn_h*(sn_h-3/7*sn_h)+4/7*sn_h*(sn_h/2-3/7*sn_h)*(1-$E1224^2/3)-16/49*sn_h^2*(1/2-$E1224^2/4))+SUMPRODUCT($J$8:$K$8,$J1224:$K1224,$J$10:$K$10))/1E6)</f>
        <v/>
      </c>
      <c r="J1224">
        <f>MAX(-fyd_sn,MIN(fyd_sn,200000*0.002*(1-$E1224*(7*J$9-3*sn_h)/(4*sn_h))))-fcd_sn*(1-MIN(1,MAX(0,$E1224*(7*J$9-3*sn_h)/(4*sn_h)))^2)</f>
        <v/>
      </c>
      <c r="K1224">
        <f>MAX(-fyd_sn,MIN(fyd_sn,200000*0.002*(1-$E1224*(7*K$9-3*sn_h)/(4*sn_h))))-fcd_sn*(1-MIN(1,MAX(0,$E1224*(7*K$9-3*sn_h)/(4*sn_h)))^2)</f>
        <v/>
      </c>
    </row>
    <row r="1225">
      <c r="B1225" s="55" t="n">
        <v>30</v>
      </c>
      <c r="C1225" s="56">
        <f>IF($F1224&lt;sn_N,$E1224,$C1224)</f>
        <v/>
      </c>
      <c r="D1225" s="56">
        <f>IF($F1224&lt;sn_N,$D1224,$E1224)</f>
        <v/>
      </c>
      <c r="E1225" s="56">
        <f>($C1225+$D1225)/2</f>
        <v/>
      </c>
      <c r="F1225" s="60">
        <f>(fcd_sn*sn_b*sn_h*(3/7+4/7*(1-$E1225^2/3))+SUMPRODUCT($J$8:$K$8,$J1225:$K1225))/1000</f>
        <v/>
      </c>
      <c r="G1225" s="60">
        <f>-((fcd_sn*sn_b*(3/14*sn_h*(sn_h-3/7*sn_h)+4/7*sn_h*(sn_h/2-3/7*sn_h)*(1-$E1225^2/3)-16/49*sn_h^2*(1/2-$E1225^2/4))+SUMPRODUCT($J$8:$K$8,$J1225:$K1225,$J$10:$K$10))/1E6)</f>
        <v/>
      </c>
      <c r="J1225">
        <f>MAX(-fyd_sn,MIN(fyd_sn,200000*0.002*(1-$E1225*(7*J$9-3*sn_h)/(4*sn_h))))-fcd_sn*(1-MIN(1,MAX(0,$E1225*(7*J$9-3*sn_h)/(4*sn_h)))^2)</f>
        <v/>
      </c>
      <c r="K1225">
        <f>MAX(-fyd_sn,MIN(fyd_sn,200000*0.002*(1-$E1225*(7*K$9-3*sn_h)/(4*sn_h))))-fcd_sn*(1-MIN(1,MAX(0,$E1225*(7*K$9-3*sn_h)/(4*sn_h)))^2)</f>
        <v/>
      </c>
    </row>
    <row r="1226">
      <c r="B1226" s="55" t="n">
        <v>31</v>
      </c>
      <c r="C1226" s="56">
        <f>IF($F1225&lt;sn_N,$E1225,$C1225)</f>
        <v/>
      </c>
      <c r="D1226" s="56">
        <f>IF($F1225&lt;sn_N,$D1225,$E1225)</f>
        <v/>
      </c>
      <c r="E1226" s="56">
        <f>($C1226+$D1226)/2</f>
        <v/>
      </c>
      <c r="F1226" s="60">
        <f>(fcd_sn*sn_b*sn_h*(3/7+4/7*(1-$E1226^2/3))+SUMPRODUCT($J$8:$K$8,$J1226:$K1226))/1000</f>
        <v/>
      </c>
      <c r="G1226" s="60">
        <f>-((fcd_sn*sn_b*(3/14*sn_h*(sn_h-3/7*sn_h)+4/7*sn_h*(sn_h/2-3/7*sn_h)*(1-$E1226^2/3)-16/49*sn_h^2*(1/2-$E1226^2/4))+SUMPRODUCT($J$8:$K$8,$J1226:$K1226,$J$10:$K$10))/1E6)</f>
        <v/>
      </c>
      <c r="J1226">
        <f>MAX(-fyd_sn,MIN(fyd_sn,200000*0.002*(1-$E1226*(7*J$9-3*sn_h)/(4*sn_h))))-fcd_sn*(1-MIN(1,MAX(0,$E1226*(7*J$9-3*sn_h)/(4*sn_h)))^2)</f>
        <v/>
      </c>
      <c r="K1226">
        <f>MAX(-fyd_sn,MIN(fyd_sn,200000*0.002*(1-$E1226*(7*K$9-3*sn_h)/(4*sn_h))))-fcd_sn*(1-MIN(1,MAX(0,$E1226*(7*K$9-3*sn_h)/(4*sn_h)))^2)</f>
        <v/>
      </c>
    </row>
    <row r="1227">
      <c r="B1227" s="55" t="n">
        <v>32</v>
      </c>
      <c r="C1227" s="56">
        <f>IF($F1226&lt;sn_N,$E1226,$C1226)</f>
        <v/>
      </c>
      <c r="D1227" s="56">
        <f>IF($F1226&lt;sn_N,$D1226,$E1226)</f>
        <v/>
      </c>
      <c r="E1227" s="56">
        <f>($C1227+$D1227)/2</f>
        <v/>
      </c>
      <c r="F1227" s="60">
        <f>(fcd_sn*sn_b*sn_h*(3/7+4/7*(1-$E1227^2/3))+SUMPRODUCT($J$8:$K$8,$J1227:$K1227))/1000</f>
        <v/>
      </c>
      <c r="G1227" s="60">
        <f>-((fcd_sn*sn_b*(3/14*sn_h*(sn_h-3/7*sn_h)+4/7*sn_h*(sn_h/2-3/7*sn_h)*(1-$E1227^2/3)-16/49*sn_h^2*(1/2-$E1227^2/4))+SUMPRODUCT($J$8:$K$8,$J1227:$K1227,$J$10:$K$10))/1E6)</f>
        <v/>
      </c>
      <c r="J1227">
        <f>MAX(-fyd_sn,MIN(fyd_sn,200000*0.002*(1-$E1227*(7*J$9-3*sn_h)/(4*sn_h))))-fcd_sn*(1-MIN(1,MAX(0,$E1227*(7*J$9-3*sn_h)/(4*sn_h)))^2)</f>
        <v/>
      </c>
      <c r="K1227">
        <f>MAX(-fyd_sn,MIN(fyd_sn,200000*0.002*(1-$E1227*(7*K$9-3*sn_h)/(4*sn_h))))-fcd_sn*(1-MIN(1,MAX(0,$E1227*(7*K$9-3*sn_h)/(4*sn_h)))^2)</f>
        <v/>
      </c>
    </row>
    <row r="1228">
      <c r="B1228" s="55" t="n">
        <v>33</v>
      </c>
      <c r="C1228" s="56">
        <f>IF($F1227&lt;sn_N,$E1227,$C1227)</f>
        <v/>
      </c>
      <c r="D1228" s="56">
        <f>IF($F1227&lt;sn_N,$D1227,$E1227)</f>
        <v/>
      </c>
      <c r="E1228" s="56">
        <f>($C1228+$D1228)/2</f>
        <v/>
      </c>
      <c r="F1228" s="60">
        <f>(fcd_sn*sn_b*sn_h*(3/7+4/7*(1-$E1228^2/3))+SUMPRODUCT($J$8:$K$8,$J1228:$K1228))/1000</f>
        <v/>
      </c>
      <c r="G1228" s="60">
        <f>-((fcd_sn*sn_b*(3/14*sn_h*(sn_h-3/7*sn_h)+4/7*sn_h*(sn_h/2-3/7*sn_h)*(1-$E1228^2/3)-16/49*sn_h^2*(1/2-$E1228^2/4))+SUMPRODUCT($J$8:$K$8,$J1228:$K1228,$J$10:$K$10))/1E6)</f>
        <v/>
      </c>
      <c r="J1228">
        <f>MAX(-fyd_sn,MIN(fyd_sn,200000*0.002*(1-$E1228*(7*J$9-3*sn_h)/(4*sn_h))))-fcd_sn*(1-MIN(1,MAX(0,$E1228*(7*J$9-3*sn_h)/(4*sn_h)))^2)</f>
        <v/>
      </c>
      <c r="K1228">
        <f>MAX(-fyd_sn,MIN(fyd_sn,200000*0.002*(1-$E1228*(7*K$9-3*sn_h)/(4*sn_h))))-fcd_sn*(1-MIN(1,MAX(0,$E1228*(7*K$9-3*sn_h)/(4*sn_h)))^2)</f>
        <v/>
      </c>
    </row>
    <row r="1229">
      <c r="B1229" s="55" t="n">
        <v>34</v>
      </c>
      <c r="C1229" s="56">
        <f>IF($F1228&lt;sn_N,$E1228,$C1228)</f>
        <v/>
      </c>
      <c r="D1229" s="56">
        <f>IF($F1228&lt;sn_N,$D1228,$E1228)</f>
        <v/>
      </c>
      <c r="E1229" s="56">
        <f>($C1229+$D1229)/2</f>
        <v/>
      </c>
      <c r="F1229" s="60">
        <f>(fcd_sn*sn_b*sn_h*(3/7+4/7*(1-$E1229^2/3))+SUMPRODUCT($J$8:$K$8,$J1229:$K1229))/1000</f>
        <v/>
      </c>
      <c r="G1229" s="60">
        <f>-((fcd_sn*sn_b*(3/14*sn_h*(sn_h-3/7*sn_h)+4/7*sn_h*(sn_h/2-3/7*sn_h)*(1-$E1229^2/3)-16/49*sn_h^2*(1/2-$E1229^2/4))+SUMPRODUCT($J$8:$K$8,$J1229:$K1229,$J$10:$K$10))/1E6)</f>
        <v/>
      </c>
      <c r="J1229">
        <f>MAX(-fyd_sn,MIN(fyd_sn,200000*0.002*(1-$E1229*(7*J$9-3*sn_h)/(4*sn_h))))-fcd_sn*(1-MIN(1,MAX(0,$E1229*(7*J$9-3*sn_h)/(4*sn_h)))^2)</f>
        <v/>
      </c>
      <c r="K1229">
        <f>MAX(-fyd_sn,MIN(fyd_sn,200000*0.002*(1-$E1229*(7*K$9-3*sn_h)/(4*sn_h))))-fcd_sn*(1-MIN(1,MAX(0,$E1229*(7*K$9-3*sn_h)/(4*sn_h)))^2)</f>
        <v/>
      </c>
    </row>
    <row r="1230">
      <c r="B1230" s="55" t="n">
        <v>35</v>
      </c>
      <c r="C1230" s="56">
        <f>IF($F1229&lt;sn_N,$E1229,$C1229)</f>
        <v/>
      </c>
      <c r="D1230" s="56">
        <f>IF($F1229&lt;sn_N,$D1229,$E1229)</f>
        <v/>
      </c>
      <c r="E1230" s="56">
        <f>($C1230+$D1230)/2</f>
        <v/>
      </c>
      <c r="F1230" s="60">
        <f>(fcd_sn*sn_b*sn_h*(3/7+4/7*(1-$E1230^2/3))+SUMPRODUCT($J$8:$K$8,$J1230:$K1230))/1000</f>
        <v/>
      </c>
      <c r="G1230" s="60">
        <f>-((fcd_sn*sn_b*(3/14*sn_h*(sn_h-3/7*sn_h)+4/7*sn_h*(sn_h/2-3/7*sn_h)*(1-$E1230^2/3)-16/49*sn_h^2*(1/2-$E1230^2/4))+SUMPRODUCT($J$8:$K$8,$J1230:$K1230,$J$10:$K$10))/1E6)</f>
        <v/>
      </c>
      <c r="J1230">
        <f>MAX(-fyd_sn,MIN(fyd_sn,200000*0.002*(1-$E1230*(7*J$9-3*sn_h)/(4*sn_h))))-fcd_sn*(1-MIN(1,MAX(0,$E1230*(7*J$9-3*sn_h)/(4*sn_h)))^2)</f>
        <v/>
      </c>
      <c r="K1230">
        <f>MAX(-fyd_sn,MIN(fyd_sn,200000*0.002*(1-$E1230*(7*K$9-3*sn_h)/(4*sn_h))))-fcd_sn*(1-MIN(1,MAX(0,$E1230*(7*K$9-3*sn_h)/(4*sn_h)))^2)</f>
        <v/>
      </c>
    </row>
    <row r="1231">
      <c r="B1231" s="55" t="n">
        <v>36</v>
      </c>
      <c r="C1231" s="56">
        <f>IF($F1230&lt;sn_N,$E1230,$C1230)</f>
        <v/>
      </c>
      <c r="D1231" s="56">
        <f>IF($F1230&lt;sn_N,$D1230,$E1230)</f>
        <v/>
      </c>
      <c r="E1231" s="56">
        <f>($C1231+$D1231)/2</f>
        <v/>
      </c>
      <c r="F1231" s="60">
        <f>(fcd_sn*sn_b*sn_h*(3/7+4/7*(1-$E1231^2/3))+SUMPRODUCT($J$8:$K$8,$J1231:$K1231))/1000</f>
        <v/>
      </c>
      <c r="G1231" s="60">
        <f>-((fcd_sn*sn_b*(3/14*sn_h*(sn_h-3/7*sn_h)+4/7*sn_h*(sn_h/2-3/7*sn_h)*(1-$E1231^2/3)-16/49*sn_h^2*(1/2-$E1231^2/4))+SUMPRODUCT($J$8:$K$8,$J1231:$K1231,$J$10:$K$10))/1E6)</f>
        <v/>
      </c>
      <c r="J1231">
        <f>MAX(-fyd_sn,MIN(fyd_sn,200000*0.002*(1-$E1231*(7*J$9-3*sn_h)/(4*sn_h))))-fcd_sn*(1-MIN(1,MAX(0,$E1231*(7*J$9-3*sn_h)/(4*sn_h)))^2)</f>
        <v/>
      </c>
      <c r="K1231">
        <f>MAX(-fyd_sn,MIN(fyd_sn,200000*0.002*(1-$E1231*(7*K$9-3*sn_h)/(4*sn_h))))-fcd_sn*(1-MIN(1,MAX(0,$E1231*(7*K$9-3*sn_h)/(4*sn_h)))^2)</f>
        <v/>
      </c>
    </row>
    <row r="1232">
      <c r="B1232" s="55" t="n">
        <v>37</v>
      </c>
      <c r="C1232" s="56">
        <f>IF($F1231&lt;sn_N,$E1231,$C1231)</f>
        <v/>
      </c>
      <c r="D1232" s="56">
        <f>IF($F1231&lt;sn_N,$D1231,$E1231)</f>
        <v/>
      </c>
      <c r="E1232" s="56">
        <f>($C1232+$D1232)/2</f>
        <v/>
      </c>
      <c r="F1232" s="60">
        <f>(fcd_sn*sn_b*sn_h*(3/7+4/7*(1-$E1232^2/3))+SUMPRODUCT($J$8:$K$8,$J1232:$K1232))/1000</f>
        <v/>
      </c>
      <c r="G1232" s="60">
        <f>-((fcd_sn*sn_b*(3/14*sn_h*(sn_h-3/7*sn_h)+4/7*sn_h*(sn_h/2-3/7*sn_h)*(1-$E1232^2/3)-16/49*sn_h^2*(1/2-$E1232^2/4))+SUMPRODUCT($J$8:$K$8,$J1232:$K1232,$J$10:$K$10))/1E6)</f>
        <v/>
      </c>
      <c r="J1232">
        <f>MAX(-fyd_sn,MIN(fyd_sn,200000*0.002*(1-$E1232*(7*J$9-3*sn_h)/(4*sn_h))))-fcd_sn*(1-MIN(1,MAX(0,$E1232*(7*J$9-3*sn_h)/(4*sn_h)))^2)</f>
        <v/>
      </c>
      <c r="K1232">
        <f>MAX(-fyd_sn,MIN(fyd_sn,200000*0.002*(1-$E1232*(7*K$9-3*sn_h)/(4*sn_h))))-fcd_sn*(1-MIN(1,MAX(0,$E1232*(7*K$9-3*sn_h)/(4*sn_h)))^2)</f>
        <v/>
      </c>
    </row>
    <row r="1233">
      <c r="B1233" s="55" t="n">
        <v>38</v>
      </c>
      <c r="C1233" s="56">
        <f>IF($F1232&lt;sn_N,$E1232,$C1232)</f>
        <v/>
      </c>
      <c r="D1233" s="56">
        <f>IF($F1232&lt;sn_N,$D1232,$E1232)</f>
        <v/>
      </c>
      <c r="E1233" s="56">
        <f>($C1233+$D1233)/2</f>
        <v/>
      </c>
      <c r="F1233" s="60">
        <f>(fcd_sn*sn_b*sn_h*(3/7+4/7*(1-$E1233^2/3))+SUMPRODUCT($J$8:$K$8,$J1233:$K1233))/1000</f>
        <v/>
      </c>
      <c r="G1233" s="60">
        <f>-((fcd_sn*sn_b*(3/14*sn_h*(sn_h-3/7*sn_h)+4/7*sn_h*(sn_h/2-3/7*sn_h)*(1-$E1233^2/3)-16/49*sn_h^2*(1/2-$E1233^2/4))+SUMPRODUCT($J$8:$K$8,$J1233:$K1233,$J$10:$K$10))/1E6)</f>
        <v/>
      </c>
      <c r="J1233">
        <f>MAX(-fyd_sn,MIN(fyd_sn,200000*0.002*(1-$E1233*(7*J$9-3*sn_h)/(4*sn_h))))-fcd_sn*(1-MIN(1,MAX(0,$E1233*(7*J$9-3*sn_h)/(4*sn_h)))^2)</f>
        <v/>
      </c>
      <c r="K1233">
        <f>MAX(-fyd_sn,MIN(fyd_sn,200000*0.002*(1-$E1233*(7*K$9-3*sn_h)/(4*sn_h))))-fcd_sn*(1-MIN(1,MAX(0,$E1233*(7*K$9-3*sn_h)/(4*sn_h)))^2)</f>
        <v/>
      </c>
    </row>
    <row r="1234">
      <c r="B1234" s="55" t="n">
        <v>39</v>
      </c>
      <c r="C1234" s="56">
        <f>IF($F1233&lt;sn_N,$E1233,$C1233)</f>
        <v/>
      </c>
      <c r="D1234" s="56">
        <f>IF($F1233&lt;sn_N,$D1233,$E1233)</f>
        <v/>
      </c>
      <c r="E1234" s="56">
        <f>($C1234+$D1234)/2</f>
        <v/>
      </c>
      <c r="F1234" s="60">
        <f>(fcd_sn*sn_b*sn_h*(3/7+4/7*(1-$E1234^2/3))+SUMPRODUCT($J$8:$K$8,$J1234:$K1234))/1000</f>
        <v/>
      </c>
      <c r="G1234" s="60">
        <f>-((fcd_sn*sn_b*(3/14*sn_h*(sn_h-3/7*sn_h)+4/7*sn_h*(sn_h/2-3/7*sn_h)*(1-$E1234^2/3)-16/49*sn_h^2*(1/2-$E1234^2/4))+SUMPRODUCT($J$8:$K$8,$J1234:$K1234,$J$10:$K$10))/1E6)</f>
        <v/>
      </c>
      <c r="J1234">
        <f>MAX(-fyd_sn,MIN(fyd_sn,200000*0.002*(1-$E1234*(7*J$9-3*sn_h)/(4*sn_h))))-fcd_sn*(1-MIN(1,MAX(0,$E1234*(7*J$9-3*sn_h)/(4*sn_h)))^2)</f>
        <v/>
      </c>
      <c r="K1234">
        <f>MAX(-fyd_sn,MIN(fyd_sn,200000*0.002*(1-$E1234*(7*K$9-3*sn_h)/(4*sn_h))))-fcd_sn*(1-MIN(1,MAX(0,$E1234*(7*K$9-3*sn_h)/(4*sn_h)))^2)</f>
        <v/>
      </c>
    </row>
    <row r="1235">
      <c r="B1235" s="55" t="n">
        <v>40</v>
      </c>
      <c r="C1235" s="56">
        <f>IF($F1234&lt;sn_N,$E1234,$C1234)</f>
        <v/>
      </c>
      <c r="D1235" s="56">
        <f>IF($F1234&lt;sn_N,$D1234,$E1234)</f>
        <v/>
      </c>
      <c r="E1235" s="56">
        <f>($C1235+$D1235)/2</f>
        <v/>
      </c>
      <c r="F1235" s="60">
        <f>(fcd_sn*sn_b*sn_h*(3/7+4/7*(1-$E1235^2/3))+SUMPRODUCT($J$8:$K$8,$J1235:$K1235))/1000</f>
        <v/>
      </c>
      <c r="G1235" s="60">
        <f>-((fcd_sn*sn_b*(3/14*sn_h*(sn_h-3/7*sn_h)+4/7*sn_h*(sn_h/2-3/7*sn_h)*(1-$E1235^2/3)-16/49*sn_h^2*(1/2-$E1235^2/4))+SUMPRODUCT($J$8:$K$8,$J1235:$K1235,$J$10:$K$10))/1E6)</f>
        <v/>
      </c>
      <c r="J1235">
        <f>MAX(-fyd_sn,MIN(fyd_sn,200000*0.002*(1-$E1235*(7*J$9-3*sn_h)/(4*sn_h))))-fcd_sn*(1-MIN(1,MAX(0,$E1235*(7*J$9-3*sn_h)/(4*sn_h)))^2)</f>
        <v/>
      </c>
      <c r="K1235">
        <f>MAX(-fyd_sn,MIN(fyd_sn,200000*0.002*(1-$E1235*(7*K$9-3*sn_h)/(4*sn_h))))-fcd_sn*(1-MIN(1,MAX(0,$E1235*(7*K$9-3*sn_h)/(4*sn_h)))^2)</f>
        <v/>
      </c>
    </row>
    <row r="1236">
      <c r="B1236" s="55" t="n">
        <v>41</v>
      </c>
      <c r="C1236" s="56">
        <f>IF($F1235&lt;sn_N,$E1235,$C1235)</f>
        <v/>
      </c>
      <c r="D1236" s="56">
        <f>IF($F1235&lt;sn_N,$D1235,$E1235)</f>
        <v/>
      </c>
      <c r="E1236" s="56">
        <f>($C1236+$D1236)/2</f>
        <v/>
      </c>
      <c r="F1236" s="60">
        <f>(fcd_sn*sn_b*sn_h*(3/7+4/7*(1-$E1236^2/3))+SUMPRODUCT($J$8:$K$8,$J1236:$K1236))/1000</f>
        <v/>
      </c>
      <c r="G1236" s="60">
        <f>-((fcd_sn*sn_b*(3/14*sn_h*(sn_h-3/7*sn_h)+4/7*sn_h*(sn_h/2-3/7*sn_h)*(1-$E1236^2/3)-16/49*sn_h^2*(1/2-$E1236^2/4))+SUMPRODUCT($J$8:$K$8,$J1236:$K1236,$J$10:$K$10))/1E6)</f>
        <v/>
      </c>
      <c r="J1236">
        <f>MAX(-fyd_sn,MIN(fyd_sn,200000*0.002*(1-$E1236*(7*J$9-3*sn_h)/(4*sn_h))))-fcd_sn*(1-MIN(1,MAX(0,$E1236*(7*J$9-3*sn_h)/(4*sn_h)))^2)</f>
        <v/>
      </c>
      <c r="K1236">
        <f>MAX(-fyd_sn,MIN(fyd_sn,200000*0.002*(1-$E1236*(7*K$9-3*sn_h)/(4*sn_h))))-fcd_sn*(1-MIN(1,MAX(0,$E1236*(7*K$9-3*sn_h)/(4*sn_h)))^2)</f>
        <v/>
      </c>
    </row>
    <row r="1237">
      <c r="B1237" s="55" t="n">
        <v>42</v>
      </c>
      <c r="C1237" s="56">
        <f>IF($F1236&lt;sn_N,$E1236,$C1236)</f>
        <v/>
      </c>
      <c r="D1237" s="56">
        <f>IF($F1236&lt;sn_N,$D1236,$E1236)</f>
        <v/>
      </c>
      <c r="E1237" s="56">
        <f>($C1237+$D1237)/2</f>
        <v/>
      </c>
      <c r="F1237" s="60">
        <f>(fcd_sn*sn_b*sn_h*(3/7+4/7*(1-$E1237^2/3))+SUMPRODUCT($J$8:$K$8,$J1237:$K1237))/1000</f>
        <v/>
      </c>
      <c r="G1237" s="60">
        <f>-((fcd_sn*sn_b*(3/14*sn_h*(sn_h-3/7*sn_h)+4/7*sn_h*(sn_h/2-3/7*sn_h)*(1-$E1237^2/3)-16/49*sn_h^2*(1/2-$E1237^2/4))+SUMPRODUCT($J$8:$K$8,$J1237:$K1237,$J$10:$K$10))/1E6)</f>
        <v/>
      </c>
      <c r="J1237">
        <f>MAX(-fyd_sn,MIN(fyd_sn,200000*0.002*(1-$E1237*(7*J$9-3*sn_h)/(4*sn_h))))-fcd_sn*(1-MIN(1,MAX(0,$E1237*(7*J$9-3*sn_h)/(4*sn_h)))^2)</f>
        <v/>
      </c>
      <c r="K1237">
        <f>MAX(-fyd_sn,MIN(fyd_sn,200000*0.002*(1-$E1237*(7*K$9-3*sn_h)/(4*sn_h))))-fcd_sn*(1-MIN(1,MAX(0,$E1237*(7*K$9-3*sn_h)/(4*sn_h)))^2)</f>
        <v/>
      </c>
    </row>
    <row r="1238">
      <c r="B1238" s="55" t="n">
        <v>43</v>
      </c>
      <c r="C1238" s="56">
        <f>IF($F1237&lt;sn_N,$E1237,$C1237)</f>
        <v/>
      </c>
      <c r="D1238" s="56">
        <f>IF($F1237&lt;sn_N,$D1237,$E1237)</f>
        <v/>
      </c>
      <c r="E1238" s="56">
        <f>($C1238+$D1238)/2</f>
        <v/>
      </c>
      <c r="F1238" s="60">
        <f>(fcd_sn*sn_b*sn_h*(3/7+4/7*(1-$E1238^2/3))+SUMPRODUCT($J$8:$K$8,$J1238:$K1238))/1000</f>
        <v/>
      </c>
      <c r="G1238" s="60">
        <f>-((fcd_sn*sn_b*(3/14*sn_h*(sn_h-3/7*sn_h)+4/7*sn_h*(sn_h/2-3/7*sn_h)*(1-$E1238^2/3)-16/49*sn_h^2*(1/2-$E1238^2/4))+SUMPRODUCT($J$8:$K$8,$J1238:$K1238,$J$10:$K$10))/1E6)</f>
        <v/>
      </c>
      <c r="J1238">
        <f>MAX(-fyd_sn,MIN(fyd_sn,200000*0.002*(1-$E1238*(7*J$9-3*sn_h)/(4*sn_h))))-fcd_sn*(1-MIN(1,MAX(0,$E1238*(7*J$9-3*sn_h)/(4*sn_h)))^2)</f>
        <v/>
      </c>
      <c r="K1238">
        <f>MAX(-fyd_sn,MIN(fyd_sn,200000*0.002*(1-$E1238*(7*K$9-3*sn_h)/(4*sn_h))))-fcd_sn*(1-MIN(1,MAX(0,$E1238*(7*K$9-3*sn_h)/(4*sn_h)))^2)</f>
        <v/>
      </c>
    </row>
    <row r="1239">
      <c r="B1239" s="55" t="n">
        <v>44</v>
      </c>
      <c r="C1239" s="56">
        <f>IF($F1238&lt;sn_N,$E1238,$C1238)</f>
        <v/>
      </c>
      <c r="D1239" s="56">
        <f>IF($F1238&lt;sn_N,$D1238,$E1238)</f>
        <v/>
      </c>
      <c r="E1239" s="56">
        <f>($C1239+$D1239)/2</f>
        <v/>
      </c>
      <c r="F1239" s="60">
        <f>(fcd_sn*sn_b*sn_h*(3/7+4/7*(1-$E1239^2/3))+SUMPRODUCT($J$8:$K$8,$J1239:$K1239))/1000</f>
        <v/>
      </c>
      <c r="G1239" s="60">
        <f>-((fcd_sn*sn_b*(3/14*sn_h*(sn_h-3/7*sn_h)+4/7*sn_h*(sn_h/2-3/7*sn_h)*(1-$E1239^2/3)-16/49*sn_h^2*(1/2-$E1239^2/4))+SUMPRODUCT($J$8:$K$8,$J1239:$K1239,$J$10:$K$10))/1E6)</f>
        <v/>
      </c>
      <c r="J1239">
        <f>MAX(-fyd_sn,MIN(fyd_sn,200000*0.002*(1-$E1239*(7*J$9-3*sn_h)/(4*sn_h))))-fcd_sn*(1-MIN(1,MAX(0,$E1239*(7*J$9-3*sn_h)/(4*sn_h)))^2)</f>
        <v/>
      </c>
      <c r="K1239">
        <f>MAX(-fyd_sn,MIN(fyd_sn,200000*0.002*(1-$E1239*(7*K$9-3*sn_h)/(4*sn_h))))-fcd_sn*(1-MIN(1,MAX(0,$E1239*(7*K$9-3*sn_h)/(4*sn_h)))^2)</f>
        <v/>
      </c>
    </row>
    <row r="1240">
      <c r="B1240" s="55" t="n">
        <v>45</v>
      </c>
      <c r="C1240" s="56">
        <f>IF($F1239&lt;sn_N,$E1239,$C1239)</f>
        <v/>
      </c>
      <c r="D1240" s="56">
        <f>IF($F1239&lt;sn_N,$D1239,$E1239)</f>
        <v/>
      </c>
      <c r="E1240" s="56">
        <f>($C1240+$D1240)/2</f>
        <v/>
      </c>
      <c r="F1240" s="60">
        <f>(fcd_sn*sn_b*sn_h*(3/7+4/7*(1-$E1240^2/3))+SUMPRODUCT($J$8:$K$8,$J1240:$K1240))/1000</f>
        <v/>
      </c>
      <c r="G1240" s="60">
        <f>-((fcd_sn*sn_b*(3/14*sn_h*(sn_h-3/7*sn_h)+4/7*sn_h*(sn_h/2-3/7*sn_h)*(1-$E1240^2/3)-16/49*sn_h^2*(1/2-$E1240^2/4))+SUMPRODUCT($J$8:$K$8,$J1240:$K1240,$J$10:$K$10))/1E6)</f>
        <v/>
      </c>
      <c r="J1240">
        <f>MAX(-fyd_sn,MIN(fyd_sn,200000*0.002*(1-$E1240*(7*J$9-3*sn_h)/(4*sn_h))))-fcd_sn*(1-MIN(1,MAX(0,$E1240*(7*J$9-3*sn_h)/(4*sn_h)))^2)</f>
        <v/>
      </c>
      <c r="K1240">
        <f>MAX(-fyd_sn,MIN(fyd_sn,200000*0.002*(1-$E1240*(7*K$9-3*sn_h)/(4*sn_h))))-fcd_sn*(1-MIN(1,MAX(0,$E1240*(7*K$9-3*sn_h)/(4*sn_h)))^2)</f>
        <v/>
      </c>
    </row>
    <row r="1241">
      <c r="B1241" s="55" t="n">
        <v>46</v>
      </c>
      <c r="C1241" s="56">
        <f>IF($F1240&lt;sn_N,$E1240,$C1240)</f>
        <v/>
      </c>
      <c r="D1241" s="56">
        <f>IF($F1240&lt;sn_N,$D1240,$E1240)</f>
        <v/>
      </c>
      <c r="E1241" s="56">
        <f>($C1241+$D1241)/2</f>
        <v/>
      </c>
      <c r="F1241" s="60">
        <f>(fcd_sn*sn_b*sn_h*(3/7+4/7*(1-$E1241^2/3))+SUMPRODUCT($J$8:$K$8,$J1241:$K1241))/1000</f>
        <v/>
      </c>
      <c r="G1241" s="60">
        <f>-((fcd_sn*sn_b*(3/14*sn_h*(sn_h-3/7*sn_h)+4/7*sn_h*(sn_h/2-3/7*sn_h)*(1-$E1241^2/3)-16/49*sn_h^2*(1/2-$E1241^2/4))+SUMPRODUCT($J$8:$K$8,$J1241:$K1241,$J$10:$K$10))/1E6)</f>
        <v/>
      </c>
      <c r="J1241">
        <f>MAX(-fyd_sn,MIN(fyd_sn,200000*0.002*(1-$E1241*(7*J$9-3*sn_h)/(4*sn_h))))-fcd_sn*(1-MIN(1,MAX(0,$E1241*(7*J$9-3*sn_h)/(4*sn_h)))^2)</f>
        <v/>
      </c>
      <c r="K1241">
        <f>MAX(-fyd_sn,MIN(fyd_sn,200000*0.002*(1-$E1241*(7*K$9-3*sn_h)/(4*sn_h))))-fcd_sn*(1-MIN(1,MAX(0,$E1241*(7*K$9-3*sn_h)/(4*sn_h)))^2)</f>
        <v/>
      </c>
    </row>
    <row r="1242">
      <c r="B1242" s="55" t="n">
        <v>47</v>
      </c>
      <c r="C1242" s="56">
        <f>IF($F1241&lt;sn_N,$E1241,$C1241)</f>
        <v/>
      </c>
      <c r="D1242" s="56">
        <f>IF($F1241&lt;sn_N,$D1241,$E1241)</f>
        <v/>
      </c>
      <c r="E1242" s="56">
        <f>($C1242+$D1242)/2</f>
        <v/>
      </c>
      <c r="F1242" s="60">
        <f>(fcd_sn*sn_b*sn_h*(3/7+4/7*(1-$E1242^2/3))+SUMPRODUCT($J$8:$K$8,$J1242:$K1242))/1000</f>
        <v/>
      </c>
      <c r="G1242" s="60">
        <f>-((fcd_sn*sn_b*(3/14*sn_h*(sn_h-3/7*sn_h)+4/7*sn_h*(sn_h/2-3/7*sn_h)*(1-$E1242^2/3)-16/49*sn_h^2*(1/2-$E1242^2/4))+SUMPRODUCT($J$8:$K$8,$J1242:$K1242,$J$10:$K$10))/1E6)</f>
        <v/>
      </c>
      <c r="J1242">
        <f>MAX(-fyd_sn,MIN(fyd_sn,200000*0.002*(1-$E1242*(7*J$9-3*sn_h)/(4*sn_h))))-fcd_sn*(1-MIN(1,MAX(0,$E1242*(7*J$9-3*sn_h)/(4*sn_h)))^2)</f>
        <v/>
      </c>
      <c r="K1242">
        <f>MAX(-fyd_sn,MIN(fyd_sn,200000*0.002*(1-$E1242*(7*K$9-3*sn_h)/(4*sn_h))))-fcd_sn*(1-MIN(1,MAX(0,$E1242*(7*K$9-3*sn_h)/(4*sn_h)))^2)</f>
        <v/>
      </c>
    </row>
    <row r="1243">
      <c r="B1243" s="55" t="n">
        <v>48</v>
      </c>
      <c r="C1243" s="56">
        <f>IF($F1242&lt;sn_N,$E1242,$C1242)</f>
        <v/>
      </c>
      <c r="D1243" s="56">
        <f>IF($F1242&lt;sn_N,$D1242,$E1242)</f>
        <v/>
      </c>
      <c r="E1243" s="56">
        <f>($C1243+$D1243)/2</f>
        <v/>
      </c>
      <c r="F1243" s="60">
        <f>(fcd_sn*sn_b*sn_h*(3/7+4/7*(1-$E1243^2/3))+SUMPRODUCT($J$8:$K$8,$J1243:$K1243))/1000</f>
        <v/>
      </c>
      <c r="G1243" s="60">
        <f>-((fcd_sn*sn_b*(3/14*sn_h*(sn_h-3/7*sn_h)+4/7*sn_h*(sn_h/2-3/7*sn_h)*(1-$E1243^2/3)-16/49*sn_h^2*(1/2-$E1243^2/4))+SUMPRODUCT($J$8:$K$8,$J1243:$K1243,$J$10:$K$10))/1E6)</f>
        <v/>
      </c>
      <c r="J1243">
        <f>MAX(-fyd_sn,MIN(fyd_sn,200000*0.002*(1-$E1243*(7*J$9-3*sn_h)/(4*sn_h))))-fcd_sn*(1-MIN(1,MAX(0,$E1243*(7*J$9-3*sn_h)/(4*sn_h)))^2)</f>
        <v/>
      </c>
      <c r="K1243">
        <f>MAX(-fyd_sn,MIN(fyd_sn,200000*0.002*(1-$E1243*(7*K$9-3*sn_h)/(4*sn_h))))-fcd_sn*(1-MIN(1,MAX(0,$E1243*(7*K$9-3*sn_h)/(4*sn_h)))^2)</f>
        <v/>
      </c>
    </row>
    <row r="1244">
      <c r="B1244" s="55" t="n">
        <v>49</v>
      </c>
      <c r="C1244" s="56">
        <f>IF($F1243&lt;sn_N,$E1243,$C1243)</f>
        <v/>
      </c>
      <c r="D1244" s="56">
        <f>IF($F1243&lt;sn_N,$D1243,$E1243)</f>
        <v/>
      </c>
      <c r="E1244" s="56">
        <f>($C1244+$D1244)/2</f>
        <v/>
      </c>
      <c r="F1244" s="60">
        <f>(fcd_sn*sn_b*sn_h*(3/7+4/7*(1-$E1244^2/3))+SUMPRODUCT($J$8:$K$8,$J1244:$K1244))/1000</f>
        <v/>
      </c>
      <c r="G1244" s="60">
        <f>-((fcd_sn*sn_b*(3/14*sn_h*(sn_h-3/7*sn_h)+4/7*sn_h*(sn_h/2-3/7*sn_h)*(1-$E1244^2/3)-16/49*sn_h^2*(1/2-$E1244^2/4))+SUMPRODUCT($J$8:$K$8,$J1244:$K1244,$J$10:$K$10))/1E6)</f>
        <v/>
      </c>
      <c r="J1244">
        <f>MAX(-fyd_sn,MIN(fyd_sn,200000*0.002*(1-$E1244*(7*J$9-3*sn_h)/(4*sn_h))))-fcd_sn*(1-MIN(1,MAX(0,$E1244*(7*J$9-3*sn_h)/(4*sn_h)))^2)</f>
        <v/>
      </c>
      <c r="K1244">
        <f>MAX(-fyd_sn,MIN(fyd_sn,200000*0.002*(1-$E1244*(7*K$9-3*sn_h)/(4*sn_h))))-fcd_sn*(1-MIN(1,MAX(0,$E1244*(7*K$9-3*sn_h)/(4*sn_h)))^2)</f>
        <v/>
      </c>
    </row>
    <row r="1245">
      <c r="B1245" s="55" t="n">
        <v>50</v>
      </c>
      <c r="C1245" s="56">
        <f>IF($F1244&lt;sn_N,$E1244,$C1244)</f>
        <v/>
      </c>
      <c r="D1245" s="56">
        <f>IF($F1244&lt;sn_N,$D1244,$E1244)</f>
        <v/>
      </c>
      <c r="E1245" s="56">
        <f>($C1245+$D1245)/2</f>
        <v/>
      </c>
      <c r="F1245" s="60">
        <f>(fcd_sn*sn_b*sn_h*(3/7+4/7*(1-$E1245^2/3))+SUMPRODUCT($J$8:$K$8,$J1245:$K1245))/1000</f>
        <v/>
      </c>
      <c r="G1245" s="60">
        <f>-((fcd_sn*sn_b*(3/14*sn_h*(sn_h-3/7*sn_h)+4/7*sn_h*(sn_h/2-3/7*sn_h)*(1-$E1245^2/3)-16/49*sn_h^2*(1/2-$E1245^2/4))+SUMPRODUCT($J$8:$K$8,$J1245:$K1245,$J$10:$K$10))/1E6)</f>
        <v/>
      </c>
      <c r="J1245">
        <f>MAX(-fyd_sn,MIN(fyd_sn,200000*0.002*(1-$E1245*(7*J$9-3*sn_h)/(4*sn_h))))-fcd_sn*(1-MIN(1,MAX(0,$E1245*(7*J$9-3*sn_h)/(4*sn_h)))^2)</f>
        <v/>
      </c>
      <c r="K1245">
        <f>MAX(-fyd_sn,MIN(fyd_sn,200000*0.002*(1-$E1245*(7*K$9-3*sn_h)/(4*sn_h))))-fcd_sn*(1-MIN(1,MAX(0,$E1245*(7*K$9-3*sn_h)/(4*sn_h)))^2)</f>
        <v/>
      </c>
    </row>
    <row r="1247">
      <c r="B1247" s="54" t="inlineStr">
        <is>
          <t>Bottom face compressed  ·  4. root in the bracket of the smallest moment</t>
        </is>
      </c>
    </row>
    <row r="1248">
      <c r="B1248" s="48" t="inlineStr">
        <is>
          <t>step</t>
        </is>
      </c>
      <c r="C1248" s="48" t="inlineStr">
        <is>
          <t>t (N &lt; NEd)</t>
        </is>
      </c>
      <c r="D1248" s="48" t="inlineStr">
        <is>
          <t>t (N ≥ NEd)</t>
        </is>
      </c>
      <c r="E1248" s="48" t="inlineStr">
        <is>
          <t>t</t>
        </is>
      </c>
      <c r="F1248" s="48" t="inlineStr">
        <is>
          <t>N (kN)</t>
        </is>
      </c>
      <c r="G1248" s="48" t="inlineStr">
        <is>
          <t>M signed</t>
        </is>
      </c>
    </row>
    <row r="1249">
      <c r="B1249" s="55" t="n">
        <v>1</v>
      </c>
      <c r="C1249" s="56">
        <f>IF(INDEX(finH_N,$I1249)&lt;=INDEX(finH_N,$I1249+1),INDEX(finH_t,$I1249),INDEX(finH_t,$I1249+1))</f>
        <v/>
      </c>
      <c r="D1249" s="56">
        <f>IF(INDEX(finH_N,$I1249)&lt;=INDEX(finH_N,$I1249+1),INDEX(finH_t,$I1249+1),INDEX(finH_t,$I1249))</f>
        <v/>
      </c>
      <c r="E1249" s="56">
        <f>($C1249+$D1249)/2</f>
        <v/>
      </c>
      <c r="F1249" s="60">
        <f>(fcd_sn*sn_b*sn_h*(3/7+4/7*(1-$E1249^2/3))+SUMPRODUCT($J$8:$K$8,$J1249:$K1249))/1000</f>
        <v/>
      </c>
      <c r="G1249" s="60">
        <f>-((fcd_sn*sn_b*(3/14*sn_h*(sn_h-3/7*sn_h)+4/7*sn_h*(sn_h/2-3/7*sn_h)*(1-$E1249^2/3)-16/49*sn_h^2*(1/2-$E1249^2/4))+SUMPRODUCT($J$8:$K$8,$J1249:$K1249,$J$10:$K$10))/1E6)</f>
        <v/>
      </c>
      <c r="I1249">
        <f>IF(cntH_sn&gt;0,MATCH(MIN(finH_lo),finH_lo,0),1)</f>
        <v/>
      </c>
      <c r="J1249">
        <f>MAX(-fyd_sn,MIN(fyd_sn,200000*0.002*(1-$E1249*(7*J$9-3*sn_h)/(4*sn_h))))-fcd_sn*(1-MIN(1,MAX(0,$E1249*(7*J$9-3*sn_h)/(4*sn_h)))^2)</f>
        <v/>
      </c>
      <c r="K1249">
        <f>MAX(-fyd_sn,MIN(fyd_sn,200000*0.002*(1-$E1249*(7*K$9-3*sn_h)/(4*sn_h))))-fcd_sn*(1-MIN(1,MAX(0,$E1249*(7*K$9-3*sn_h)/(4*sn_h)))^2)</f>
        <v/>
      </c>
    </row>
    <row r="1250">
      <c r="B1250" s="55" t="n">
        <v>2</v>
      </c>
      <c r="C1250" s="56">
        <f>IF($F1249&lt;sn_N,$E1249,$C1249)</f>
        <v/>
      </c>
      <c r="D1250" s="56">
        <f>IF($F1249&lt;sn_N,$D1249,$E1249)</f>
        <v/>
      </c>
      <c r="E1250" s="56">
        <f>($C1250+$D1250)/2</f>
        <v/>
      </c>
      <c r="F1250" s="60">
        <f>(fcd_sn*sn_b*sn_h*(3/7+4/7*(1-$E1250^2/3))+SUMPRODUCT($J$8:$K$8,$J1250:$K1250))/1000</f>
        <v/>
      </c>
      <c r="G1250" s="60">
        <f>-((fcd_sn*sn_b*(3/14*sn_h*(sn_h-3/7*sn_h)+4/7*sn_h*(sn_h/2-3/7*sn_h)*(1-$E1250^2/3)-16/49*sn_h^2*(1/2-$E1250^2/4))+SUMPRODUCT($J$8:$K$8,$J1250:$K1250,$J$10:$K$10))/1E6)</f>
        <v/>
      </c>
      <c r="J1250">
        <f>MAX(-fyd_sn,MIN(fyd_sn,200000*0.002*(1-$E1250*(7*J$9-3*sn_h)/(4*sn_h))))-fcd_sn*(1-MIN(1,MAX(0,$E1250*(7*J$9-3*sn_h)/(4*sn_h)))^2)</f>
        <v/>
      </c>
      <c r="K1250">
        <f>MAX(-fyd_sn,MIN(fyd_sn,200000*0.002*(1-$E1250*(7*K$9-3*sn_h)/(4*sn_h))))-fcd_sn*(1-MIN(1,MAX(0,$E1250*(7*K$9-3*sn_h)/(4*sn_h)))^2)</f>
        <v/>
      </c>
    </row>
    <row r="1251">
      <c r="B1251" s="55" t="n">
        <v>3</v>
      </c>
      <c r="C1251" s="56">
        <f>IF($F1250&lt;sn_N,$E1250,$C1250)</f>
        <v/>
      </c>
      <c r="D1251" s="56">
        <f>IF($F1250&lt;sn_N,$D1250,$E1250)</f>
        <v/>
      </c>
      <c r="E1251" s="56">
        <f>($C1251+$D1251)/2</f>
        <v/>
      </c>
      <c r="F1251" s="60">
        <f>(fcd_sn*sn_b*sn_h*(3/7+4/7*(1-$E1251^2/3))+SUMPRODUCT($J$8:$K$8,$J1251:$K1251))/1000</f>
        <v/>
      </c>
      <c r="G1251" s="60">
        <f>-((fcd_sn*sn_b*(3/14*sn_h*(sn_h-3/7*sn_h)+4/7*sn_h*(sn_h/2-3/7*sn_h)*(1-$E1251^2/3)-16/49*sn_h^2*(1/2-$E1251^2/4))+SUMPRODUCT($J$8:$K$8,$J1251:$K1251,$J$10:$K$10))/1E6)</f>
        <v/>
      </c>
      <c r="J1251">
        <f>MAX(-fyd_sn,MIN(fyd_sn,200000*0.002*(1-$E1251*(7*J$9-3*sn_h)/(4*sn_h))))-fcd_sn*(1-MIN(1,MAX(0,$E1251*(7*J$9-3*sn_h)/(4*sn_h)))^2)</f>
        <v/>
      </c>
      <c r="K1251">
        <f>MAX(-fyd_sn,MIN(fyd_sn,200000*0.002*(1-$E1251*(7*K$9-3*sn_h)/(4*sn_h))))-fcd_sn*(1-MIN(1,MAX(0,$E1251*(7*K$9-3*sn_h)/(4*sn_h)))^2)</f>
        <v/>
      </c>
    </row>
    <row r="1252">
      <c r="B1252" s="55" t="n">
        <v>4</v>
      </c>
      <c r="C1252" s="56">
        <f>IF($F1251&lt;sn_N,$E1251,$C1251)</f>
        <v/>
      </c>
      <c r="D1252" s="56">
        <f>IF($F1251&lt;sn_N,$D1251,$E1251)</f>
        <v/>
      </c>
      <c r="E1252" s="56">
        <f>($C1252+$D1252)/2</f>
        <v/>
      </c>
      <c r="F1252" s="60">
        <f>(fcd_sn*sn_b*sn_h*(3/7+4/7*(1-$E1252^2/3))+SUMPRODUCT($J$8:$K$8,$J1252:$K1252))/1000</f>
        <v/>
      </c>
      <c r="G1252" s="60">
        <f>-((fcd_sn*sn_b*(3/14*sn_h*(sn_h-3/7*sn_h)+4/7*sn_h*(sn_h/2-3/7*sn_h)*(1-$E1252^2/3)-16/49*sn_h^2*(1/2-$E1252^2/4))+SUMPRODUCT($J$8:$K$8,$J1252:$K1252,$J$10:$K$10))/1E6)</f>
        <v/>
      </c>
      <c r="J1252">
        <f>MAX(-fyd_sn,MIN(fyd_sn,200000*0.002*(1-$E1252*(7*J$9-3*sn_h)/(4*sn_h))))-fcd_sn*(1-MIN(1,MAX(0,$E1252*(7*J$9-3*sn_h)/(4*sn_h)))^2)</f>
        <v/>
      </c>
      <c r="K1252">
        <f>MAX(-fyd_sn,MIN(fyd_sn,200000*0.002*(1-$E1252*(7*K$9-3*sn_h)/(4*sn_h))))-fcd_sn*(1-MIN(1,MAX(0,$E1252*(7*K$9-3*sn_h)/(4*sn_h)))^2)</f>
        <v/>
      </c>
    </row>
    <row r="1253">
      <c r="B1253" s="55" t="n">
        <v>5</v>
      </c>
      <c r="C1253" s="56">
        <f>IF($F1252&lt;sn_N,$E1252,$C1252)</f>
        <v/>
      </c>
      <c r="D1253" s="56">
        <f>IF($F1252&lt;sn_N,$D1252,$E1252)</f>
        <v/>
      </c>
      <c r="E1253" s="56">
        <f>($C1253+$D1253)/2</f>
        <v/>
      </c>
      <c r="F1253" s="60">
        <f>(fcd_sn*sn_b*sn_h*(3/7+4/7*(1-$E1253^2/3))+SUMPRODUCT($J$8:$K$8,$J1253:$K1253))/1000</f>
        <v/>
      </c>
      <c r="G1253" s="60">
        <f>-((fcd_sn*sn_b*(3/14*sn_h*(sn_h-3/7*sn_h)+4/7*sn_h*(sn_h/2-3/7*sn_h)*(1-$E1253^2/3)-16/49*sn_h^2*(1/2-$E1253^2/4))+SUMPRODUCT($J$8:$K$8,$J1253:$K1253,$J$10:$K$10))/1E6)</f>
        <v/>
      </c>
      <c r="J1253">
        <f>MAX(-fyd_sn,MIN(fyd_sn,200000*0.002*(1-$E1253*(7*J$9-3*sn_h)/(4*sn_h))))-fcd_sn*(1-MIN(1,MAX(0,$E1253*(7*J$9-3*sn_h)/(4*sn_h)))^2)</f>
        <v/>
      </c>
      <c r="K1253">
        <f>MAX(-fyd_sn,MIN(fyd_sn,200000*0.002*(1-$E1253*(7*K$9-3*sn_h)/(4*sn_h))))-fcd_sn*(1-MIN(1,MAX(0,$E1253*(7*K$9-3*sn_h)/(4*sn_h)))^2)</f>
        <v/>
      </c>
    </row>
    <row r="1254">
      <c r="B1254" s="55" t="n">
        <v>6</v>
      </c>
      <c r="C1254" s="56">
        <f>IF($F1253&lt;sn_N,$E1253,$C1253)</f>
        <v/>
      </c>
      <c r="D1254" s="56">
        <f>IF($F1253&lt;sn_N,$D1253,$E1253)</f>
        <v/>
      </c>
      <c r="E1254" s="56">
        <f>($C1254+$D1254)/2</f>
        <v/>
      </c>
      <c r="F1254" s="60">
        <f>(fcd_sn*sn_b*sn_h*(3/7+4/7*(1-$E1254^2/3))+SUMPRODUCT($J$8:$K$8,$J1254:$K1254))/1000</f>
        <v/>
      </c>
      <c r="G1254" s="60">
        <f>-((fcd_sn*sn_b*(3/14*sn_h*(sn_h-3/7*sn_h)+4/7*sn_h*(sn_h/2-3/7*sn_h)*(1-$E1254^2/3)-16/49*sn_h^2*(1/2-$E1254^2/4))+SUMPRODUCT($J$8:$K$8,$J1254:$K1254,$J$10:$K$10))/1E6)</f>
        <v/>
      </c>
      <c r="J1254">
        <f>MAX(-fyd_sn,MIN(fyd_sn,200000*0.002*(1-$E1254*(7*J$9-3*sn_h)/(4*sn_h))))-fcd_sn*(1-MIN(1,MAX(0,$E1254*(7*J$9-3*sn_h)/(4*sn_h)))^2)</f>
        <v/>
      </c>
      <c r="K1254">
        <f>MAX(-fyd_sn,MIN(fyd_sn,200000*0.002*(1-$E1254*(7*K$9-3*sn_h)/(4*sn_h))))-fcd_sn*(1-MIN(1,MAX(0,$E1254*(7*K$9-3*sn_h)/(4*sn_h)))^2)</f>
        <v/>
      </c>
    </row>
    <row r="1255">
      <c r="B1255" s="55" t="n">
        <v>7</v>
      </c>
      <c r="C1255" s="56">
        <f>IF($F1254&lt;sn_N,$E1254,$C1254)</f>
        <v/>
      </c>
      <c r="D1255" s="56">
        <f>IF($F1254&lt;sn_N,$D1254,$E1254)</f>
        <v/>
      </c>
      <c r="E1255" s="56">
        <f>($C1255+$D1255)/2</f>
        <v/>
      </c>
      <c r="F1255" s="60">
        <f>(fcd_sn*sn_b*sn_h*(3/7+4/7*(1-$E1255^2/3))+SUMPRODUCT($J$8:$K$8,$J1255:$K1255))/1000</f>
        <v/>
      </c>
      <c r="G1255" s="60">
        <f>-((fcd_sn*sn_b*(3/14*sn_h*(sn_h-3/7*sn_h)+4/7*sn_h*(sn_h/2-3/7*sn_h)*(1-$E1255^2/3)-16/49*sn_h^2*(1/2-$E1255^2/4))+SUMPRODUCT($J$8:$K$8,$J1255:$K1255,$J$10:$K$10))/1E6)</f>
        <v/>
      </c>
      <c r="J1255">
        <f>MAX(-fyd_sn,MIN(fyd_sn,200000*0.002*(1-$E1255*(7*J$9-3*sn_h)/(4*sn_h))))-fcd_sn*(1-MIN(1,MAX(0,$E1255*(7*J$9-3*sn_h)/(4*sn_h)))^2)</f>
        <v/>
      </c>
      <c r="K1255">
        <f>MAX(-fyd_sn,MIN(fyd_sn,200000*0.002*(1-$E1255*(7*K$9-3*sn_h)/(4*sn_h))))-fcd_sn*(1-MIN(1,MAX(0,$E1255*(7*K$9-3*sn_h)/(4*sn_h)))^2)</f>
        <v/>
      </c>
    </row>
    <row r="1256">
      <c r="B1256" s="55" t="n">
        <v>8</v>
      </c>
      <c r="C1256" s="56">
        <f>IF($F1255&lt;sn_N,$E1255,$C1255)</f>
        <v/>
      </c>
      <c r="D1256" s="56">
        <f>IF($F1255&lt;sn_N,$D1255,$E1255)</f>
        <v/>
      </c>
      <c r="E1256" s="56">
        <f>($C1256+$D1256)/2</f>
        <v/>
      </c>
      <c r="F1256" s="60">
        <f>(fcd_sn*sn_b*sn_h*(3/7+4/7*(1-$E1256^2/3))+SUMPRODUCT($J$8:$K$8,$J1256:$K1256))/1000</f>
        <v/>
      </c>
      <c r="G1256" s="60">
        <f>-((fcd_sn*sn_b*(3/14*sn_h*(sn_h-3/7*sn_h)+4/7*sn_h*(sn_h/2-3/7*sn_h)*(1-$E1256^2/3)-16/49*sn_h^2*(1/2-$E1256^2/4))+SUMPRODUCT($J$8:$K$8,$J1256:$K1256,$J$10:$K$10))/1E6)</f>
        <v/>
      </c>
      <c r="J1256">
        <f>MAX(-fyd_sn,MIN(fyd_sn,200000*0.002*(1-$E1256*(7*J$9-3*sn_h)/(4*sn_h))))-fcd_sn*(1-MIN(1,MAX(0,$E1256*(7*J$9-3*sn_h)/(4*sn_h)))^2)</f>
        <v/>
      </c>
      <c r="K1256">
        <f>MAX(-fyd_sn,MIN(fyd_sn,200000*0.002*(1-$E1256*(7*K$9-3*sn_h)/(4*sn_h))))-fcd_sn*(1-MIN(1,MAX(0,$E1256*(7*K$9-3*sn_h)/(4*sn_h)))^2)</f>
        <v/>
      </c>
    </row>
    <row r="1257">
      <c r="B1257" s="55" t="n">
        <v>9</v>
      </c>
      <c r="C1257" s="56">
        <f>IF($F1256&lt;sn_N,$E1256,$C1256)</f>
        <v/>
      </c>
      <c r="D1257" s="56">
        <f>IF($F1256&lt;sn_N,$D1256,$E1256)</f>
        <v/>
      </c>
      <c r="E1257" s="56">
        <f>($C1257+$D1257)/2</f>
        <v/>
      </c>
      <c r="F1257" s="60">
        <f>(fcd_sn*sn_b*sn_h*(3/7+4/7*(1-$E1257^2/3))+SUMPRODUCT($J$8:$K$8,$J1257:$K1257))/1000</f>
        <v/>
      </c>
      <c r="G1257" s="60">
        <f>-((fcd_sn*sn_b*(3/14*sn_h*(sn_h-3/7*sn_h)+4/7*sn_h*(sn_h/2-3/7*sn_h)*(1-$E1257^2/3)-16/49*sn_h^2*(1/2-$E1257^2/4))+SUMPRODUCT($J$8:$K$8,$J1257:$K1257,$J$10:$K$10))/1E6)</f>
        <v/>
      </c>
      <c r="J1257">
        <f>MAX(-fyd_sn,MIN(fyd_sn,200000*0.002*(1-$E1257*(7*J$9-3*sn_h)/(4*sn_h))))-fcd_sn*(1-MIN(1,MAX(0,$E1257*(7*J$9-3*sn_h)/(4*sn_h)))^2)</f>
        <v/>
      </c>
      <c r="K1257">
        <f>MAX(-fyd_sn,MIN(fyd_sn,200000*0.002*(1-$E1257*(7*K$9-3*sn_h)/(4*sn_h))))-fcd_sn*(1-MIN(1,MAX(0,$E1257*(7*K$9-3*sn_h)/(4*sn_h)))^2)</f>
        <v/>
      </c>
    </row>
    <row r="1258">
      <c r="B1258" s="55" t="n">
        <v>10</v>
      </c>
      <c r="C1258" s="56">
        <f>IF($F1257&lt;sn_N,$E1257,$C1257)</f>
        <v/>
      </c>
      <c r="D1258" s="56">
        <f>IF($F1257&lt;sn_N,$D1257,$E1257)</f>
        <v/>
      </c>
      <c r="E1258" s="56">
        <f>($C1258+$D1258)/2</f>
        <v/>
      </c>
      <c r="F1258" s="60">
        <f>(fcd_sn*sn_b*sn_h*(3/7+4/7*(1-$E1258^2/3))+SUMPRODUCT($J$8:$K$8,$J1258:$K1258))/1000</f>
        <v/>
      </c>
      <c r="G1258" s="60">
        <f>-((fcd_sn*sn_b*(3/14*sn_h*(sn_h-3/7*sn_h)+4/7*sn_h*(sn_h/2-3/7*sn_h)*(1-$E1258^2/3)-16/49*sn_h^2*(1/2-$E1258^2/4))+SUMPRODUCT($J$8:$K$8,$J1258:$K1258,$J$10:$K$10))/1E6)</f>
        <v/>
      </c>
      <c r="J1258">
        <f>MAX(-fyd_sn,MIN(fyd_sn,200000*0.002*(1-$E1258*(7*J$9-3*sn_h)/(4*sn_h))))-fcd_sn*(1-MIN(1,MAX(0,$E1258*(7*J$9-3*sn_h)/(4*sn_h)))^2)</f>
        <v/>
      </c>
      <c r="K1258">
        <f>MAX(-fyd_sn,MIN(fyd_sn,200000*0.002*(1-$E1258*(7*K$9-3*sn_h)/(4*sn_h))))-fcd_sn*(1-MIN(1,MAX(0,$E1258*(7*K$9-3*sn_h)/(4*sn_h)))^2)</f>
        <v/>
      </c>
    </row>
    <row r="1259">
      <c r="B1259" s="55" t="n">
        <v>11</v>
      </c>
      <c r="C1259" s="56">
        <f>IF($F1258&lt;sn_N,$E1258,$C1258)</f>
        <v/>
      </c>
      <c r="D1259" s="56">
        <f>IF($F1258&lt;sn_N,$D1258,$E1258)</f>
        <v/>
      </c>
      <c r="E1259" s="56">
        <f>($C1259+$D1259)/2</f>
        <v/>
      </c>
      <c r="F1259" s="60">
        <f>(fcd_sn*sn_b*sn_h*(3/7+4/7*(1-$E1259^2/3))+SUMPRODUCT($J$8:$K$8,$J1259:$K1259))/1000</f>
        <v/>
      </c>
      <c r="G1259" s="60">
        <f>-((fcd_sn*sn_b*(3/14*sn_h*(sn_h-3/7*sn_h)+4/7*sn_h*(sn_h/2-3/7*sn_h)*(1-$E1259^2/3)-16/49*sn_h^2*(1/2-$E1259^2/4))+SUMPRODUCT($J$8:$K$8,$J1259:$K1259,$J$10:$K$10))/1E6)</f>
        <v/>
      </c>
      <c r="J1259">
        <f>MAX(-fyd_sn,MIN(fyd_sn,200000*0.002*(1-$E1259*(7*J$9-3*sn_h)/(4*sn_h))))-fcd_sn*(1-MIN(1,MAX(0,$E1259*(7*J$9-3*sn_h)/(4*sn_h)))^2)</f>
        <v/>
      </c>
      <c r="K1259">
        <f>MAX(-fyd_sn,MIN(fyd_sn,200000*0.002*(1-$E1259*(7*K$9-3*sn_h)/(4*sn_h))))-fcd_sn*(1-MIN(1,MAX(0,$E1259*(7*K$9-3*sn_h)/(4*sn_h)))^2)</f>
        <v/>
      </c>
    </row>
    <row r="1260">
      <c r="B1260" s="55" t="n">
        <v>12</v>
      </c>
      <c r="C1260" s="56">
        <f>IF($F1259&lt;sn_N,$E1259,$C1259)</f>
        <v/>
      </c>
      <c r="D1260" s="56">
        <f>IF($F1259&lt;sn_N,$D1259,$E1259)</f>
        <v/>
      </c>
      <c r="E1260" s="56">
        <f>($C1260+$D1260)/2</f>
        <v/>
      </c>
      <c r="F1260" s="60">
        <f>(fcd_sn*sn_b*sn_h*(3/7+4/7*(1-$E1260^2/3))+SUMPRODUCT($J$8:$K$8,$J1260:$K1260))/1000</f>
        <v/>
      </c>
      <c r="G1260" s="60">
        <f>-((fcd_sn*sn_b*(3/14*sn_h*(sn_h-3/7*sn_h)+4/7*sn_h*(sn_h/2-3/7*sn_h)*(1-$E1260^2/3)-16/49*sn_h^2*(1/2-$E1260^2/4))+SUMPRODUCT($J$8:$K$8,$J1260:$K1260,$J$10:$K$10))/1E6)</f>
        <v/>
      </c>
      <c r="J1260">
        <f>MAX(-fyd_sn,MIN(fyd_sn,200000*0.002*(1-$E1260*(7*J$9-3*sn_h)/(4*sn_h))))-fcd_sn*(1-MIN(1,MAX(0,$E1260*(7*J$9-3*sn_h)/(4*sn_h)))^2)</f>
        <v/>
      </c>
      <c r="K1260">
        <f>MAX(-fyd_sn,MIN(fyd_sn,200000*0.002*(1-$E1260*(7*K$9-3*sn_h)/(4*sn_h))))-fcd_sn*(1-MIN(1,MAX(0,$E1260*(7*K$9-3*sn_h)/(4*sn_h)))^2)</f>
        <v/>
      </c>
    </row>
    <row r="1261">
      <c r="B1261" s="55" t="n">
        <v>13</v>
      </c>
      <c r="C1261" s="56">
        <f>IF($F1260&lt;sn_N,$E1260,$C1260)</f>
        <v/>
      </c>
      <c r="D1261" s="56">
        <f>IF($F1260&lt;sn_N,$D1260,$E1260)</f>
        <v/>
      </c>
      <c r="E1261" s="56">
        <f>($C1261+$D1261)/2</f>
        <v/>
      </c>
      <c r="F1261" s="60">
        <f>(fcd_sn*sn_b*sn_h*(3/7+4/7*(1-$E1261^2/3))+SUMPRODUCT($J$8:$K$8,$J1261:$K1261))/1000</f>
        <v/>
      </c>
      <c r="G1261" s="60">
        <f>-((fcd_sn*sn_b*(3/14*sn_h*(sn_h-3/7*sn_h)+4/7*sn_h*(sn_h/2-3/7*sn_h)*(1-$E1261^2/3)-16/49*sn_h^2*(1/2-$E1261^2/4))+SUMPRODUCT($J$8:$K$8,$J1261:$K1261,$J$10:$K$10))/1E6)</f>
        <v/>
      </c>
      <c r="J1261">
        <f>MAX(-fyd_sn,MIN(fyd_sn,200000*0.002*(1-$E1261*(7*J$9-3*sn_h)/(4*sn_h))))-fcd_sn*(1-MIN(1,MAX(0,$E1261*(7*J$9-3*sn_h)/(4*sn_h)))^2)</f>
        <v/>
      </c>
      <c r="K1261">
        <f>MAX(-fyd_sn,MIN(fyd_sn,200000*0.002*(1-$E1261*(7*K$9-3*sn_h)/(4*sn_h))))-fcd_sn*(1-MIN(1,MAX(0,$E1261*(7*K$9-3*sn_h)/(4*sn_h)))^2)</f>
        <v/>
      </c>
    </row>
    <row r="1262">
      <c r="B1262" s="55" t="n">
        <v>14</v>
      </c>
      <c r="C1262" s="56">
        <f>IF($F1261&lt;sn_N,$E1261,$C1261)</f>
        <v/>
      </c>
      <c r="D1262" s="56">
        <f>IF($F1261&lt;sn_N,$D1261,$E1261)</f>
        <v/>
      </c>
      <c r="E1262" s="56">
        <f>($C1262+$D1262)/2</f>
        <v/>
      </c>
      <c r="F1262" s="60">
        <f>(fcd_sn*sn_b*sn_h*(3/7+4/7*(1-$E1262^2/3))+SUMPRODUCT($J$8:$K$8,$J1262:$K1262))/1000</f>
        <v/>
      </c>
      <c r="G1262" s="60">
        <f>-((fcd_sn*sn_b*(3/14*sn_h*(sn_h-3/7*sn_h)+4/7*sn_h*(sn_h/2-3/7*sn_h)*(1-$E1262^2/3)-16/49*sn_h^2*(1/2-$E1262^2/4))+SUMPRODUCT($J$8:$K$8,$J1262:$K1262,$J$10:$K$10))/1E6)</f>
        <v/>
      </c>
      <c r="J1262">
        <f>MAX(-fyd_sn,MIN(fyd_sn,200000*0.002*(1-$E1262*(7*J$9-3*sn_h)/(4*sn_h))))-fcd_sn*(1-MIN(1,MAX(0,$E1262*(7*J$9-3*sn_h)/(4*sn_h)))^2)</f>
        <v/>
      </c>
      <c r="K1262">
        <f>MAX(-fyd_sn,MIN(fyd_sn,200000*0.002*(1-$E1262*(7*K$9-3*sn_h)/(4*sn_h))))-fcd_sn*(1-MIN(1,MAX(0,$E1262*(7*K$9-3*sn_h)/(4*sn_h)))^2)</f>
        <v/>
      </c>
    </row>
    <row r="1263">
      <c r="B1263" s="55" t="n">
        <v>15</v>
      </c>
      <c r="C1263" s="56">
        <f>IF($F1262&lt;sn_N,$E1262,$C1262)</f>
        <v/>
      </c>
      <c r="D1263" s="56">
        <f>IF($F1262&lt;sn_N,$D1262,$E1262)</f>
        <v/>
      </c>
      <c r="E1263" s="56">
        <f>($C1263+$D1263)/2</f>
        <v/>
      </c>
      <c r="F1263" s="60">
        <f>(fcd_sn*sn_b*sn_h*(3/7+4/7*(1-$E1263^2/3))+SUMPRODUCT($J$8:$K$8,$J1263:$K1263))/1000</f>
        <v/>
      </c>
      <c r="G1263" s="60">
        <f>-((fcd_sn*sn_b*(3/14*sn_h*(sn_h-3/7*sn_h)+4/7*sn_h*(sn_h/2-3/7*sn_h)*(1-$E1263^2/3)-16/49*sn_h^2*(1/2-$E1263^2/4))+SUMPRODUCT($J$8:$K$8,$J1263:$K1263,$J$10:$K$10))/1E6)</f>
        <v/>
      </c>
      <c r="J1263">
        <f>MAX(-fyd_sn,MIN(fyd_sn,200000*0.002*(1-$E1263*(7*J$9-3*sn_h)/(4*sn_h))))-fcd_sn*(1-MIN(1,MAX(0,$E1263*(7*J$9-3*sn_h)/(4*sn_h)))^2)</f>
        <v/>
      </c>
      <c r="K1263">
        <f>MAX(-fyd_sn,MIN(fyd_sn,200000*0.002*(1-$E1263*(7*K$9-3*sn_h)/(4*sn_h))))-fcd_sn*(1-MIN(1,MAX(0,$E1263*(7*K$9-3*sn_h)/(4*sn_h)))^2)</f>
        <v/>
      </c>
    </row>
    <row r="1264">
      <c r="B1264" s="55" t="n">
        <v>16</v>
      </c>
      <c r="C1264" s="56">
        <f>IF($F1263&lt;sn_N,$E1263,$C1263)</f>
        <v/>
      </c>
      <c r="D1264" s="56">
        <f>IF($F1263&lt;sn_N,$D1263,$E1263)</f>
        <v/>
      </c>
      <c r="E1264" s="56">
        <f>($C1264+$D1264)/2</f>
        <v/>
      </c>
      <c r="F1264" s="60">
        <f>(fcd_sn*sn_b*sn_h*(3/7+4/7*(1-$E1264^2/3))+SUMPRODUCT($J$8:$K$8,$J1264:$K1264))/1000</f>
        <v/>
      </c>
      <c r="G1264" s="60">
        <f>-((fcd_sn*sn_b*(3/14*sn_h*(sn_h-3/7*sn_h)+4/7*sn_h*(sn_h/2-3/7*sn_h)*(1-$E1264^2/3)-16/49*sn_h^2*(1/2-$E1264^2/4))+SUMPRODUCT($J$8:$K$8,$J1264:$K1264,$J$10:$K$10))/1E6)</f>
        <v/>
      </c>
      <c r="J1264">
        <f>MAX(-fyd_sn,MIN(fyd_sn,200000*0.002*(1-$E1264*(7*J$9-3*sn_h)/(4*sn_h))))-fcd_sn*(1-MIN(1,MAX(0,$E1264*(7*J$9-3*sn_h)/(4*sn_h)))^2)</f>
        <v/>
      </c>
      <c r="K1264">
        <f>MAX(-fyd_sn,MIN(fyd_sn,200000*0.002*(1-$E1264*(7*K$9-3*sn_h)/(4*sn_h))))-fcd_sn*(1-MIN(1,MAX(0,$E1264*(7*K$9-3*sn_h)/(4*sn_h)))^2)</f>
        <v/>
      </c>
    </row>
    <row r="1265">
      <c r="B1265" s="55" t="n">
        <v>17</v>
      </c>
      <c r="C1265" s="56">
        <f>IF($F1264&lt;sn_N,$E1264,$C1264)</f>
        <v/>
      </c>
      <c r="D1265" s="56">
        <f>IF($F1264&lt;sn_N,$D1264,$E1264)</f>
        <v/>
      </c>
      <c r="E1265" s="56">
        <f>($C1265+$D1265)/2</f>
        <v/>
      </c>
      <c r="F1265" s="60">
        <f>(fcd_sn*sn_b*sn_h*(3/7+4/7*(1-$E1265^2/3))+SUMPRODUCT($J$8:$K$8,$J1265:$K1265))/1000</f>
        <v/>
      </c>
      <c r="G1265" s="60">
        <f>-((fcd_sn*sn_b*(3/14*sn_h*(sn_h-3/7*sn_h)+4/7*sn_h*(sn_h/2-3/7*sn_h)*(1-$E1265^2/3)-16/49*sn_h^2*(1/2-$E1265^2/4))+SUMPRODUCT($J$8:$K$8,$J1265:$K1265,$J$10:$K$10))/1E6)</f>
        <v/>
      </c>
      <c r="J1265">
        <f>MAX(-fyd_sn,MIN(fyd_sn,200000*0.002*(1-$E1265*(7*J$9-3*sn_h)/(4*sn_h))))-fcd_sn*(1-MIN(1,MAX(0,$E1265*(7*J$9-3*sn_h)/(4*sn_h)))^2)</f>
        <v/>
      </c>
      <c r="K1265">
        <f>MAX(-fyd_sn,MIN(fyd_sn,200000*0.002*(1-$E1265*(7*K$9-3*sn_h)/(4*sn_h))))-fcd_sn*(1-MIN(1,MAX(0,$E1265*(7*K$9-3*sn_h)/(4*sn_h)))^2)</f>
        <v/>
      </c>
    </row>
    <row r="1266">
      <c r="B1266" s="55" t="n">
        <v>18</v>
      </c>
      <c r="C1266" s="56">
        <f>IF($F1265&lt;sn_N,$E1265,$C1265)</f>
        <v/>
      </c>
      <c r="D1266" s="56">
        <f>IF($F1265&lt;sn_N,$D1265,$E1265)</f>
        <v/>
      </c>
      <c r="E1266" s="56">
        <f>($C1266+$D1266)/2</f>
        <v/>
      </c>
      <c r="F1266" s="60">
        <f>(fcd_sn*sn_b*sn_h*(3/7+4/7*(1-$E1266^2/3))+SUMPRODUCT($J$8:$K$8,$J1266:$K1266))/1000</f>
        <v/>
      </c>
      <c r="G1266" s="60">
        <f>-((fcd_sn*sn_b*(3/14*sn_h*(sn_h-3/7*sn_h)+4/7*sn_h*(sn_h/2-3/7*sn_h)*(1-$E1266^2/3)-16/49*sn_h^2*(1/2-$E1266^2/4))+SUMPRODUCT($J$8:$K$8,$J1266:$K1266,$J$10:$K$10))/1E6)</f>
        <v/>
      </c>
      <c r="J1266">
        <f>MAX(-fyd_sn,MIN(fyd_sn,200000*0.002*(1-$E1266*(7*J$9-3*sn_h)/(4*sn_h))))-fcd_sn*(1-MIN(1,MAX(0,$E1266*(7*J$9-3*sn_h)/(4*sn_h)))^2)</f>
        <v/>
      </c>
      <c r="K1266">
        <f>MAX(-fyd_sn,MIN(fyd_sn,200000*0.002*(1-$E1266*(7*K$9-3*sn_h)/(4*sn_h))))-fcd_sn*(1-MIN(1,MAX(0,$E1266*(7*K$9-3*sn_h)/(4*sn_h)))^2)</f>
        <v/>
      </c>
    </row>
    <row r="1267">
      <c r="B1267" s="55" t="n">
        <v>19</v>
      </c>
      <c r="C1267" s="56">
        <f>IF($F1266&lt;sn_N,$E1266,$C1266)</f>
        <v/>
      </c>
      <c r="D1267" s="56">
        <f>IF($F1266&lt;sn_N,$D1266,$E1266)</f>
        <v/>
      </c>
      <c r="E1267" s="56">
        <f>($C1267+$D1267)/2</f>
        <v/>
      </c>
      <c r="F1267" s="60">
        <f>(fcd_sn*sn_b*sn_h*(3/7+4/7*(1-$E1267^2/3))+SUMPRODUCT($J$8:$K$8,$J1267:$K1267))/1000</f>
        <v/>
      </c>
      <c r="G1267" s="60">
        <f>-((fcd_sn*sn_b*(3/14*sn_h*(sn_h-3/7*sn_h)+4/7*sn_h*(sn_h/2-3/7*sn_h)*(1-$E1267^2/3)-16/49*sn_h^2*(1/2-$E1267^2/4))+SUMPRODUCT($J$8:$K$8,$J1267:$K1267,$J$10:$K$10))/1E6)</f>
        <v/>
      </c>
      <c r="J1267">
        <f>MAX(-fyd_sn,MIN(fyd_sn,200000*0.002*(1-$E1267*(7*J$9-3*sn_h)/(4*sn_h))))-fcd_sn*(1-MIN(1,MAX(0,$E1267*(7*J$9-3*sn_h)/(4*sn_h)))^2)</f>
        <v/>
      </c>
      <c r="K1267">
        <f>MAX(-fyd_sn,MIN(fyd_sn,200000*0.002*(1-$E1267*(7*K$9-3*sn_h)/(4*sn_h))))-fcd_sn*(1-MIN(1,MAX(0,$E1267*(7*K$9-3*sn_h)/(4*sn_h)))^2)</f>
        <v/>
      </c>
    </row>
    <row r="1268">
      <c r="B1268" s="55" t="n">
        <v>20</v>
      </c>
      <c r="C1268" s="56">
        <f>IF($F1267&lt;sn_N,$E1267,$C1267)</f>
        <v/>
      </c>
      <c r="D1268" s="56">
        <f>IF($F1267&lt;sn_N,$D1267,$E1267)</f>
        <v/>
      </c>
      <c r="E1268" s="56">
        <f>($C1268+$D1268)/2</f>
        <v/>
      </c>
      <c r="F1268" s="60">
        <f>(fcd_sn*sn_b*sn_h*(3/7+4/7*(1-$E1268^2/3))+SUMPRODUCT($J$8:$K$8,$J1268:$K1268))/1000</f>
        <v/>
      </c>
      <c r="G1268" s="60">
        <f>-((fcd_sn*sn_b*(3/14*sn_h*(sn_h-3/7*sn_h)+4/7*sn_h*(sn_h/2-3/7*sn_h)*(1-$E1268^2/3)-16/49*sn_h^2*(1/2-$E1268^2/4))+SUMPRODUCT($J$8:$K$8,$J1268:$K1268,$J$10:$K$10))/1E6)</f>
        <v/>
      </c>
      <c r="J1268">
        <f>MAX(-fyd_sn,MIN(fyd_sn,200000*0.002*(1-$E1268*(7*J$9-3*sn_h)/(4*sn_h))))-fcd_sn*(1-MIN(1,MAX(0,$E1268*(7*J$9-3*sn_h)/(4*sn_h)))^2)</f>
        <v/>
      </c>
      <c r="K1268">
        <f>MAX(-fyd_sn,MIN(fyd_sn,200000*0.002*(1-$E1268*(7*K$9-3*sn_h)/(4*sn_h))))-fcd_sn*(1-MIN(1,MAX(0,$E1268*(7*K$9-3*sn_h)/(4*sn_h)))^2)</f>
        <v/>
      </c>
    </row>
    <row r="1269">
      <c r="B1269" s="55" t="n">
        <v>21</v>
      </c>
      <c r="C1269" s="56">
        <f>IF($F1268&lt;sn_N,$E1268,$C1268)</f>
        <v/>
      </c>
      <c r="D1269" s="56">
        <f>IF($F1268&lt;sn_N,$D1268,$E1268)</f>
        <v/>
      </c>
      <c r="E1269" s="56">
        <f>($C1269+$D1269)/2</f>
        <v/>
      </c>
      <c r="F1269" s="60">
        <f>(fcd_sn*sn_b*sn_h*(3/7+4/7*(1-$E1269^2/3))+SUMPRODUCT($J$8:$K$8,$J1269:$K1269))/1000</f>
        <v/>
      </c>
      <c r="G1269" s="60">
        <f>-((fcd_sn*sn_b*(3/14*sn_h*(sn_h-3/7*sn_h)+4/7*sn_h*(sn_h/2-3/7*sn_h)*(1-$E1269^2/3)-16/49*sn_h^2*(1/2-$E1269^2/4))+SUMPRODUCT($J$8:$K$8,$J1269:$K1269,$J$10:$K$10))/1E6)</f>
        <v/>
      </c>
      <c r="J1269">
        <f>MAX(-fyd_sn,MIN(fyd_sn,200000*0.002*(1-$E1269*(7*J$9-3*sn_h)/(4*sn_h))))-fcd_sn*(1-MIN(1,MAX(0,$E1269*(7*J$9-3*sn_h)/(4*sn_h)))^2)</f>
        <v/>
      </c>
      <c r="K1269">
        <f>MAX(-fyd_sn,MIN(fyd_sn,200000*0.002*(1-$E1269*(7*K$9-3*sn_h)/(4*sn_h))))-fcd_sn*(1-MIN(1,MAX(0,$E1269*(7*K$9-3*sn_h)/(4*sn_h)))^2)</f>
        <v/>
      </c>
    </row>
    <row r="1270">
      <c r="B1270" s="55" t="n">
        <v>22</v>
      </c>
      <c r="C1270" s="56">
        <f>IF($F1269&lt;sn_N,$E1269,$C1269)</f>
        <v/>
      </c>
      <c r="D1270" s="56">
        <f>IF($F1269&lt;sn_N,$D1269,$E1269)</f>
        <v/>
      </c>
      <c r="E1270" s="56">
        <f>($C1270+$D1270)/2</f>
        <v/>
      </c>
      <c r="F1270" s="60">
        <f>(fcd_sn*sn_b*sn_h*(3/7+4/7*(1-$E1270^2/3))+SUMPRODUCT($J$8:$K$8,$J1270:$K1270))/1000</f>
        <v/>
      </c>
      <c r="G1270" s="60">
        <f>-((fcd_sn*sn_b*(3/14*sn_h*(sn_h-3/7*sn_h)+4/7*sn_h*(sn_h/2-3/7*sn_h)*(1-$E1270^2/3)-16/49*sn_h^2*(1/2-$E1270^2/4))+SUMPRODUCT($J$8:$K$8,$J1270:$K1270,$J$10:$K$10))/1E6)</f>
        <v/>
      </c>
      <c r="J1270">
        <f>MAX(-fyd_sn,MIN(fyd_sn,200000*0.002*(1-$E1270*(7*J$9-3*sn_h)/(4*sn_h))))-fcd_sn*(1-MIN(1,MAX(0,$E1270*(7*J$9-3*sn_h)/(4*sn_h)))^2)</f>
        <v/>
      </c>
      <c r="K1270">
        <f>MAX(-fyd_sn,MIN(fyd_sn,200000*0.002*(1-$E1270*(7*K$9-3*sn_h)/(4*sn_h))))-fcd_sn*(1-MIN(1,MAX(0,$E1270*(7*K$9-3*sn_h)/(4*sn_h)))^2)</f>
        <v/>
      </c>
    </row>
    <row r="1271">
      <c r="B1271" s="55" t="n">
        <v>23</v>
      </c>
      <c r="C1271" s="56">
        <f>IF($F1270&lt;sn_N,$E1270,$C1270)</f>
        <v/>
      </c>
      <c r="D1271" s="56">
        <f>IF($F1270&lt;sn_N,$D1270,$E1270)</f>
        <v/>
      </c>
      <c r="E1271" s="56">
        <f>($C1271+$D1271)/2</f>
        <v/>
      </c>
      <c r="F1271" s="60">
        <f>(fcd_sn*sn_b*sn_h*(3/7+4/7*(1-$E1271^2/3))+SUMPRODUCT($J$8:$K$8,$J1271:$K1271))/1000</f>
        <v/>
      </c>
      <c r="G1271" s="60">
        <f>-((fcd_sn*sn_b*(3/14*sn_h*(sn_h-3/7*sn_h)+4/7*sn_h*(sn_h/2-3/7*sn_h)*(1-$E1271^2/3)-16/49*sn_h^2*(1/2-$E1271^2/4))+SUMPRODUCT($J$8:$K$8,$J1271:$K1271,$J$10:$K$10))/1E6)</f>
        <v/>
      </c>
      <c r="J1271">
        <f>MAX(-fyd_sn,MIN(fyd_sn,200000*0.002*(1-$E1271*(7*J$9-3*sn_h)/(4*sn_h))))-fcd_sn*(1-MIN(1,MAX(0,$E1271*(7*J$9-3*sn_h)/(4*sn_h)))^2)</f>
        <v/>
      </c>
      <c r="K1271">
        <f>MAX(-fyd_sn,MIN(fyd_sn,200000*0.002*(1-$E1271*(7*K$9-3*sn_h)/(4*sn_h))))-fcd_sn*(1-MIN(1,MAX(0,$E1271*(7*K$9-3*sn_h)/(4*sn_h)))^2)</f>
        <v/>
      </c>
    </row>
    <row r="1272">
      <c r="B1272" s="55" t="n">
        <v>24</v>
      </c>
      <c r="C1272" s="56">
        <f>IF($F1271&lt;sn_N,$E1271,$C1271)</f>
        <v/>
      </c>
      <c r="D1272" s="56">
        <f>IF($F1271&lt;sn_N,$D1271,$E1271)</f>
        <v/>
      </c>
      <c r="E1272" s="56">
        <f>($C1272+$D1272)/2</f>
        <v/>
      </c>
      <c r="F1272" s="60">
        <f>(fcd_sn*sn_b*sn_h*(3/7+4/7*(1-$E1272^2/3))+SUMPRODUCT($J$8:$K$8,$J1272:$K1272))/1000</f>
        <v/>
      </c>
      <c r="G1272" s="60">
        <f>-((fcd_sn*sn_b*(3/14*sn_h*(sn_h-3/7*sn_h)+4/7*sn_h*(sn_h/2-3/7*sn_h)*(1-$E1272^2/3)-16/49*sn_h^2*(1/2-$E1272^2/4))+SUMPRODUCT($J$8:$K$8,$J1272:$K1272,$J$10:$K$10))/1E6)</f>
        <v/>
      </c>
      <c r="J1272">
        <f>MAX(-fyd_sn,MIN(fyd_sn,200000*0.002*(1-$E1272*(7*J$9-3*sn_h)/(4*sn_h))))-fcd_sn*(1-MIN(1,MAX(0,$E1272*(7*J$9-3*sn_h)/(4*sn_h)))^2)</f>
        <v/>
      </c>
      <c r="K1272">
        <f>MAX(-fyd_sn,MIN(fyd_sn,200000*0.002*(1-$E1272*(7*K$9-3*sn_h)/(4*sn_h))))-fcd_sn*(1-MIN(1,MAX(0,$E1272*(7*K$9-3*sn_h)/(4*sn_h)))^2)</f>
        <v/>
      </c>
    </row>
    <row r="1273">
      <c r="B1273" s="55" t="n">
        <v>25</v>
      </c>
      <c r="C1273" s="56">
        <f>IF($F1272&lt;sn_N,$E1272,$C1272)</f>
        <v/>
      </c>
      <c r="D1273" s="56">
        <f>IF($F1272&lt;sn_N,$D1272,$E1272)</f>
        <v/>
      </c>
      <c r="E1273" s="56">
        <f>($C1273+$D1273)/2</f>
        <v/>
      </c>
      <c r="F1273" s="60">
        <f>(fcd_sn*sn_b*sn_h*(3/7+4/7*(1-$E1273^2/3))+SUMPRODUCT($J$8:$K$8,$J1273:$K1273))/1000</f>
        <v/>
      </c>
      <c r="G1273" s="60">
        <f>-((fcd_sn*sn_b*(3/14*sn_h*(sn_h-3/7*sn_h)+4/7*sn_h*(sn_h/2-3/7*sn_h)*(1-$E1273^2/3)-16/49*sn_h^2*(1/2-$E1273^2/4))+SUMPRODUCT($J$8:$K$8,$J1273:$K1273,$J$10:$K$10))/1E6)</f>
        <v/>
      </c>
      <c r="J1273">
        <f>MAX(-fyd_sn,MIN(fyd_sn,200000*0.002*(1-$E1273*(7*J$9-3*sn_h)/(4*sn_h))))-fcd_sn*(1-MIN(1,MAX(0,$E1273*(7*J$9-3*sn_h)/(4*sn_h)))^2)</f>
        <v/>
      </c>
      <c r="K1273">
        <f>MAX(-fyd_sn,MIN(fyd_sn,200000*0.002*(1-$E1273*(7*K$9-3*sn_h)/(4*sn_h))))-fcd_sn*(1-MIN(1,MAX(0,$E1273*(7*K$9-3*sn_h)/(4*sn_h)))^2)</f>
        <v/>
      </c>
    </row>
    <row r="1274">
      <c r="B1274" s="55" t="n">
        <v>26</v>
      </c>
      <c r="C1274" s="56">
        <f>IF($F1273&lt;sn_N,$E1273,$C1273)</f>
        <v/>
      </c>
      <c r="D1274" s="56">
        <f>IF($F1273&lt;sn_N,$D1273,$E1273)</f>
        <v/>
      </c>
      <c r="E1274" s="56">
        <f>($C1274+$D1274)/2</f>
        <v/>
      </c>
      <c r="F1274" s="60">
        <f>(fcd_sn*sn_b*sn_h*(3/7+4/7*(1-$E1274^2/3))+SUMPRODUCT($J$8:$K$8,$J1274:$K1274))/1000</f>
        <v/>
      </c>
      <c r="G1274" s="60">
        <f>-((fcd_sn*sn_b*(3/14*sn_h*(sn_h-3/7*sn_h)+4/7*sn_h*(sn_h/2-3/7*sn_h)*(1-$E1274^2/3)-16/49*sn_h^2*(1/2-$E1274^2/4))+SUMPRODUCT($J$8:$K$8,$J1274:$K1274,$J$10:$K$10))/1E6)</f>
        <v/>
      </c>
      <c r="J1274">
        <f>MAX(-fyd_sn,MIN(fyd_sn,200000*0.002*(1-$E1274*(7*J$9-3*sn_h)/(4*sn_h))))-fcd_sn*(1-MIN(1,MAX(0,$E1274*(7*J$9-3*sn_h)/(4*sn_h)))^2)</f>
        <v/>
      </c>
      <c r="K1274">
        <f>MAX(-fyd_sn,MIN(fyd_sn,200000*0.002*(1-$E1274*(7*K$9-3*sn_h)/(4*sn_h))))-fcd_sn*(1-MIN(1,MAX(0,$E1274*(7*K$9-3*sn_h)/(4*sn_h)))^2)</f>
        <v/>
      </c>
    </row>
    <row r="1275">
      <c r="B1275" s="55" t="n">
        <v>27</v>
      </c>
      <c r="C1275" s="56">
        <f>IF($F1274&lt;sn_N,$E1274,$C1274)</f>
        <v/>
      </c>
      <c r="D1275" s="56">
        <f>IF($F1274&lt;sn_N,$D1274,$E1274)</f>
        <v/>
      </c>
      <c r="E1275" s="56">
        <f>($C1275+$D1275)/2</f>
        <v/>
      </c>
      <c r="F1275" s="60">
        <f>(fcd_sn*sn_b*sn_h*(3/7+4/7*(1-$E1275^2/3))+SUMPRODUCT($J$8:$K$8,$J1275:$K1275))/1000</f>
        <v/>
      </c>
      <c r="G1275" s="60">
        <f>-((fcd_sn*sn_b*(3/14*sn_h*(sn_h-3/7*sn_h)+4/7*sn_h*(sn_h/2-3/7*sn_h)*(1-$E1275^2/3)-16/49*sn_h^2*(1/2-$E1275^2/4))+SUMPRODUCT($J$8:$K$8,$J1275:$K1275,$J$10:$K$10))/1E6)</f>
        <v/>
      </c>
      <c r="J1275">
        <f>MAX(-fyd_sn,MIN(fyd_sn,200000*0.002*(1-$E1275*(7*J$9-3*sn_h)/(4*sn_h))))-fcd_sn*(1-MIN(1,MAX(0,$E1275*(7*J$9-3*sn_h)/(4*sn_h)))^2)</f>
        <v/>
      </c>
      <c r="K1275">
        <f>MAX(-fyd_sn,MIN(fyd_sn,200000*0.002*(1-$E1275*(7*K$9-3*sn_h)/(4*sn_h))))-fcd_sn*(1-MIN(1,MAX(0,$E1275*(7*K$9-3*sn_h)/(4*sn_h)))^2)</f>
        <v/>
      </c>
    </row>
    <row r="1276">
      <c r="B1276" s="55" t="n">
        <v>28</v>
      </c>
      <c r="C1276" s="56">
        <f>IF($F1275&lt;sn_N,$E1275,$C1275)</f>
        <v/>
      </c>
      <c r="D1276" s="56">
        <f>IF($F1275&lt;sn_N,$D1275,$E1275)</f>
        <v/>
      </c>
      <c r="E1276" s="56">
        <f>($C1276+$D1276)/2</f>
        <v/>
      </c>
      <c r="F1276" s="60">
        <f>(fcd_sn*sn_b*sn_h*(3/7+4/7*(1-$E1276^2/3))+SUMPRODUCT($J$8:$K$8,$J1276:$K1276))/1000</f>
        <v/>
      </c>
      <c r="G1276" s="60">
        <f>-((fcd_sn*sn_b*(3/14*sn_h*(sn_h-3/7*sn_h)+4/7*sn_h*(sn_h/2-3/7*sn_h)*(1-$E1276^2/3)-16/49*sn_h^2*(1/2-$E1276^2/4))+SUMPRODUCT($J$8:$K$8,$J1276:$K1276,$J$10:$K$10))/1E6)</f>
        <v/>
      </c>
      <c r="J1276">
        <f>MAX(-fyd_sn,MIN(fyd_sn,200000*0.002*(1-$E1276*(7*J$9-3*sn_h)/(4*sn_h))))-fcd_sn*(1-MIN(1,MAX(0,$E1276*(7*J$9-3*sn_h)/(4*sn_h)))^2)</f>
        <v/>
      </c>
      <c r="K1276">
        <f>MAX(-fyd_sn,MIN(fyd_sn,200000*0.002*(1-$E1276*(7*K$9-3*sn_h)/(4*sn_h))))-fcd_sn*(1-MIN(1,MAX(0,$E1276*(7*K$9-3*sn_h)/(4*sn_h)))^2)</f>
        <v/>
      </c>
    </row>
    <row r="1277">
      <c r="B1277" s="55" t="n">
        <v>29</v>
      </c>
      <c r="C1277" s="56">
        <f>IF($F1276&lt;sn_N,$E1276,$C1276)</f>
        <v/>
      </c>
      <c r="D1277" s="56">
        <f>IF($F1276&lt;sn_N,$D1276,$E1276)</f>
        <v/>
      </c>
      <c r="E1277" s="56">
        <f>($C1277+$D1277)/2</f>
        <v/>
      </c>
      <c r="F1277" s="60">
        <f>(fcd_sn*sn_b*sn_h*(3/7+4/7*(1-$E1277^2/3))+SUMPRODUCT($J$8:$K$8,$J1277:$K1277))/1000</f>
        <v/>
      </c>
      <c r="G1277" s="60">
        <f>-((fcd_sn*sn_b*(3/14*sn_h*(sn_h-3/7*sn_h)+4/7*sn_h*(sn_h/2-3/7*sn_h)*(1-$E1277^2/3)-16/49*sn_h^2*(1/2-$E1277^2/4))+SUMPRODUCT($J$8:$K$8,$J1277:$K1277,$J$10:$K$10))/1E6)</f>
        <v/>
      </c>
      <c r="J1277">
        <f>MAX(-fyd_sn,MIN(fyd_sn,200000*0.002*(1-$E1277*(7*J$9-3*sn_h)/(4*sn_h))))-fcd_sn*(1-MIN(1,MAX(0,$E1277*(7*J$9-3*sn_h)/(4*sn_h)))^2)</f>
        <v/>
      </c>
      <c r="K1277">
        <f>MAX(-fyd_sn,MIN(fyd_sn,200000*0.002*(1-$E1277*(7*K$9-3*sn_h)/(4*sn_h))))-fcd_sn*(1-MIN(1,MAX(0,$E1277*(7*K$9-3*sn_h)/(4*sn_h)))^2)</f>
        <v/>
      </c>
    </row>
    <row r="1278">
      <c r="B1278" s="55" t="n">
        <v>30</v>
      </c>
      <c r="C1278" s="56">
        <f>IF($F1277&lt;sn_N,$E1277,$C1277)</f>
        <v/>
      </c>
      <c r="D1278" s="56">
        <f>IF($F1277&lt;sn_N,$D1277,$E1277)</f>
        <v/>
      </c>
      <c r="E1278" s="56">
        <f>($C1278+$D1278)/2</f>
        <v/>
      </c>
      <c r="F1278" s="60">
        <f>(fcd_sn*sn_b*sn_h*(3/7+4/7*(1-$E1278^2/3))+SUMPRODUCT($J$8:$K$8,$J1278:$K1278))/1000</f>
        <v/>
      </c>
      <c r="G1278" s="60">
        <f>-((fcd_sn*sn_b*(3/14*sn_h*(sn_h-3/7*sn_h)+4/7*sn_h*(sn_h/2-3/7*sn_h)*(1-$E1278^2/3)-16/49*sn_h^2*(1/2-$E1278^2/4))+SUMPRODUCT($J$8:$K$8,$J1278:$K1278,$J$10:$K$10))/1E6)</f>
        <v/>
      </c>
      <c r="J1278">
        <f>MAX(-fyd_sn,MIN(fyd_sn,200000*0.002*(1-$E1278*(7*J$9-3*sn_h)/(4*sn_h))))-fcd_sn*(1-MIN(1,MAX(0,$E1278*(7*J$9-3*sn_h)/(4*sn_h)))^2)</f>
        <v/>
      </c>
      <c r="K1278">
        <f>MAX(-fyd_sn,MIN(fyd_sn,200000*0.002*(1-$E1278*(7*K$9-3*sn_h)/(4*sn_h))))-fcd_sn*(1-MIN(1,MAX(0,$E1278*(7*K$9-3*sn_h)/(4*sn_h)))^2)</f>
        <v/>
      </c>
    </row>
    <row r="1279">
      <c r="B1279" s="55" t="n">
        <v>31</v>
      </c>
      <c r="C1279" s="56">
        <f>IF($F1278&lt;sn_N,$E1278,$C1278)</f>
        <v/>
      </c>
      <c r="D1279" s="56">
        <f>IF($F1278&lt;sn_N,$D1278,$E1278)</f>
        <v/>
      </c>
      <c r="E1279" s="56">
        <f>($C1279+$D1279)/2</f>
        <v/>
      </c>
      <c r="F1279" s="60">
        <f>(fcd_sn*sn_b*sn_h*(3/7+4/7*(1-$E1279^2/3))+SUMPRODUCT($J$8:$K$8,$J1279:$K1279))/1000</f>
        <v/>
      </c>
      <c r="G1279" s="60">
        <f>-((fcd_sn*sn_b*(3/14*sn_h*(sn_h-3/7*sn_h)+4/7*sn_h*(sn_h/2-3/7*sn_h)*(1-$E1279^2/3)-16/49*sn_h^2*(1/2-$E1279^2/4))+SUMPRODUCT($J$8:$K$8,$J1279:$K1279,$J$10:$K$10))/1E6)</f>
        <v/>
      </c>
      <c r="J1279">
        <f>MAX(-fyd_sn,MIN(fyd_sn,200000*0.002*(1-$E1279*(7*J$9-3*sn_h)/(4*sn_h))))-fcd_sn*(1-MIN(1,MAX(0,$E1279*(7*J$9-3*sn_h)/(4*sn_h)))^2)</f>
        <v/>
      </c>
      <c r="K1279">
        <f>MAX(-fyd_sn,MIN(fyd_sn,200000*0.002*(1-$E1279*(7*K$9-3*sn_h)/(4*sn_h))))-fcd_sn*(1-MIN(1,MAX(0,$E1279*(7*K$9-3*sn_h)/(4*sn_h)))^2)</f>
        <v/>
      </c>
    </row>
    <row r="1280">
      <c r="B1280" s="55" t="n">
        <v>32</v>
      </c>
      <c r="C1280" s="56">
        <f>IF($F1279&lt;sn_N,$E1279,$C1279)</f>
        <v/>
      </c>
      <c r="D1280" s="56">
        <f>IF($F1279&lt;sn_N,$D1279,$E1279)</f>
        <v/>
      </c>
      <c r="E1280" s="56">
        <f>($C1280+$D1280)/2</f>
        <v/>
      </c>
      <c r="F1280" s="60">
        <f>(fcd_sn*sn_b*sn_h*(3/7+4/7*(1-$E1280^2/3))+SUMPRODUCT($J$8:$K$8,$J1280:$K1280))/1000</f>
        <v/>
      </c>
      <c r="G1280" s="60">
        <f>-((fcd_sn*sn_b*(3/14*sn_h*(sn_h-3/7*sn_h)+4/7*sn_h*(sn_h/2-3/7*sn_h)*(1-$E1280^2/3)-16/49*sn_h^2*(1/2-$E1280^2/4))+SUMPRODUCT($J$8:$K$8,$J1280:$K1280,$J$10:$K$10))/1E6)</f>
        <v/>
      </c>
      <c r="J1280">
        <f>MAX(-fyd_sn,MIN(fyd_sn,200000*0.002*(1-$E1280*(7*J$9-3*sn_h)/(4*sn_h))))-fcd_sn*(1-MIN(1,MAX(0,$E1280*(7*J$9-3*sn_h)/(4*sn_h)))^2)</f>
        <v/>
      </c>
      <c r="K1280">
        <f>MAX(-fyd_sn,MIN(fyd_sn,200000*0.002*(1-$E1280*(7*K$9-3*sn_h)/(4*sn_h))))-fcd_sn*(1-MIN(1,MAX(0,$E1280*(7*K$9-3*sn_h)/(4*sn_h)))^2)</f>
        <v/>
      </c>
    </row>
    <row r="1281">
      <c r="B1281" s="55" t="n">
        <v>33</v>
      </c>
      <c r="C1281" s="56">
        <f>IF($F1280&lt;sn_N,$E1280,$C1280)</f>
        <v/>
      </c>
      <c r="D1281" s="56">
        <f>IF($F1280&lt;sn_N,$D1280,$E1280)</f>
        <v/>
      </c>
      <c r="E1281" s="56">
        <f>($C1281+$D1281)/2</f>
        <v/>
      </c>
      <c r="F1281" s="60">
        <f>(fcd_sn*sn_b*sn_h*(3/7+4/7*(1-$E1281^2/3))+SUMPRODUCT($J$8:$K$8,$J1281:$K1281))/1000</f>
        <v/>
      </c>
      <c r="G1281" s="60">
        <f>-((fcd_sn*sn_b*(3/14*sn_h*(sn_h-3/7*sn_h)+4/7*sn_h*(sn_h/2-3/7*sn_h)*(1-$E1281^2/3)-16/49*sn_h^2*(1/2-$E1281^2/4))+SUMPRODUCT($J$8:$K$8,$J1281:$K1281,$J$10:$K$10))/1E6)</f>
        <v/>
      </c>
      <c r="J1281">
        <f>MAX(-fyd_sn,MIN(fyd_sn,200000*0.002*(1-$E1281*(7*J$9-3*sn_h)/(4*sn_h))))-fcd_sn*(1-MIN(1,MAX(0,$E1281*(7*J$9-3*sn_h)/(4*sn_h)))^2)</f>
        <v/>
      </c>
      <c r="K1281">
        <f>MAX(-fyd_sn,MIN(fyd_sn,200000*0.002*(1-$E1281*(7*K$9-3*sn_h)/(4*sn_h))))-fcd_sn*(1-MIN(1,MAX(0,$E1281*(7*K$9-3*sn_h)/(4*sn_h)))^2)</f>
        <v/>
      </c>
    </row>
    <row r="1282">
      <c r="B1282" s="55" t="n">
        <v>34</v>
      </c>
      <c r="C1282" s="56">
        <f>IF($F1281&lt;sn_N,$E1281,$C1281)</f>
        <v/>
      </c>
      <c r="D1282" s="56">
        <f>IF($F1281&lt;sn_N,$D1281,$E1281)</f>
        <v/>
      </c>
      <c r="E1282" s="56">
        <f>($C1282+$D1282)/2</f>
        <v/>
      </c>
      <c r="F1282" s="60">
        <f>(fcd_sn*sn_b*sn_h*(3/7+4/7*(1-$E1282^2/3))+SUMPRODUCT($J$8:$K$8,$J1282:$K1282))/1000</f>
        <v/>
      </c>
      <c r="G1282" s="60">
        <f>-((fcd_sn*sn_b*(3/14*sn_h*(sn_h-3/7*sn_h)+4/7*sn_h*(sn_h/2-3/7*sn_h)*(1-$E1282^2/3)-16/49*sn_h^2*(1/2-$E1282^2/4))+SUMPRODUCT($J$8:$K$8,$J1282:$K1282,$J$10:$K$10))/1E6)</f>
        <v/>
      </c>
      <c r="J1282">
        <f>MAX(-fyd_sn,MIN(fyd_sn,200000*0.002*(1-$E1282*(7*J$9-3*sn_h)/(4*sn_h))))-fcd_sn*(1-MIN(1,MAX(0,$E1282*(7*J$9-3*sn_h)/(4*sn_h)))^2)</f>
        <v/>
      </c>
      <c r="K1282">
        <f>MAX(-fyd_sn,MIN(fyd_sn,200000*0.002*(1-$E1282*(7*K$9-3*sn_h)/(4*sn_h))))-fcd_sn*(1-MIN(1,MAX(0,$E1282*(7*K$9-3*sn_h)/(4*sn_h)))^2)</f>
        <v/>
      </c>
    </row>
    <row r="1283">
      <c r="B1283" s="55" t="n">
        <v>35</v>
      </c>
      <c r="C1283" s="56">
        <f>IF($F1282&lt;sn_N,$E1282,$C1282)</f>
        <v/>
      </c>
      <c r="D1283" s="56">
        <f>IF($F1282&lt;sn_N,$D1282,$E1282)</f>
        <v/>
      </c>
      <c r="E1283" s="56">
        <f>($C1283+$D1283)/2</f>
        <v/>
      </c>
      <c r="F1283" s="60">
        <f>(fcd_sn*sn_b*sn_h*(3/7+4/7*(1-$E1283^2/3))+SUMPRODUCT($J$8:$K$8,$J1283:$K1283))/1000</f>
        <v/>
      </c>
      <c r="G1283" s="60">
        <f>-((fcd_sn*sn_b*(3/14*sn_h*(sn_h-3/7*sn_h)+4/7*sn_h*(sn_h/2-3/7*sn_h)*(1-$E1283^2/3)-16/49*sn_h^2*(1/2-$E1283^2/4))+SUMPRODUCT($J$8:$K$8,$J1283:$K1283,$J$10:$K$10))/1E6)</f>
        <v/>
      </c>
      <c r="J1283">
        <f>MAX(-fyd_sn,MIN(fyd_sn,200000*0.002*(1-$E1283*(7*J$9-3*sn_h)/(4*sn_h))))-fcd_sn*(1-MIN(1,MAX(0,$E1283*(7*J$9-3*sn_h)/(4*sn_h)))^2)</f>
        <v/>
      </c>
      <c r="K1283">
        <f>MAX(-fyd_sn,MIN(fyd_sn,200000*0.002*(1-$E1283*(7*K$9-3*sn_h)/(4*sn_h))))-fcd_sn*(1-MIN(1,MAX(0,$E1283*(7*K$9-3*sn_h)/(4*sn_h)))^2)</f>
        <v/>
      </c>
    </row>
    <row r="1284">
      <c r="B1284" s="55" t="n">
        <v>36</v>
      </c>
      <c r="C1284" s="56">
        <f>IF($F1283&lt;sn_N,$E1283,$C1283)</f>
        <v/>
      </c>
      <c r="D1284" s="56">
        <f>IF($F1283&lt;sn_N,$D1283,$E1283)</f>
        <v/>
      </c>
      <c r="E1284" s="56">
        <f>($C1284+$D1284)/2</f>
        <v/>
      </c>
      <c r="F1284" s="60">
        <f>(fcd_sn*sn_b*sn_h*(3/7+4/7*(1-$E1284^2/3))+SUMPRODUCT($J$8:$K$8,$J1284:$K1284))/1000</f>
        <v/>
      </c>
      <c r="G1284" s="60">
        <f>-((fcd_sn*sn_b*(3/14*sn_h*(sn_h-3/7*sn_h)+4/7*sn_h*(sn_h/2-3/7*sn_h)*(1-$E1284^2/3)-16/49*sn_h^2*(1/2-$E1284^2/4))+SUMPRODUCT($J$8:$K$8,$J1284:$K1284,$J$10:$K$10))/1E6)</f>
        <v/>
      </c>
      <c r="J1284">
        <f>MAX(-fyd_sn,MIN(fyd_sn,200000*0.002*(1-$E1284*(7*J$9-3*sn_h)/(4*sn_h))))-fcd_sn*(1-MIN(1,MAX(0,$E1284*(7*J$9-3*sn_h)/(4*sn_h)))^2)</f>
        <v/>
      </c>
      <c r="K1284">
        <f>MAX(-fyd_sn,MIN(fyd_sn,200000*0.002*(1-$E1284*(7*K$9-3*sn_h)/(4*sn_h))))-fcd_sn*(1-MIN(1,MAX(0,$E1284*(7*K$9-3*sn_h)/(4*sn_h)))^2)</f>
        <v/>
      </c>
    </row>
    <row r="1285">
      <c r="B1285" s="55" t="n">
        <v>37</v>
      </c>
      <c r="C1285" s="56">
        <f>IF($F1284&lt;sn_N,$E1284,$C1284)</f>
        <v/>
      </c>
      <c r="D1285" s="56">
        <f>IF($F1284&lt;sn_N,$D1284,$E1284)</f>
        <v/>
      </c>
      <c r="E1285" s="56">
        <f>($C1285+$D1285)/2</f>
        <v/>
      </c>
      <c r="F1285" s="60">
        <f>(fcd_sn*sn_b*sn_h*(3/7+4/7*(1-$E1285^2/3))+SUMPRODUCT($J$8:$K$8,$J1285:$K1285))/1000</f>
        <v/>
      </c>
      <c r="G1285" s="60">
        <f>-((fcd_sn*sn_b*(3/14*sn_h*(sn_h-3/7*sn_h)+4/7*sn_h*(sn_h/2-3/7*sn_h)*(1-$E1285^2/3)-16/49*sn_h^2*(1/2-$E1285^2/4))+SUMPRODUCT($J$8:$K$8,$J1285:$K1285,$J$10:$K$10))/1E6)</f>
        <v/>
      </c>
      <c r="J1285">
        <f>MAX(-fyd_sn,MIN(fyd_sn,200000*0.002*(1-$E1285*(7*J$9-3*sn_h)/(4*sn_h))))-fcd_sn*(1-MIN(1,MAX(0,$E1285*(7*J$9-3*sn_h)/(4*sn_h)))^2)</f>
        <v/>
      </c>
      <c r="K1285">
        <f>MAX(-fyd_sn,MIN(fyd_sn,200000*0.002*(1-$E1285*(7*K$9-3*sn_h)/(4*sn_h))))-fcd_sn*(1-MIN(1,MAX(0,$E1285*(7*K$9-3*sn_h)/(4*sn_h)))^2)</f>
        <v/>
      </c>
    </row>
    <row r="1286">
      <c r="B1286" s="55" t="n">
        <v>38</v>
      </c>
      <c r="C1286" s="56">
        <f>IF($F1285&lt;sn_N,$E1285,$C1285)</f>
        <v/>
      </c>
      <c r="D1286" s="56">
        <f>IF($F1285&lt;sn_N,$D1285,$E1285)</f>
        <v/>
      </c>
      <c r="E1286" s="56">
        <f>($C1286+$D1286)/2</f>
        <v/>
      </c>
      <c r="F1286" s="60">
        <f>(fcd_sn*sn_b*sn_h*(3/7+4/7*(1-$E1286^2/3))+SUMPRODUCT($J$8:$K$8,$J1286:$K1286))/1000</f>
        <v/>
      </c>
      <c r="G1286" s="60">
        <f>-((fcd_sn*sn_b*(3/14*sn_h*(sn_h-3/7*sn_h)+4/7*sn_h*(sn_h/2-3/7*sn_h)*(1-$E1286^2/3)-16/49*sn_h^2*(1/2-$E1286^2/4))+SUMPRODUCT($J$8:$K$8,$J1286:$K1286,$J$10:$K$10))/1E6)</f>
        <v/>
      </c>
      <c r="J1286">
        <f>MAX(-fyd_sn,MIN(fyd_sn,200000*0.002*(1-$E1286*(7*J$9-3*sn_h)/(4*sn_h))))-fcd_sn*(1-MIN(1,MAX(0,$E1286*(7*J$9-3*sn_h)/(4*sn_h)))^2)</f>
        <v/>
      </c>
      <c r="K1286">
        <f>MAX(-fyd_sn,MIN(fyd_sn,200000*0.002*(1-$E1286*(7*K$9-3*sn_h)/(4*sn_h))))-fcd_sn*(1-MIN(1,MAX(0,$E1286*(7*K$9-3*sn_h)/(4*sn_h)))^2)</f>
        <v/>
      </c>
    </row>
    <row r="1287">
      <c r="B1287" s="55" t="n">
        <v>39</v>
      </c>
      <c r="C1287" s="56">
        <f>IF($F1286&lt;sn_N,$E1286,$C1286)</f>
        <v/>
      </c>
      <c r="D1287" s="56">
        <f>IF($F1286&lt;sn_N,$D1286,$E1286)</f>
        <v/>
      </c>
      <c r="E1287" s="56">
        <f>($C1287+$D1287)/2</f>
        <v/>
      </c>
      <c r="F1287" s="60">
        <f>(fcd_sn*sn_b*sn_h*(3/7+4/7*(1-$E1287^2/3))+SUMPRODUCT($J$8:$K$8,$J1287:$K1287))/1000</f>
        <v/>
      </c>
      <c r="G1287" s="60">
        <f>-((fcd_sn*sn_b*(3/14*sn_h*(sn_h-3/7*sn_h)+4/7*sn_h*(sn_h/2-3/7*sn_h)*(1-$E1287^2/3)-16/49*sn_h^2*(1/2-$E1287^2/4))+SUMPRODUCT($J$8:$K$8,$J1287:$K1287,$J$10:$K$10))/1E6)</f>
        <v/>
      </c>
      <c r="J1287">
        <f>MAX(-fyd_sn,MIN(fyd_sn,200000*0.002*(1-$E1287*(7*J$9-3*sn_h)/(4*sn_h))))-fcd_sn*(1-MIN(1,MAX(0,$E1287*(7*J$9-3*sn_h)/(4*sn_h)))^2)</f>
        <v/>
      </c>
      <c r="K1287">
        <f>MAX(-fyd_sn,MIN(fyd_sn,200000*0.002*(1-$E1287*(7*K$9-3*sn_h)/(4*sn_h))))-fcd_sn*(1-MIN(1,MAX(0,$E1287*(7*K$9-3*sn_h)/(4*sn_h)))^2)</f>
        <v/>
      </c>
    </row>
    <row r="1288">
      <c r="B1288" s="55" t="n">
        <v>40</v>
      </c>
      <c r="C1288" s="56">
        <f>IF($F1287&lt;sn_N,$E1287,$C1287)</f>
        <v/>
      </c>
      <c r="D1288" s="56">
        <f>IF($F1287&lt;sn_N,$D1287,$E1287)</f>
        <v/>
      </c>
      <c r="E1288" s="56">
        <f>($C1288+$D1288)/2</f>
        <v/>
      </c>
      <c r="F1288" s="60">
        <f>(fcd_sn*sn_b*sn_h*(3/7+4/7*(1-$E1288^2/3))+SUMPRODUCT($J$8:$K$8,$J1288:$K1288))/1000</f>
        <v/>
      </c>
      <c r="G1288" s="60">
        <f>-((fcd_sn*sn_b*(3/14*sn_h*(sn_h-3/7*sn_h)+4/7*sn_h*(sn_h/2-3/7*sn_h)*(1-$E1288^2/3)-16/49*sn_h^2*(1/2-$E1288^2/4))+SUMPRODUCT($J$8:$K$8,$J1288:$K1288,$J$10:$K$10))/1E6)</f>
        <v/>
      </c>
      <c r="J1288">
        <f>MAX(-fyd_sn,MIN(fyd_sn,200000*0.002*(1-$E1288*(7*J$9-3*sn_h)/(4*sn_h))))-fcd_sn*(1-MIN(1,MAX(0,$E1288*(7*J$9-3*sn_h)/(4*sn_h)))^2)</f>
        <v/>
      </c>
      <c r="K1288">
        <f>MAX(-fyd_sn,MIN(fyd_sn,200000*0.002*(1-$E1288*(7*K$9-3*sn_h)/(4*sn_h))))-fcd_sn*(1-MIN(1,MAX(0,$E1288*(7*K$9-3*sn_h)/(4*sn_h)))^2)</f>
        <v/>
      </c>
    </row>
    <row r="1289">
      <c r="B1289" s="55" t="n">
        <v>41</v>
      </c>
      <c r="C1289" s="56">
        <f>IF($F1288&lt;sn_N,$E1288,$C1288)</f>
        <v/>
      </c>
      <c r="D1289" s="56">
        <f>IF($F1288&lt;sn_N,$D1288,$E1288)</f>
        <v/>
      </c>
      <c r="E1289" s="56">
        <f>($C1289+$D1289)/2</f>
        <v/>
      </c>
      <c r="F1289" s="60">
        <f>(fcd_sn*sn_b*sn_h*(3/7+4/7*(1-$E1289^2/3))+SUMPRODUCT($J$8:$K$8,$J1289:$K1289))/1000</f>
        <v/>
      </c>
      <c r="G1289" s="60">
        <f>-((fcd_sn*sn_b*(3/14*sn_h*(sn_h-3/7*sn_h)+4/7*sn_h*(sn_h/2-3/7*sn_h)*(1-$E1289^2/3)-16/49*sn_h^2*(1/2-$E1289^2/4))+SUMPRODUCT($J$8:$K$8,$J1289:$K1289,$J$10:$K$10))/1E6)</f>
        <v/>
      </c>
      <c r="J1289">
        <f>MAX(-fyd_sn,MIN(fyd_sn,200000*0.002*(1-$E1289*(7*J$9-3*sn_h)/(4*sn_h))))-fcd_sn*(1-MIN(1,MAX(0,$E1289*(7*J$9-3*sn_h)/(4*sn_h)))^2)</f>
        <v/>
      </c>
      <c r="K1289">
        <f>MAX(-fyd_sn,MIN(fyd_sn,200000*0.002*(1-$E1289*(7*K$9-3*sn_h)/(4*sn_h))))-fcd_sn*(1-MIN(1,MAX(0,$E1289*(7*K$9-3*sn_h)/(4*sn_h)))^2)</f>
        <v/>
      </c>
    </row>
    <row r="1290">
      <c r="B1290" s="55" t="n">
        <v>42</v>
      </c>
      <c r="C1290" s="56">
        <f>IF($F1289&lt;sn_N,$E1289,$C1289)</f>
        <v/>
      </c>
      <c r="D1290" s="56">
        <f>IF($F1289&lt;sn_N,$D1289,$E1289)</f>
        <v/>
      </c>
      <c r="E1290" s="56">
        <f>($C1290+$D1290)/2</f>
        <v/>
      </c>
      <c r="F1290" s="60">
        <f>(fcd_sn*sn_b*sn_h*(3/7+4/7*(1-$E1290^2/3))+SUMPRODUCT($J$8:$K$8,$J1290:$K1290))/1000</f>
        <v/>
      </c>
      <c r="G1290" s="60">
        <f>-((fcd_sn*sn_b*(3/14*sn_h*(sn_h-3/7*sn_h)+4/7*sn_h*(sn_h/2-3/7*sn_h)*(1-$E1290^2/3)-16/49*sn_h^2*(1/2-$E1290^2/4))+SUMPRODUCT($J$8:$K$8,$J1290:$K1290,$J$10:$K$10))/1E6)</f>
        <v/>
      </c>
      <c r="J1290">
        <f>MAX(-fyd_sn,MIN(fyd_sn,200000*0.002*(1-$E1290*(7*J$9-3*sn_h)/(4*sn_h))))-fcd_sn*(1-MIN(1,MAX(0,$E1290*(7*J$9-3*sn_h)/(4*sn_h)))^2)</f>
        <v/>
      </c>
      <c r="K1290">
        <f>MAX(-fyd_sn,MIN(fyd_sn,200000*0.002*(1-$E1290*(7*K$9-3*sn_h)/(4*sn_h))))-fcd_sn*(1-MIN(1,MAX(0,$E1290*(7*K$9-3*sn_h)/(4*sn_h)))^2)</f>
        <v/>
      </c>
    </row>
    <row r="1291">
      <c r="B1291" s="55" t="n">
        <v>43</v>
      </c>
      <c r="C1291" s="56">
        <f>IF($F1290&lt;sn_N,$E1290,$C1290)</f>
        <v/>
      </c>
      <c r="D1291" s="56">
        <f>IF($F1290&lt;sn_N,$D1290,$E1290)</f>
        <v/>
      </c>
      <c r="E1291" s="56">
        <f>($C1291+$D1291)/2</f>
        <v/>
      </c>
      <c r="F1291" s="60">
        <f>(fcd_sn*sn_b*sn_h*(3/7+4/7*(1-$E1291^2/3))+SUMPRODUCT($J$8:$K$8,$J1291:$K1291))/1000</f>
        <v/>
      </c>
      <c r="G1291" s="60">
        <f>-((fcd_sn*sn_b*(3/14*sn_h*(sn_h-3/7*sn_h)+4/7*sn_h*(sn_h/2-3/7*sn_h)*(1-$E1291^2/3)-16/49*sn_h^2*(1/2-$E1291^2/4))+SUMPRODUCT($J$8:$K$8,$J1291:$K1291,$J$10:$K$10))/1E6)</f>
        <v/>
      </c>
      <c r="J1291">
        <f>MAX(-fyd_sn,MIN(fyd_sn,200000*0.002*(1-$E1291*(7*J$9-3*sn_h)/(4*sn_h))))-fcd_sn*(1-MIN(1,MAX(0,$E1291*(7*J$9-3*sn_h)/(4*sn_h)))^2)</f>
        <v/>
      </c>
      <c r="K1291">
        <f>MAX(-fyd_sn,MIN(fyd_sn,200000*0.002*(1-$E1291*(7*K$9-3*sn_h)/(4*sn_h))))-fcd_sn*(1-MIN(1,MAX(0,$E1291*(7*K$9-3*sn_h)/(4*sn_h)))^2)</f>
        <v/>
      </c>
    </row>
    <row r="1292">
      <c r="B1292" s="55" t="n">
        <v>44</v>
      </c>
      <c r="C1292" s="56">
        <f>IF($F1291&lt;sn_N,$E1291,$C1291)</f>
        <v/>
      </c>
      <c r="D1292" s="56">
        <f>IF($F1291&lt;sn_N,$D1291,$E1291)</f>
        <v/>
      </c>
      <c r="E1292" s="56">
        <f>($C1292+$D1292)/2</f>
        <v/>
      </c>
      <c r="F1292" s="60">
        <f>(fcd_sn*sn_b*sn_h*(3/7+4/7*(1-$E1292^2/3))+SUMPRODUCT($J$8:$K$8,$J1292:$K1292))/1000</f>
        <v/>
      </c>
      <c r="G1292" s="60">
        <f>-((fcd_sn*sn_b*(3/14*sn_h*(sn_h-3/7*sn_h)+4/7*sn_h*(sn_h/2-3/7*sn_h)*(1-$E1292^2/3)-16/49*sn_h^2*(1/2-$E1292^2/4))+SUMPRODUCT($J$8:$K$8,$J1292:$K1292,$J$10:$K$10))/1E6)</f>
        <v/>
      </c>
      <c r="J1292">
        <f>MAX(-fyd_sn,MIN(fyd_sn,200000*0.002*(1-$E1292*(7*J$9-3*sn_h)/(4*sn_h))))-fcd_sn*(1-MIN(1,MAX(0,$E1292*(7*J$9-3*sn_h)/(4*sn_h)))^2)</f>
        <v/>
      </c>
      <c r="K1292">
        <f>MAX(-fyd_sn,MIN(fyd_sn,200000*0.002*(1-$E1292*(7*K$9-3*sn_h)/(4*sn_h))))-fcd_sn*(1-MIN(1,MAX(0,$E1292*(7*K$9-3*sn_h)/(4*sn_h)))^2)</f>
        <v/>
      </c>
    </row>
    <row r="1293">
      <c r="B1293" s="55" t="n">
        <v>45</v>
      </c>
      <c r="C1293" s="56">
        <f>IF($F1292&lt;sn_N,$E1292,$C1292)</f>
        <v/>
      </c>
      <c r="D1293" s="56">
        <f>IF($F1292&lt;sn_N,$D1292,$E1292)</f>
        <v/>
      </c>
      <c r="E1293" s="56">
        <f>($C1293+$D1293)/2</f>
        <v/>
      </c>
      <c r="F1293" s="60">
        <f>(fcd_sn*sn_b*sn_h*(3/7+4/7*(1-$E1293^2/3))+SUMPRODUCT($J$8:$K$8,$J1293:$K1293))/1000</f>
        <v/>
      </c>
      <c r="G1293" s="60">
        <f>-((fcd_sn*sn_b*(3/14*sn_h*(sn_h-3/7*sn_h)+4/7*sn_h*(sn_h/2-3/7*sn_h)*(1-$E1293^2/3)-16/49*sn_h^2*(1/2-$E1293^2/4))+SUMPRODUCT($J$8:$K$8,$J1293:$K1293,$J$10:$K$10))/1E6)</f>
        <v/>
      </c>
      <c r="J1293">
        <f>MAX(-fyd_sn,MIN(fyd_sn,200000*0.002*(1-$E1293*(7*J$9-3*sn_h)/(4*sn_h))))-fcd_sn*(1-MIN(1,MAX(0,$E1293*(7*J$9-3*sn_h)/(4*sn_h)))^2)</f>
        <v/>
      </c>
      <c r="K1293">
        <f>MAX(-fyd_sn,MIN(fyd_sn,200000*0.002*(1-$E1293*(7*K$9-3*sn_h)/(4*sn_h))))-fcd_sn*(1-MIN(1,MAX(0,$E1293*(7*K$9-3*sn_h)/(4*sn_h)))^2)</f>
        <v/>
      </c>
    </row>
    <row r="1294">
      <c r="B1294" s="55" t="n">
        <v>46</v>
      </c>
      <c r="C1294" s="56">
        <f>IF($F1293&lt;sn_N,$E1293,$C1293)</f>
        <v/>
      </c>
      <c r="D1294" s="56">
        <f>IF($F1293&lt;sn_N,$D1293,$E1293)</f>
        <v/>
      </c>
      <c r="E1294" s="56">
        <f>($C1294+$D1294)/2</f>
        <v/>
      </c>
      <c r="F1294" s="60">
        <f>(fcd_sn*sn_b*sn_h*(3/7+4/7*(1-$E1294^2/3))+SUMPRODUCT($J$8:$K$8,$J1294:$K1294))/1000</f>
        <v/>
      </c>
      <c r="G1294" s="60">
        <f>-((fcd_sn*sn_b*(3/14*sn_h*(sn_h-3/7*sn_h)+4/7*sn_h*(sn_h/2-3/7*sn_h)*(1-$E1294^2/3)-16/49*sn_h^2*(1/2-$E1294^2/4))+SUMPRODUCT($J$8:$K$8,$J1294:$K1294,$J$10:$K$10))/1E6)</f>
        <v/>
      </c>
      <c r="J1294">
        <f>MAX(-fyd_sn,MIN(fyd_sn,200000*0.002*(1-$E1294*(7*J$9-3*sn_h)/(4*sn_h))))-fcd_sn*(1-MIN(1,MAX(0,$E1294*(7*J$9-3*sn_h)/(4*sn_h)))^2)</f>
        <v/>
      </c>
      <c r="K1294">
        <f>MAX(-fyd_sn,MIN(fyd_sn,200000*0.002*(1-$E1294*(7*K$9-3*sn_h)/(4*sn_h))))-fcd_sn*(1-MIN(1,MAX(0,$E1294*(7*K$9-3*sn_h)/(4*sn_h)))^2)</f>
        <v/>
      </c>
    </row>
    <row r="1295">
      <c r="B1295" s="55" t="n">
        <v>47</v>
      </c>
      <c r="C1295" s="56">
        <f>IF($F1294&lt;sn_N,$E1294,$C1294)</f>
        <v/>
      </c>
      <c r="D1295" s="56">
        <f>IF($F1294&lt;sn_N,$D1294,$E1294)</f>
        <v/>
      </c>
      <c r="E1295" s="56">
        <f>($C1295+$D1295)/2</f>
        <v/>
      </c>
      <c r="F1295" s="60">
        <f>(fcd_sn*sn_b*sn_h*(3/7+4/7*(1-$E1295^2/3))+SUMPRODUCT($J$8:$K$8,$J1295:$K1295))/1000</f>
        <v/>
      </c>
      <c r="G1295" s="60">
        <f>-((fcd_sn*sn_b*(3/14*sn_h*(sn_h-3/7*sn_h)+4/7*sn_h*(sn_h/2-3/7*sn_h)*(1-$E1295^2/3)-16/49*sn_h^2*(1/2-$E1295^2/4))+SUMPRODUCT($J$8:$K$8,$J1295:$K1295,$J$10:$K$10))/1E6)</f>
        <v/>
      </c>
      <c r="J1295">
        <f>MAX(-fyd_sn,MIN(fyd_sn,200000*0.002*(1-$E1295*(7*J$9-3*sn_h)/(4*sn_h))))-fcd_sn*(1-MIN(1,MAX(0,$E1295*(7*J$9-3*sn_h)/(4*sn_h)))^2)</f>
        <v/>
      </c>
      <c r="K1295">
        <f>MAX(-fyd_sn,MIN(fyd_sn,200000*0.002*(1-$E1295*(7*K$9-3*sn_h)/(4*sn_h))))-fcd_sn*(1-MIN(1,MAX(0,$E1295*(7*K$9-3*sn_h)/(4*sn_h)))^2)</f>
        <v/>
      </c>
    </row>
    <row r="1296">
      <c r="B1296" s="55" t="n">
        <v>48</v>
      </c>
      <c r="C1296" s="56">
        <f>IF($F1295&lt;sn_N,$E1295,$C1295)</f>
        <v/>
      </c>
      <c r="D1296" s="56">
        <f>IF($F1295&lt;sn_N,$D1295,$E1295)</f>
        <v/>
      </c>
      <c r="E1296" s="56">
        <f>($C1296+$D1296)/2</f>
        <v/>
      </c>
      <c r="F1296" s="60">
        <f>(fcd_sn*sn_b*sn_h*(3/7+4/7*(1-$E1296^2/3))+SUMPRODUCT($J$8:$K$8,$J1296:$K1296))/1000</f>
        <v/>
      </c>
      <c r="G1296" s="60">
        <f>-((fcd_sn*sn_b*(3/14*sn_h*(sn_h-3/7*sn_h)+4/7*sn_h*(sn_h/2-3/7*sn_h)*(1-$E1296^2/3)-16/49*sn_h^2*(1/2-$E1296^2/4))+SUMPRODUCT($J$8:$K$8,$J1296:$K1296,$J$10:$K$10))/1E6)</f>
        <v/>
      </c>
      <c r="J1296">
        <f>MAX(-fyd_sn,MIN(fyd_sn,200000*0.002*(1-$E1296*(7*J$9-3*sn_h)/(4*sn_h))))-fcd_sn*(1-MIN(1,MAX(0,$E1296*(7*J$9-3*sn_h)/(4*sn_h)))^2)</f>
        <v/>
      </c>
      <c r="K1296">
        <f>MAX(-fyd_sn,MIN(fyd_sn,200000*0.002*(1-$E1296*(7*K$9-3*sn_h)/(4*sn_h))))-fcd_sn*(1-MIN(1,MAX(0,$E1296*(7*K$9-3*sn_h)/(4*sn_h)))^2)</f>
        <v/>
      </c>
    </row>
    <row r="1297">
      <c r="B1297" s="55" t="n">
        <v>49</v>
      </c>
      <c r="C1297" s="56">
        <f>IF($F1296&lt;sn_N,$E1296,$C1296)</f>
        <v/>
      </c>
      <c r="D1297" s="56">
        <f>IF($F1296&lt;sn_N,$D1296,$E1296)</f>
        <v/>
      </c>
      <c r="E1297" s="56">
        <f>($C1297+$D1297)/2</f>
        <v/>
      </c>
      <c r="F1297" s="60">
        <f>(fcd_sn*sn_b*sn_h*(3/7+4/7*(1-$E1297^2/3))+SUMPRODUCT($J$8:$K$8,$J1297:$K1297))/1000</f>
        <v/>
      </c>
      <c r="G1297" s="60">
        <f>-((fcd_sn*sn_b*(3/14*sn_h*(sn_h-3/7*sn_h)+4/7*sn_h*(sn_h/2-3/7*sn_h)*(1-$E1297^2/3)-16/49*sn_h^2*(1/2-$E1297^2/4))+SUMPRODUCT($J$8:$K$8,$J1297:$K1297,$J$10:$K$10))/1E6)</f>
        <v/>
      </c>
      <c r="J1297">
        <f>MAX(-fyd_sn,MIN(fyd_sn,200000*0.002*(1-$E1297*(7*J$9-3*sn_h)/(4*sn_h))))-fcd_sn*(1-MIN(1,MAX(0,$E1297*(7*J$9-3*sn_h)/(4*sn_h)))^2)</f>
        <v/>
      </c>
      <c r="K1297">
        <f>MAX(-fyd_sn,MIN(fyd_sn,200000*0.002*(1-$E1297*(7*K$9-3*sn_h)/(4*sn_h))))-fcd_sn*(1-MIN(1,MAX(0,$E1297*(7*K$9-3*sn_h)/(4*sn_h)))^2)</f>
        <v/>
      </c>
    </row>
    <row r="1298">
      <c r="B1298" s="55" t="n">
        <v>50</v>
      </c>
      <c r="C1298" s="56">
        <f>IF($F1297&lt;sn_N,$E1297,$C1297)</f>
        <v/>
      </c>
      <c r="D1298" s="56">
        <f>IF($F1297&lt;sn_N,$D1297,$E1297)</f>
        <v/>
      </c>
      <c r="E1298" s="56">
        <f>($C1298+$D1298)/2</f>
        <v/>
      </c>
      <c r="F1298" s="60">
        <f>(fcd_sn*sn_b*sn_h*(3/7+4/7*(1-$E1298^2/3))+SUMPRODUCT($J$8:$K$8,$J1298:$K1298))/1000</f>
        <v/>
      </c>
      <c r="G1298" s="60">
        <f>-((fcd_sn*sn_b*(3/14*sn_h*(sn_h-3/7*sn_h)+4/7*sn_h*(sn_h/2-3/7*sn_h)*(1-$E1298^2/3)-16/49*sn_h^2*(1/2-$E1298^2/4))+SUMPRODUCT($J$8:$K$8,$J1298:$K1298,$J$10:$K$10))/1E6)</f>
        <v/>
      </c>
      <c r="J1298">
        <f>MAX(-fyd_sn,MIN(fyd_sn,200000*0.002*(1-$E1298*(7*J$9-3*sn_h)/(4*sn_h))))-fcd_sn*(1-MIN(1,MAX(0,$E1298*(7*J$9-3*sn_h)/(4*sn_h)))^2)</f>
        <v/>
      </c>
      <c r="K1298">
        <f>MAX(-fyd_sn,MIN(fyd_sn,200000*0.002*(1-$E1298*(7*K$9-3*sn_h)/(4*sn_h))))-fcd_sn*(1-MIN(1,MAX(0,$E1298*(7*K$9-3*sn_h)/(4*sn_h)))^2)</f>
        <v/>
      </c>
    </row>
  </sheetData>
  <sheetProtection selectLockedCells="0" selectUnlockedCells="0" sheet="1" objects="1" insertRows="1" insertHyperlinks="1" autoFilter="1" scenarios="0" formatColumns="1" deleteColumns="1" insertColumns="1" pivotTables="1" deleteRows="1" formatCells="1" formatRows="1" sort="1" password="AA0A"/>
  <mergeCells count="2">
    <mergeCell ref="B3:H3"/>
    <mergeCell ref="B179:H179"/>
  </mergeCell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&amp;K8A8A8ANAE-RC-043  v1.0</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B2:F28"/>
  <sheetViews>
    <sheetView showGridLines="0" tabSelected="0" workbookViewId="0">
      <selection activeCell="A1" sqref="A1"/>
    </sheetView>
  </sheetViews>
  <sheetFormatPr baseColWidth="8" defaultRowHeight="15"/>
  <cols>
    <col width="2.5" customWidth="1" min="1" max="1"/>
    <col width="34" customWidth="1" min="2" max="2"/>
    <col width="16" customWidth="1" min="3" max="3"/>
    <col width="12" customWidth="1" min="4" max="4"/>
    <col width="12" customWidth="1" min="5" max="5"/>
    <col width="60" customWidth="1" min="6" max="6"/>
  </cols>
  <sheetData>
    <row r="2">
      <c r="B2" s="63" t="inlineStr">
        <is>
          <t>Nationally Determined Parameters</t>
        </is>
      </c>
    </row>
    <row r="3">
      <c r="B3" s="16" t="inlineStr">
        <is>
          <t>Values used by the Calculation sheet for the selected National Annex. Sources: UK NA to BS EN 1992-1-1:2004, Table NA.1; PN-EN 1992-1-1:2008, Załącznik krajowy NA. Edit only if your project specifies different values.</t>
        </is>
      </c>
    </row>
    <row r="5">
      <c r="B5" s="64" t="inlineStr">
        <is>
          <t>Parameter</t>
        </is>
      </c>
      <c r="C5" s="64" t="inlineStr">
        <is>
          <t>Clause</t>
        </is>
      </c>
      <c r="D5" s="64" t="inlineStr">
        <is>
          <t>UK NA</t>
        </is>
      </c>
      <c r="E5" s="64" t="inlineStr">
        <is>
          <t>PL NA</t>
        </is>
      </c>
      <c r="F5" s="64" t="inlineStr">
        <is>
          <t>Notes</t>
        </is>
      </c>
    </row>
    <row r="6">
      <c r="B6" s="65" t="inlineStr">
        <is>
          <t>Partial factor, concrete  γc</t>
        </is>
      </c>
      <c r="C6" s="66" t="inlineStr">
        <is>
          <t>2.4.2.4(1)</t>
        </is>
      </c>
      <c r="D6" s="67" t="n">
        <v>1.5</v>
      </c>
      <c r="E6" s="67" t="n">
        <v>1.4</v>
      </c>
      <c r="F6" s="66" t="inlineStr">
        <is>
          <t>Persistent &amp; transient. UK NA: recommended; PL: NA.2, Table NA.2</t>
        </is>
      </c>
    </row>
    <row r="7">
      <c r="B7" s="65" t="inlineStr">
        <is>
          <t>Partial factor, reinforcement  γs</t>
        </is>
      </c>
      <c r="C7" s="66" t="inlineStr">
        <is>
          <t>2.4.2.4(1)</t>
        </is>
      </c>
      <c r="D7" s="67" t="n">
        <v>1.15</v>
      </c>
      <c r="E7" s="67" t="n">
        <v>1.15</v>
      </c>
      <c r="F7" s="66" t="inlineStr">
        <is>
          <t>UK NA: recommended; PL: NA.2, Table NA.2</t>
        </is>
      </c>
    </row>
    <row r="8">
      <c r="B8" s="65" t="inlineStr">
        <is>
          <t>αcc  (compression in flexure / axial)</t>
        </is>
      </c>
      <c r="C8" s="66" t="inlineStr">
        <is>
          <t>3.1.6(1)</t>
        </is>
      </c>
      <c r="D8" s="67" t="n">
        <v>0.85</v>
      </c>
      <c r="E8" s="67" t="n">
        <v>1</v>
      </c>
      <c r="F8" s="66" t="inlineStr">
        <is>
          <t>UK NA: 0.85; PL: recommended (NA.9)</t>
        </is>
      </c>
    </row>
    <row r="9">
      <c r="B9" s="65" t="inlineStr">
        <is>
          <t>αcc,pl  (plain concrete, compression)</t>
        </is>
      </c>
      <c r="C9" s="66" t="inlineStr">
        <is>
          <t>12.3.1(1)</t>
        </is>
      </c>
      <c r="D9" s="67" t="n">
        <v>0.6</v>
      </c>
      <c r="E9" s="67" t="n">
        <v>0.8</v>
      </c>
      <c r="F9" s="66" t="inlineStr">
        <is>
          <t>UK NA Table NA.1: 0.6; PL: recommended (NA.9)</t>
        </is>
      </c>
    </row>
    <row r="10">
      <c r="B10" s="65" t="inlineStr">
        <is>
          <t>αcc  (shear and punching)</t>
        </is>
      </c>
      <c r="C10" s="66" t="inlineStr">
        <is>
          <t>3.1.6(1)</t>
        </is>
      </c>
      <c r="D10" s="67" t="n">
        <v>1</v>
      </c>
      <c r="E10" s="67" t="n">
        <v>1</v>
      </c>
      <c r="F10" s="66" t="inlineStr">
        <is>
          <t>UK NA: 1.0 for other phenomena; PL: recommended (NA.9)</t>
        </is>
      </c>
    </row>
    <row r="11">
      <c r="B11" s="65" t="inlineStr">
        <is>
          <t>αct  (design tensile strength)</t>
        </is>
      </c>
      <c r="C11" s="66" t="inlineStr">
        <is>
          <t>3.1.6(2)</t>
        </is>
      </c>
      <c r="D11" s="67" t="n">
        <v>1</v>
      </c>
      <c r="E11" s="67" t="n">
        <v>1</v>
      </c>
      <c r="F11" s="66" t="inlineStr">
        <is>
          <t>Recommended value in both annexes</t>
        </is>
      </c>
    </row>
    <row r="12">
      <c r="B12" s="65" t="inlineStr">
        <is>
          <t>CRd,c numerator  (CRd,c = value / γc)</t>
        </is>
      </c>
      <c r="C12" s="66" t="inlineStr">
        <is>
          <t>6.2.2(1), 6.4.4(1)</t>
        </is>
      </c>
      <c r="D12" s="67" t="n">
        <v>0.18</v>
      </c>
      <c r="E12" s="67" t="n">
        <v>0.18</v>
      </c>
      <c r="F12" s="66" t="inlineStr">
        <is>
          <t>Recommended value in both annexes</t>
        </is>
      </c>
    </row>
    <row r="13">
      <c r="B13" s="65" t="inlineStr">
        <is>
          <t>k1  (axial stress term, punching)</t>
        </is>
      </c>
      <c r="C13" s="66" t="inlineStr">
        <is>
          <t>6.4.4(1)</t>
        </is>
      </c>
      <c r="D13" s="67" t="n">
        <v>0.1</v>
      </c>
      <c r="E13" s="67" t="n">
        <v>0.1</v>
      </c>
      <c r="F13" s="66" t="inlineStr">
        <is>
          <t>Recommended value in both annexes</t>
        </is>
      </c>
    </row>
    <row r="14">
      <c r="B14" s="65" t="inlineStr">
        <is>
          <t>vRd,max factor  (vRd,max = factor · ν · fcd)</t>
        </is>
      </c>
      <c r="C14" s="66" t="inlineStr">
        <is>
          <t>6.4.5(3)</t>
        </is>
      </c>
      <c r="D14" s="67" t="n">
        <v>0.5</v>
      </c>
      <c r="E14" s="67" t="n">
        <v>0.4</v>
      </c>
      <c r="F14" s="66" t="inlineStr">
        <is>
          <t>UK NA: 0.5 ν fcd; PL: recommended value (NA.9), 0.4 ν fcd since EN 1992-1-1 AC:2010 (PN-EN 1992-1-1:2008/AC:2011)</t>
        </is>
      </c>
    </row>
    <row r="15">
      <c r="B15" s="65" t="inlineStr">
        <is>
          <t>kmax  (vEd ≤ kmax · vRd,c at u1)</t>
        </is>
      </c>
      <c r="C15" s="66" t="inlineStr">
        <is>
          <t>6.4.5</t>
        </is>
      </c>
      <c r="D15" s="67" t="n">
        <v>2</v>
      </c>
      <c r="E15" s="67" t="n">
        <v>1.5</v>
      </c>
      <c r="F15" s="66" t="inlineStr">
        <is>
          <t>UK NA 6.4.5(3): 2 vRd,c. PL: no limit in PN-EN 1992-1-1:2008; 1.5 (A1:2014 recommendation) applied conservatively</t>
        </is>
      </c>
    </row>
    <row r="16">
      <c r="B16" s="65" t="inlineStr">
        <is>
          <t>φlarge  (large bar threshold, mm)</t>
        </is>
      </c>
      <c r="C16" s="66" t="inlineStr">
        <is>
          <t>8.8(1)</t>
        </is>
      </c>
      <c r="D16" s="67" t="n">
        <v>40</v>
      </c>
      <c r="E16" s="67" t="n">
        <v>32</v>
      </c>
      <c r="F16" s="66" t="inlineStr">
        <is>
          <t>UK NA: 40 mm; PL: 32 mm recommended (NA.9)</t>
        </is>
      </c>
    </row>
    <row r="17">
      <c r="B17" s="65" t="inlineStr">
        <is>
          <t>cot θ upper limit  (variable strut)</t>
        </is>
      </c>
      <c r="C17" s="66" t="inlineStr">
        <is>
          <t>6.2.3(2)</t>
        </is>
      </c>
      <c r="D17" s="67" t="n">
        <v>2.5</v>
      </c>
      <c r="E17" s="67" t="n">
        <v>2</v>
      </c>
      <c r="F17" s="66" t="inlineStr">
        <is>
          <t>UK NA: 2.5 (1.25 with axial tension); PL: NA.4, 1 ≤ cot θ ≤ 2.0</t>
        </is>
      </c>
    </row>
    <row r="18">
      <c r="B18" s="65" t="inlineStr">
        <is>
          <t>k1  (x/d limit, δ ≥ k1 + k2 xu/d)</t>
        </is>
      </c>
      <c r="C18" s="66" t="inlineStr">
        <is>
          <t>5.5(4)</t>
        </is>
      </c>
      <c r="D18" s="67" t="n">
        <v>0.4</v>
      </c>
      <c r="E18" s="67" t="n">
        <v>0.44</v>
      </c>
      <c r="F18" s="66" t="inlineStr">
        <is>
          <t>UK NA for fyk ≤ 500 MPa; PL: recommended (NA.9)</t>
        </is>
      </c>
    </row>
    <row r="19">
      <c r="B19" s="65" t="inlineStr">
        <is>
          <t>k2  (x/d limit, εcu2 = 0.0035)</t>
        </is>
      </c>
      <c r="C19" s="66" t="inlineStr">
        <is>
          <t>5.5(4)</t>
        </is>
      </c>
      <c r="D19" s="67" t="n">
        <v>1</v>
      </c>
      <c r="E19" s="67" t="n">
        <v>1.25</v>
      </c>
      <c r="F19" s="66" t="inlineStr">
        <is>
          <t>UK NA: 0.6 + 0.0014/εcu2; PL: 1.25(0.6 + 0.0014/εcu2)</t>
        </is>
      </c>
    </row>
    <row r="20">
      <c r="B20" s="65" t="inlineStr">
        <is>
          <t>Upper limit on the (310/σs) factor  (0 = none)</t>
        </is>
      </c>
      <c r="C20" s="66" t="inlineStr">
        <is>
          <t>7.4.2(2)</t>
        </is>
      </c>
      <c r="D20" s="67" t="n">
        <v>1.5</v>
      </c>
      <c r="E20" s="67" t="n">
        <v>0</v>
      </c>
      <c r="F20" s="66" t="inlineStr">
        <is>
          <t>UK NA Table NA.5 Note 5: (310/σs) or (500/fyk)(As,prov/As,req) ≤ 1.5; PL: none</t>
        </is>
      </c>
    </row>
    <row r="21">
      <c r="B21" s="65" t="inlineStr">
        <is>
          <t>L/d not to exceed 40 K  (1 = applies)</t>
        </is>
      </c>
      <c r="C21" s="66" t="inlineStr">
        <is>
          <t>7.4.2(2)</t>
        </is>
      </c>
      <c r="D21" s="67" t="n">
        <v>1</v>
      </c>
      <c r="E21" s="67" t="n">
        <v>0</v>
      </c>
      <c r="F21" s="66" t="inlineStr">
        <is>
          <t>UK NA Table NA.5 Note 6; not in EN text</t>
        </is>
      </c>
    </row>
    <row r="22">
      <c r="B22" s="65" t="inlineStr">
        <is>
          <t>φmin  (longitudinal bars in columns, mm)</t>
        </is>
      </c>
      <c r="C22" s="66" t="inlineStr">
        <is>
          <t>9.5.2(1)</t>
        </is>
      </c>
      <c r="D22" s="67" t="n">
        <v>12</v>
      </c>
      <c r="E22" s="67" t="n">
        <v>6</v>
      </c>
      <c r="F22" s="66" t="inlineStr">
        <is>
          <t>UK NA: 12 mm; PL: NA.6, 6 mm</t>
        </is>
      </c>
    </row>
    <row r="23">
      <c r="B23" s="65" t="inlineStr">
        <is>
          <t>k3  (crack spacing)</t>
        </is>
      </c>
      <c r="C23" s="66" t="inlineStr">
        <is>
          <t>7.3.4(3)</t>
        </is>
      </c>
      <c r="D23" s="67" t="n">
        <v>3.4</v>
      </c>
      <c r="E23" s="67" t="n">
        <v>3.4</v>
      </c>
      <c r="F23" s="66" t="inlineStr">
        <is>
          <t>Recommended value in both annexes</t>
        </is>
      </c>
    </row>
    <row r="24">
      <c r="B24" s="65" t="inlineStr">
        <is>
          <t>k4  (crack spacing)</t>
        </is>
      </c>
      <c r="C24" s="66" t="inlineStr">
        <is>
          <t>7.3.4(3)</t>
        </is>
      </c>
      <c r="D24" s="67" t="n">
        <v>0.425</v>
      </c>
      <c r="E24" s="67" t="n">
        <v>0.425</v>
      </c>
      <c r="F24" s="66" t="inlineStr">
        <is>
          <t>Recommended value in both annexes</t>
        </is>
      </c>
    </row>
    <row r="25">
      <c r="B25" s="65" t="inlineStr">
        <is>
          <t>k1  (concrete stress, characteristic; XD, XF, XS)</t>
        </is>
      </c>
      <c r="C25" s="66" t="inlineStr">
        <is>
          <t>7.2(2)</t>
        </is>
      </c>
      <c r="D25" s="67" t="n">
        <v>0.6</v>
      </c>
      <c r="E25" s="67" t="n">
        <v>1</v>
      </c>
      <c r="F25" s="66" t="inlineStr">
        <is>
          <t>UK NA: recommended; PL: NA.5, k1 = 1.0</t>
        </is>
      </c>
    </row>
    <row r="26">
      <c r="B26" s="65" t="inlineStr">
        <is>
          <t>k2  (concrete stress, quasi-permanent; linear creep)</t>
        </is>
      </c>
      <c r="C26" s="66" t="inlineStr">
        <is>
          <t>7.2(3)</t>
        </is>
      </c>
      <c r="D26" s="67" t="n">
        <v>0.45</v>
      </c>
      <c r="E26" s="67" t="n">
        <v>0.45</v>
      </c>
      <c r="F26" s="66" t="inlineStr">
        <is>
          <t>Recommended value in both annexes (UK NA; PL NA.9)</t>
        </is>
      </c>
    </row>
    <row r="27">
      <c r="B27" s="65" t="inlineStr">
        <is>
          <t>k3  (steel stress, characteristic)</t>
        </is>
      </c>
      <c r="C27" s="66" t="inlineStr">
        <is>
          <t>7.2(5)</t>
        </is>
      </c>
      <c r="D27" s="67" t="n">
        <v>0.8</v>
      </c>
      <c r="E27" s="67" t="n">
        <v>0.8</v>
      </c>
      <c r="F27" s="66" t="inlineStr">
        <is>
          <t>Recommended value in both annexes (UK NA; PL NA.9)</t>
        </is>
      </c>
    </row>
    <row r="28">
      <c r="B28" s="65" t="inlineStr">
        <is>
          <t>k4  (steel stress, imposed deformation)</t>
        </is>
      </c>
      <c r="C28" s="66" t="inlineStr">
        <is>
          <t>7.2(5)</t>
        </is>
      </c>
      <c r="D28" s="67" t="n">
        <v>1</v>
      </c>
      <c r="E28" s="67" t="n">
        <v>1</v>
      </c>
      <c r="F28" s="66" t="inlineStr">
        <is>
          <t>Recommended value in both annexes (UK NA; PL NA.9)</t>
        </is>
      </c>
    </row>
  </sheetData>
  <sheetProtection selectLockedCells="0" selectUnlockedCells="0" sheet="1" objects="1" insertRows="1" insertHyperlinks="1" autoFilter="1" scenarios="0" formatColumns="1" deleteColumns="1" insertColumns="1" pivotTables="1" deleteRows="1" formatCells="1" formatRows="1" sort="1" password="AA0A"/>
  <printOptions horizontalCentered="1"/>
  <pageMargins left="0.4" right="0.4" top="0.4" bottom="0.6" header="0.5" footer="0.5"/>
  <pageSetup orientation="landscape" paperSize="9" fitToHeight="0" fitToWidth="1"/>
  <headerFooter>
    <oddHeader/>
    <oddFooter>&amp;L&amp;7 &amp;K8A8A8ANA Engineering sp. z o.o.  ·  naengineering.uk  ·  adrian@naengineering.uk  ·  +48 505 844 422&amp;C&amp;7 &amp;K8A8A8A&amp;P / &amp;N&amp;R&amp;7 &amp;K8A8A8ANAE-RC-043  v1.0</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NAE-RC-043 Section N-M interaction</dc:title>
  <dc:subject xmlns:dc="http://purl.org/dc/elements/1.1/">Rectangular sections under axial force and bending  ·  EN 1992-1-1 §6.1  ·  UK NA / PN-EN</dc:subject>
  <dcterms:created xmlns:dcterms="http://purl.org/dc/terms/" xmlns:xsi="http://www.w3.org/2001/XMLSchema-instance" xsi:type="dcterms:W3CDTF">2026-10-30T10:58:41Z</dcterms:created>
  <dcterms:modified xmlns:dcterms="http://purl.org/dc/terms/" xmlns:xsi="http://www.w3.org/2001/XMLSchema-instance" xsi:type="dcterms:W3CDTF">2026-10-30T10:58:42Z</dcterms:modified>
  <cp:lastModifiedBy>NA Engineering sp. z o.o.</cp:lastModifiedBy>
  <cp:keywords>NA Engineering; Eurocode 2; EN 1992-1-1</cp:keywords>
</cp:coreProperties>
</file>