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Interaction" sheetId="4" state="visible" r:id="rId4"/>
    <sheet xmlns:r="http://schemas.openxmlformats.org/officeDocument/2006/relationships" name="NDP" sheetId="5" state="visible" r:id="rId5"/>
  </sheets>
  <definedNames>
    <definedName name="NA_sel">'Calculation'!$E$11</definedName>
    <definedName name="conc_class">'Calculation'!$E$12</definedName>
    <definedName name="bx_fyk">'Calculation'!$E$13</definedName>
    <definedName name="bx_b">'Calculation'!$E$14</definedName>
    <definedName name="bx_h">'Calculation'!$E$15</definedName>
    <definedName name="bx_c">'Calculation'!$E$16</definedName>
    <definedName name="bx_phiw">'Calculation'!$E$17</definedName>
    <definedName name="bx_phi">'Calculation'!$E$18</definedName>
    <definedName name="bx_nb">'Calculation'!$E$19</definedName>
    <definedName name="bx_nh">'Calculation'!$E$20</definedName>
    <definedName name="d1_bx">bx_c+bx_phiw+bx_phi/2</definedName>
    <definedName name="n_bx">2*bx_nb+2*(bx_nh-2)</definedName>
    <definedName name="bx_N">'Calculation'!$E$23</definedName>
    <definedName name="bx_My">'Calculation'!$E$24</definedName>
    <definedName name="bx_Mz">'Calculation'!$E$25</definedName>
    <definedName name="bx_l0y">'Calculation'!$E$26</definedName>
    <definedName name="bx_l0z">'Calculation'!$E$27</definedName>
    <definedName name="inputs_ok">IFERROR(AND(OR(NA_sel="UK NA (BS EN)",NA_sel="PL NA (PN-EN)"),OR(conc_class="C20/25",conc_class="C25/30",conc_class="C28/35",conc_class="C30/37",conc_class="C32/40",conc_class="C35/45",conc_class="C40/50",conc_class="C45/55",conc_class="C50/60"),ISNUMBER(bx_fyk),bx_fyk&gt;0,ISNUMBER(bx_b),bx_b&gt;0,ISNUMBER(bx_h),bx_h&gt;0,ISNUMBER(bx_c),bx_c&gt;0,OR(AND(ISNUMBER(bx_phiw),bx_phiw=6),AND(ISNUMBER(bx_phiw),bx_phiw=8),AND(ISNUMBER(bx_phiw),bx_phiw=10),AND(ISNUMBER(bx_phiw),bx_phiw=12)),OR(AND(ISNUMBER(bx_phi),bx_phi=6),AND(ISNUMBER(bx_phi),bx_phi=8),AND(ISNUMBER(bx_phi),bx_phi=10),AND(ISNUMBER(bx_phi),bx_phi=12),AND(ISNUMBER(bx_phi),bx_phi=16),AND(ISNUMBER(bx_phi),bx_phi=20),AND(ISNUMBER(bx_phi),bx_phi=25),AND(ISNUMBER(bx_phi),bx_phi=32),AND(ISNUMBER(bx_phi),bx_phi=40)),OR(AND(ISNUMBER(bx_nb),bx_nb=2),AND(ISNUMBER(bx_nb),bx_nb=3),AND(ISNUMBER(bx_nb),bx_nb=4),AND(ISNUMBER(bx_nb),bx_nb=5),AND(ISNUMBER(bx_nb),bx_nb=6),AND(ISNUMBER(bx_nb),bx_nb=7),AND(ISNUMBER(bx_nb),bx_nb=8),AND(ISNUMBER(bx_nb),bx_nb=9),AND(ISNUMBER(bx_nb),bx_nb=10)),OR(AND(ISNUMBER(bx_nh),bx_nh=2),AND(ISNUMBER(bx_nh),bx_nh=3),AND(ISNUMBER(bx_nh),bx_nh=4),AND(ISNUMBER(bx_nh),bx_nh=5),AND(ISNUMBER(bx_nh),bx_nh=6),AND(ISNUMBER(bx_nh),bx_nh=7),AND(ISNUMBER(bx_nh),bx_nh=8),AND(ISNUMBER(bx_nh),bx_nh=9),AND(ISNUMBER(bx_nh),bx_nh=10)),ISNUMBER(bx_N),bx_N&gt;0,ISNUMBER(bx_My),bx_My&gt;=-1000000.0,ISNUMBER(bx_Mz),bx_Mz&gt;=-1000000.0,ISNUMBER(bx_l0y),bx_l0y&gt;0,ISNUMBER(bx_l0z),bx_l0z&gt;0,AND(bx_fyk&gt;=400,bx_fyk&lt;=500,bx_b&gt;2*(bx_c+bx_phiw)+bx_nb*bx_phi,bx_h&gt;2*(bx_c+bx_phiw)+bx_nh*bx_phi)),FALSE)</definedName>
    <definedName name="input_status">'Calculation'!$G$28</definedName>
    <definedName name="res_bx">IFERROR(AND(inputs_ok,bx_N&lt;=NRdmax_bx,MRdh_bx&gt;0,MRdb_bx&gt;0),FALSE)</definedName>
    <definedName name="biax_status">'Calculation'!$G$52</definedName>
    <definedName name="y_status">'Calculation'!$G$53</definedName>
    <definedName name="z_status">'Calculation'!$G$54</definedName>
    <definedName name="axial_status">'Calculation'!$G$55</definedName>
    <definedName name="need_status">'Calculation'!$G$56</definedName>
    <definedName name="gamma_c">'Calculation'!$E$80</definedName>
    <definedName name="gamma_s">'Calculation'!$E$81</definedName>
    <definedName name="alpha_cc">'Calculation'!$E$82</definedName>
    <definedName name="f_ck">'Calculation'!$E$83</definedName>
    <definedName name="f_ctm">'Calculation'!$E$84</definedName>
    <definedName name="fcd_bx">'Calculation'!$E$85</definedName>
    <definedName name="fyd_bx">'Calculation'!$E$86</definedName>
    <definedName name="Ac_bx">'Calculation'!$E$87</definedName>
    <definedName name="As_bx">'Calculation'!$E$89</definedName>
    <definedName name="NRdmax_bx">'Calculation'!$E$90</definedName>
    <definedName name="lamy_bx">'Calculation'!$E$94</definedName>
    <definedName name="lamz_bx">'Calculation'!$E$95</definedName>
    <definedName name="lamr_bx">'Calculation'!$E$96</definedName>
    <definedName name="ez_bx">'Calculation'!$E$97</definedName>
    <definedName name="ey_bx">'Calculation'!$E$98</definedName>
    <definedName name="er_bx">'Calculation'!$E$99</definedName>
    <definedName name="skip_bx">IFERROR(AND(lamr_bx&lt;=2,lamr_bx&gt;=0.5,OR(er_bx&lt;=0.2,er_bx&gt;=5)),FALSE)</definedName>
    <definedName name="MRdh_bx">'Calculation'!$E$103</definedName>
    <definedName name="xh_bx">'Calculation'!$E$104</definedName>
    <definedName name="MRdb_bx">'Calculation'!$E$105</definedName>
    <definedName name="xb_bx">'Calculation'!$E$106</definedName>
    <definedName name="NRd_bx">'Calculation'!$E$107</definedName>
    <definedName name="nr_bx">'Calculation'!$E$108</definedName>
    <definedName name="a_bx">'Calculation'!$E$109</definedName>
    <definedName name="util_bx">'Calculation'!$E$110</definedName>
    <definedName name="bish_M">'Interaction'!$H$69</definedName>
    <definedName name="bish_N">'Interaction'!$G$69</definedName>
    <definedName name="bish_x">'Interaction'!$E$69</definedName>
    <definedName name="bisb_M">'Interaction'!$H$136</definedName>
    <definedName name="bisb_N">'Interaction'!$G$136</definedName>
    <definedName name="bisb_x">'Interaction'!$E$136</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'Calculation'!$A$1:$H$115</definedName>
    <definedName name="_xlnm.Print_Area" localSheetId="3">'Interaction'!$A$1:$H$136</definedName>
    <definedName name="_xlnm.Print_Area" localSheetId="4">'NDP'!$A$1:$G$29</definedName>
  </definedNames>
  <calcPr calcId="124519" fullCalcOnLoad="1"/>
</workbook>
</file>

<file path=xl/styles.xml><?xml version="1.0" encoding="utf-8"?>
<styleSheet xmlns="http://schemas.openxmlformats.org/spreadsheetml/2006/main">
  <numFmts count="6">
    <numFmt numFmtId="164" formatCode="dd mmm yyyy"/>
    <numFmt numFmtId="165" formatCode="0.0"/>
    <numFmt numFmtId="166" formatCode="0.000"/>
    <numFmt numFmtId="167" formatCode="[&gt;=1E9]&quot;uniform&quot;;0"/>
    <numFmt numFmtId="168" formatCode="0.000000"/>
    <numFmt numFmtId="169" formatCode="[&gt;=1E9]&quot;uniform&quot;;0.0"/>
  </numFmts>
  <fonts count="24">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5B7F8A"/>
      <sz val="10"/>
    </font>
    <font>
      <name val="Calibri"/>
      <b val="1"/>
      <color rgb="008A8A8A"/>
      <sz val="9"/>
    </font>
    <font>
      <name val="Calibri"/>
      <color rgb="002B2B2B"/>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0" fontId="5" fillId="0" borderId="1" applyAlignment="1" pivotButton="0" quotePrefix="0" xfId="0">
      <alignment horizontal="center" vertical="center"/>
    </xf>
    <xf numFmtId="165" fontId="12" fillId="0" borderId="1" applyAlignment="1" pivotButton="0" quotePrefix="0" xfId="0">
      <alignment horizontal="center" vertical="center"/>
    </xf>
    <xf numFmtId="167" fontId="5" fillId="0" borderId="1" applyAlignment="1" pivotButton="0" quotePrefix="0" xfId="0">
      <alignment horizontal="center" vertical="center"/>
    </xf>
    <xf numFmtId="166" fontId="12" fillId="0" borderId="1" applyAlignment="1" pivotButton="0" quotePrefix="0" xfId="0">
      <alignment horizontal="center" vertical="center"/>
    </xf>
    <xf numFmtId="0" fontId="18" fillId="0" borderId="0" applyAlignment="1" pivotButton="0" quotePrefix="0" xfId="0">
      <alignment vertical="top" wrapText="1"/>
    </xf>
    <xf numFmtId="0" fontId="10" fillId="0" borderId="0" pivotButton="0" quotePrefix="0" xfId="0"/>
    <xf numFmtId="0" fontId="19" fillId="0" borderId="0" applyAlignment="1" pivotButton="0" quotePrefix="0" xfId="0">
      <alignment vertical="top" wrapText="1"/>
    </xf>
    <xf numFmtId="0" fontId="20" fillId="0" borderId="0" pivotButton="0" quotePrefix="0" xfId="0"/>
    <xf numFmtId="0" fontId="21" fillId="0" borderId="2" applyAlignment="1" pivotButton="0" quotePrefix="0" xfId="0">
      <alignment horizontal="center"/>
    </xf>
    <xf numFmtId="1" fontId="22" fillId="0" borderId="0" applyAlignment="1" pivotButton="0" quotePrefix="0" xfId="0">
      <alignment horizontal="center"/>
    </xf>
    <xf numFmtId="168" fontId="22" fillId="0" borderId="0" applyAlignment="1" pivotButton="0" quotePrefix="0" xfId="0">
      <alignment horizontal="center"/>
    </xf>
    <xf numFmtId="169" fontId="22" fillId="0" borderId="0" applyAlignment="1" pivotButton="0" quotePrefix="0" xfId="0">
      <alignment horizontal="center"/>
    </xf>
    <xf numFmtId="165" fontId="22" fillId="0" borderId="0" applyAlignment="1" pivotButton="0" quotePrefix="0" xfId="0">
      <alignment horizontal="center"/>
    </xf>
    <xf numFmtId="0" fontId="23" fillId="0" borderId="0" pivotButton="0" quotePrefix="0" xfId="0"/>
    <xf numFmtId="0" fontId="21"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bar top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bar bottom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top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bottom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top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bottom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top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bottom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top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bottom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top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bottom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top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bottom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top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bottom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top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bottom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top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bottom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left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right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left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right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bar left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'Geometry'!$CD$3:$CD$15</f>
            </numRef>
          </xVal>
          <yVal>
            <numRef>
              <f>'Geometry'!$CE$3:$CE$15</f>
            </numRef>
          </yVal>
          <smooth val="0"/>
        </ser>
        <ser>
          <idx val="28"/>
          <order val="28"/>
          <tx>
            <v>bar right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'Geometry'!$CG$3:$CG$15</f>
            </numRef>
          </xVal>
          <yVal>
            <numRef>
              <f>'Geometry'!$CH$3:$CH$15</f>
            </numRef>
          </yVal>
          <smooth val="0"/>
        </ser>
        <ser>
          <idx val="29"/>
          <order val="29"/>
          <tx>
            <v>bar left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'Geometry'!$CJ$3:$CJ$15</f>
            </numRef>
          </xVal>
          <yVal>
            <numRef>
              <f>'Geometry'!$CK$3:$CK$15</f>
            </numRef>
          </yVal>
          <smooth val="0"/>
        </ser>
        <ser>
          <idx val="30"/>
          <order val="30"/>
          <tx>
            <v>bar right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'Geometry'!$CM$3:$CM$15</f>
            </numRef>
          </xVal>
          <yVal>
            <numRef>
              <f>'Geometry'!$CN$3:$CN$15</f>
            </numRef>
          </yVal>
          <smooth val="0"/>
        </ser>
        <ser>
          <idx val="31"/>
          <order val="31"/>
          <tx>
            <v>bar left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'Geometry'!$CP$3:$CP$15</f>
            </numRef>
          </xVal>
          <yVal>
            <numRef>
              <f>'Geometry'!$CQ$3:$CQ$15</f>
            </numRef>
          </yVal>
          <smooth val="0"/>
        </ser>
        <ser>
          <idx val="32"/>
          <order val="32"/>
          <tx>
            <v>bar right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'Geometry'!$CS$3:$CS$15</f>
            </numRef>
          </xVal>
          <yVal>
            <numRef>
              <f>'Geometry'!$CT$3:$CT$15</f>
            </numRef>
          </yVal>
          <smooth val="0"/>
        </ser>
        <ser>
          <idx val="33"/>
          <order val="33"/>
          <tx>
            <v>bar left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'Geometry'!$CV$3:$CV$15</f>
            </numRef>
          </xVal>
          <yVal>
            <numRef>
              <f>'Geometry'!$CW$3:$CW$15</f>
            </numRef>
          </yVal>
          <smooth val="0"/>
        </ser>
        <ser>
          <idx val="34"/>
          <order val="34"/>
          <tx>
            <v>bar right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'Geometry'!$CY$3:$CY$15</f>
            </numRef>
          </xVal>
          <yVal>
            <numRef>
              <f>'Geometry'!$CZ$3:$CZ$15</f>
            </numRef>
          </yVal>
          <smooth val="0"/>
        </ser>
        <ser>
          <idx val="35"/>
          <order val="35"/>
          <tx>
            <v>bar left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'Geometry'!$DB$3:$DB$15</f>
            </numRef>
          </xVal>
          <yVal>
            <numRef>
              <f>'Geometry'!$DC$3:$DC$15</f>
            </numRef>
          </yVal>
          <smooth val="0"/>
        </ser>
        <ser>
          <idx val="36"/>
          <order val="36"/>
          <tx>
            <v>bar right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'Geometry'!$DE$3:$DE$15</f>
            </numRef>
          </xVal>
          <yVal>
            <numRef>
              <f>'Geometry'!$DF$3:$DF$15</f>
            </numRef>
          </yVal>
          <smooth val="0"/>
        </ser>
        <ser>
          <idx val="37"/>
          <order val="37"/>
          <tx>
            <v>bar left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'Geometry'!$DH$3:$DH$15</f>
            </numRef>
          </xVal>
          <yVal>
            <numRef>
              <f>'Geometry'!$DI$3:$DI$15</f>
            </numRef>
          </yVal>
          <smooth val="0"/>
        </ser>
        <ser>
          <idx val="38"/>
          <order val="38"/>
          <tx>
            <v>bar right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'Geometry'!$DK$3:$DK$15</f>
            </numRef>
          </xVal>
          <yVal>
            <numRef>
              <f>'Geometry'!$DL$3:$DL$15</f>
            </numRef>
          </yVal>
          <smooth val="0"/>
        </ser>
        <ser>
          <idx val="39"/>
          <order val="39"/>
          <tx>
            <v>eccentricity</v>
          </tx>
          <spPr>
            <a:ln xmlns:a="http://schemas.openxmlformats.org/drawingml/2006/main" w="19050">
              <a:solidFill>
                <a:srgbClr val="B3261E"/>
              </a:solidFill>
              <a:prstDash val="solid"/>
              <a:tailEnd type="triangle" w="sm" len="sm"/>
            </a:ln>
          </spPr>
          <marker>
            <symbol val="none"/>
            <spPr>
              <a:ln xmlns:a="http://schemas.openxmlformats.org/drawingml/2006/main">
                <a:prstDash val="solid"/>
              </a:ln>
            </spPr>
          </marker>
          <xVal>
            <numRef>
              <f>'Geometry'!$DN$3:$DN$4</f>
            </numRef>
          </xVal>
          <yVal>
            <numRef>
              <f>'Geometry'!$DO$3:$DO$4</f>
            </numRef>
          </yVal>
          <smooth val="0"/>
        </ser>
        <ser>
          <idx val="40"/>
          <order val="40"/>
          <tx>
            <v>centre</v>
          </tx>
          <spPr>
            <a:ln xmlns:a="http://schemas.openxmlformats.org/drawingml/2006/main">
              <a:noFill/>
              <a:prstDash val="solid"/>
            </a:ln>
          </spPr>
          <marker>
            <symbol val="circle"/>
            <size val="5"/>
            <spPr>
              <a:solidFill xmlns:a="http://schemas.openxmlformats.org/drawingml/2006/main">
                <a:srgbClr val="2B2B2B"/>
              </a:solidFill>
              <a:ln xmlns:a="http://schemas.openxmlformats.org/drawingml/2006/main">
                <a:solidFill>
                  <a:srgbClr val="2B2B2B"/>
                </a:solidFill>
                <a:prstDash val="solid"/>
              </a:ln>
            </spPr>
          </marker>
          <xVal>
            <numRef>
              <f>'Geometry'!$DQ$3</f>
            </numRef>
          </xVal>
          <yVal>
            <numRef>
              <f>'Geometry'!$DR$3</f>
            </numRef>
          </yVal>
          <smooth val="0"/>
        </ser>
        <ser>
          <idx val="41"/>
          <order val="4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'Geometry'!$DT$3:$DT$4</f>
            </numRef>
          </xVal>
          <yVal>
            <numRef>
              <f>'Geometry'!$DU$3:$DU$4</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'Geometry'!$DW$3</f>
            </numRef>
          </xVal>
          <yVal>
            <numRef>
              <f>'Geometry'!$DX$3</f>
            </numRef>
          </yVal>
          <smooth val="0"/>
        </ser>
        <ser>
          <idx val="43"/>
          <order val="4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'Geometry'!$DZ$3:$DZ$4</f>
            </numRef>
          </xVal>
          <yVal>
            <numRef>
              <f>'Geometry'!$EA$3:$EA$4</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'Geometry'!$EC$3</f>
            </numRef>
          </xVal>
          <yVal>
            <numRef>
              <f>'Geometry'!$ED$3</f>
            </numRef>
          </yVal>
          <smooth val="0"/>
        </ser>
        <ser>
          <idx val="45"/>
          <order val="45"/>
          <tx>
            <strRef>
              <f>'Geometry'!$EF$2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'Geometry'!$EF$3</f>
            </numRef>
          </xVal>
          <yVal>
            <numRef>
              <f>'Geometry'!$EG$3</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'Geometry'!$EI$3</f>
            </numRef>
          </xVal>
          <yVal>
            <numRef>
              <f>'Geometry'!$EJ$3</f>
            </numRef>
          </yVal>
          <smooth val="0"/>
        </ser>
        <ser>
          <idx val="47"/>
          <order val="47"/>
          <tx>
            <v>frame</v>
          </tx>
          <spPr>
            <a:ln xmlns:a="http://schemas.openxmlformats.org/drawingml/2006/main">
              <a:noFill/>
              <a:prstDash val="solid"/>
            </a:ln>
          </spPr>
          <marker>
            <symbol val="none"/>
            <spPr>
              <a:ln xmlns:a="http://schemas.openxmlformats.org/drawingml/2006/main">
                <a:prstDash val="solid"/>
              </a:ln>
            </spPr>
          </marker>
          <xVal>
            <numRef>
              <f>'Geometry'!$EL$3:$EL$4</f>
            </numRef>
          </xVal>
          <yVal>
            <numRef>
              <f>'Geometry'!$EM$3:$EM$4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'Geometry'!$EO$3</f>
            </numRef>
          </xVal>
          <yVal>
            <numRef>
              <f>'Geometry'!$EP$3</f>
            </numRef>
          </yVal>
          <smooth val="0"/>
        </ser>
        <ser>
          <idx val="1"/>
          <order val="1"/>
          <tx>
            <v>y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'Geometry'!$ER$3:$ER$4</f>
            </numRef>
          </xVal>
          <yVal>
            <numRef>
              <f>'Geometry'!$ES$3:$ES$4</f>
            </numRef>
          </yVal>
          <smooth val="0"/>
        </ser>
        <ser>
          <idx val="2"/>
          <order val="2"/>
          <tx>
            <v>z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'Geometry'!$EU$3:$EU$4</f>
            </numRef>
          </xVal>
          <yVal>
            <numRef>
              <f>'Geometry'!$EV$3:$EV$4</f>
            </numRef>
          </yVal>
          <smooth val="0"/>
        </ser>
        <ser>
          <idx val="3"/>
          <order val="3"/>
          <tx>
            <v>curve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'Geometry'!$EX$3:$EX$43</f>
            </numRef>
          </xVal>
          <yVal>
            <numRef>
              <f>'Geometry'!$EY$3:$EY$43</f>
            </numRef>
          </yVal>
          <smooth val="0"/>
        </ser>
        <ser>
          <idx val="4"/>
          <order val="4"/>
          <tx>
            <v>design</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'Geometry'!$FA$3</f>
            </numRef>
          </xVal>
          <yVal>
            <numRef>
              <f>'Geometry'!$FB$3</f>
            </numRef>
          </yVal>
          <smooth val="0"/>
        </ser>
        <ser>
          <idx val="5"/>
          <order val="5"/>
          <tx>
            <v>ray</v>
          </tx>
          <spPr>
            <a:ln xmlns:a="http://schemas.openxmlformats.org/drawingml/2006/main" w="9525">
              <a:solidFill>
                <a:srgbClr val="B3261E"/>
              </a:solidFill>
              <a:prstDash val="dash"/>
            </a:ln>
          </spPr>
          <marker>
            <symbol val="none"/>
            <spPr>
              <a:ln xmlns:a="http://schemas.openxmlformats.org/drawingml/2006/main">
                <a:prstDash val="solid"/>
              </a:ln>
            </spPr>
          </marker>
          <xVal>
            <numRef>
              <f>'Geometry'!$FD$3:$FD$4</f>
            </numRef>
          </xVal>
          <yVal>
            <numRef>
              <f>'Geometry'!$FE$3:$FE$4</f>
            </numRef>
          </yVal>
          <smooth val="0"/>
        </ser>
        <ser>
          <idx val="6"/>
          <order val="6"/>
          <tx>
            <v>MEd,y / MRd,y</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'Geometry'!$FG$3</f>
            </numRef>
          </xVal>
          <yVal>
            <numRef>
              <f>'Geometry'!$FH$3</f>
            </numRef>
          </yVal>
          <smooth val="0"/>
        </ser>
        <ser>
          <idx val="7"/>
          <order val="7"/>
          <tx>
            <v>MEd,z / MRd,z</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'Geometry'!$FJ$3</f>
            </numRef>
          </xVal>
          <yVal>
            <numRef>
              <f>'Geometry'!$FK$3</f>
            </numRef>
          </yVal>
          <smooth val="0"/>
        </ser>
        <ser>
          <idx val="8"/>
          <order val="8"/>
          <tx>
            <strRef>
              <f>'Geometry'!$FM$2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'Geometry'!$FM$3</f>
            </numRef>
          </xVal>
          <yVal>
            <numRef>
              <f>'Geometry'!$FN$3</f>
            </numRef>
          </yVal>
          <smooth val="0"/>
        </ser>
        <ser>
          <idx val="9"/>
          <order val="9"/>
          <tx>
            <strRef>
              <f>'Geometry'!$FP$2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'Geometry'!$FP$3</f>
            </numRef>
          </xVal>
          <yVal>
            <numRef>
              <f>'Geometry'!$FQ$3</f>
            </numRef>
          </yVal>
          <smooth val="0"/>
        </ser>
        <ser>
          <idx val="10"/>
          <order val="10"/>
          <tx>
            <v>frame</v>
          </tx>
          <spPr>
            <a:ln xmlns:a="http://schemas.openxmlformats.org/drawingml/2006/main">
              <a:noFill/>
              <a:prstDash val="solid"/>
            </a:ln>
          </spPr>
          <marker>
            <symbol val="none"/>
            <spPr>
              <a:ln xmlns:a="http://schemas.openxmlformats.org/drawingml/2006/main">
                <a:prstDash val="solid"/>
              </a:ln>
            </spPr>
          </marker>
          <xVal>
            <numRef>
              <f>'Geometry'!$FS$3:$FS$4</f>
            </numRef>
          </xVal>
          <yVal>
            <numRef>
              <f>'Geometry'!$FT$3:$FT$4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30</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58</row>
      <rowOff>0</rowOff>
    </from>
    <ext cx="5301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Biaxial bending</t>
        </is>
      </c>
    </row>
    <row r="8" ht="20" customHeight="1">
      <c r="B8" s="4" t="inlineStr">
        <is>
          <t>Rectangular columns in biaxial bending  ·  EN 1992-1-1 §5.8.9, §6.1  ·  UK NA / PN-EN</t>
        </is>
      </c>
    </row>
    <row r="10">
      <c r="B10" s="5" t="inlineStr">
        <is>
          <t>Reference</t>
        </is>
      </c>
      <c r="C10" s="6" t="inlineStr">
        <is>
          <t>NAE-RC-042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Check of a rectangular reinforced concrete column under an axial force with design moments about both axes: the criteria of 5.8.9(3) for when a separate check in each direction is enough, the uniaxial moment resistances at NEd by strain compatibility, and the interaction (5.39).</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63.5" customHeight="1">
      <c r="B22" s="7" t="inlineStr">
        <is>
          <t>Rectangular section, bars of one size symmetrical about both axes: nb bars on each face of width b and nh bars (corners included) on each face of width h, as in RC-008. MEd,y bends the section in the plane of h (about the axis parallel to b), MEd,z in the plane of b. The design moments are entered with second order effects included, from RC-008 for each axis; imperfections need only be included in the direction where they have the most unfavourable effect (5.8.9(2)). Slenderness ratios λy / λz from the effective lengths entered, i = h / √12 and b / √12; in (5.38b) each eccentricity is taken relative to the side in its direction: ey = MEd,z / NEd over b and ez = MEd,y / NEd over h. Uniaxial resistances MRd,y and MRd,z at NEd by strain compatibility (parabola-rectangle concrete of 3.1.7(1) with the strain limits of 6.1(5), bars elastic-plastic, concrete displaced by the bars deducted; bisection on the strain state). (5.39) with NRd = Ac fcd + As fyd and a = 1.0, 1.5, 2.0 at NEd / NRd = 0.1, 0.7, 1.0, interpolated linearly. Compression only (NEd &gt; 0). Concrete classes up to C50/60, fyk ≤ 500 MPa. Detailing to 9.5 as in RC-008.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Columns (biaxial bending).
•  The Concrete Centre, Worked Examples to Eurocode 2: Volume 1.
•  The Concrete Centre, RC Spreadsheets v4, TCC53 Column design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&amp;K8A8A8ANAE-RC-042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14"/>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Biaxial bending</t>
        </is>
      </c>
      <c r="H2" s="1" t="n"/>
    </row>
    <row r="3" ht="16" customHeight="1">
      <c r="A3" s="1" t="n"/>
      <c r="B3" s="1" t="n"/>
      <c r="C3" s="15" t="inlineStr">
        <is>
          <t>NAE-RC-042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Section width  b</t>
        </is>
      </c>
      <c r="D14" s="27" t="inlineStr">
        <is>
          <r>
            <rPr>
              <rFont val="Calibri"/>
              <i val="1"/>
              <color rgb="002B2B2B"/>
              <sz val="10"/>
            </rPr>
            <t>b</t>
          </r>
        </is>
      </c>
      <c r="E14" s="25" t="n">
        <v>300</v>
      </c>
      <c r="F14" s="28" t="inlineStr">
        <is>
          <t>mm</t>
        </is>
      </c>
      <c r="G14" s="23" t="n"/>
    </row>
    <row r="15" ht="17" customHeight="1">
      <c r="B15" s="23" t="n"/>
      <c r="C15" s="24" t="inlineStr">
        <is>
          <t>Section depth  h</t>
        </is>
      </c>
      <c r="D15" s="27" t="inlineStr">
        <is>
          <r>
            <rPr>
              <rFont val="Calibri"/>
              <i val="1"/>
              <color rgb="002B2B2B"/>
              <sz val="10"/>
            </rPr>
            <t>h</t>
          </r>
        </is>
      </c>
      <c r="E15" s="25" t="n">
        <v>500</v>
      </c>
      <c r="F15" s="28" t="inlineStr">
        <is>
          <t>mm</t>
        </is>
      </c>
      <c r="G15" s="23" t="n"/>
    </row>
    <row r="16" ht="17" customHeight="1">
      <c r="B16" s="26" t="inlineStr">
        <is>
          <t>4.4.1</t>
        </is>
      </c>
      <c r="C16" s="24" t="inlineStr">
        <is>
          <t>Nominal cover to links</t>
        </is>
      </c>
      <c r="D16" s="27" t="inlineStr">
        <is>
          <r>
            <rPr>
              <rFont val="Calibri"/>
              <i val="1"/>
              <color rgb="002B2B2B"/>
              <sz val="10"/>
            </rPr>
            <t>c</t>
          </r>
          <r>
            <rPr>
              <rFont val="Calibri"/>
              <i val="1"/>
              <color rgb="002B2B2B"/>
              <sz val="10"/>
              <vertAlign val="subscript"/>
            </rPr>
            <t>nom</t>
          </r>
        </is>
      </c>
      <c r="E16" s="25" t="n">
        <v>35</v>
      </c>
      <c r="F16" s="28" t="inlineStr">
        <is>
          <t>mm</t>
        </is>
      </c>
      <c r="G16" s="23" t="n"/>
    </row>
    <row r="17" ht="17" customHeight="1">
      <c r="B17" s="23" t="n"/>
      <c r="C17" s="24" t="inlineStr">
        <is>
          <t>Link diameter</t>
        </is>
      </c>
      <c r="D17" s="27" t="inlineStr">
        <is>
          <r>
            <rPr>
              <rFont val="Calibri"/>
              <i val="1"/>
              <color rgb="002B2B2B"/>
              <sz val="10"/>
            </rPr>
            <t>φ</t>
          </r>
          <r>
            <rPr>
              <rFont val="Calibri"/>
              <i val="1"/>
              <color rgb="002B2B2B"/>
              <sz val="10"/>
              <vertAlign val="subscript"/>
            </rPr>
            <t>w</t>
          </r>
        </is>
      </c>
      <c r="E17" s="25" t="n">
        <v>8</v>
      </c>
      <c r="F17" s="28" t="inlineStr">
        <is>
          <t>mm</t>
        </is>
      </c>
      <c r="G17" s="23" t="n"/>
    </row>
    <row r="18" ht="17" customHeight="1">
      <c r="B18" s="23" t="n"/>
      <c r="C18" s="24" t="inlineStr">
        <is>
          <t>Bar diameter</t>
        </is>
      </c>
      <c r="D18" s="27" t="inlineStr">
        <is>
          <r>
            <rPr>
              <rFont val="Calibri"/>
              <i val="1"/>
              <color rgb="002B2B2B"/>
              <sz val="10"/>
            </rPr>
            <t>φ</t>
          </r>
        </is>
      </c>
      <c r="E18" s="25" t="n">
        <v>20</v>
      </c>
      <c r="F18" s="28" t="inlineStr">
        <is>
          <t>mm</t>
        </is>
      </c>
      <c r="G18" s="23" t="n"/>
    </row>
    <row r="19" ht="17" customHeight="1">
      <c r="B19" s="23" t="n"/>
      <c r="C19" s="24" t="inlineStr">
        <is>
          <t>Bars on each face of width b  (corners included)</t>
        </is>
      </c>
      <c r="D19" s="27" t="inlineStr">
        <is>
          <r>
            <rPr>
              <rFont val="Calibri"/>
              <i val="1"/>
              <color rgb="002B2B2B"/>
              <sz val="10"/>
            </rPr>
            <t>n</t>
          </r>
          <r>
            <rPr>
              <rFont val="Calibri"/>
              <i val="1"/>
              <color rgb="002B2B2B"/>
              <sz val="10"/>
              <vertAlign val="subscript"/>
            </rPr>
            <t>b</t>
          </r>
        </is>
      </c>
      <c r="E19" s="25" t="n">
        <v>3</v>
      </c>
      <c r="F19" s="23" t="n"/>
      <c r="G19" s="23" t="n"/>
    </row>
    <row r="20" ht="17" customHeight="1">
      <c r="B20" s="23" t="n"/>
      <c r="C20" s="24" t="inlineStr">
        <is>
          <t>Bars on each face of width h  (corners included)</t>
        </is>
      </c>
      <c r="D20" s="27" t="inlineStr">
        <is>
          <r>
            <rPr>
              <rFont val="Calibri"/>
              <i val="1"/>
              <color rgb="002B2B2B"/>
              <sz val="10"/>
            </rPr>
            <t>n</t>
          </r>
          <r>
            <rPr>
              <rFont val="Calibri"/>
              <i val="1"/>
              <color rgb="002B2B2B"/>
              <sz val="10"/>
              <vertAlign val="subscript"/>
            </rPr>
            <t>h</t>
          </r>
        </is>
      </c>
      <c r="E20" s="25" t="n">
        <v>4</v>
      </c>
      <c r="F20" s="23" t="n"/>
      <c r="G20" s="23" t="n"/>
    </row>
    <row r="22" ht="22" customHeight="1">
      <c r="B22" s="20" t="inlineStr">
        <is>
          <t>Inputs  ·  design actions</t>
        </is>
      </c>
      <c r="C22" s="21" t="n"/>
      <c r="D22" s="21" t="n"/>
      <c r="E22" s="21" t="n"/>
      <c r="F22" s="21" t="n"/>
      <c r="G22" s="22" t="inlineStr">
        <is>
          <t>ULS, second order effects included</t>
        </is>
      </c>
    </row>
    <row r="23" ht="17" customHeight="1">
      <c r="B23" s="23" t="n"/>
      <c r="C23" s="24" t="inlineStr">
        <is>
          <t>Design axial force  (compression)</t>
        </is>
      </c>
      <c r="D23" s="27" t="inlineStr">
        <is>
          <r>
            <rPr>
              <rFont val="Calibri"/>
              <i val="1"/>
              <color rgb="002B2B2B"/>
              <sz val="10"/>
            </rPr>
            <t>N</t>
          </r>
          <r>
            <rPr>
              <rFont val="Calibri"/>
              <i val="1"/>
              <color rgb="002B2B2B"/>
              <sz val="10"/>
              <vertAlign val="subscript"/>
            </rPr>
            <t>Ed</t>
          </r>
        </is>
      </c>
      <c r="E23" s="29" t="n">
        <v>1500</v>
      </c>
      <c r="F23" s="28" t="inlineStr">
        <is>
          <t>kN</t>
        </is>
      </c>
      <c r="G23" s="23" t="n"/>
    </row>
    <row r="24" ht="17" customHeight="1">
      <c r="B24" s="23" t="n"/>
      <c r="C24" s="24" t="inlineStr">
        <is>
          <t>Design moment in the plane of h  (either sign)</t>
        </is>
      </c>
      <c r="D24" s="27" t="inlineStr">
        <is>
          <r>
            <rPr>
              <rFont val="Calibri"/>
              <i val="1"/>
              <color rgb="002B2B2B"/>
              <sz val="10"/>
            </rPr>
            <t>M</t>
          </r>
          <r>
            <rPr>
              <rFont val="Calibri"/>
              <i val="1"/>
              <color rgb="002B2B2B"/>
              <sz val="10"/>
              <vertAlign val="subscript"/>
            </rPr>
            <t>Ed,y</t>
          </r>
        </is>
      </c>
      <c r="E24" s="30" t="n">
        <v>150</v>
      </c>
      <c r="F24" s="28" t="inlineStr">
        <is>
          <t>kNm</t>
        </is>
      </c>
      <c r="G24" s="23" t="n"/>
    </row>
    <row r="25" ht="17" customHeight="1">
      <c r="B25" s="23" t="n"/>
      <c r="C25" s="24" t="inlineStr">
        <is>
          <t>Design moment in the plane of b  (either sign)</t>
        </is>
      </c>
      <c r="D25" s="27" t="inlineStr">
        <is>
          <r>
            <rPr>
              <rFont val="Calibri"/>
              <i val="1"/>
              <color rgb="002B2B2B"/>
              <sz val="10"/>
            </rPr>
            <t>M</t>
          </r>
          <r>
            <rPr>
              <rFont val="Calibri"/>
              <i val="1"/>
              <color rgb="002B2B2B"/>
              <sz val="10"/>
              <vertAlign val="subscript"/>
            </rPr>
            <t>Ed,z</t>
          </r>
        </is>
      </c>
      <c r="E25" s="30" t="n">
        <v>60</v>
      </c>
      <c r="F25" s="28" t="inlineStr">
        <is>
          <t>kNm</t>
        </is>
      </c>
      <c r="G25" s="23" t="n"/>
    </row>
    <row r="26" ht="17" customHeight="1">
      <c r="B26" s="26" t="inlineStr">
        <is>
          <t>5.8.3.2</t>
        </is>
      </c>
      <c r="C26" s="24" t="inlineStr">
        <is>
          <t>Effective length for bending in the plane of h</t>
        </is>
      </c>
      <c r="D26" s="27" t="inlineStr">
        <is>
          <r>
            <rPr>
              <rFont val="Calibri"/>
              <i val="1"/>
              <color rgb="002B2B2B"/>
              <sz val="10"/>
            </rPr>
            <t>l</t>
          </r>
          <r>
            <rPr>
              <rFont val="Calibri"/>
              <i val="1"/>
              <color rgb="002B2B2B"/>
              <sz val="10"/>
              <vertAlign val="subscript"/>
            </rPr>
            <t>0,y</t>
          </r>
        </is>
      </c>
      <c r="E26" s="25" t="n">
        <v>3500</v>
      </c>
      <c r="F26" s="28" t="inlineStr">
        <is>
          <t>mm</t>
        </is>
      </c>
      <c r="G26" s="23" t="n"/>
    </row>
    <row r="27" ht="17" customHeight="1">
      <c r="B27" s="26" t="inlineStr">
        <is>
          <t>5.8.3.2</t>
        </is>
      </c>
      <c r="C27" s="24" t="inlineStr">
        <is>
          <t>Effective length for bending in the plane of b</t>
        </is>
      </c>
      <c r="D27" s="27" t="inlineStr">
        <is>
          <r>
            <rPr>
              <rFont val="Calibri"/>
              <i val="1"/>
              <color rgb="002B2B2B"/>
              <sz val="10"/>
            </rPr>
            <t>l</t>
          </r>
          <r>
            <rPr>
              <rFont val="Calibri"/>
              <i val="1"/>
              <color rgb="002B2B2B"/>
              <sz val="10"/>
              <vertAlign val="subscript"/>
            </rPr>
            <t>0,z</t>
          </r>
        </is>
      </c>
      <c r="E27" s="25" t="n">
        <v>3500</v>
      </c>
      <c r="F27" s="28" t="inlineStr">
        <is>
          <t>mm</t>
        </is>
      </c>
      <c r="G27" s="23" t="n"/>
    </row>
    <row r="28" ht="17" customHeight="1">
      <c r="B28" s="23" t="n"/>
      <c r="C28" s="24" t="inlineStr">
        <is>
          <t>Inputs valid and consistent</t>
        </is>
      </c>
      <c r="D28" s="23" t="n"/>
      <c r="E28" s="9" t="n"/>
      <c r="F28" s="23" t="n"/>
      <c r="G28" s="31">
        <f>IF(inputs_ok,"OK","FAIL")</f>
        <v/>
      </c>
    </row>
    <row r="30">
      <c r="B30" s="32" t="inlineStr">
        <is>
          <t>Your section, to scale  ·  MEd,y bends it in the plane of h, MEd,z in the plane of b  ·  the arrow shows the resultant eccentricity</t>
        </is>
      </c>
    </row>
    <row r="51" ht="22" customHeight="1">
      <c r="B51" s="20" t="inlineStr">
        <is>
          <t>Results</t>
        </is>
      </c>
      <c r="C51" s="21" t="n"/>
      <c r="D51" s="21" t="n"/>
      <c r="E51" s="21" t="n"/>
      <c r="F51" s="21" t="n"/>
      <c r="G51" s="21" t="n"/>
    </row>
    <row r="52" ht="26" customHeight="1">
      <c r="B52" s="33" t="n"/>
      <c r="C52" s="34" t="inlineStr">
        <is>
          <t>Biaxial interaction  (5.39)</t>
        </is>
      </c>
      <c r="D52" s="33" t="n"/>
      <c r="E52" s="35">
        <f>IF(inputs_ok,IF(res_bx,util_bx,"–"),"–")</f>
        <v/>
      </c>
      <c r="F52" s="36" t="inlineStr"/>
      <c r="G52" s="37">
        <f>IF(NOT(inputs_ok),"FAIL",IF(res_bx,IF(util_bx&lt;=1,"OK","FAIL"),"FAIL"))</f>
        <v/>
      </c>
    </row>
    <row r="53" ht="26" customHeight="1">
      <c r="B53" s="33" t="n"/>
      <c r="C53" s="34" t="inlineStr">
        <is>
          <t>Uniaxial  MEd,y / MRd,y</t>
        </is>
      </c>
      <c r="D53" s="33" t="n"/>
      <c r="E53" s="35">
        <f>IF(inputs_ok,IF(res_bx,ABS(bx_My)/MRdh_bx,"–"),"–")</f>
        <v/>
      </c>
      <c r="F53" s="36" t="inlineStr"/>
      <c r="G53" s="37">
        <f>IF(NOT(inputs_ok),"FAIL",IF(res_bx,IF(ABS(bx_My)&lt;=MRdh_bx,"OK","FAIL"),"FAIL"))</f>
        <v/>
      </c>
    </row>
    <row r="54" ht="26" customHeight="1">
      <c r="B54" s="33" t="n"/>
      <c r="C54" s="34" t="inlineStr">
        <is>
          <t>Uniaxial  MEd,z / MRd,z</t>
        </is>
      </c>
      <c r="D54" s="33" t="n"/>
      <c r="E54" s="35">
        <f>IF(inputs_ok,IF(res_bx,ABS(bx_Mz)/MRdb_bx,"–"),"–")</f>
        <v/>
      </c>
      <c r="F54" s="36" t="inlineStr"/>
      <c r="G54" s="37">
        <f>IF(NOT(inputs_ok),"FAIL",IF(res_bx,IF(ABS(bx_Mz)&lt;=MRdb_bx,"OK","FAIL"),"FAIL"))</f>
        <v/>
      </c>
    </row>
    <row r="55" ht="26" customHeight="1">
      <c r="B55" s="33" t="n"/>
      <c r="C55" s="34" t="inlineStr">
        <is>
          <t>Axial force  NEd / NRd,max</t>
        </is>
      </c>
      <c r="D55" s="33" t="n"/>
      <c r="E55" s="35">
        <f>IF(inputs_ok,bx_N/NRdmax_bx,"–")</f>
        <v/>
      </c>
      <c r="F55" s="36" t="inlineStr"/>
      <c r="G55" s="37">
        <f>IF(NOT(inputs_ok),"FAIL",IF(bx_N&lt;=NRdmax_bx,"OK","FAIL"))</f>
        <v/>
      </c>
    </row>
    <row r="56" ht="26" customHeight="1">
      <c r="B56" s="33" t="n"/>
      <c r="C56" s="34" t="inlineStr">
        <is>
          <t>Biaxial check needed  (5.8.9(3))</t>
        </is>
      </c>
      <c r="D56" s="33" t="n"/>
      <c r="E56" s="38">
        <f>IF(inputs_ok,IF(skip_bx,"No: (5.38a) and (5.38b) met","Yes"),"–")</f>
        <v/>
      </c>
      <c r="F56" s="36" t="inlineStr"/>
      <c r="G56" s="37">
        <f>IF(NOT(inputs_ok),"FAIL",IF(skip_bx,"! Uniaxial enough","Required"))</f>
        <v/>
      </c>
    </row>
    <row r="57"/>
    <row r="58">
      <c r="B58" s="32" t="inlineStr">
        <is>
          <t>Interaction (5.39)  ·  (MEd,y / MRd,y)^a + (MEd,z / MRd,z)^a = 1 for the a at NEd  ·  design point (red)</t>
        </is>
      </c>
    </row>
    <row r="59"/>
    <row r="60"/>
    <row r="61"/>
    <row r="62"/>
    <row r="63"/>
    <row r="64"/>
    <row r="65"/>
    <row r="66"/>
    <row r="67"/>
    <row r="68"/>
    <row r="69"/>
    <row r="70"/>
    <row r="71"/>
    <row r="72"/>
    <row r="73"/>
    <row r="74"/>
    <row r="75"/>
    <row r="76"/>
    <row r="77"/>
    <row r="78"/>
    <row r="79" ht="22" customHeight="1">
      <c r="B79" s="20" t="inlineStr">
        <is>
          <t>Calculation  ·  materials and section</t>
        </is>
      </c>
      <c r="C79" s="21" t="n"/>
      <c r="D79" s="21" t="n"/>
      <c r="E79" s="21" t="n"/>
      <c r="F79" s="21" t="n"/>
      <c r="G79" s="21" t="n"/>
    </row>
    <row r="80" ht="17" customHeight="1">
      <c r="B80" s="26" t="inlineStr">
        <is>
          <t>2.4.2.4(1)</t>
        </is>
      </c>
      <c r="C80" s="24" t="inlineStr">
        <is>
          <t>Partial factor, concrete</t>
        </is>
      </c>
      <c r="D80" s="27" t="inlineStr">
        <is>
          <r>
            <rPr>
              <rFont val="Calibri"/>
              <i val="1"/>
              <color rgb="002B2B2B"/>
              <sz val="10"/>
            </rPr>
            <t>γ</t>
          </r>
          <r>
            <rPr>
              <rFont val="Calibri"/>
              <i val="1"/>
              <color rgb="002B2B2B"/>
              <sz val="10"/>
              <vertAlign val="subscript"/>
            </rPr>
            <t>c</t>
          </r>
        </is>
      </c>
      <c r="E80" s="39">
        <f>IF(inputs_ok,ndp_gamma_c,NA())</f>
        <v/>
      </c>
      <c r="F80" s="23" t="n"/>
      <c r="G80" s="26" t="inlineStr">
        <is>
          <t>NDP sheet</t>
        </is>
      </c>
    </row>
    <row r="81" ht="17" customHeight="1">
      <c r="B81" s="26" t="inlineStr">
        <is>
          <t>2.4.2.4(1)</t>
        </is>
      </c>
      <c r="C81" s="24" t="inlineStr">
        <is>
          <t>Partial factor, reinforcement</t>
        </is>
      </c>
      <c r="D81" s="27" t="inlineStr">
        <is>
          <r>
            <rPr>
              <rFont val="Calibri"/>
              <i val="1"/>
              <color rgb="002B2B2B"/>
              <sz val="10"/>
            </rPr>
            <t>γ</t>
          </r>
          <r>
            <rPr>
              <rFont val="Calibri"/>
              <i val="1"/>
              <color rgb="002B2B2B"/>
              <sz val="10"/>
              <vertAlign val="subscript"/>
            </rPr>
            <t>s</t>
          </r>
        </is>
      </c>
      <c r="E81" s="39">
        <f>IF(inputs_ok,ndp_gamma_s,NA())</f>
        <v/>
      </c>
      <c r="F81" s="23" t="n"/>
      <c r="G81" s="26" t="inlineStr">
        <is>
          <t>NDP sheet</t>
        </is>
      </c>
    </row>
    <row r="82" ht="17" customHeight="1">
      <c r="B82" s="26" t="inlineStr">
        <is>
          <t>3.1.6(1)</t>
        </is>
      </c>
      <c r="C82" s="24" t="inlineStr">
        <is>
          <t>Coefficient on compressive strength (flexure)</t>
        </is>
      </c>
      <c r="D82" s="27" t="inlineStr">
        <is>
          <r>
            <rPr>
              <rFont val="Calibri"/>
              <i val="1"/>
              <color rgb="002B2B2B"/>
              <sz val="10"/>
            </rPr>
            <t>α</t>
          </r>
          <r>
            <rPr>
              <rFont val="Calibri"/>
              <i val="1"/>
              <color rgb="002B2B2B"/>
              <sz val="10"/>
              <vertAlign val="subscript"/>
            </rPr>
            <t>cc</t>
          </r>
        </is>
      </c>
      <c r="E82" s="39">
        <f>IF(inputs_ok,ndp_alpha_cc,NA())</f>
        <v/>
      </c>
      <c r="F82" s="23" t="n"/>
      <c r="G82" s="26" t="inlineStr">
        <is>
          <t>NDP sheet</t>
        </is>
      </c>
    </row>
    <row r="83" ht="17" customHeight="1">
      <c r="B83" s="26" t="inlineStr">
        <is>
          <t>Table 3.1</t>
        </is>
      </c>
      <c r="C83" s="24" t="inlineStr">
        <is>
          <t>Characteristic cylinder strength</t>
        </is>
      </c>
      <c r="D83" s="27" t="inlineStr">
        <is>
          <r>
            <rPr>
              <rFont val="Calibri"/>
              <i val="1"/>
              <color rgb="002B2B2B"/>
              <sz val="10"/>
            </rPr>
            <t>f</t>
          </r>
          <r>
            <rPr>
              <rFont val="Calibri"/>
              <i val="1"/>
              <color rgb="002B2B2B"/>
              <sz val="10"/>
              <vertAlign val="subscript"/>
            </rPr>
            <t>ck</t>
          </r>
        </is>
      </c>
      <c r="E83" s="40">
        <f>IF(inputs_ok,VALUE(MID(conc_class,2,FIND("/",conc_class)-2)),NA())</f>
        <v/>
      </c>
      <c r="F83" s="28" t="inlineStr">
        <is>
          <t>MPa</t>
        </is>
      </c>
      <c r="G83" s="23" t="n"/>
    </row>
    <row r="84" ht="17" customHeight="1">
      <c r="B84" s="26" t="inlineStr">
        <is>
          <t>Table 3.1</t>
        </is>
      </c>
      <c r="C84" s="24" t="inlineStr">
        <is>
          <t>Mean tensile strength</t>
        </is>
      </c>
      <c r="D84" s="27" t="inlineStr">
        <is>
          <r>
            <rPr>
              <rFont val="Calibri"/>
              <i val="1"/>
              <color rgb="002B2B2B"/>
              <sz val="10"/>
            </rPr>
            <t>f</t>
          </r>
          <r>
            <rPr>
              <rFont val="Calibri"/>
              <i val="1"/>
              <color rgb="002B2B2B"/>
              <sz val="10"/>
              <vertAlign val="subscript"/>
            </rPr>
            <t>ctm</t>
          </r>
        </is>
      </c>
      <c r="E84" s="39">
        <f>IF(inputs_ok,IF(f_ck&lt;=50,0.3*f_ck^(2/3),2.12*LN(1+(f_ck+8)/10)),NA())</f>
        <v/>
      </c>
      <c r="F84" s="28" t="inlineStr">
        <is>
          <t>MPa</t>
        </is>
      </c>
      <c r="G84" s="23" t="n"/>
    </row>
    <row r="85" ht="17" customHeight="1">
      <c r="B85" s="26" t="inlineStr">
        <is>
          <t>3.1.6(1)</t>
        </is>
      </c>
      <c r="C85" s="24" t="inlineStr">
        <is>
          <t>Design compressive strength  αcc fck / γc</t>
        </is>
      </c>
      <c r="D85" s="27" t="inlineStr">
        <is>
          <r>
            <rPr>
              <rFont val="Calibri"/>
              <i val="1"/>
              <color rgb="002B2B2B"/>
              <sz val="10"/>
            </rPr>
            <t>f</t>
          </r>
          <r>
            <rPr>
              <rFont val="Calibri"/>
              <i val="1"/>
              <color rgb="002B2B2B"/>
              <sz val="10"/>
              <vertAlign val="subscript"/>
            </rPr>
            <t>cd</t>
          </r>
        </is>
      </c>
      <c r="E85" s="39">
        <f>IF(inputs_ok,alpha_cc*f_ck/gamma_c,NA())</f>
        <v/>
      </c>
      <c r="F85" s="28" t="inlineStr">
        <is>
          <t>MPa</t>
        </is>
      </c>
      <c r="G85" s="23" t="n"/>
    </row>
    <row r="86" ht="17" customHeight="1">
      <c r="B86" s="26" t="inlineStr">
        <is>
          <t>3.2.7</t>
        </is>
      </c>
      <c r="C86" s="24" t="inlineStr">
        <is>
          <t>Design yield strength</t>
        </is>
      </c>
      <c r="D86" s="27" t="inlineStr">
        <is>
          <r>
            <rPr>
              <rFont val="Calibri"/>
              <i val="1"/>
              <color rgb="002B2B2B"/>
              <sz val="10"/>
            </rPr>
            <t>f</t>
          </r>
          <r>
            <rPr>
              <rFont val="Calibri"/>
              <i val="1"/>
              <color rgb="002B2B2B"/>
              <sz val="10"/>
              <vertAlign val="subscript"/>
            </rPr>
            <t>yd</t>
          </r>
        </is>
      </c>
      <c r="E86" s="41">
        <f>IF(inputs_ok,bx_fyk/gamma_s,NA())</f>
        <v/>
      </c>
      <c r="F86" s="28" t="inlineStr">
        <is>
          <t>MPa</t>
        </is>
      </c>
      <c r="G86" s="23" t="n"/>
    </row>
    <row r="87" ht="17" customHeight="1">
      <c r="B87" s="23" t="n"/>
      <c r="C87" s="24" t="inlineStr">
        <is>
          <t>Gross area  b h</t>
        </is>
      </c>
      <c r="D87" s="27" t="inlineStr">
        <is>
          <r>
            <rPr>
              <rFont val="Calibri"/>
              <i val="1"/>
              <color rgb="002B2B2B"/>
              <sz val="10"/>
            </rPr>
            <t>A</t>
          </r>
          <r>
            <rPr>
              <rFont val="Calibri"/>
              <i val="1"/>
              <color rgb="002B2B2B"/>
              <sz val="10"/>
              <vertAlign val="subscript"/>
            </rPr>
            <t>c</t>
          </r>
        </is>
      </c>
      <c r="E87" s="40">
        <f>IF(inputs_ok,bx_b*bx_h,NA())</f>
        <v/>
      </c>
      <c r="F87" s="28" t="inlineStr">
        <is>
          <t>mm²</t>
        </is>
      </c>
      <c r="G87" s="23" t="n"/>
    </row>
    <row r="88" ht="17" customHeight="1">
      <c r="B88" s="23" t="n"/>
      <c r="C88" s="24" t="inlineStr">
        <is>
          <t>Number of bars  2 nb + 2 (nh − 2)</t>
        </is>
      </c>
      <c r="D88" s="27" t="inlineStr">
        <is>
          <r>
            <rPr>
              <rFont val="Calibri"/>
              <i val="1"/>
              <color rgb="002B2B2B"/>
              <sz val="10"/>
            </rPr>
            <t>n</t>
          </r>
        </is>
      </c>
      <c r="E88" s="40">
        <f>IF(inputs_ok,n_bx,NA())</f>
        <v/>
      </c>
      <c r="F88" s="23" t="n"/>
      <c r="G88" s="23" t="n"/>
    </row>
    <row r="89" ht="17" customHeight="1">
      <c r="B89" s="23" t="n"/>
      <c r="C89" s="24" t="inlineStr">
        <is>
          <t>Reinforcement area</t>
        </is>
      </c>
      <c r="D89" s="27" t="inlineStr">
        <is>
          <r>
            <rPr>
              <rFont val="Calibri"/>
              <i val="1"/>
              <color rgb="002B2B2B"/>
              <sz val="10"/>
            </rPr>
            <t>A</t>
          </r>
          <r>
            <rPr>
              <rFont val="Calibri"/>
              <i val="1"/>
              <color rgb="002B2B2B"/>
              <sz val="10"/>
              <vertAlign val="subscript"/>
            </rPr>
            <t>s</t>
          </r>
        </is>
      </c>
      <c r="E89" s="40">
        <f>IF(inputs_ok,n_bx*PI()*bx_phi^2/4,NA())</f>
        <v/>
      </c>
      <c r="F89" s="28" t="inlineStr">
        <is>
          <t>mm²</t>
        </is>
      </c>
      <c r="G89" s="23" t="n"/>
    </row>
    <row r="90" ht="17" customHeight="1">
      <c r="B90" s="26" t="inlineStr">
        <is>
          <t>6.1(5)</t>
        </is>
      </c>
      <c r="C90" s="24" t="inlineStr">
        <is>
          <t>Axial resistance  (uniform strain εc2 = 0.002)</t>
        </is>
      </c>
      <c r="D90" s="27" t="inlineStr">
        <is>
          <r>
            <rPr>
              <rFont val="Calibri"/>
              <i val="1"/>
              <color rgb="002B2B2B"/>
              <sz val="10"/>
            </rPr>
            <t>N</t>
          </r>
          <r>
            <rPr>
              <rFont val="Calibri"/>
              <i val="1"/>
              <color rgb="002B2B2B"/>
              <sz val="10"/>
              <vertAlign val="subscript"/>
            </rPr>
            <t>Rd,max</t>
          </r>
        </is>
      </c>
      <c r="E90" s="40">
        <f>IF(inputs_ok,(fcd_bx*Ac_bx+As_bx*(MIN(fyd_bx,200000*0.002)-fcd_bx))/1000,NA())</f>
        <v/>
      </c>
      <c r="F90" s="28" t="inlineStr">
        <is>
          <t>kN</t>
        </is>
      </c>
      <c r="G90" s="23" t="n"/>
    </row>
    <row r="91" ht="17" customHeight="1">
      <c r="B91" s="26" t="inlineStr">
        <is>
          <t>6.1</t>
        </is>
      </c>
      <c r="C91" s="24" t="inlineStr">
        <is>
          <t>Axial force  NEd ≤ NRd,max</t>
        </is>
      </c>
      <c r="D91" s="27" t="inlineStr">
        <is>
          <r>
            <rPr>
              <rFont val="Calibri"/>
              <i val="1"/>
              <color rgb="002B2B2B"/>
              <sz val="10"/>
            </rPr>
            <t>N</t>
          </r>
          <r>
            <rPr>
              <rFont val="Calibri"/>
              <i val="1"/>
              <color rgb="002B2B2B"/>
              <sz val="10"/>
              <vertAlign val="subscript"/>
            </rPr>
            <t>Ed</t>
          </r>
        </is>
      </c>
      <c r="E91" s="40">
        <f>IF(inputs_ok,bx_N,NA())</f>
        <v/>
      </c>
      <c r="F91" s="28" t="inlineStr">
        <is>
          <t>kN</t>
        </is>
      </c>
      <c r="G91" s="31">
        <f>IF(NOT(inputs_ok),"FAIL",IF(bx_N&lt;=NRdmax_bx,"OK","FAIL"))</f>
        <v/>
      </c>
    </row>
    <row r="92"/>
    <row r="93" ht="22" customHeight="1">
      <c r="B93" s="20" t="inlineStr">
        <is>
          <t>Calculation  ·  when a biaxial check is needed, 5.8.9(3)</t>
        </is>
      </c>
      <c r="C93" s="21" t="n"/>
      <c r="D93" s="21" t="n"/>
      <c r="E93" s="21" t="n"/>
      <c r="F93" s="21" t="n"/>
      <c r="G93" s="21" t="n"/>
    </row>
    <row r="94" ht="17" customHeight="1">
      <c r="B94" s="26" t="inlineStr">
        <is>
          <t>(5.14)</t>
        </is>
      </c>
      <c r="C94" s="24" t="inlineStr">
        <is>
          <t>Slenderness in the plane of h  l0,y √12 / h</t>
        </is>
      </c>
      <c r="D94" s="27" t="inlineStr">
        <is>
          <r>
            <rPr>
              <rFont val="Calibri"/>
              <i val="1"/>
              <color rgb="002B2B2B"/>
              <sz val="10"/>
            </rPr>
            <t>λ</t>
          </r>
          <r>
            <rPr>
              <rFont val="Calibri"/>
              <i val="1"/>
              <color rgb="002B2B2B"/>
              <sz val="10"/>
              <vertAlign val="subscript"/>
            </rPr>
            <t>y</t>
          </r>
        </is>
      </c>
      <c r="E94" s="41">
        <f>IF(inputs_ok,bx_l0y*SQRT(12)/bx_h,NA())</f>
        <v/>
      </c>
      <c r="F94" s="23" t="n"/>
      <c r="G94" s="23" t="n"/>
    </row>
    <row r="95" ht="17" customHeight="1">
      <c r="B95" s="26" t="inlineStr">
        <is>
          <t>(5.14)</t>
        </is>
      </c>
      <c r="C95" s="24" t="inlineStr">
        <is>
          <t>Slenderness in the plane of b  l0,z √12 / b</t>
        </is>
      </c>
      <c r="D95" s="27" t="inlineStr">
        <is>
          <r>
            <rPr>
              <rFont val="Calibri"/>
              <i val="1"/>
              <color rgb="002B2B2B"/>
              <sz val="10"/>
            </rPr>
            <t>λ</t>
          </r>
          <r>
            <rPr>
              <rFont val="Calibri"/>
              <i val="1"/>
              <color rgb="002B2B2B"/>
              <sz val="10"/>
              <vertAlign val="subscript"/>
            </rPr>
            <t>z</t>
          </r>
        </is>
      </c>
      <c r="E95" s="41">
        <f>IF(inputs_ok,bx_l0z*SQRT(12)/bx_b,NA())</f>
        <v/>
      </c>
      <c r="F95" s="23" t="n"/>
      <c r="G95" s="23" t="n"/>
    </row>
    <row r="96" ht="17" customHeight="1">
      <c r="B96" s="26" t="inlineStr">
        <is>
          <t>(5.38a)</t>
        </is>
      </c>
      <c r="C96" s="24" t="inlineStr">
        <is>
          <t>λy / λz</t>
        </is>
      </c>
      <c r="D96" s="23" t="n"/>
      <c r="E96" s="39">
        <f>IF(inputs_ok,lamy_bx/lamz_bx,NA())</f>
        <v/>
      </c>
      <c r="F96" s="23" t="n"/>
      <c r="G96" s="23" t="n"/>
    </row>
    <row r="97" ht="17" customHeight="1">
      <c r="B97" s="26" t="inlineStr">
        <is>
          <t>(5.38b)</t>
        </is>
      </c>
      <c r="C97" s="24" t="inlineStr">
        <is>
          <t>Eccentricity along h  ez = MEd,y / NEd</t>
        </is>
      </c>
      <c r="D97" s="27" t="inlineStr">
        <is>
          <r>
            <rPr>
              <rFont val="Calibri"/>
              <i val="1"/>
              <color rgb="002B2B2B"/>
              <sz val="10"/>
            </rPr>
            <t>e</t>
          </r>
          <r>
            <rPr>
              <rFont val="Calibri"/>
              <i val="1"/>
              <color rgb="002B2B2B"/>
              <sz val="10"/>
              <vertAlign val="subscript"/>
            </rPr>
            <t>z</t>
          </r>
        </is>
      </c>
      <c r="E97" s="41">
        <f>IF(inputs_ok,bx_My/bx_N*1000,NA())</f>
        <v/>
      </c>
      <c r="F97" s="28" t="inlineStr">
        <is>
          <t>mm</t>
        </is>
      </c>
      <c r="G97" s="23" t="n"/>
    </row>
    <row r="98" ht="17" customHeight="1">
      <c r="B98" s="26" t="inlineStr">
        <is>
          <t>(5.38b)</t>
        </is>
      </c>
      <c r="C98" s="24" t="inlineStr">
        <is>
          <t>Eccentricity along b  ey = MEd,z / NEd</t>
        </is>
      </c>
      <c r="D98" s="27" t="inlineStr">
        <is>
          <r>
            <rPr>
              <rFont val="Calibri"/>
              <i val="1"/>
              <color rgb="002B2B2B"/>
              <sz val="10"/>
            </rPr>
            <t>e</t>
          </r>
          <r>
            <rPr>
              <rFont val="Calibri"/>
              <i val="1"/>
              <color rgb="002B2B2B"/>
              <sz val="10"/>
              <vertAlign val="subscript"/>
            </rPr>
            <t>y</t>
          </r>
        </is>
      </c>
      <c r="E98" s="41">
        <f>IF(inputs_ok,bx_Mz/bx_N*1000,NA())</f>
        <v/>
      </c>
      <c r="F98" s="28" t="inlineStr">
        <is>
          <t>mm</t>
        </is>
      </c>
      <c r="G98" s="23" t="n"/>
    </row>
    <row r="99" ht="17" customHeight="1">
      <c r="B99" s="26" t="inlineStr">
        <is>
          <t>(5.38b)</t>
        </is>
      </c>
      <c r="C99" s="24" t="inlineStr">
        <is>
          <t>(ey / beq) / (ez / heq)  (no moment: ∞ shown as 9999)</t>
        </is>
      </c>
      <c r="D99" s="23" t="n"/>
      <c r="E99" s="42">
        <f>IF(inputs_ok,IF(bx_My=0,9999,ABS(ey_bx/bx_b)/ABS(ez_bx/bx_h)),NA())</f>
        <v/>
      </c>
      <c r="F99" s="23" t="n"/>
      <c r="G99" s="23" t="n"/>
    </row>
    <row r="100" ht="17" customHeight="1">
      <c r="B100" s="26" t="inlineStr">
        <is>
          <t>5.8.9(3)</t>
        </is>
      </c>
      <c r="C100" s="24" t="inlineStr">
        <is>
          <t>λ ratio within 0.5 to 2 and eccentricity ratio ≤ 0.2 or ≥ 5</t>
        </is>
      </c>
      <c r="D100" s="23" t="n"/>
      <c r="E100" s="43">
        <f>IF(inputs_ok,IF(skip_bx,"met","not met"),NA())</f>
        <v/>
      </c>
      <c r="F100" s="23" t="n"/>
      <c r="G100" s="31">
        <f>IF(NOT(inputs_ok),"FAIL",IF(skip_bx,"! Uniaxial","Biaxial"))</f>
        <v/>
      </c>
    </row>
    <row r="101"/>
    <row r="102" ht="22" customHeight="1">
      <c r="B102" s="20" t="inlineStr">
        <is>
          <t>Calculation  ·  resistances and (5.39)  (see the Interaction sheet)</t>
        </is>
      </c>
      <c r="C102" s="21" t="n"/>
      <c r="D102" s="21" t="n"/>
      <c r="E102" s="21" t="n"/>
      <c r="F102" s="21" t="n"/>
      <c r="G102" s="21" t="n"/>
    </row>
    <row r="103" ht="17" customHeight="1">
      <c r="B103" s="26" t="inlineStr">
        <is>
          <t>6.1</t>
        </is>
      </c>
      <c r="C103" s="24" t="inlineStr">
        <is>
          <t>Moment resistance in the plane of h at NEd</t>
        </is>
      </c>
      <c r="D103" s="27" t="inlineStr">
        <is>
          <r>
            <rPr>
              <rFont val="Calibri"/>
              <i val="1"/>
              <color rgb="002B2B2B"/>
              <sz val="10"/>
            </rPr>
            <t>M</t>
          </r>
          <r>
            <rPr>
              <rFont val="Calibri"/>
              <i val="1"/>
              <color rgb="002B2B2B"/>
              <sz val="10"/>
              <vertAlign val="subscript"/>
            </rPr>
            <t>Rd,y</t>
          </r>
        </is>
      </c>
      <c r="E103" s="44">
        <f>IF(inputs_ok,bish_M,NA())</f>
        <v/>
      </c>
      <c r="F103" s="28" t="inlineStr">
        <is>
          <t>kNm</t>
        </is>
      </c>
      <c r="G103" s="23" t="n"/>
    </row>
    <row r="104" ht="17" customHeight="1">
      <c r="B104" s="26" t="inlineStr">
        <is>
          <t>6.1</t>
        </is>
      </c>
      <c r="C104" s="24" t="inlineStr">
        <is>
          <t>Neutral axis depth from the compressed face  (check: N = NEd)</t>
        </is>
      </c>
      <c r="D104" s="27" t="inlineStr">
        <is>
          <r>
            <rPr>
              <rFont val="Calibri"/>
              <i val="1"/>
              <color rgb="002B2B2B"/>
              <sz val="10"/>
            </rPr>
            <t>x</t>
          </r>
          <r>
            <rPr>
              <rFont val="Calibri"/>
              <i val="1"/>
              <color rgb="002B2B2B"/>
              <sz val="10"/>
              <vertAlign val="subscript"/>
            </rPr>
            <t>y</t>
          </r>
        </is>
      </c>
      <c r="E104" s="45">
        <f>IF(inputs_ok,bish_x,NA())</f>
        <v/>
      </c>
      <c r="F104" s="28" t="inlineStr">
        <is>
          <t>mm</t>
        </is>
      </c>
      <c r="G104" s="23" t="n"/>
    </row>
    <row r="105" ht="17" customHeight="1">
      <c r="B105" s="26" t="inlineStr">
        <is>
          <t>6.1</t>
        </is>
      </c>
      <c r="C105" s="24" t="inlineStr">
        <is>
          <t>Moment resistance in the plane of b at NEd</t>
        </is>
      </c>
      <c r="D105" s="27" t="inlineStr">
        <is>
          <r>
            <rPr>
              <rFont val="Calibri"/>
              <i val="1"/>
              <color rgb="002B2B2B"/>
              <sz val="10"/>
            </rPr>
            <t>M</t>
          </r>
          <r>
            <rPr>
              <rFont val="Calibri"/>
              <i val="1"/>
              <color rgb="002B2B2B"/>
              <sz val="10"/>
              <vertAlign val="subscript"/>
            </rPr>
            <t>Rd,z</t>
          </r>
        </is>
      </c>
      <c r="E105" s="44">
        <f>IF(inputs_ok,bisb_M,NA())</f>
        <v/>
      </c>
      <c r="F105" s="28" t="inlineStr">
        <is>
          <t>kNm</t>
        </is>
      </c>
      <c r="G105" s="23" t="n"/>
    </row>
    <row r="106" ht="17" customHeight="1">
      <c r="B106" s="26" t="inlineStr">
        <is>
          <t>6.1</t>
        </is>
      </c>
      <c r="C106" s="24" t="inlineStr">
        <is>
          <t>Neutral axis depth from the compressed face  (check: N = NEd)</t>
        </is>
      </c>
      <c r="D106" s="27" t="inlineStr">
        <is>
          <r>
            <rPr>
              <rFont val="Calibri"/>
              <i val="1"/>
              <color rgb="002B2B2B"/>
              <sz val="10"/>
            </rPr>
            <t>x</t>
          </r>
          <r>
            <rPr>
              <rFont val="Calibri"/>
              <i val="1"/>
              <color rgb="002B2B2B"/>
              <sz val="10"/>
              <vertAlign val="subscript"/>
            </rPr>
            <t>z</t>
          </r>
        </is>
      </c>
      <c r="E106" s="45">
        <f>IF(inputs_ok,bisb_x,NA())</f>
        <v/>
      </c>
      <c r="F106" s="28" t="inlineStr">
        <is>
          <t>mm</t>
        </is>
      </c>
      <c r="G106" s="23" t="n"/>
    </row>
    <row r="107" ht="17" customHeight="1">
      <c r="B107" s="26" t="inlineStr">
        <is>
          <t>5.8.9(4)</t>
        </is>
      </c>
      <c r="C107" s="24" t="inlineStr">
        <is>
          <t>NRd = Ac fcd + As fyd</t>
        </is>
      </c>
      <c r="D107" s="27" t="inlineStr">
        <is>
          <r>
            <rPr>
              <rFont val="Calibri"/>
              <i val="1"/>
              <color rgb="002B2B2B"/>
              <sz val="10"/>
            </rPr>
            <t>N</t>
          </r>
          <r>
            <rPr>
              <rFont val="Calibri"/>
              <i val="1"/>
              <color rgb="002B2B2B"/>
              <sz val="10"/>
              <vertAlign val="subscript"/>
            </rPr>
            <t>Rd</t>
          </r>
        </is>
      </c>
      <c r="E107" s="40">
        <f>IF(inputs_ok,(Ac_bx*fcd_bx+As_bx*fyd_bx)/1000,NA())</f>
        <v/>
      </c>
      <c r="F107" s="28" t="inlineStr">
        <is>
          <t>kN</t>
        </is>
      </c>
      <c r="G107" s="23" t="n"/>
    </row>
    <row r="108" ht="17" customHeight="1">
      <c r="B108" s="26" t="inlineStr">
        <is>
          <t>5.8.9(4)</t>
        </is>
      </c>
      <c r="C108" s="24" t="inlineStr">
        <is>
          <t>NEd / NRd</t>
        </is>
      </c>
      <c r="D108" s="23" t="n"/>
      <c r="E108" s="42">
        <f>IF(inputs_ok,bx_N/NRd_bx,NA())</f>
        <v/>
      </c>
      <c r="F108" s="23" t="n"/>
      <c r="G108" s="23" t="n"/>
    </row>
    <row r="109" ht="17" customHeight="1">
      <c r="B109" s="26" t="inlineStr">
        <is>
          <t>5.8.9(4)</t>
        </is>
      </c>
      <c r="C109" s="24" t="inlineStr">
        <is>
          <t>Exponent a  (1.0 at ≤ 0.1, 1.5 at 0.7, 2.0 at 1.0, linear)</t>
        </is>
      </c>
      <c r="D109" s="27" t="inlineStr">
        <is>
          <r>
            <rPr>
              <rFont val="Calibri"/>
              <i val="1"/>
              <color rgb="002B2B2B"/>
              <sz val="10"/>
            </rPr>
            <t>a</t>
          </r>
        </is>
      </c>
      <c r="E109" s="42">
        <f>IF(inputs_ok,IF(nr_bx&lt;=0.1,1,IF(nr_bx&lt;=0.7,1+(nr_bx-0.1)/0.6*0.5,IF(nr_bx&lt;=1,1.5+(nr_bx-0.7)/0.3*0.5,2))),NA())</f>
        <v/>
      </c>
      <c r="F109" s="23" t="n"/>
      <c r="G109" s="23" t="n"/>
    </row>
    <row r="110" ht="17" customHeight="1">
      <c r="B110" s="26" t="inlineStr">
        <is>
          <t>(5.39)</t>
        </is>
      </c>
      <c r="C110" s="24" t="inlineStr">
        <is>
          <t>(|MEd,y| / MRd,y)^a + (|MEd,z| / MRd,z)^a</t>
        </is>
      </c>
      <c r="D110" s="23" t="n"/>
      <c r="E110" s="46">
        <f>IF(inputs_ok,IF(res_bx,(ABS(bx_My)/MRdh_bx)^a_bx+(ABS(bx_Mz)/MRdb_bx)^a_bx,NA()),NA())</f>
        <v/>
      </c>
      <c r="F110" s="23" t="n"/>
      <c r="G110" s="23" t="n"/>
    </row>
    <row r="111" ht="17" customHeight="1">
      <c r="B111" s="26" t="inlineStr">
        <is>
          <t>(5.39)</t>
        </is>
      </c>
      <c r="C111" s="24" t="inlineStr">
        <is>
          <t>Interaction ≤ 1</t>
        </is>
      </c>
      <c r="D111" s="23" t="n"/>
      <c r="E111" s="42">
        <f>IF(inputs_ok,util_bx,NA())</f>
        <v/>
      </c>
      <c r="F111" s="23" t="n"/>
      <c r="G111" s="31">
        <f>IF(NOT(inputs_ok),"FAIL",IF(IF(res_bx,util_bx&lt;=1,FALSE),"OK","FAIL"))</f>
        <v/>
      </c>
    </row>
    <row r="112" ht="41.5" customHeight="1">
      <c r="B112" s="47" t="inlineStr">
        <is>
          <t>The moments are design values about each axis, second order effects and the imperfection included (RC-008 for each axis). Where (5.38a) and (5.38b) are met, the uniaxial checks are enough (5.8.9(3)); the interaction (5.39) is shown anyway. Detailing is not checked here: use RC-008.</t>
        </is>
      </c>
    </row>
    <row r="113"/>
    <row r="114" ht="29" customHeight="1">
      <c r="B114" s="4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12:G112"/>
    <mergeCell ref="E5:G5"/>
    <mergeCell ref="B114:G114"/>
    <mergeCell ref="D2:G2"/>
    <mergeCell ref="E7:G7"/>
    <mergeCell ref="E6:G6"/>
    <mergeCell ref="C3:G3"/>
  </mergeCells>
  <conditionalFormatting sqref="G9:G115">
    <cfRule type="expression" priority="1" dxfId="0">
      <formula>G9="OK"</formula>
    </cfRule>
    <cfRule type="expression" priority="2" dxfId="1">
      <formula>G9="FAIL"</formula>
    </cfRule>
    <cfRule type="expression" priority="3" dxfId="2">
      <formula>LEFT(G9,1)="!"</formula>
    </cfRule>
  </conditionalFormatting>
  <dataValidations count="1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Pick a value from the list." type="list" errorStyle="stop">
      <formula1>"6,8,10,12"</formula1>
    </dataValidation>
    <dataValidation sqref="E18" showDropDown="0" showInputMessage="0" showErrorMessage="1" allowBlank="0" errorTitle="NA Engineering" error="Pick a value from the list." type="list" errorStyle="stop">
      <formula1>"6,8,10,12,16,20,25,32,40"</formula1>
    </dataValidation>
    <dataValidation sqref="E19 E20" showDropDown="0" showInputMessage="0" showErrorMessage="1" allowBlank="0" errorTitle="NA Engineering" error="Pick a value from the list." type="list" errorStyle="stop">
      <formula1>"2,3,4,5,6,7,8,9,10"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 -1000000.0." type="decimal" errorStyle="stop" operator="greaterThanOrEqual">
      <formula1>-1000000.0</formula1>
    </dataValidation>
    <dataValidation sqref="E25" showDropDown="0" showInputMessage="0" showErrorMessage="1" allowBlank="0" errorTitle="NA Engineering" error="Enter a number ≥ -1000000.0." type="decimal" errorStyle="stop" operator="greaterThanOrEqual">
      <formula1>-1000000.0</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&amp;K8A8A8ANAE-RC-042  v1.0</oddFooter>
    <evenHeader/>
    <evenFooter/>
    <firstHeader/>
    <firstFooter/>
  </headerFooter>
  <rowBreaks count="1" manualBreakCount="1">
    <brk id="5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T4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top 0</t>
        </is>
      </c>
      <c r="M2" t="inlineStr">
        <is>
          <t>bar bottom 0</t>
        </is>
      </c>
      <c r="P2" t="inlineStr">
        <is>
          <t>bar top 1</t>
        </is>
      </c>
      <c r="S2" t="inlineStr">
        <is>
          <t>bar bottom 1</t>
        </is>
      </c>
      <c r="V2" t="inlineStr">
        <is>
          <t>bar top 2</t>
        </is>
      </c>
      <c r="Y2" t="inlineStr">
        <is>
          <t>bar bottom 2</t>
        </is>
      </c>
      <c r="AB2" t="inlineStr">
        <is>
          <t>bar top 3</t>
        </is>
      </c>
      <c r="AE2" t="inlineStr">
        <is>
          <t>bar bottom 3</t>
        </is>
      </c>
      <c r="AH2" t="inlineStr">
        <is>
          <t>bar top 4</t>
        </is>
      </c>
      <c r="AK2" t="inlineStr">
        <is>
          <t>bar bottom 4</t>
        </is>
      </c>
      <c r="AN2" t="inlineStr">
        <is>
          <t>bar top 5</t>
        </is>
      </c>
      <c r="AQ2" t="inlineStr">
        <is>
          <t>bar bottom 5</t>
        </is>
      </c>
      <c r="AT2" t="inlineStr">
        <is>
          <t>bar top 6</t>
        </is>
      </c>
      <c r="AW2" t="inlineStr">
        <is>
          <t>bar bottom 6</t>
        </is>
      </c>
      <c r="AZ2" t="inlineStr">
        <is>
          <t>bar top 7</t>
        </is>
      </c>
      <c r="BC2" t="inlineStr">
        <is>
          <t>bar bottom 7</t>
        </is>
      </c>
      <c r="BF2" t="inlineStr">
        <is>
          <t>bar top 8</t>
        </is>
      </c>
      <c r="BI2" t="inlineStr">
        <is>
          <t>bar bottom 8</t>
        </is>
      </c>
      <c r="BL2" t="inlineStr">
        <is>
          <t>bar top 9</t>
        </is>
      </c>
      <c r="BO2" t="inlineStr">
        <is>
          <t>bar bottom 9</t>
        </is>
      </c>
      <c r="BR2" t="inlineStr">
        <is>
          <t>bar left 1</t>
        </is>
      </c>
      <c r="BU2" t="inlineStr">
        <is>
          <t>bar right 1</t>
        </is>
      </c>
      <c r="BX2" t="inlineStr">
        <is>
          <t>bar left 2</t>
        </is>
      </c>
      <c r="CA2" t="inlineStr">
        <is>
          <t>bar right 2</t>
        </is>
      </c>
      <c r="CD2" t="inlineStr">
        <is>
          <t>bar left 3</t>
        </is>
      </c>
      <c r="CG2" t="inlineStr">
        <is>
          <t>bar right 3</t>
        </is>
      </c>
      <c r="CJ2" t="inlineStr">
        <is>
          <t>bar left 4</t>
        </is>
      </c>
      <c r="CM2" t="inlineStr">
        <is>
          <t>bar right 4</t>
        </is>
      </c>
      <c r="CP2" t="inlineStr">
        <is>
          <t>bar left 5</t>
        </is>
      </c>
      <c r="CS2" t="inlineStr">
        <is>
          <t>bar right 5</t>
        </is>
      </c>
      <c r="CV2" t="inlineStr">
        <is>
          <t>bar left 6</t>
        </is>
      </c>
      <c r="CY2" t="inlineStr">
        <is>
          <t>bar right 6</t>
        </is>
      </c>
      <c r="DB2" t="inlineStr">
        <is>
          <t>bar left 7</t>
        </is>
      </c>
      <c r="DE2" t="inlineStr">
        <is>
          <t>bar right 7</t>
        </is>
      </c>
      <c r="DH2" t="inlineStr">
        <is>
          <t>bar left 8</t>
        </is>
      </c>
      <c r="DK2" t="inlineStr">
        <is>
          <t>bar right 8</t>
        </is>
      </c>
      <c r="DN2" t="inlineStr">
        <is>
          <t>eccentricity</t>
        </is>
      </c>
      <c r="DQ2" t="inlineStr">
        <is>
          <t>centre</t>
        </is>
      </c>
      <c r="DT2" t="inlineStr">
        <is>
          <t>dim</t>
        </is>
      </c>
      <c r="DW2">
        <f>IF(inputs_ok,"b = "&amp;TEXT(bx_b,"0"),"")</f>
        <v/>
      </c>
      <c r="DZ2" t="inlineStr">
        <is>
          <t>dim</t>
        </is>
      </c>
      <c r="EC2">
        <f>IF(inputs_ok,"h = "&amp;TEXT(bx_h,"0"),"")</f>
        <v/>
      </c>
      <c r="EF2">
        <f>IF(inputs_ok,"e_z "&amp;TEXT(ez_bx,"0")&amp;"  ·  e_y "&amp;TEXT(ey_bx,"0")&amp;" mm","")</f>
        <v/>
      </c>
      <c r="EI2">
        <f>IF(inputs_ok,n_bx&amp;" × φ"&amp;bx_phi&amp;"  ·  links φ"&amp;bx_phiw,"")</f>
        <v/>
      </c>
      <c r="EL2" t="inlineStr">
        <is>
          <t>frame</t>
        </is>
      </c>
      <c r="EO2">
        <f>IF(inputs_ok,"","check the inputs")</f>
        <v/>
      </c>
      <c r="ER2" t="inlineStr">
        <is>
          <t>y axis</t>
        </is>
      </c>
      <c r="EU2" t="inlineStr">
        <is>
          <t>z axis</t>
        </is>
      </c>
      <c r="EX2" t="inlineStr">
        <is>
          <t>curve</t>
        </is>
      </c>
      <c r="FA2" t="inlineStr">
        <is>
          <t>design</t>
        </is>
      </c>
      <c r="FD2" t="inlineStr">
        <is>
          <t>ray</t>
        </is>
      </c>
      <c r="FG2" t="inlineStr">
        <is>
          <t>MEd,y / MRd,y</t>
        </is>
      </c>
      <c r="FJ2" t="inlineStr">
        <is>
          <t>MEd,z / MRd,z</t>
        </is>
      </c>
      <c r="FM2">
        <f>IF(inputs_ok,"a = "&amp;TEXT(a_bx,"0.00"),"")</f>
        <v/>
      </c>
      <c r="FP2">
        <f>IF(inputs_ok,IF(res_bx,"utilisation "&amp;TEXT(util_bx,"0.00"),""),"")</f>
        <v/>
      </c>
      <c r="FS2" t="inlineStr">
        <is>
          <t>frame</t>
        </is>
      </c>
    </row>
    <row r="3">
      <c r="A3">
        <f>0</f>
        <v/>
      </c>
      <c r="B3">
        <f>0</f>
        <v/>
      </c>
      <c r="D3">
        <f>IF(inputs_ok,0,NA())</f>
        <v/>
      </c>
      <c r="E3">
        <f>0</f>
        <v/>
      </c>
      <c r="G3">
        <f>IF(inputs_ok,(bx_c+bx_phiw/2),NA())</f>
        <v/>
      </c>
      <c r="H3">
        <f>(bx_c+bx_phiw/2)</f>
        <v/>
      </c>
      <c r="J3">
        <f>IF(inputs_ok,IF(0&lt;bx_nb,(d1_bx+0*(bx_b-2*d1_bx)/(bx_nb-1))+(bx_phi/2)*1.000000,NA()),NA())</f>
        <v/>
      </c>
      <c r="K3">
        <f>IF(0&lt;bx_nb,(bx_h-d1_bx)+(bx_phi/2)*0.000000,NA())</f>
        <v/>
      </c>
      <c r="M3">
        <f>IF(inputs_ok,IF(0&lt;bx_nb,(d1_bx+0*(bx_b-2*d1_bx)/(bx_nb-1))+(bx_phi/2)*1.000000,NA()),NA())</f>
        <v/>
      </c>
      <c r="N3">
        <f>IF(0&lt;bx_nb,(d1_bx)+(bx_phi/2)*0.000000,NA())</f>
        <v/>
      </c>
      <c r="P3">
        <f>IF(inputs_ok,IF(1&lt;bx_nb,(d1_bx+1*(bx_b-2*d1_bx)/(bx_nb-1))+(bx_phi/2)*1.000000,NA()),NA())</f>
        <v/>
      </c>
      <c r="Q3">
        <f>IF(1&lt;bx_nb,(bx_h-d1_bx)+(bx_phi/2)*0.000000,NA())</f>
        <v/>
      </c>
      <c r="S3">
        <f>IF(inputs_ok,IF(1&lt;bx_nb,(d1_bx+1*(bx_b-2*d1_bx)/(bx_nb-1))+(bx_phi/2)*1.000000,NA()),NA())</f>
        <v/>
      </c>
      <c r="T3">
        <f>IF(1&lt;bx_nb,(d1_bx)+(bx_phi/2)*0.000000,NA())</f>
        <v/>
      </c>
      <c r="V3">
        <f>IF(inputs_ok,IF(2&lt;bx_nb,(d1_bx+2*(bx_b-2*d1_bx)/(bx_nb-1))+(bx_phi/2)*1.000000,NA()),NA())</f>
        <v/>
      </c>
      <c r="W3">
        <f>IF(2&lt;bx_nb,(bx_h-d1_bx)+(bx_phi/2)*0.000000,NA())</f>
        <v/>
      </c>
      <c r="Y3">
        <f>IF(inputs_ok,IF(2&lt;bx_nb,(d1_bx+2*(bx_b-2*d1_bx)/(bx_nb-1))+(bx_phi/2)*1.000000,NA()),NA())</f>
        <v/>
      </c>
      <c r="Z3">
        <f>IF(2&lt;bx_nb,(d1_bx)+(bx_phi/2)*0.000000,NA())</f>
        <v/>
      </c>
      <c r="AB3">
        <f>IF(inputs_ok,IF(3&lt;bx_nb,(d1_bx+3*(bx_b-2*d1_bx)/(bx_nb-1))+(bx_phi/2)*1.000000,NA()),NA())</f>
        <v/>
      </c>
      <c r="AC3">
        <f>IF(3&lt;bx_nb,(bx_h-d1_bx)+(bx_phi/2)*0.000000,NA())</f>
        <v/>
      </c>
      <c r="AE3">
        <f>IF(inputs_ok,IF(3&lt;bx_nb,(d1_bx+3*(bx_b-2*d1_bx)/(bx_nb-1))+(bx_phi/2)*1.000000,NA()),NA())</f>
        <v/>
      </c>
      <c r="AF3">
        <f>IF(3&lt;bx_nb,(d1_bx)+(bx_phi/2)*0.000000,NA())</f>
        <v/>
      </c>
      <c r="AH3">
        <f>IF(inputs_ok,IF(4&lt;bx_nb,(d1_bx+4*(bx_b-2*d1_bx)/(bx_nb-1))+(bx_phi/2)*1.000000,NA()),NA())</f>
        <v/>
      </c>
      <c r="AI3">
        <f>IF(4&lt;bx_nb,(bx_h-d1_bx)+(bx_phi/2)*0.000000,NA())</f>
        <v/>
      </c>
      <c r="AK3">
        <f>IF(inputs_ok,IF(4&lt;bx_nb,(d1_bx+4*(bx_b-2*d1_bx)/(bx_nb-1))+(bx_phi/2)*1.000000,NA()),NA())</f>
        <v/>
      </c>
      <c r="AL3">
        <f>IF(4&lt;bx_nb,(d1_bx)+(bx_phi/2)*0.000000,NA())</f>
        <v/>
      </c>
      <c r="AN3">
        <f>IF(inputs_ok,IF(5&lt;bx_nb,(d1_bx+5*(bx_b-2*d1_bx)/(bx_nb-1))+(bx_phi/2)*1.000000,NA()),NA())</f>
        <v/>
      </c>
      <c r="AO3">
        <f>IF(5&lt;bx_nb,(bx_h-d1_bx)+(bx_phi/2)*0.000000,NA())</f>
        <v/>
      </c>
      <c r="AQ3">
        <f>IF(inputs_ok,IF(5&lt;bx_nb,(d1_bx+5*(bx_b-2*d1_bx)/(bx_nb-1))+(bx_phi/2)*1.000000,NA()),NA())</f>
        <v/>
      </c>
      <c r="AR3">
        <f>IF(5&lt;bx_nb,(d1_bx)+(bx_phi/2)*0.000000,NA())</f>
        <v/>
      </c>
      <c r="AT3">
        <f>IF(inputs_ok,IF(6&lt;bx_nb,(d1_bx+6*(bx_b-2*d1_bx)/(bx_nb-1))+(bx_phi/2)*1.000000,NA()),NA())</f>
        <v/>
      </c>
      <c r="AU3">
        <f>IF(6&lt;bx_nb,(bx_h-d1_bx)+(bx_phi/2)*0.000000,NA())</f>
        <v/>
      </c>
      <c r="AW3">
        <f>IF(inputs_ok,IF(6&lt;bx_nb,(d1_bx+6*(bx_b-2*d1_bx)/(bx_nb-1))+(bx_phi/2)*1.000000,NA()),NA())</f>
        <v/>
      </c>
      <c r="AX3">
        <f>IF(6&lt;bx_nb,(d1_bx)+(bx_phi/2)*0.000000,NA())</f>
        <v/>
      </c>
      <c r="AZ3">
        <f>IF(inputs_ok,IF(7&lt;bx_nb,(d1_bx+7*(bx_b-2*d1_bx)/(bx_nb-1))+(bx_phi/2)*1.000000,NA()),NA())</f>
        <v/>
      </c>
      <c r="BA3">
        <f>IF(7&lt;bx_nb,(bx_h-d1_bx)+(bx_phi/2)*0.000000,NA())</f>
        <v/>
      </c>
      <c r="BC3">
        <f>IF(inputs_ok,IF(7&lt;bx_nb,(d1_bx+7*(bx_b-2*d1_bx)/(bx_nb-1))+(bx_phi/2)*1.000000,NA()),NA())</f>
        <v/>
      </c>
      <c r="BD3">
        <f>IF(7&lt;bx_nb,(d1_bx)+(bx_phi/2)*0.000000,NA())</f>
        <v/>
      </c>
      <c r="BF3">
        <f>IF(inputs_ok,IF(8&lt;bx_nb,(d1_bx+8*(bx_b-2*d1_bx)/(bx_nb-1))+(bx_phi/2)*1.000000,NA()),NA())</f>
        <v/>
      </c>
      <c r="BG3">
        <f>IF(8&lt;bx_nb,(bx_h-d1_bx)+(bx_phi/2)*0.000000,NA())</f>
        <v/>
      </c>
      <c r="BI3">
        <f>IF(inputs_ok,IF(8&lt;bx_nb,(d1_bx+8*(bx_b-2*d1_bx)/(bx_nb-1))+(bx_phi/2)*1.000000,NA()),NA())</f>
        <v/>
      </c>
      <c r="BJ3">
        <f>IF(8&lt;bx_nb,(d1_bx)+(bx_phi/2)*0.000000,NA())</f>
        <v/>
      </c>
      <c r="BL3">
        <f>IF(inputs_ok,IF(9&lt;bx_nb,(d1_bx+9*(bx_b-2*d1_bx)/(bx_nb-1))+(bx_phi/2)*1.000000,NA()),NA())</f>
        <v/>
      </c>
      <c r="BM3">
        <f>IF(9&lt;bx_nb,(bx_h-d1_bx)+(bx_phi/2)*0.000000,NA())</f>
        <v/>
      </c>
      <c r="BO3">
        <f>IF(inputs_ok,IF(9&lt;bx_nb,(d1_bx+9*(bx_b-2*d1_bx)/(bx_nb-1))+(bx_phi/2)*1.000000,NA()),NA())</f>
        <v/>
      </c>
      <c r="BP3">
        <f>IF(9&lt;bx_nb,(d1_bx)+(bx_phi/2)*0.000000,NA())</f>
        <v/>
      </c>
      <c r="BR3">
        <f>IF(inputs_ok,IF(1&lt;bx_nh-1,(d1_bx)+(bx_phi/2)*1.000000,NA()),NA())</f>
        <v/>
      </c>
      <c r="BS3">
        <f>IF(1&lt;bx_nh-1,(d1_bx+1*(bx_h-2*d1_bx)/(bx_nh-1))+(bx_phi/2)*0.000000,NA())</f>
        <v/>
      </c>
      <c r="BU3">
        <f>IF(inputs_ok,IF(1&lt;bx_nh-1,(bx_b-d1_bx)+(bx_phi/2)*1.000000,NA()),NA())</f>
        <v/>
      </c>
      <c r="BV3">
        <f>IF(1&lt;bx_nh-1,(d1_bx+1*(bx_h-2*d1_bx)/(bx_nh-1))+(bx_phi/2)*0.000000,NA())</f>
        <v/>
      </c>
      <c r="BX3">
        <f>IF(inputs_ok,IF(2&lt;bx_nh-1,(d1_bx)+(bx_phi/2)*1.000000,NA()),NA())</f>
        <v/>
      </c>
      <c r="BY3">
        <f>IF(2&lt;bx_nh-1,(d1_bx+2*(bx_h-2*d1_bx)/(bx_nh-1))+(bx_phi/2)*0.000000,NA())</f>
        <v/>
      </c>
      <c r="CA3">
        <f>IF(inputs_ok,IF(2&lt;bx_nh-1,(bx_b-d1_bx)+(bx_phi/2)*1.000000,NA()),NA())</f>
        <v/>
      </c>
      <c r="CB3">
        <f>IF(2&lt;bx_nh-1,(d1_bx+2*(bx_h-2*d1_bx)/(bx_nh-1))+(bx_phi/2)*0.000000,NA())</f>
        <v/>
      </c>
      <c r="CD3">
        <f>IF(inputs_ok,IF(3&lt;bx_nh-1,(d1_bx)+(bx_phi/2)*1.000000,NA()),NA())</f>
        <v/>
      </c>
      <c r="CE3">
        <f>IF(3&lt;bx_nh-1,(d1_bx+3*(bx_h-2*d1_bx)/(bx_nh-1))+(bx_phi/2)*0.000000,NA())</f>
        <v/>
      </c>
      <c r="CG3">
        <f>IF(inputs_ok,IF(3&lt;bx_nh-1,(bx_b-d1_bx)+(bx_phi/2)*1.000000,NA()),NA())</f>
        <v/>
      </c>
      <c r="CH3">
        <f>IF(3&lt;bx_nh-1,(d1_bx+3*(bx_h-2*d1_bx)/(bx_nh-1))+(bx_phi/2)*0.000000,NA())</f>
        <v/>
      </c>
      <c r="CJ3">
        <f>IF(inputs_ok,IF(4&lt;bx_nh-1,(d1_bx)+(bx_phi/2)*1.000000,NA()),NA())</f>
        <v/>
      </c>
      <c r="CK3">
        <f>IF(4&lt;bx_nh-1,(d1_bx+4*(bx_h-2*d1_bx)/(bx_nh-1))+(bx_phi/2)*0.000000,NA())</f>
        <v/>
      </c>
      <c r="CM3">
        <f>IF(inputs_ok,IF(4&lt;bx_nh-1,(bx_b-d1_bx)+(bx_phi/2)*1.000000,NA()),NA())</f>
        <v/>
      </c>
      <c r="CN3">
        <f>IF(4&lt;bx_nh-1,(d1_bx+4*(bx_h-2*d1_bx)/(bx_nh-1))+(bx_phi/2)*0.000000,NA())</f>
        <v/>
      </c>
      <c r="CP3">
        <f>IF(inputs_ok,IF(5&lt;bx_nh-1,(d1_bx)+(bx_phi/2)*1.000000,NA()),NA())</f>
        <v/>
      </c>
      <c r="CQ3">
        <f>IF(5&lt;bx_nh-1,(d1_bx+5*(bx_h-2*d1_bx)/(bx_nh-1))+(bx_phi/2)*0.000000,NA())</f>
        <v/>
      </c>
      <c r="CS3">
        <f>IF(inputs_ok,IF(5&lt;bx_nh-1,(bx_b-d1_bx)+(bx_phi/2)*1.000000,NA()),NA())</f>
        <v/>
      </c>
      <c r="CT3">
        <f>IF(5&lt;bx_nh-1,(d1_bx+5*(bx_h-2*d1_bx)/(bx_nh-1))+(bx_phi/2)*0.000000,NA())</f>
        <v/>
      </c>
      <c r="CV3">
        <f>IF(inputs_ok,IF(6&lt;bx_nh-1,(d1_bx)+(bx_phi/2)*1.000000,NA()),NA())</f>
        <v/>
      </c>
      <c r="CW3">
        <f>IF(6&lt;bx_nh-1,(d1_bx+6*(bx_h-2*d1_bx)/(bx_nh-1))+(bx_phi/2)*0.000000,NA())</f>
        <v/>
      </c>
      <c r="CY3">
        <f>IF(inputs_ok,IF(6&lt;bx_nh-1,(bx_b-d1_bx)+(bx_phi/2)*1.000000,NA()),NA())</f>
        <v/>
      </c>
      <c r="CZ3">
        <f>IF(6&lt;bx_nh-1,(d1_bx+6*(bx_h-2*d1_bx)/(bx_nh-1))+(bx_phi/2)*0.000000,NA())</f>
        <v/>
      </c>
      <c r="DB3">
        <f>IF(inputs_ok,IF(7&lt;bx_nh-1,(d1_bx)+(bx_phi/2)*1.000000,NA()),NA())</f>
        <v/>
      </c>
      <c r="DC3">
        <f>IF(7&lt;bx_nh-1,(d1_bx+7*(bx_h-2*d1_bx)/(bx_nh-1))+(bx_phi/2)*0.000000,NA())</f>
        <v/>
      </c>
      <c r="DE3">
        <f>IF(inputs_ok,IF(7&lt;bx_nh-1,(bx_b-d1_bx)+(bx_phi/2)*1.000000,NA()),NA())</f>
        <v/>
      </c>
      <c r="DF3">
        <f>IF(7&lt;bx_nh-1,(d1_bx+7*(bx_h-2*d1_bx)/(bx_nh-1))+(bx_phi/2)*0.000000,NA())</f>
        <v/>
      </c>
      <c r="DH3">
        <f>IF(inputs_ok,IF(8&lt;bx_nh-1,(d1_bx)+(bx_phi/2)*1.000000,NA()),NA())</f>
        <v/>
      </c>
      <c r="DI3">
        <f>IF(8&lt;bx_nh-1,(d1_bx+8*(bx_h-2*d1_bx)/(bx_nh-1))+(bx_phi/2)*0.000000,NA())</f>
        <v/>
      </c>
      <c r="DK3">
        <f>IF(inputs_ok,IF(8&lt;bx_nh-1,(bx_b-d1_bx)+(bx_phi/2)*1.000000,NA()),NA())</f>
        <v/>
      </c>
      <c r="DL3">
        <f>IF(8&lt;bx_nh-1,(d1_bx+8*(bx_h-2*d1_bx)/(bx_nh-1))+(bx_phi/2)*0.000000,NA())</f>
        <v/>
      </c>
      <c r="DN3">
        <f>IF(inputs_ok,bx_b/2,NA())</f>
        <v/>
      </c>
      <c r="DO3">
        <f>bx_h/2</f>
        <v/>
      </c>
      <c r="DQ3">
        <f>IF(inputs_ok,bx_b/2,NA())</f>
        <v/>
      </c>
      <c r="DR3">
        <f>bx_h/2</f>
        <v/>
      </c>
      <c r="DT3">
        <f>IF(inputs_ok,IF(TRUE,0,NA()),NA())</f>
        <v/>
      </c>
      <c r="DU3">
        <f>IF(TRUE,-0.08*MAX(bx_b,bx_h),NA())</f>
        <v/>
      </c>
      <c r="DW3">
        <f>IF(inputs_ok,IF(TRUE,((0)+(bx_b))/2,NA()),NA())</f>
        <v/>
      </c>
      <c r="DX3">
        <f>IF(TRUE,((-0.08*MAX(bx_b,bx_h))+(-0.08*MAX(bx_b,bx_h)))/2,NA())</f>
        <v/>
      </c>
      <c r="DZ3">
        <f>IF(inputs_ok,IF(TRUE,-0.08*MAX(bx_b,bx_h),NA()),NA())</f>
        <v/>
      </c>
      <c r="EA3">
        <f>IF(TRUE,0,NA())</f>
        <v/>
      </c>
      <c r="EC3">
        <f>IF(inputs_ok,IF(TRUE,((-0.08*MAX(bx_b,bx_h))+(-0.08*MAX(bx_b,bx_h)))/2,NA()),NA())</f>
        <v/>
      </c>
      <c r="ED3">
        <f>IF(TRUE,((0)+(bx_h))/2,NA())</f>
        <v/>
      </c>
      <c r="EF3">
        <f>IF(inputs_ok,bx_b+2*0.08*MAX(bx_b,bx_h),NA())</f>
        <v/>
      </c>
      <c r="EG3">
        <f>0.7*bx_h</f>
        <v/>
      </c>
      <c r="EI3">
        <f>IF(inputs_ok,bx_b+2*0.08*MAX(bx_b,bx_h),NA())</f>
        <v/>
      </c>
      <c r="EJ3">
        <f>0.45*bx_h</f>
        <v/>
      </c>
      <c r="EL3">
        <f>((-2*0.08*MAX(bx_b,bx_h))+(bx_b+7*0.08*MAX(bx_b,bx_h)))/2-MAX((bx_h+1.2*0.08*MAX(bx_b,bx_h))-(-2*0.08*MAX(bx_b,bx_h)),((bx_b+7*0.08*MAX(bx_b,bx_h))-(-2*0.08*MAX(bx_b,bx_h)))/1.55)*0.58*1.55</f>
        <v/>
      </c>
      <c r="EM3">
        <f>((-2*0.08*MAX(bx_b,bx_h))+(bx_h+1.2*0.08*MAX(bx_b,bx_h)))/2-MAX((bx_h+1.2*0.08*MAX(bx_b,bx_h))-(-2*0.08*MAX(bx_b,bx_h)),((bx_b+7*0.08*MAX(bx_b,bx_h))-(-2*0.08*MAX(bx_b,bx_h)))/1.55)*0.58</f>
        <v/>
      </c>
      <c r="EO3">
        <f>0</f>
        <v/>
      </c>
      <c r="EP3">
        <f>0</f>
        <v/>
      </c>
      <c r="ER3">
        <f>IF(inputs_ok,0,NA())</f>
        <v/>
      </c>
      <c r="ES3">
        <f>0</f>
        <v/>
      </c>
      <c r="EU3">
        <f>IF(inputs_ok,0,NA())</f>
        <v/>
      </c>
      <c r="EV3">
        <f>0</f>
        <v/>
      </c>
      <c r="EX3">
        <f>IF(inputs_ok,((1.000000000)^a_bx+(0.000000000)^a_bx)^(-1/a_bx)*1.000000000,NA())</f>
        <v/>
      </c>
      <c r="EY3">
        <f>((1.000000000)^a_bx+(0.000000000)^a_bx)^(-1/a_bx)*0.000000000</f>
        <v/>
      </c>
      <c r="FA3">
        <f>IF(inputs_ok,IF(res_bx,ABS(bx_Mz)/MRdb_bx,NA()),NA())</f>
        <v/>
      </c>
      <c r="FB3">
        <f>IF(res_bx,ABS(bx_My)/MRdh_bx,NA())</f>
        <v/>
      </c>
      <c r="FD3">
        <f>IF(inputs_ok,IF(res_bx,0,NA()),NA())</f>
        <v/>
      </c>
      <c r="FE3">
        <f>IF(res_bx,0,NA())</f>
        <v/>
      </c>
      <c r="FG3">
        <f>IF(inputs_ok,0,NA())</f>
        <v/>
      </c>
      <c r="FH3">
        <f>1.25</f>
        <v/>
      </c>
      <c r="FJ3">
        <f>IF(inputs_ok,1.25,NA())</f>
        <v/>
      </c>
      <c r="FK3">
        <f>0</f>
        <v/>
      </c>
      <c r="FM3">
        <f>IF(inputs_ok,0.75,NA())</f>
        <v/>
      </c>
      <c r="FN3">
        <f>0.95</f>
        <v/>
      </c>
      <c r="FP3">
        <f>IF(inputs_ok,IF(res_bx,ABS(bx_Mz)/MRdb_bx,NA()),NA())</f>
        <v/>
      </c>
      <c r="FQ3">
        <f>IF(res_bx,ABS(bx_My)/MRdh_bx,NA())</f>
        <v/>
      </c>
      <c r="FS3">
        <f>((-0.15)+(1.6))/2-MAX((1.3)-(-0.1),((1.6)-(-0.15))/1.55)*0.52*1.55</f>
        <v/>
      </c>
      <c r="FT3">
        <f>((-0.1)+(1.3))/2-MAX((1.3)-(-0.1),((1.6)-(-0.15))/1.55)*0.52</f>
        <v/>
      </c>
    </row>
    <row r="4">
      <c r="D4">
        <f>IF(inputs_ok,bx_b,NA())</f>
        <v/>
      </c>
      <c r="E4">
        <f>0</f>
        <v/>
      </c>
      <c r="G4">
        <f>IF(inputs_ok,bx_b-(bx_c+bx_phiw/2),NA())</f>
        <v/>
      </c>
      <c r="H4">
        <f>(bx_c+bx_phiw/2)</f>
        <v/>
      </c>
      <c r="J4">
        <f>IF(inputs_ok,IF(0&lt;bx_nb,(d1_bx+0*(bx_b-2*d1_bx)/(bx_nb-1))+(bx_phi/2)*0.866025,NA()),NA())</f>
        <v/>
      </c>
      <c r="K4">
        <f>IF(0&lt;bx_nb,(bx_h-d1_bx)+(bx_phi/2)*0.500000,NA())</f>
        <v/>
      </c>
      <c r="M4">
        <f>IF(inputs_ok,IF(0&lt;bx_nb,(d1_bx+0*(bx_b-2*d1_bx)/(bx_nb-1))+(bx_phi/2)*0.866025,NA()),NA())</f>
        <v/>
      </c>
      <c r="N4">
        <f>IF(0&lt;bx_nb,(d1_bx)+(bx_phi/2)*0.500000,NA())</f>
        <v/>
      </c>
      <c r="P4">
        <f>IF(inputs_ok,IF(1&lt;bx_nb,(d1_bx+1*(bx_b-2*d1_bx)/(bx_nb-1))+(bx_phi/2)*0.866025,NA()),NA())</f>
        <v/>
      </c>
      <c r="Q4">
        <f>IF(1&lt;bx_nb,(bx_h-d1_bx)+(bx_phi/2)*0.500000,NA())</f>
        <v/>
      </c>
      <c r="S4">
        <f>IF(inputs_ok,IF(1&lt;bx_nb,(d1_bx+1*(bx_b-2*d1_bx)/(bx_nb-1))+(bx_phi/2)*0.866025,NA()),NA())</f>
        <v/>
      </c>
      <c r="T4">
        <f>IF(1&lt;bx_nb,(d1_bx)+(bx_phi/2)*0.500000,NA())</f>
        <v/>
      </c>
      <c r="V4">
        <f>IF(inputs_ok,IF(2&lt;bx_nb,(d1_bx+2*(bx_b-2*d1_bx)/(bx_nb-1))+(bx_phi/2)*0.866025,NA()),NA())</f>
        <v/>
      </c>
      <c r="W4">
        <f>IF(2&lt;bx_nb,(bx_h-d1_bx)+(bx_phi/2)*0.500000,NA())</f>
        <v/>
      </c>
      <c r="Y4">
        <f>IF(inputs_ok,IF(2&lt;bx_nb,(d1_bx+2*(bx_b-2*d1_bx)/(bx_nb-1))+(bx_phi/2)*0.866025,NA()),NA())</f>
        <v/>
      </c>
      <c r="Z4">
        <f>IF(2&lt;bx_nb,(d1_bx)+(bx_phi/2)*0.500000,NA())</f>
        <v/>
      </c>
      <c r="AB4">
        <f>IF(inputs_ok,IF(3&lt;bx_nb,(d1_bx+3*(bx_b-2*d1_bx)/(bx_nb-1))+(bx_phi/2)*0.866025,NA()),NA())</f>
        <v/>
      </c>
      <c r="AC4">
        <f>IF(3&lt;bx_nb,(bx_h-d1_bx)+(bx_phi/2)*0.500000,NA())</f>
        <v/>
      </c>
      <c r="AE4">
        <f>IF(inputs_ok,IF(3&lt;bx_nb,(d1_bx+3*(bx_b-2*d1_bx)/(bx_nb-1))+(bx_phi/2)*0.866025,NA()),NA())</f>
        <v/>
      </c>
      <c r="AF4">
        <f>IF(3&lt;bx_nb,(d1_bx)+(bx_phi/2)*0.500000,NA())</f>
        <v/>
      </c>
      <c r="AH4">
        <f>IF(inputs_ok,IF(4&lt;bx_nb,(d1_bx+4*(bx_b-2*d1_bx)/(bx_nb-1))+(bx_phi/2)*0.866025,NA()),NA())</f>
        <v/>
      </c>
      <c r="AI4">
        <f>IF(4&lt;bx_nb,(bx_h-d1_bx)+(bx_phi/2)*0.500000,NA())</f>
        <v/>
      </c>
      <c r="AK4">
        <f>IF(inputs_ok,IF(4&lt;bx_nb,(d1_bx+4*(bx_b-2*d1_bx)/(bx_nb-1))+(bx_phi/2)*0.866025,NA()),NA())</f>
        <v/>
      </c>
      <c r="AL4">
        <f>IF(4&lt;bx_nb,(d1_bx)+(bx_phi/2)*0.500000,NA())</f>
        <v/>
      </c>
      <c r="AN4">
        <f>IF(inputs_ok,IF(5&lt;bx_nb,(d1_bx+5*(bx_b-2*d1_bx)/(bx_nb-1))+(bx_phi/2)*0.866025,NA()),NA())</f>
        <v/>
      </c>
      <c r="AO4">
        <f>IF(5&lt;bx_nb,(bx_h-d1_bx)+(bx_phi/2)*0.500000,NA())</f>
        <v/>
      </c>
      <c r="AQ4">
        <f>IF(inputs_ok,IF(5&lt;bx_nb,(d1_bx+5*(bx_b-2*d1_bx)/(bx_nb-1))+(bx_phi/2)*0.866025,NA()),NA())</f>
        <v/>
      </c>
      <c r="AR4">
        <f>IF(5&lt;bx_nb,(d1_bx)+(bx_phi/2)*0.500000,NA())</f>
        <v/>
      </c>
      <c r="AT4">
        <f>IF(inputs_ok,IF(6&lt;bx_nb,(d1_bx+6*(bx_b-2*d1_bx)/(bx_nb-1))+(bx_phi/2)*0.866025,NA()),NA())</f>
        <v/>
      </c>
      <c r="AU4">
        <f>IF(6&lt;bx_nb,(bx_h-d1_bx)+(bx_phi/2)*0.500000,NA())</f>
        <v/>
      </c>
      <c r="AW4">
        <f>IF(inputs_ok,IF(6&lt;bx_nb,(d1_bx+6*(bx_b-2*d1_bx)/(bx_nb-1))+(bx_phi/2)*0.866025,NA()),NA())</f>
        <v/>
      </c>
      <c r="AX4">
        <f>IF(6&lt;bx_nb,(d1_bx)+(bx_phi/2)*0.500000,NA())</f>
        <v/>
      </c>
      <c r="AZ4">
        <f>IF(inputs_ok,IF(7&lt;bx_nb,(d1_bx+7*(bx_b-2*d1_bx)/(bx_nb-1))+(bx_phi/2)*0.866025,NA()),NA())</f>
        <v/>
      </c>
      <c r="BA4">
        <f>IF(7&lt;bx_nb,(bx_h-d1_bx)+(bx_phi/2)*0.500000,NA())</f>
        <v/>
      </c>
      <c r="BC4">
        <f>IF(inputs_ok,IF(7&lt;bx_nb,(d1_bx+7*(bx_b-2*d1_bx)/(bx_nb-1))+(bx_phi/2)*0.866025,NA()),NA())</f>
        <v/>
      </c>
      <c r="BD4">
        <f>IF(7&lt;bx_nb,(d1_bx)+(bx_phi/2)*0.500000,NA())</f>
        <v/>
      </c>
      <c r="BF4">
        <f>IF(inputs_ok,IF(8&lt;bx_nb,(d1_bx+8*(bx_b-2*d1_bx)/(bx_nb-1))+(bx_phi/2)*0.866025,NA()),NA())</f>
        <v/>
      </c>
      <c r="BG4">
        <f>IF(8&lt;bx_nb,(bx_h-d1_bx)+(bx_phi/2)*0.500000,NA())</f>
        <v/>
      </c>
      <c r="BI4">
        <f>IF(inputs_ok,IF(8&lt;bx_nb,(d1_bx+8*(bx_b-2*d1_bx)/(bx_nb-1))+(bx_phi/2)*0.866025,NA()),NA())</f>
        <v/>
      </c>
      <c r="BJ4">
        <f>IF(8&lt;bx_nb,(d1_bx)+(bx_phi/2)*0.500000,NA())</f>
        <v/>
      </c>
      <c r="BL4">
        <f>IF(inputs_ok,IF(9&lt;bx_nb,(d1_bx+9*(bx_b-2*d1_bx)/(bx_nb-1))+(bx_phi/2)*0.866025,NA()),NA())</f>
        <v/>
      </c>
      <c r="BM4">
        <f>IF(9&lt;bx_nb,(bx_h-d1_bx)+(bx_phi/2)*0.500000,NA())</f>
        <v/>
      </c>
      <c r="BO4">
        <f>IF(inputs_ok,IF(9&lt;bx_nb,(d1_bx+9*(bx_b-2*d1_bx)/(bx_nb-1))+(bx_phi/2)*0.866025,NA()),NA())</f>
        <v/>
      </c>
      <c r="BP4">
        <f>IF(9&lt;bx_nb,(d1_bx)+(bx_phi/2)*0.500000,NA())</f>
        <v/>
      </c>
      <c r="BR4">
        <f>IF(inputs_ok,IF(1&lt;bx_nh-1,(d1_bx)+(bx_phi/2)*0.866025,NA()),NA())</f>
        <v/>
      </c>
      <c r="BS4">
        <f>IF(1&lt;bx_nh-1,(d1_bx+1*(bx_h-2*d1_bx)/(bx_nh-1))+(bx_phi/2)*0.500000,NA())</f>
        <v/>
      </c>
      <c r="BU4">
        <f>IF(inputs_ok,IF(1&lt;bx_nh-1,(bx_b-d1_bx)+(bx_phi/2)*0.866025,NA()),NA())</f>
        <v/>
      </c>
      <c r="BV4">
        <f>IF(1&lt;bx_nh-1,(d1_bx+1*(bx_h-2*d1_bx)/(bx_nh-1))+(bx_phi/2)*0.500000,NA())</f>
        <v/>
      </c>
      <c r="BX4">
        <f>IF(inputs_ok,IF(2&lt;bx_nh-1,(d1_bx)+(bx_phi/2)*0.866025,NA()),NA())</f>
        <v/>
      </c>
      <c r="BY4">
        <f>IF(2&lt;bx_nh-1,(d1_bx+2*(bx_h-2*d1_bx)/(bx_nh-1))+(bx_phi/2)*0.500000,NA())</f>
        <v/>
      </c>
      <c r="CA4">
        <f>IF(inputs_ok,IF(2&lt;bx_nh-1,(bx_b-d1_bx)+(bx_phi/2)*0.866025,NA()),NA())</f>
        <v/>
      </c>
      <c r="CB4">
        <f>IF(2&lt;bx_nh-1,(d1_bx+2*(bx_h-2*d1_bx)/(bx_nh-1))+(bx_phi/2)*0.500000,NA())</f>
        <v/>
      </c>
      <c r="CD4">
        <f>IF(inputs_ok,IF(3&lt;bx_nh-1,(d1_bx)+(bx_phi/2)*0.866025,NA()),NA())</f>
        <v/>
      </c>
      <c r="CE4">
        <f>IF(3&lt;bx_nh-1,(d1_bx+3*(bx_h-2*d1_bx)/(bx_nh-1))+(bx_phi/2)*0.500000,NA())</f>
        <v/>
      </c>
      <c r="CG4">
        <f>IF(inputs_ok,IF(3&lt;bx_nh-1,(bx_b-d1_bx)+(bx_phi/2)*0.866025,NA()),NA())</f>
        <v/>
      </c>
      <c r="CH4">
        <f>IF(3&lt;bx_nh-1,(d1_bx+3*(bx_h-2*d1_bx)/(bx_nh-1))+(bx_phi/2)*0.500000,NA())</f>
        <v/>
      </c>
      <c r="CJ4">
        <f>IF(inputs_ok,IF(4&lt;bx_nh-1,(d1_bx)+(bx_phi/2)*0.866025,NA()),NA())</f>
        <v/>
      </c>
      <c r="CK4">
        <f>IF(4&lt;bx_nh-1,(d1_bx+4*(bx_h-2*d1_bx)/(bx_nh-1))+(bx_phi/2)*0.500000,NA())</f>
        <v/>
      </c>
      <c r="CM4">
        <f>IF(inputs_ok,IF(4&lt;bx_nh-1,(bx_b-d1_bx)+(bx_phi/2)*0.866025,NA()),NA())</f>
        <v/>
      </c>
      <c r="CN4">
        <f>IF(4&lt;bx_nh-1,(d1_bx+4*(bx_h-2*d1_bx)/(bx_nh-1))+(bx_phi/2)*0.500000,NA())</f>
        <v/>
      </c>
      <c r="CP4">
        <f>IF(inputs_ok,IF(5&lt;bx_nh-1,(d1_bx)+(bx_phi/2)*0.866025,NA()),NA())</f>
        <v/>
      </c>
      <c r="CQ4">
        <f>IF(5&lt;bx_nh-1,(d1_bx+5*(bx_h-2*d1_bx)/(bx_nh-1))+(bx_phi/2)*0.500000,NA())</f>
        <v/>
      </c>
      <c r="CS4">
        <f>IF(inputs_ok,IF(5&lt;bx_nh-1,(bx_b-d1_bx)+(bx_phi/2)*0.866025,NA()),NA())</f>
        <v/>
      </c>
      <c r="CT4">
        <f>IF(5&lt;bx_nh-1,(d1_bx+5*(bx_h-2*d1_bx)/(bx_nh-1))+(bx_phi/2)*0.500000,NA())</f>
        <v/>
      </c>
      <c r="CV4">
        <f>IF(inputs_ok,IF(6&lt;bx_nh-1,(d1_bx)+(bx_phi/2)*0.866025,NA()),NA())</f>
        <v/>
      </c>
      <c r="CW4">
        <f>IF(6&lt;bx_nh-1,(d1_bx+6*(bx_h-2*d1_bx)/(bx_nh-1))+(bx_phi/2)*0.500000,NA())</f>
        <v/>
      </c>
      <c r="CY4">
        <f>IF(inputs_ok,IF(6&lt;bx_nh-1,(bx_b-d1_bx)+(bx_phi/2)*0.866025,NA()),NA())</f>
        <v/>
      </c>
      <c r="CZ4">
        <f>IF(6&lt;bx_nh-1,(d1_bx+6*(bx_h-2*d1_bx)/(bx_nh-1))+(bx_phi/2)*0.500000,NA())</f>
        <v/>
      </c>
      <c r="DB4">
        <f>IF(inputs_ok,IF(7&lt;bx_nh-1,(d1_bx)+(bx_phi/2)*0.866025,NA()),NA())</f>
        <v/>
      </c>
      <c r="DC4">
        <f>IF(7&lt;bx_nh-1,(d1_bx+7*(bx_h-2*d1_bx)/(bx_nh-1))+(bx_phi/2)*0.500000,NA())</f>
        <v/>
      </c>
      <c r="DE4">
        <f>IF(inputs_ok,IF(7&lt;bx_nh-1,(bx_b-d1_bx)+(bx_phi/2)*0.866025,NA()),NA())</f>
        <v/>
      </c>
      <c r="DF4">
        <f>IF(7&lt;bx_nh-1,(d1_bx+7*(bx_h-2*d1_bx)/(bx_nh-1))+(bx_phi/2)*0.500000,NA())</f>
        <v/>
      </c>
      <c r="DH4">
        <f>IF(inputs_ok,IF(8&lt;bx_nh-1,(d1_bx)+(bx_phi/2)*0.866025,NA()),NA())</f>
        <v/>
      </c>
      <c r="DI4">
        <f>IF(8&lt;bx_nh-1,(d1_bx+8*(bx_h-2*d1_bx)/(bx_nh-1))+(bx_phi/2)*0.500000,NA())</f>
        <v/>
      </c>
      <c r="DK4">
        <f>IF(inputs_ok,IF(8&lt;bx_nh-1,(bx_b-d1_bx)+(bx_phi/2)*0.866025,NA()),NA())</f>
        <v/>
      </c>
      <c r="DL4">
        <f>IF(8&lt;bx_nh-1,(d1_bx+8*(bx_h-2*d1_bx)/(bx_nh-1))+(bx_phi/2)*0.500000,NA())</f>
        <v/>
      </c>
      <c r="DN4">
        <f>IF(inputs_ok,bx_b/2+MAX(-(0.5*bx_b+0.08*MAX(bx_b,bx_h)),MIN((0.5*bx_b+0.08*MAX(bx_b,bx_h)),ey_bx)),NA())</f>
        <v/>
      </c>
      <c r="DO4">
        <f>bx_h/2+MAX(-(0.5*bx_h+0.08*MAX(bx_b,bx_h)),MIN((0.5*bx_h+0.08*MAX(bx_b,bx_h)),ez_bx))</f>
        <v/>
      </c>
      <c r="DT4">
        <f>IF(inputs_ok,IF(TRUE,bx_b,NA()),NA())</f>
        <v/>
      </c>
      <c r="DU4">
        <f>IF(TRUE,-0.08*MAX(bx_b,bx_h),NA())</f>
        <v/>
      </c>
      <c r="DZ4">
        <f>IF(inputs_ok,IF(TRUE,-0.08*MAX(bx_b,bx_h),NA()),NA())</f>
        <v/>
      </c>
      <c r="EA4">
        <f>IF(TRUE,bx_h,NA())</f>
        <v/>
      </c>
      <c r="EL4">
        <f>((-2*0.08*MAX(bx_b,bx_h))+(bx_b+7*0.08*MAX(bx_b,bx_h)))/2+MAX((bx_h+1.2*0.08*MAX(bx_b,bx_h))-(-2*0.08*MAX(bx_b,bx_h)),((bx_b+7*0.08*MAX(bx_b,bx_h))-(-2*0.08*MAX(bx_b,bx_h)))/1.55)*0.58*1.55</f>
        <v/>
      </c>
      <c r="EM4">
        <f>((-2*0.08*MAX(bx_b,bx_h))+(bx_h+1.2*0.08*MAX(bx_b,bx_h)))/2+MAX((bx_h+1.2*0.08*MAX(bx_b,bx_h))-(-2*0.08*MAX(bx_b,bx_h)),((bx_b+7*0.08*MAX(bx_b,bx_h))-(-2*0.08*MAX(bx_b,bx_h)))/1.55)*0.58</f>
        <v/>
      </c>
      <c r="ER4">
        <f>IF(inputs_ok,0,NA())</f>
        <v/>
      </c>
      <c r="ES4">
        <f>1.25</f>
        <v/>
      </c>
      <c r="EU4">
        <f>IF(inputs_ok,1.25,NA())</f>
        <v/>
      </c>
      <c r="EV4">
        <f>0</f>
        <v/>
      </c>
      <c r="EX4">
        <f>IF(inputs_ok,((0.999229036)^a_bx+(0.039259816)^a_bx)^(-1/a_bx)*0.999229036,NA())</f>
        <v/>
      </c>
      <c r="EY4">
        <f>((0.999229036)^a_bx+(0.039259816)^a_bx)^(-1/a_bx)*0.039259816</f>
        <v/>
      </c>
      <c r="FD4">
        <f>IF(inputs_ok,IF(res_bx,ABS(bx_Mz)/MRdb_bx,NA()),NA())</f>
        <v/>
      </c>
      <c r="FE4">
        <f>IF(res_bx,ABS(bx_My)/MRdh_bx,NA())</f>
        <v/>
      </c>
      <c r="FS4">
        <f>((-0.15)+(1.6))/2+MAX((1.3)-(-0.1),((1.6)-(-0.15))/1.55)*0.52*1.55</f>
        <v/>
      </c>
      <c r="FT4">
        <f>((-0.1)+(1.3))/2+MAX((1.3)-(-0.1),((1.6)-(-0.15))/1.55)*0.52</f>
        <v/>
      </c>
    </row>
    <row r="5">
      <c r="D5">
        <f>IF(inputs_ok,bx_b,NA())</f>
        <v/>
      </c>
      <c r="E5">
        <f>bx_h</f>
        <v/>
      </c>
      <c r="G5">
        <f>IF(inputs_ok,bx_b-(bx_c+bx_phiw/2),NA())</f>
        <v/>
      </c>
      <c r="H5">
        <f>bx_h-(bx_c+bx_phiw/2)</f>
        <v/>
      </c>
      <c r="J5">
        <f>IF(inputs_ok,IF(0&lt;bx_nb,(d1_bx+0*(bx_b-2*d1_bx)/(bx_nb-1))+(bx_phi/2)*0.500000,NA()),NA())</f>
        <v/>
      </c>
      <c r="K5">
        <f>IF(0&lt;bx_nb,(bx_h-d1_bx)+(bx_phi/2)*0.866025,NA())</f>
        <v/>
      </c>
      <c r="M5">
        <f>IF(inputs_ok,IF(0&lt;bx_nb,(d1_bx+0*(bx_b-2*d1_bx)/(bx_nb-1))+(bx_phi/2)*0.500000,NA()),NA())</f>
        <v/>
      </c>
      <c r="N5">
        <f>IF(0&lt;bx_nb,(d1_bx)+(bx_phi/2)*0.866025,NA())</f>
        <v/>
      </c>
      <c r="P5">
        <f>IF(inputs_ok,IF(1&lt;bx_nb,(d1_bx+1*(bx_b-2*d1_bx)/(bx_nb-1))+(bx_phi/2)*0.500000,NA()),NA())</f>
        <v/>
      </c>
      <c r="Q5">
        <f>IF(1&lt;bx_nb,(bx_h-d1_bx)+(bx_phi/2)*0.866025,NA())</f>
        <v/>
      </c>
      <c r="S5">
        <f>IF(inputs_ok,IF(1&lt;bx_nb,(d1_bx+1*(bx_b-2*d1_bx)/(bx_nb-1))+(bx_phi/2)*0.500000,NA()),NA())</f>
        <v/>
      </c>
      <c r="T5">
        <f>IF(1&lt;bx_nb,(d1_bx)+(bx_phi/2)*0.866025,NA())</f>
        <v/>
      </c>
      <c r="V5">
        <f>IF(inputs_ok,IF(2&lt;bx_nb,(d1_bx+2*(bx_b-2*d1_bx)/(bx_nb-1))+(bx_phi/2)*0.500000,NA()),NA())</f>
        <v/>
      </c>
      <c r="W5">
        <f>IF(2&lt;bx_nb,(bx_h-d1_bx)+(bx_phi/2)*0.866025,NA())</f>
        <v/>
      </c>
      <c r="Y5">
        <f>IF(inputs_ok,IF(2&lt;bx_nb,(d1_bx+2*(bx_b-2*d1_bx)/(bx_nb-1))+(bx_phi/2)*0.500000,NA()),NA())</f>
        <v/>
      </c>
      <c r="Z5">
        <f>IF(2&lt;bx_nb,(d1_bx)+(bx_phi/2)*0.866025,NA())</f>
        <v/>
      </c>
      <c r="AB5">
        <f>IF(inputs_ok,IF(3&lt;bx_nb,(d1_bx+3*(bx_b-2*d1_bx)/(bx_nb-1))+(bx_phi/2)*0.500000,NA()),NA())</f>
        <v/>
      </c>
      <c r="AC5">
        <f>IF(3&lt;bx_nb,(bx_h-d1_bx)+(bx_phi/2)*0.866025,NA())</f>
        <v/>
      </c>
      <c r="AE5">
        <f>IF(inputs_ok,IF(3&lt;bx_nb,(d1_bx+3*(bx_b-2*d1_bx)/(bx_nb-1))+(bx_phi/2)*0.500000,NA()),NA())</f>
        <v/>
      </c>
      <c r="AF5">
        <f>IF(3&lt;bx_nb,(d1_bx)+(bx_phi/2)*0.866025,NA())</f>
        <v/>
      </c>
      <c r="AH5">
        <f>IF(inputs_ok,IF(4&lt;bx_nb,(d1_bx+4*(bx_b-2*d1_bx)/(bx_nb-1))+(bx_phi/2)*0.500000,NA()),NA())</f>
        <v/>
      </c>
      <c r="AI5">
        <f>IF(4&lt;bx_nb,(bx_h-d1_bx)+(bx_phi/2)*0.866025,NA())</f>
        <v/>
      </c>
      <c r="AK5">
        <f>IF(inputs_ok,IF(4&lt;bx_nb,(d1_bx+4*(bx_b-2*d1_bx)/(bx_nb-1))+(bx_phi/2)*0.500000,NA()),NA())</f>
        <v/>
      </c>
      <c r="AL5">
        <f>IF(4&lt;bx_nb,(d1_bx)+(bx_phi/2)*0.866025,NA())</f>
        <v/>
      </c>
      <c r="AN5">
        <f>IF(inputs_ok,IF(5&lt;bx_nb,(d1_bx+5*(bx_b-2*d1_bx)/(bx_nb-1))+(bx_phi/2)*0.500000,NA()),NA())</f>
        <v/>
      </c>
      <c r="AO5">
        <f>IF(5&lt;bx_nb,(bx_h-d1_bx)+(bx_phi/2)*0.866025,NA())</f>
        <v/>
      </c>
      <c r="AQ5">
        <f>IF(inputs_ok,IF(5&lt;bx_nb,(d1_bx+5*(bx_b-2*d1_bx)/(bx_nb-1))+(bx_phi/2)*0.500000,NA()),NA())</f>
        <v/>
      </c>
      <c r="AR5">
        <f>IF(5&lt;bx_nb,(d1_bx)+(bx_phi/2)*0.866025,NA())</f>
        <v/>
      </c>
      <c r="AT5">
        <f>IF(inputs_ok,IF(6&lt;bx_nb,(d1_bx+6*(bx_b-2*d1_bx)/(bx_nb-1))+(bx_phi/2)*0.500000,NA()),NA())</f>
        <v/>
      </c>
      <c r="AU5">
        <f>IF(6&lt;bx_nb,(bx_h-d1_bx)+(bx_phi/2)*0.866025,NA())</f>
        <v/>
      </c>
      <c r="AW5">
        <f>IF(inputs_ok,IF(6&lt;bx_nb,(d1_bx+6*(bx_b-2*d1_bx)/(bx_nb-1))+(bx_phi/2)*0.500000,NA()),NA())</f>
        <v/>
      </c>
      <c r="AX5">
        <f>IF(6&lt;bx_nb,(d1_bx)+(bx_phi/2)*0.866025,NA())</f>
        <v/>
      </c>
      <c r="AZ5">
        <f>IF(inputs_ok,IF(7&lt;bx_nb,(d1_bx+7*(bx_b-2*d1_bx)/(bx_nb-1))+(bx_phi/2)*0.500000,NA()),NA())</f>
        <v/>
      </c>
      <c r="BA5">
        <f>IF(7&lt;bx_nb,(bx_h-d1_bx)+(bx_phi/2)*0.866025,NA())</f>
        <v/>
      </c>
      <c r="BC5">
        <f>IF(inputs_ok,IF(7&lt;bx_nb,(d1_bx+7*(bx_b-2*d1_bx)/(bx_nb-1))+(bx_phi/2)*0.500000,NA()),NA())</f>
        <v/>
      </c>
      <c r="BD5">
        <f>IF(7&lt;bx_nb,(d1_bx)+(bx_phi/2)*0.866025,NA())</f>
        <v/>
      </c>
      <c r="BF5">
        <f>IF(inputs_ok,IF(8&lt;bx_nb,(d1_bx+8*(bx_b-2*d1_bx)/(bx_nb-1))+(bx_phi/2)*0.500000,NA()),NA())</f>
        <v/>
      </c>
      <c r="BG5">
        <f>IF(8&lt;bx_nb,(bx_h-d1_bx)+(bx_phi/2)*0.866025,NA())</f>
        <v/>
      </c>
      <c r="BI5">
        <f>IF(inputs_ok,IF(8&lt;bx_nb,(d1_bx+8*(bx_b-2*d1_bx)/(bx_nb-1))+(bx_phi/2)*0.500000,NA()),NA())</f>
        <v/>
      </c>
      <c r="BJ5">
        <f>IF(8&lt;bx_nb,(d1_bx)+(bx_phi/2)*0.866025,NA())</f>
        <v/>
      </c>
      <c r="BL5">
        <f>IF(inputs_ok,IF(9&lt;bx_nb,(d1_bx+9*(bx_b-2*d1_bx)/(bx_nb-1))+(bx_phi/2)*0.500000,NA()),NA())</f>
        <v/>
      </c>
      <c r="BM5">
        <f>IF(9&lt;bx_nb,(bx_h-d1_bx)+(bx_phi/2)*0.866025,NA())</f>
        <v/>
      </c>
      <c r="BO5">
        <f>IF(inputs_ok,IF(9&lt;bx_nb,(d1_bx+9*(bx_b-2*d1_bx)/(bx_nb-1))+(bx_phi/2)*0.500000,NA()),NA())</f>
        <v/>
      </c>
      <c r="BP5">
        <f>IF(9&lt;bx_nb,(d1_bx)+(bx_phi/2)*0.866025,NA())</f>
        <v/>
      </c>
      <c r="BR5">
        <f>IF(inputs_ok,IF(1&lt;bx_nh-1,(d1_bx)+(bx_phi/2)*0.500000,NA()),NA())</f>
        <v/>
      </c>
      <c r="BS5">
        <f>IF(1&lt;bx_nh-1,(d1_bx+1*(bx_h-2*d1_bx)/(bx_nh-1))+(bx_phi/2)*0.866025,NA())</f>
        <v/>
      </c>
      <c r="BU5">
        <f>IF(inputs_ok,IF(1&lt;bx_nh-1,(bx_b-d1_bx)+(bx_phi/2)*0.500000,NA()),NA())</f>
        <v/>
      </c>
      <c r="BV5">
        <f>IF(1&lt;bx_nh-1,(d1_bx+1*(bx_h-2*d1_bx)/(bx_nh-1))+(bx_phi/2)*0.866025,NA())</f>
        <v/>
      </c>
      <c r="BX5">
        <f>IF(inputs_ok,IF(2&lt;bx_nh-1,(d1_bx)+(bx_phi/2)*0.500000,NA()),NA())</f>
        <v/>
      </c>
      <c r="BY5">
        <f>IF(2&lt;bx_nh-1,(d1_bx+2*(bx_h-2*d1_bx)/(bx_nh-1))+(bx_phi/2)*0.866025,NA())</f>
        <v/>
      </c>
      <c r="CA5">
        <f>IF(inputs_ok,IF(2&lt;bx_nh-1,(bx_b-d1_bx)+(bx_phi/2)*0.500000,NA()),NA())</f>
        <v/>
      </c>
      <c r="CB5">
        <f>IF(2&lt;bx_nh-1,(d1_bx+2*(bx_h-2*d1_bx)/(bx_nh-1))+(bx_phi/2)*0.866025,NA())</f>
        <v/>
      </c>
      <c r="CD5">
        <f>IF(inputs_ok,IF(3&lt;bx_nh-1,(d1_bx)+(bx_phi/2)*0.500000,NA()),NA())</f>
        <v/>
      </c>
      <c r="CE5">
        <f>IF(3&lt;bx_nh-1,(d1_bx+3*(bx_h-2*d1_bx)/(bx_nh-1))+(bx_phi/2)*0.866025,NA())</f>
        <v/>
      </c>
      <c r="CG5">
        <f>IF(inputs_ok,IF(3&lt;bx_nh-1,(bx_b-d1_bx)+(bx_phi/2)*0.500000,NA()),NA())</f>
        <v/>
      </c>
      <c r="CH5">
        <f>IF(3&lt;bx_nh-1,(d1_bx+3*(bx_h-2*d1_bx)/(bx_nh-1))+(bx_phi/2)*0.866025,NA())</f>
        <v/>
      </c>
      <c r="CJ5">
        <f>IF(inputs_ok,IF(4&lt;bx_nh-1,(d1_bx)+(bx_phi/2)*0.500000,NA()),NA())</f>
        <v/>
      </c>
      <c r="CK5">
        <f>IF(4&lt;bx_nh-1,(d1_bx+4*(bx_h-2*d1_bx)/(bx_nh-1))+(bx_phi/2)*0.866025,NA())</f>
        <v/>
      </c>
      <c r="CM5">
        <f>IF(inputs_ok,IF(4&lt;bx_nh-1,(bx_b-d1_bx)+(bx_phi/2)*0.500000,NA()),NA())</f>
        <v/>
      </c>
      <c r="CN5">
        <f>IF(4&lt;bx_nh-1,(d1_bx+4*(bx_h-2*d1_bx)/(bx_nh-1))+(bx_phi/2)*0.866025,NA())</f>
        <v/>
      </c>
      <c r="CP5">
        <f>IF(inputs_ok,IF(5&lt;bx_nh-1,(d1_bx)+(bx_phi/2)*0.500000,NA()),NA())</f>
        <v/>
      </c>
      <c r="CQ5">
        <f>IF(5&lt;bx_nh-1,(d1_bx+5*(bx_h-2*d1_bx)/(bx_nh-1))+(bx_phi/2)*0.866025,NA())</f>
        <v/>
      </c>
      <c r="CS5">
        <f>IF(inputs_ok,IF(5&lt;bx_nh-1,(bx_b-d1_bx)+(bx_phi/2)*0.500000,NA()),NA())</f>
        <v/>
      </c>
      <c r="CT5">
        <f>IF(5&lt;bx_nh-1,(d1_bx+5*(bx_h-2*d1_bx)/(bx_nh-1))+(bx_phi/2)*0.866025,NA())</f>
        <v/>
      </c>
      <c r="CV5">
        <f>IF(inputs_ok,IF(6&lt;bx_nh-1,(d1_bx)+(bx_phi/2)*0.500000,NA()),NA())</f>
        <v/>
      </c>
      <c r="CW5">
        <f>IF(6&lt;bx_nh-1,(d1_bx+6*(bx_h-2*d1_bx)/(bx_nh-1))+(bx_phi/2)*0.866025,NA())</f>
        <v/>
      </c>
      <c r="CY5">
        <f>IF(inputs_ok,IF(6&lt;bx_nh-1,(bx_b-d1_bx)+(bx_phi/2)*0.500000,NA()),NA())</f>
        <v/>
      </c>
      <c r="CZ5">
        <f>IF(6&lt;bx_nh-1,(d1_bx+6*(bx_h-2*d1_bx)/(bx_nh-1))+(bx_phi/2)*0.866025,NA())</f>
        <v/>
      </c>
      <c r="DB5">
        <f>IF(inputs_ok,IF(7&lt;bx_nh-1,(d1_bx)+(bx_phi/2)*0.500000,NA()),NA())</f>
        <v/>
      </c>
      <c r="DC5">
        <f>IF(7&lt;bx_nh-1,(d1_bx+7*(bx_h-2*d1_bx)/(bx_nh-1))+(bx_phi/2)*0.866025,NA())</f>
        <v/>
      </c>
      <c r="DE5">
        <f>IF(inputs_ok,IF(7&lt;bx_nh-1,(bx_b-d1_bx)+(bx_phi/2)*0.500000,NA()),NA())</f>
        <v/>
      </c>
      <c r="DF5">
        <f>IF(7&lt;bx_nh-1,(d1_bx+7*(bx_h-2*d1_bx)/(bx_nh-1))+(bx_phi/2)*0.866025,NA())</f>
        <v/>
      </c>
      <c r="DH5">
        <f>IF(inputs_ok,IF(8&lt;bx_nh-1,(d1_bx)+(bx_phi/2)*0.500000,NA()),NA())</f>
        <v/>
      </c>
      <c r="DI5">
        <f>IF(8&lt;bx_nh-1,(d1_bx+8*(bx_h-2*d1_bx)/(bx_nh-1))+(bx_phi/2)*0.866025,NA())</f>
        <v/>
      </c>
      <c r="DK5">
        <f>IF(inputs_ok,IF(8&lt;bx_nh-1,(bx_b-d1_bx)+(bx_phi/2)*0.500000,NA()),NA())</f>
        <v/>
      </c>
      <c r="DL5">
        <f>IF(8&lt;bx_nh-1,(d1_bx+8*(bx_h-2*d1_bx)/(bx_nh-1))+(bx_phi/2)*0.866025,NA())</f>
        <v/>
      </c>
      <c r="EX5">
        <f>IF(inputs_ok,((0.996917334)^a_bx+(0.078459096)^a_bx)^(-1/a_bx)*0.996917334,NA())</f>
        <v/>
      </c>
      <c r="EY5">
        <f>((0.996917334)^a_bx+(0.078459096)^a_bx)^(-1/a_bx)*0.078459096</f>
        <v/>
      </c>
    </row>
    <row r="6">
      <c r="D6">
        <f>IF(inputs_ok,0,NA())</f>
        <v/>
      </c>
      <c r="E6">
        <f>bx_h</f>
        <v/>
      </c>
      <c r="G6">
        <f>IF(inputs_ok,(bx_c+bx_phiw/2),NA())</f>
        <v/>
      </c>
      <c r="H6">
        <f>bx_h-(bx_c+bx_phiw/2)</f>
        <v/>
      </c>
      <c r="J6">
        <f>IF(inputs_ok,IF(0&lt;bx_nb,(d1_bx+0*(bx_b-2*d1_bx)/(bx_nb-1))+(bx_phi/2)*0.000000,NA()),NA())</f>
        <v/>
      </c>
      <c r="K6">
        <f>IF(0&lt;bx_nb,(bx_h-d1_bx)+(bx_phi/2)*1.000000,NA())</f>
        <v/>
      </c>
      <c r="M6">
        <f>IF(inputs_ok,IF(0&lt;bx_nb,(d1_bx+0*(bx_b-2*d1_bx)/(bx_nb-1))+(bx_phi/2)*0.000000,NA()),NA())</f>
        <v/>
      </c>
      <c r="N6">
        <f>IF(0&lt;bx_nb,(d1_bx)+(bx_phi/2)*1.000000,NA())</f>
        <v/>
      </c>
      <c r="P6">
        <f>IF(inputs_ok,IF(1&lt;bx_nb,(d1_bx+1*(bx_b-2*d1_bx)/(bx_nb-1))+(bx_phi/2)*0.000000,NA()),NA())</f>
        <v/>
      </c>
      <c r="Q6">
        <f>IF(1&lt;bx_nb,(bx_h-d1_bx)+(bx_phi/2)*1.000000,NA())</f>
        <v/>
      </c>
      <c r="S6">
        <f>IF(inputs_ok,IF(1&lt;bx_nb,(d1_bx+1*(bx_b-2*d1_bx)/(bx_nb-1))+(bx_phi/2)*0.000000,NA()),NA())</f>
        <v/>
      </c>
      <c r="T6">
        <f>IF(1&lt;bx_nb,(d1_bx)+(bx_phi/2)*1.000000,NA())</f>
        <v/>
      </c>
      <c r="V6">
        <f>IF(inputs_ok,IF(2&lt;bx_nb,(d1_bx+2*(bx_b-2*d1_bx)/(bx_nb-1))+(bx_phi/2)*0.000000,NA()),NA())</f>
        <v/>
      </c>
      <c r="W6">
        <f>IF(2&lt;bx_nb,(bx_h-d1_bx)+(bx_phi/2)*1.000000,NA())</f>
        <v/>
      </c>
      <c r="Y6">
        <f>IF(inputs_ok,IF(2&lt;bx_nb,(d1_bx+2*(bx_b-2*d1_bx)/(bx_nb-1))+(bx_phi/2)*0.000000,NA()),NA())</f>
        <v/>
      </c>
      <c r="Z6">
        <f>IF(2&lt;bx_nb,(d1_bx)+(bx_phi/2)*1.000000,NA())</f>
        <v/>
      </c>
      <c r="AB6">
        <f>IF(inputs_ok,IF(3&lt;bx_nb,(d1_bx+3*(bx_b-2*d1_bx)/(bx_nb-1))+(bx_phi/2)*0.000000,NA()),NA())</f>
        <v/>
      </c>
      <c r="AC6">
        <f>IF(3&lt;bx_nb,(bx_h-d1_bx)+(bx_phi/2)*1.000000,NA())</f>
        <v/>
      </c>
      <c r="AE6">
        <f>IF(inputs_ok,IF(3&lt;bx_nb,(d1_bx+3*(bx_b-2*d1_bx)/(bx_nb-1))+(bx_phi/2)*0.000000,NA()),NA())</f>
        <v/>
      </c>
      <c r="AF6">
        <f>IF(3&lt;bx_nb,(d1_bx)+(bx_phi/2)*1.000000,NA())</f>
        <v/>
      </c>
      <c r="AH6">
        <f>IF(inputs_ok,IF(4&lt;bx_nb,(d1_bx+4*(bx_b-2*d1_bx)/(bx_nb-1))+(bx_phi/2)*0.000000,NA()),NA())</f>
        <v/>
      </c>
      <c r="AI6">
        <f>IF(4&lt;bx_nb,(bx_h-d1_bx)+(bx_phi/2)*1.000000,NA())</f>
        <v/>
      </c>
      <c r="AK6">
        <f>IF(inputs_ok,IF(4&lt;bx_nb,(d1_bx+4*(bx_b-2*d1_bx)/(bx_nb-1))+(bx_phi/2)*0.000000,NA()),NA())</f>
        <v/>
      </c>
      <c r="AL6">
        <f>IF(4&lt;bx_nb,(d1_bx)+(bx_phi/2)*1.000000,NA())</f>
        <v/>
      </c>
      <c r="AN6">
        <f>IF(inputs_ok,IF(5&lt;bx_nb,(d1_bx+5*(bx_b-2*d1_bx)/(bx_nb-1))+(bx_phi/2)*0.000000,NA()),NA())</f>
        <v/>
      </c>
      <c r="AO6">
        <f>IF(5&lt;bx_nb,(bx_h-d1_bx)+(bx_phi/2)*1.000000,NA())</f>
        <v/>
      </c>
      <c r="AQ6">
        <f>IF(inputs_ok,IF(5&lt;bx_nb,(d1_bx+5*(bx_b-2*d1_bx)/(bx_nb-1))+(bx_phi/2)*0.000000,NA()),NA())</f>
        <v/>
      </c>
      <c r="AR6">
        <f>IF(5&lt;bx_nb,(d1_bx)+(bx_phi/2)*1.000000,NA())</f>
        <v/>
      </c>
      <c r="AT6">
        <f>IF(inputs_ok,IF(6&lt;bx_nb,(d1_bx+6*(bx_b-2*d1_bx)/(bx_nb-1))+(bx_phi/2)*0.000000,NA()),NA())</f>
        <v/>
      </c>
      <c r="AU6">
        <f>IF(6&lt;bx_nb,(bx_h-d1_bx)+(bx_phi/2)*1.000000,NA())</f>
        <v/>
      </c>
      <c r="AW6">
        <f>IF(inputs_ok,IF(6&lt;bx_nb,(d1_bx+6*(bx_b-2*d1_bx)/(bx_nb-1))+(bx_phi/2)*0.000000,NA()),NA())</f>
        <v/>
      </c>
      <c r="AX6">
        <f>IF(6&lt;bx_nb,(d1_bx)+(bx_phi/2)*1.000000,NA())</f>
        <v/>
      </c>
      <c r="AZ6">
        <f>IF(inputs_ok,IF(7&lt;bx_nb,(d1_bx+7*(bx_b-2*d1_bx)/(bx_nb-1))+(bx_phi/2)*0.000000,NA()),NA())</f>
        <v/>
      </c>
      <c r="BA6">
        <f>IF(7&lt;bx_nb,(bx_h-d1_bx)+(bx_phi/2)*1.000000,NA())</f>
        <v/>
      </c>
      <c r="BC6">
        <f>IF(inputs_ok,IF(7&lt;bx_nb,(d1_bx+7*(bx_b-2*d1_bx)/(bx_nb-1))+(bx_phi/2)*0.000000,NA()),NA())</f>
        <v/>
      </c>
      <c r="BD6">
        <f>IF(7&lt;bx_nb,(d1_bx)+(bx_phi/2)*1.000000,NA())</f>
        <v/>
      </c>
      <c r="BF6">
        <f>IF(inputs_ok,IF(8&lt;bx_nb,(d1_bx+8*(bx_b-2*d1_bx)/(bx_nb-1))+(bx_phi/2)*0.000000,NA()),NA())</f>
        <v/>
      </c>
      <c r="BG6">
        <f>IF(8&lt;bx_nb,(bx_h-d1_bx)+(bx_phi/2)*1.000000,NA())</f>
        <v/>
      </c>
      <c r="BI6">
        <f>IF(inputs_ok,IF(8&lt;bx_nb,(d1_bx+8*(bx_b-2*d1_bx)/(bx_nb-1))+(bx_phi/2)*0.000000,NA()),NA())</f>
        <v/>
      </c>
      <c r="BJ6">
        <f>IF(8&lt;bx_nb,(d1_bx)+(bx_phi/2)*1.000000,NA())</f>
        <v/>
      </c>
      <c r="BL6">
        <f>IF(inputs_ok,IF(9&lt;bx_nb,(d1_bx+9*(bx_b-2*d1_bx)/(bx_nb-1))+(bx_phi/2)*0.000000,NA()),NA())</f>
        <v/>
      </c>
      <c r="BM6">
        <f>IF(9&lt;bx_nb,(bx_h-d1_bx)+(bx_phi/2)*1.000000,NA())</f>
        <v/>
      </c>
      <c r="BO6">
        <f>IF(inputs_ok,IF(9&lt;bx_nb,(d1_bx+9*(bx_b-2*d1_bx)/(bx_nb-1))+(bx_phi/2)*0.000000,NA()),NA())</f>
        <v/>
      </c>
      <c r="BP6">
        <f>IF(9&lt;bx_nb,(d1_bx)+(bx_phi/2)*1.000000,NA())</f>
        <v/>
      </c>
      <c r="BR6">
        <f>IF(inputs_ok,IF(1&lt;bx_nh-1,(d1_bx)+(bx_phi/2)*0.000000,NA()),NA())</f>
        <v/>
      </c>
      <c r="BS6">
        <f>IF(1&lt;bx_nh-1,(d1_bx+1*(bx_h-2*d1_bx)/(bx_nh-1))+(bx_phi/2)*1.000000,NA())</f>
        <v/>
      </c>
      <c r="BU6">
        <f>IF(inputs_ok,IF(1&lt;bx_nh-1,(bx_b-d1_bx)+(bx_phi/2)*0.000000,NA()),NA())</f>
        <v/>
      </c>
      <c r="BV6">
        <f>IF(1&lt;bx_nh-1,(d1_bx+1*(bx_h-2*d1_bx)/(bx_nh-1))+(bx_phi/2)*1.000000,NA())</f>
        <v/>
      </c>
      <c r="BX6">
        <f>IF(inputs_ok,IF(2&lt;bx_nh-1,(d1_bx)+(bx_phi/2)*0.000000,NA()),NA())</f>
        <v/>
      </c>
      <c r="BY6">
        <f>IF(2&lt;bx_nh-1,(d1_bx+2*(bx_h-2*d1_bx)/(bx_nh-1))+(bx_phi/2)*1.000000,NA())</f>
        <v/>
      </c>
      <c r="CA6">
        <f>IF(inputs_ok,IF(2&lt;bx_nh-1,(bx_b-d1_bx)+(bx_phi/2)*0.000000,NA()),NA())</f>
        <v/>
      </c>
      <c r="CB6">
        <f>IF(2&lt;bx_nh-1,(d1_bx+2*(bx_h-2*d1_bx)/(bx_nh-1))+(bx_phi/2)*1.000000,NA())</f>
        <v/>
      </c>
      <c r="CD6">
        <f>IF(inputs_ok,IF(3&lt;bx_nh-1,(d1_bx)+(bx_phi/2)*0.000000,NA()),NA())</f>
        <v/>
      </c>
      <c r="CE6">
        <f>IF(3&lt;bx_nh-1,(d1_bx+3*(bx_h-2*d1_bx)/(bx_nh-1))+(bx_phi/2)*1.000000,NA())</f>
        <v/>
      </c>
      <c r="CG6">
        <f>IF(inputs_ok,IF(3&lt;bx_nh-1,(bx_b-d1_bx)+(bx_phi/2)*0.000000,NA()),NA())</f>
        <v/>
      </c>
      <c r="CH6">
        <f>IF(3&lt;bx_nh-1,(d1_bx+3*(bx_h-2*d1_bx)/(bx_nh-1))+(bx_phi/2)*1.000000,NA())</f>
        <v/>
      </c>
      <c r="CJ6">
        <f>IF(inputs_ok,IF(4&lt;bx_nh-1,(d1_bx)+(bx_phi/2)*0.000000,NA()),NA())</f>
        <v/>
      </c>
      <c r="CK6">
        <f>IF(4&lt;bx_nh-1,(d1_bx+4*(bx_h-2*d1_bx)/(bx_nh-1))+(bx_phi/2)*1.000000,NA())</f>
        <v/>
      </c>
      <c r="CM6">
        <f>IF(inputs_ok,IF(4&lt;bx_nh-1,(bx_b-d1_bx)+(bx_phi/2)*0.000000,NA()),NA())</f>
        <v/>
      </c>
      <c r="CN6">
        <f>IF(4&lt;bx_nh-1,(d1_bx+4*(bx_h-2*d1_bx)/(bx_nh-1))+(bx_phi/2)*1.000000,NA())</f>
        <v/>
      </c>
      <c r="CP6">
        <f>IF(inputs_ok,IF(5&lt;bx_nh-1,(d1_bx)+(bx_phi/2)*0.000000,NA()),NA())</f>
        <v/>
      </c>
      <c r="CQ6">
        <f>IF(5&lt;bx_nh-1,(d1_bx+5*(bx_h-2*d1_bx)/(bx_nh-1))+(bx_phi/2)*1.000000,NA())</f>
        <v/>
      </c>
      <c r="CS6">
        <f>IF(inputs_ok,IF(5&lt;bx_nh-1,(bx_b-d1_bx)+(bx_phi/2)*0.000000,NA()),NA())</f>
        <v/>
      </c>
      <c r="CT6">
        <f>IF(5&lt;bx_nh-1,(d1_bx+5*(bx_h-2*d1_bx)/(bx_nh-1))+(bx_phi/2)*1.000000,NA())</f>
        <v/>
      </c>
      <c r="CV6">
        <f>IF(inputs_ok,IF(6&lt;bx_nh-1,(d1_bx)+(bx_phi/2)*0.000000,NA()),NA())</f>
        <v/>
      </c>
      <c r="CW6">
        <f>IF(6&lt;bx_nh-1,(d1_bx+6*(bx_h-2*d1_bx)/(bx_nh-1))+(bx_phi/2)*1.000000,NA())</f>
        <v/>
      </c>
      <c r="CY6">
        <f>IF(inputs_ok,IF(6&lt;bx_nh-1,(bx_b-d1_bx)+(bx_phi/2)*0.000000,NA()),NA())</f>
        <v/>
      </c>
      <c r="CZ6">
        <f>IF(6&lt;bx_nh-1,(d1_bx+6*(bx_h-2*d1_bx)/(bx_nh-1))+(bx_phi/2)*1.000000,NA())</f>
        <v/>
      </c>
      <c r="DB6">
        <f>IF(inputs_ok,IF(7&lt;bx_nh-1,(d1_bx)+(bx_phi/2)*0.000000,NA()),NA())</f>
        <v/>
      </c>
      <c r="DC6">
        <f>IF(7&lt;bx_nh-1,(d1_bx+7*(bx_h-2*d1_bx)/(bx_nh-1))+(bx_phi/2)*1.000000,NA())</f>
        <v/>
      </c>
      <c r="DE6">
        <f>IF(inputs_ok,IF(7&lt;bx_nh-1,(bx_b-d1_bx)+(bx_phi/2)*0.000000,NA()),NA())</f>
        <v/>
      </c>
      <c r="DF6">
        <f>IF(7&lt;bx_nh-1,(d1_bx+7*(bx_h-2*d1_bx)/(bx_nh-1))+(bx_phi/2)*1.000000,NA())</f>
        <v/>
      </c>
      <c r="DH6">
        <f>IF(inputs_ok,IF(8&lt;bx_nh-1,(d1_bx)+(bx_phi/2)*0.000000,NA()),NA())</f>
        <v/>
      </c>
      <c r="DI6">
        <f>IF(8&lt;bx_nh-1,(d1_bx+8*(bx_h-2*d1_bx)/(bx_nh-1))+(bx_phi/2)*1.000000,NA())</f>
        <v/>
      </c>
      <c r="DK6">
        <f>IF(inputs_ok,IF(8&lt;bx_nh-1,(bx_b-d1_bx)+(bx_phi/2)*0.000000,NA()),NA())</f>
        <v/>
      </c>
      <c r="DL6">
        <f>IF(8&lt;bx_nh-1,(d1_bx+8*(bx_h-2*d1_bx)/(bx_nh-1))+(bx_phi/2)*1.000000,NA())</f>
        <v/>
      </c>
      <c r="EX6">
        <f>IF(inputs_ok,((0.993068457)^a_bx+(0.117537397)^a_bx)^(-1/a_bx)*0.993068457,NA())</f>
        <v/>
      </c>
      <c r="EY6">
        <f>((0.993068457)^a_bx+(0.117537397)^a_bx)^(-1/a_bx)*0.117537397</f>
        <v/>
      </c>
    </row>
    <row r="7">
      <c r="D7">
        <f>IF(inputs_ok,0,NA())</f>
        <v/>
      </c>
      <c r="E7">
        <f>0</f>
        <v/>
      </c>
      <c r="G7">
        <f>IF(inputs_ok,(bx_c+bx_phiw/2),NA())</f>
        <v/>
      </c>
      <c r="H7">
        <f>(bx_c+bx_phiw/2)</f>
        <v/>
      </c>
      <c r="J7">
        <f>IF(inputs_ok,IF(0&lt;bx_nb,(d1_bx+0*(bx_b-2*d1_bx)/(bx_nb-1))+(bx_phi/2)*-0.500000,NA()),NA())</f>
        <v/>
      </c>
      <c r="K7">
        <f>IF(0&lt;bx_nb,(bx_h-d1_bx)+(bx_phi/2)*0.866025,NA())</f>
        <v/>
      </c>
      <c r="M7">
        <f>IF(inputs_ok,IF(0&lt;bx_nb,(d1_bx+0*(bx_b-2*d1_bx)/(bx_nb-1))+(bx_phi/2)*-0.500000,NA()),NA())</f>
        <v/>
      </c>
      <c r="N7">
        <f>IF(0&lt;bx_nb,(d1_bx)+(bx_phi/2)*0.866025,NA())</f>
        <v/>
      </c>
      <c r="P7">
        <f>IF(inputs_ok,IF(1&lt;bx_nb,(d1_bx+1*(bx_b-2*d1_bx)/(bx_nb-1))+(bx_phi/2)*-0.500000,NA()),NA())</f>
        <v/>
      </c>
      <c r="Q7">
        <f>IF(1&lt;bx_nb,(bx_h-d1_bx)+(bx_phi/2)*0.866025,NA())</f>
        <v/>
      </c>
      <c r="S7">
        <f>IF(inputs_ok,IF(1&lt;bx_nb,(d1_bx+1*(bx_b-2*d1_bx)/(bx_nb-1))+(bx_phi/2)*-0.500000,NA()),NA())</f>
        <v/>
      </c>
      <c r="T7">
        <f>IF(1&lt;bx_nb,(d1_bx)+(bx_phi/2)*0.866025,NA())</f>
        <v/>
      </c>
      <c r="V7">
        <f>IF(inputs_ok,IF(2&lt;bx_nb,(d1_bx+2*(bx_b-2*d1_bx)/(bx_nb-1))+(bx_phi/2)*-0.500000,NA()),NA())</f>
        <v/>
      </c>
      <c r="W7">
        <f>IF(2&lt;bx_nb,(bx_h-d1_bx)+(bx_phi/2)*0.866025,NA())</f>
        <v/>
      </c>
      <c r="Y7">
        <f>IF(inputs_ok,IF(2&lt;bx_nb,(d1_bx+2*(bx_b-2*d1_bx)/(bx_nb-1))+(bx_phi/2)*-0.500000,NA()),NA())</f>
        <v/>
      </c>
      <c r="Z7">
        <f>IF(2&lt;bx_nb,(d1_bx)+(bx_phi/2)*0.866025,NA())</f>
        <v/>
      </c>
      <c r="AB7">
        <f>IF(inputs_ok,IF(3&lt;bx_nb,(d1_bx+3*(bx_b-2*d1_bx)/(bx_nb-1))+(bx_phi/2)*-0.500000,NA()),NA())</f>
        <v/>
      </c>
      <c r="AC7">
        <f>IF(3&lt;bx_nb,(bx_h-d1_bx)+(bx_phi/2)*0.866025,NA())</f>
        <v/>
      </c>
      <c r="AE7">
        <f>IF(inputs_ok,IF(3&lt;bx_nb,(d1_bx+3*(bx_b-2*d1_bx)/(bx_nb-1))+(bx_phi/2)*-0.500000,NA()),NA())</f>
        <v/>
      </c>
      <c r="AF7">
        <f>IF(3&lt;bx_nb,(d1_bx)+(bx_phi/2)*0.866025,NA())</f>
        <v/>
      </c>
      <c r="AH7">
        <f>IF(inputs_ok,IF(4&lt;bx_nb,(d1_bx+4*(bx_b-2*d1_bx)/(bx_nb-1))+(bx_phi/2)*-0.500000,NA()),NA())</f>
        <v/>
      </c>
      <c r="AI7">
        <f>IF(4&lt;bx_nb,(bx_h-d1_bx)+(bx_phi/2)*0.866025,NA())</f>
        <v/>
      </c>
      <c r="AK7">
        <f>IF(inputs_ok,IF(4&lt;bx_nb,(d1_bx+4*(bx_b-2*d1_bx)/(bx_nb-1))+(bx_phi/2)*-0.500000,NA()),NA())</f>
        <v/>
      </c>
      <c r="AL7">
        <f>IF(4&lt;bx_nb,(d1_bx)+(bx_phi/2)*0.866025,NA())</f>
        <v/>
      </c>
      <c r="AN7">
        <f>IF(inputs_ok,IF(5&lt;bx_nb,(d1_bx+5*(bx_b-2*d1_bx)/(bx_nb-1))+(bx_phi/2)*-0.500000,NA()),NA())</f>
        <v/>
      </c>
      <c r="AO7">
        <f>IF(5&lt;bx_nb,(bx_h-d1_bx)+(bx_phi/2)*0.866025,NA())</f>
        <v/>
      </c>
      <c r="AQ7">
        <f>IF(inputs_ok,IF(5&lt;bx_nb,(d1_bx+5*(bx_b-2*d1_bx)/(bx_nb-1))+(bx_phi/2)*-0.500000,NA()),NA())</f>
        <v/>
      </c>
      <c r="AR7">
        <f>IF(5&lt;bx_nb,(d1_bx)+(bx_phi/2)*0.866025,NA())</f>
        <v/>
      </c>
      <c r="AT7">
        <f>IF(inputs_ok,IF(6&lt;bx_nb,(d1_bx+6*(bx_b-2*d1_bx)/(bx_nb-1))+(bx_phi/2)*-0.500000,NA()),NA())</f>
        <v/>
      </c>
      <c r="AU7">
        <f>IF(6&lt;bx_nb,(bx_h-d1_bx)+(bx_phi/2)*0.866025,NA())</f>
        <v/>
      </c>
      <c r="AW7">
        <f>IF(inputs_ok,IF(6&lt;bx_nb,(d1_bx+6*(bx_b-2*d1_bx)/(bx_nb-1))+(bx_phi/2)*-0.500000,NA()),NA())</f>
        <v/>
      </c>
      <c r="AX7">
        <f>IF(6&lt;bx_nb,(d1_bx)+(bx_phi/2)*0.866025,NA())</f>
        <v/>
      </c>
      <c r="AZ7">
        <f>IF(inputs_ok,IF(7&lt;bx_nb,(d1_bx+7*(bx_b-2*d1_bx)/(bx_nb-1))+(bx_phi/2)*-0.500000,NA()),NA())</f>
        <v/>
      </c>
      <c r="BA7">
        <f>IF(7&lt;bx_nb,(bx_h-d1_bx)+(bx_phi/2)*0.866025,NA())</f>
        <v/>
      </c>
      <c r="BC7">
        <f>IF(inputs_ok,IF(7&lt;bx_nb,(d1_bx+7*(bx_b-2*d1_bx)/(bx_nb-1))+(bx_phi/2)*-0.500000,NA()),NA())</f>
        <v/>
      </c>
      <c r="BD7">
        <f>IF(7&lt;bx_nb,(d1_bx)+(bx_phi/2)*0.866025,NA())</f>
        <v/>
      </c>
      <c r="BF7">
        <f>IF(inputs_ok,IF(8&lt;bx_nb,(d1_bx+8*(bx_b-2*d1_bx)/(bx_nb-1))+(bx_phi/2)*-0.500000,NA()),NA())</f>
        <v/>
      </c>
      <c r="BG7">
        <f>IF(8&lt;bx_nb,(bx_h-d1_bx)+(bx_phi/2)*0.866025,NA())</f>
        <v/>
      </c>
      <c r="BI7">
        <f>IF(inputs_ok,IF(8&lt;bx_nb,(d1_bx+8*(bx_b-2*d1_bx)/(bx_nb-1))+(bx_phi/2)*-0.500000,NA()),NA())</f>
        <v/>
      </c>
      <c r="BJ7">
        <f>IF(8&lt;bx_nb,(d1_bx)+(bx_phi/2)*0.866025,NA())</f>
        <v/>
      </c>
      <c r="BL7">
        <f>IF(inputs_ok,IF(9&lt;bx_nb,(d1_bx+9*(bx_b-2*d1_bx)/(bx_nb-1))+(bx_phi/2)*-0.500000,NA()),NA())</f>
        <v/>
      </c>
      <c r="BM7">
        <f>IF(9&lt;bx_nb,(bx_h-d1_bx)+(bx_phi/2)*0.866025,NA())</f>
        <v/>
      </c>
      <c r="BO7">
        <f>IF(inputs_ok,IF(9&lt;bx_nb,(d1_bx+9*(bx_b-2*d1_bx)/(bx_nb-1))+(bx_phi/2)*-0.500000,NA()),NA())</f>
        <v/>
      </c>
      <c r="BP7">
        <f>IF(9&lt;bx_nb,(d1_bx)+(bx_phi/2)*0.866025,NA())</f>
        <v/>
      </c>
      <c r="BR7">
        <f>IF(inputs_ok,IF(1&lt;bx_nh-1,(d1_bx)+(bx_phi/2)*-0.500000,NA()),NA())</f>
        <v/>
      </c>
      <c r="BS7">
        <f>IF(1&lt;bx_nh-1,(d1_bx+1*(bx_h-2*d1_bx)/(bx_nh-1))+(bx_phi/2)*0.866025,NA())</f>
        <v/>
      </c>
      <c r="BU7">
        <f>IF(inputs_ok,IF(1&lt;bx_nh-1,(bx_b-d1_bx)+(bx_phi/2)*-0.500000,NA()),NA())</f>
        <v/>
      </c>
      <c r="BV7">
        <f>IF(1&lt;bx_nh-1,(d1_bx+1*(bx_h-2*d1_bx)/(bx_nh-1))+(bx_phi/2)*0.866025,NA())</f>
        <v/>
      </c>
      <c r="BX7">
        <f>IF(inputs_ok,IF(2&lt;bx_nh-1,(d1_bx)+(bx_phi/2)*-0.500000,NA()),NA())</f>
        <v/>
      </c>
      <c r="BY7">
        <f>IF(2&lt;bx_nh-1,(d1_bx+2*(bx_h-2*d1_bx)/(bx_nh-1))+(bx_phi/2)*0.866025,NA())</f>
        <v/>
      </c>
      <c r="CA7">
        <f>IF(inputs_ok,IF(2&lt;bx_nh-1,(bx_b-d1_bx)+(bx_phi/2)*-0.500000,NA()),NA())</f>
        <v/>
      </c>
      <c r="CB7">
        <f>IF(2&lt;bx_nh-1,(d1_bx+2*(bx_h-2*d1_bx)/(bx_nh-1))+(bx_phi/2)*0.866025,NA())</f>
        <v/>
      </c>
      <c r="CD7">
        <f>IF(inputs_ok,IF(3&lt;bx_nh-1,(d1_bx)+(bx_phi/2)*-0.500000,NA()),NA())</f>
        <v/>
      </c>
      <c r="CE7">
        <f>IF(3&lt;bx_nh-1,(d1_bx+3*(bx_h-2*d1_bx)/(bx_nh-1))+(bx_phi/2)*0.866025,NA())</f>
        <v/>
      </c>
      <c r="CG7">
        <f>IF(inputs_ok,IF(3&lt;bx_nh-1,(bx_b-d1_bx)+(bx_phi/2)*-0.500000,NA()),NA())</f>
        <v/>
      </c>
      <c r="CH7">
        <f>IF(3&lt;bx_nh-1,(d1_bx+3*(bx_h-2*d1_bx)/(bx_nh-1))+(bx_phi/2)*0.866025,NA())</f>
        <v/>
      </c>
      <c r="CJ7">
        <f>IF(inputs_ok,IF(4&lt;bx_nh-1,(d1_bx)+(bx_phi/2)*-0.500000,NA()),NA())</f>
        <v/>
      </c>
      <c r="CK7">
        <f>IF(4&lt;bx_nh-1,(d1_bx+4*(bx_h-2*d1_bx)/(bx_nh-1))+(bx_phi/2)*0.866025,NA())</f>
        <v/>
      </c>
      <c r="CM7">
        <f>IF(inputs_ok,IF(4&lt;bx_nh-1,(bx_b-d1_bx)+(bx_phi/2)*-0.500000,NA()),NA())</f>
        <v/>
      </c>
      <c r="CN7">
        <f>IF(4&lt;bx_nh-1,(d1_bx+4*(bx_h-2*d1_bx)/(bx_nh-1))+(bx_phi/2)*0.866025,NA())</f>
        <v/>
      </c>
      <c r="CP7">
        <f>IF(inputs_ok,IF(5&lt;bx_nh-1,(d1_bx)+(bx_phi/2)*-0.500000,NA()),NA())</f>
        <v/>
      </c>
      <c r="CQ7">
        <f>IF(5&lt;bx_nh-1,(d1_bx+5*(bx_h-2*d1_bx)/(bx_nh-1))+(bx_phi/2)*0.866025,NA())</f>
        <v/>
      </c>
      <c r="CS7">
        <f>IF(inputs_ok,IF(5&lt;bx_nh-1,(bx_b-d1_bx)+(bx_phi/2)*-0.500000,NA()),NA())</f>
        <v/>
      </c>
      <c r="CT7">
        <f>IF(5&lt;bx_nh-1,(d1_bx+5*(bx_h-2*d1_bx)/(bx_nh-1))+(bx_phi/2)*0.866025,NA())</f>
        <v/>
      </c>
      <c r="CV7">
        <f>IF(inputs_ok,IF(6&lt;bx_nh-1,(d1_bx)+(bx_phi/2)*-0.500000,NA()),NA())</f>
        <v/>
      </c>
      <c r="CW7">
        <f>IF(6&lt;bx_nh-1,(d1_bx+6*(bx_h-2*d1_bx)/(bx_nh-1))+(bx_phi/2)*0.866025,NA())</f>
        <v/>
      </c>
      <c r="CY7">
        <f>IF(inputs_ok,IF(6&lt;bx_nh-1,(bx_b-d1_bx)+(bx_phi/2)*-0.500000,NA()),NA())</f>
        <v/>
      </c>
      <c r="CZ7">
        <f>IF(6&lt;bx_nh-1,(d1_bx+6*(bx_h-2*d1_bx)/(bx_nh-1))+(bx_phi/2)*0.866025,NA())</f>
        <v/>
      </c>
      <c r="DB7">
        <f>IF(inputs_ok,IF(7&lt;bx_nh-1,(d1_bx)+(bx_phi/2)*-0.500000,NA()),NA())</f>
        <v/>
      </c>
      <c r="DC7">
        <f>IF(7&lt;bx_nh-1,(d1_bx+7*(bx_h-2*d1_bx)/(bx_nh-1))+(bx_phi/2)*0.866025,NA())</f>
        <v/>
      </c>
      <c r="DE7">
        <f>IF(inputs_ok,IF(7&lt;bx_nh-1,(bx_b-d1_bx)+(bx_phi/2)*-0.500000,NA()),NA())</f>
        <v/>
      </c>
      <c r="DF7">
        <f>IF(7&lt;bx_nh-1,(d1_bx+7*(bx_h-2*d1_bx)/(bx_nh-1))+(bx_phi/2)*0.866025,NA())</f>
        <v/>
      </c>
      <c r="DH7">
        <f>IF(inputs_ok,IF(8&lt;bx_nh-1,(d1_bx)+(bx_phi/2)*-0.500000,NA()),NA())</f>
        <v/>
      </c>
      <c r="DI7">
        <f>IF(8&lt;bx_nh-1,(d1_bx+8*(bx_h-2*d1_bx)/(bx_nh-1))+(bx_phi/2)*0.866025,NA())</f>
        <v/>
      </c>
      <c r="DK7">
        <f>IF(inputs_ok,IF(8&lt;bx_nh-1,(bx_b-d1_bx)+(bx_phi/2)*-0.500000,NA()),NA())</f>
        <v/>
      </c>
      <c r="DL7">
        <f>IF(8&lt;bx_nh-1,(d1_bx+8*(bx_h-2*d1_bx)/(bx_nh-1))+(bx_phi/2)*0.866025,NA())</f>
        <v/>
      </c>
      <c r="EX7">
        <f>IF(inputs_ok,((0.987688341)^a_bx+(0.156434465)^a_bx)^(-1/a_bx)*0.987688341,NA())</f>
        <v/>
      </c>
      <c r="EY7">
        <f>((0.987688341)^a_bx+(0.156434465)^a_bx)^(-1/a_bx)*0.156434465</f>
        <v/>
      </c>
    </row>
    <row r="8">
      <c r="J8">
        <f>IF(inputs_ok,IF(0&lt;bx_nb,(d1_bx+0*(bx_b-2*d1_bx)/(bx_nb-1))+(bx_phi/2)*-0.866025,NA()),NA())</f>
        <v/>
      </c>
      <c r="K8">
        <f>IF(0&lt;bx_nb,(bx_h-d1_bx)+(bx_phi/2)*0.500000,NA())</f>
        <v/>
      </c>
      <c r="M8">
        <f>IF(inputs_ok,IF(0&lt;bx_nb,(d1_bx+0*(bx_b-2*d1_bx)/(bx_nb-1))+(bx_phi/2)*-0.866025,NA()),NA())</f>
        <v/>
      </c>
      <c r="N8">
        <f>IF(0&lt;bx_nb,(d1_bx)+(bx_phi/2)*0.500000,NA())</f>
        <v/>
      </c>
      <c r="P8">
        <f>IF(inputs_ok,IF(1&lt;bx_nb,(d1_bx+1*(bx_b-2*d1_bx)/(bx_nb-1))+(bx_phi/2)*-0.866025,NA()),NA())</f>
        <v/>
      </c>
      <c r="Q8">
        <f>IF(1&lt;bx_nb,(bx_h-d1_bx)+(bx_phi/2)*0.500000,NA())</f>
        <v/>
      </c>
      <c r="S8">
        <f>IF(inputs_ok,IF(1&lt;bx_nb,(d1_bx+1*(bx_b-2*d1_bx)/(bx_nb-1))+(bx_phi/2)*-0.866025,NA()),NA())</f>
        <v/>
      </c>
      <c r="T8">
        <f>IF(1&lt;bx_nb,(d1_bx)+(bx_phi/2)*0.500000,NA())</f>
        <v/>
      </c>
      <c r="V8">
        <f>IF(inputs_ok,IF(2&lt;bx_nb,(d1_bx+2*(bx_b-2*d1_bx)/(bx_nb-1))+(bx_phi/2)*-0.866025,NA()),NA())</f>
        <v/>
      </c>
      <c r="W8">
        <f>IF(2&lt;bx_nb,(bx_h-d1_bx)+(bx_phi/2)*0.500000,NA())</f>
        <v/>
      </c>
      <c r="Y8">
        <f>IF(inputs_ok,IF(2&lt;bx_nb,(d1_bx+2*(bx_b-2*d1_bx)/(bx_nb-1))+(bx_phi/2)*-0.866025,NA()),NA())</f>
        <v/>
      </c>
      <c r="Z8">
        <f>IF(2&lt;bx_nb,(d1_bx)+(bx_phi/2)*0.500000,NA())</f>
        <v/>
      </c>
      <c r="AB8">
        <f>IF(inputs_ok,IF(3&lt;bx_nb,(d1_bx+3*(bx_b-2*d1_bx)/(bx_nb-1))+(bx_phi/2)*-0.866025,NA()),NA())</f>
        <v/>
      </c>
      <c r="AC8">
        <f>IF(3&lt;bx_nb,(bx_h-d1_bx)+(bx_phi/2)*0.500000,NA())</f>
        <v/>
      </c>
      <c r="AE8">
        <f>IF(inputs_ok,IF(3&lt;bx_nb,(d1_bx+3*(bx_b-2*d1_bx)/(bx_nb-1))+(bx_phi/2)*-0.866025,NA()),NA())</f>
        <v/>
      </c>
      <c r="AF8">
        <f>IF(3&lt;bx_nb,(d1_bx)+(bx_phi/2)*0.500000,NA())</f>
        <v/>
      </c>
      <c r="AH8">
        <f>IF(inputs_ok,IF(4&lt;bx_nb,(d1_bx+4*(bx_b-2*d1_bx)/(bx_nb-1))+(bx_phi/2)*-0.866025,NA()),NA())</f>
        <v/>
      </c>
      <c r="AI8">
        <f>IF(4&lt;bx_nb,(bx_h-d1_bx)+(bx_phi/2)*0.500000,NA())</f>
        <v/>
      </c>
      <c r="AK8">
        <f>IF(inputs_ok,IF(4&lt;bx_nb,(d1_bx+4*(bx_b-2*d1_bx)/(bx_nb-1))+(bx_phi/2)*-0.866025,NA()),NA())</f>
        <v/>
      </c>
      <c r="AL8">
        <f>IF(4&lt;bx_nb,(d1_bx)+(bx_phi/2)*0.500000,NA())</f>
        <v/>
      </c>
      <c r="AN8">
        <f>IF(inputs_ok,IF(5&lt;bx_nb,(d1_bx+5*(bx_b-2*d1_bx)/(bx_nb-1))+(bx_phi/2)*-0.866025,NA()),NA())</f>
        <v/>
      </c>
      <c r="AO8">
        <f>IF(5&lt;bx_nb,(bx_h-d1_bx)+(bx_phi/2)*0.500000,NA())</f>
        <v/>
      </c>
      <c r="AQ8">
        <f>IF(inputs_ok,IF(5&lt;bx_nb,(d1_bx+5*(bx_b-2*d1_bx)/(bx_nb-1))+(bx_phi/2)*-0.866025,NA()),NA())</f>
        <v/>
      </c>
      <c r="AR8">
        <f>IF(5&lt;bx_nb,(d1_bx)+(bx_phi/2)*0.500000,NA())</f>
        <v/>
      </c>
      <c r="AT8">
        <f>IF(inputs_ok,IF(6&lt;bx_nb,(d1_bx+6*(bx_b-2*d1_bx)/(bx_nb-1))+(bx_phi/2)*-0.866025,NA()),NA())</f>
        <v/>
      </c>
      <c r="AU8">
        <f>IF(6&lt;bx_nb,(bx_h-d1_bx)+(bx_phi/2)*0.500000,NA())</f>
        <v/>
      </c>
      <c r="AW8">
        <f>IF(inputs_ok,IF(6&lt;bx_nb,(d1_bx+6*(bx_b-2*d1_bx)/(bx_nb-1))+(bx_phi/2)*-0.866025,NA()),NA())</f>
        <v/>
      </c>
      <c r="AX8">
        <f>IF(6&lt;bx_nb,(d1_bx)+(bx_phi/2)*0.500000,NA())</f>
        <v/>
      </c>
      <c r="AZ8">
        <f>IF(inputs_ok,IF(7&lt;bx_nb,(d1_bx+7*(bx_b-2*d1_bx)/(bx_nb-1))+(bx_phi/2)*-0.866025,NA()),NA())</f>
        <v/>
      </c>
      <c r="BA8">
        <f>IF(7&lt;bx_nb,(bx_h-d1_bx)+(bx_phi/2)*0.500000,NA())</f>
        <v/>
      </c>
      <c r="BC8">
        <f>IF(inputs_ok,IF(7&lt;bx_nb,(d1_bx+7*(bx_b-2*d1_bx)/(bx_nb-1))+(bx_phi/2)*-0.866025,NA()),NA())</f>
        <v/>
      </c>
      <c r="BD8">
        <f>IF(7&lt;bx_nb,(d1_bx)+(bx_phi/2)*0.500000,NA())</f>
        <v/>
      </c>
      <c r="BF8">
        <f>IF(inputs_ok,IF(8&lt;bx_nb,(d1_bx+8*(bx_b-2*d1_bx)/(bx_nb-1))+(bx_phi/2)*-0.866025,NA()),NA())</f>
        <v/>
      </c>
      <c r="BG8">
        <f>IF(8&lt;bx_nb,(bx_h-d1_bx)+(bx_phi/2)*0.500000,NA())</f>
        <v/>
      </c>
      <c r="BI8">
        <f>IF(inputs_ok,IF(8&lt;bx_nb,(d1_bx+8*(bx_b-2*d1_bx)/(bx_nb-1))+(bx_phi/2)*-0.866025,NA()),NA())</f>
        <v/>
      </c>
      <c r="BJ8">
        <f>IF(8&lt;bx_nb,(d1_bx)+(bx_phi/2)*0.500000,NA())</f>
        <v/>
      </c>
      <c r="BL8">
        <f>IF(inputs_ok,IF(9&lt;bx_nb,(d1_bx+9*(bx_b-2*d1_bx)/(bx_nb-1))+(bx_phi/2)*-0.866025,NA()),NA())</f>
        <v/>
      </c>
      <c r="BM8">
        <f>IF(9&lt;bx_nb,(bx_h-d1_bx)+(bx_phi/2)*0.500000,NA())</f>
        <v/>
      </c>
      <c r="BO8">
        <f>IF(inputs_ok,IF(9&lt;bx_nb,(d1_bx+9*(bx_b-2*d1_bx)/(bx_nb-1))+(bx_phi/2)*-0.866025,NA()),NA())</f>
        <v/>
      </c>
      <c r="BP8">
        <f>IF(9&lt;bx_nb,(d1_bx)+(bx_phi/2)*0.500000,NA())</f>
        <v/>
      </c>
      <c r="BR8">
        <f>IF(inputs_ok,IF(1&lt;bx_nh-1,(d1_bx)+(bx_phi/2)*-0.866025,NA()),NA())</f>
        <v/>
      </c>
      <c r="BS8">
        <f>IF(1&lt;bx_nh-1,(d1_bx+1*(bx_h-2*d1_bx)/(bx_nh-1))+(bx_phi/2)*0.500000,NA())</f>
        <v/>
      </c>
      <c r="BU8">
        <f>IF(inputs_ok,IF(1&lt;bx_nh-1,(bx_b-d1_bx)+(bx_phi/2)*-0.866025,NA()),NA())</f>
        <v/>
      </c>
      <c r="BV8">
        <f>IF(1&lt;bx_nh-1,(d1_bx+1*(bx_h-2*d1_bx)/(bx_nh-1))+(bx_phi/2)*0.500000,NA())</f>
        <v/>
      </c>
      <c r="BX8">
        <f>IF(inputs_ok,IF(2&lt;bx_nh-1,(d1_bx)+(bx_phi/2)*-0.866025,NA()),NA())</f>
        <v/>
      </c>
      <c r="BY8">
        <f>IF(2&lt;bx_nh-1,(d1_bx+2*(bx_h-2*d1_bx)/(bx_nh-1))+(bx_phi/2)*0.500000,NA())</f>
        <v/>
      </c>
      <c r="CA8">
        <f>IF(inputs_ok,IF(2&lt;bx_nh-1,(bx_b-d1_bx)+(bx_phi/2)*-0.866025,NA()),NA())</f>
        <v/>
      </c>
      <c r="CB8">
        <f>IF(2&lt;bx_nh-1,(d1_bx+2*(bx_h-2*d1_bx)/(bx_nh-1))+(bx_phi/2)*0.500000,NA())</f>
        <v/>
      </c>
      <c r="CD8">
        <f>IF(inputs_ok,IF(3&lt;bx_nh-1,(d1_bx)+(bx_phi/2)*-0.866025,NA()),NA())</f>
        <v/>
      </c>
      <c r="CE8">
        <f>IF(3&lt;bx_nh-1,(d1_bx+3*(bx_h-2*d1_bx)/(bx_nh-1))+(bx_phi/2)*0.500000,NA())</f>
        <v/>
      </c>
      <c r="CG8">
        <f>IF(inputs_ok,IF(3&lt;bx_nh-1,(bx_b-d1_bx)+(bx_phi/2)*-0.866025,NA()),NA())</f>
        <v/>
      </c>
      <c r="CH8">
        <f>IF(3&lt;bx_nh-1,(d1_bx+3*(bx_h-2*d1_bx)/(bx_nh-1))+(bx_phi/2)*0.500000,NA())</f>
        <v/>
      </c>
      <c r="CJ8">
        <f>IF(inputs_ok,IF(4&lt;bx_nh-1,(d1_bx)+(bx_phi/2)*-0.866025,NA()),NA())</f>
        <v/>
      </c>
      <c r="CK8">
        <f>IF(4&lt;bx_nh-1,(d1_bx+4*(bx_h-2*d1_bx)/(bx_nh-1))+(bx_phi/2)*0.500000,NA())</f>
        <v/>
      </c>
      <c r="CM8">
        <f>IF(inputs_ok,IF(4&lt;bx_nh-1,(bx_b-d1_bx)+(bx_phi/2)*-0.866025,NA()),NA())</f>
        <v/>
      </c>
      <c r="CN8">
        <f>IF(4&lt;bx_nh-1,(d1_bx+4*(bx_h-2*d1_bx)/(bx_nh-1))+(bx_phi/2)*0.500000,NA())</f>
        <v/>
      </c>
      <c r="CP8">
        <f>IF(inputs_ok,IF(5&lt;bx_nh-1,(d1_bx)+(bx_phi/2)*-0.866025,NA()),NA())</f>
        <v/>
      </c>
      <c r="CQ8">
        <f>IF(5&lt;bx_nh-1,(d1_bx+5*(bx_h-2*d1_bx)/(bx_nh-1))+(bx_phi/2)*0.500000,NA())</f>
        <v/>
      </c>
      <c r="CS8">
        <f>IF(inputs_ok,IF(5&lt;bx_nh-1,(bx_b-d1_bx)+(bx_phi/2)*-0.866025,NA()),NA())</f>
        <v/>
      </c>
      <c r="CT8">
        <f>IF(5&lt;bx_nh-1,(d1_bx+5*(bx_h-2*d1_bx)/(bx_nh-1))+(bx_phi/2)*0.500000,NA())</f>
        <v/>
      </c>
      <c r="CV8">
        <f>IF(inputs_ok,IF(6&lt;bx_nh-1,(d1_bx)+(bx_phi/2)*-0.866025,NA()),NA())</f>
        <v/>
      </c>
      <c r="CW8">
        <f>IF(6&lt;bx_nh-1,(d1_bx+6*(bx_h-2*d1_bx)/(bx_nh-1))+(bx_phi/2)*0.500000,NA())</f>
        <v/>
      </c>
      <c r="CY8">
        <f>IF(inputs_ok,IF(6&lt;bx_nh-1,(bx_b-d1_bx)+(bx_phi/2)*-0.866025,NA()),NA())</f>
        <v/>
      </c>
      <c r="CZ8">
        <f>IF(6&lt;bx_nh-1,(d1_bx+6*(bx_h-2*d1_bx)/(bx_nh-1))+(bx_phi/2)*0.500000,NA())</f>
        <v/>
      </c>
      <c r="DB8">
        <f>IF(inputs_ok,IF(7&lt;bx_nh-1,(d1_bx)+(bx_phi/2)*-0.866025,NA()),NA())</f>
        <v/>
      </c>
      <c r="DC8">
        <f>IF(7&lt;bx_nh-1,(d1_bx+7*(bx_h-2*d1_bx)/(bx_nh-1))+(bx_phi/2)*0.500000,NA())</f>
        <v/>
      </c>
      <c r="DE8">
        <f>IF(inputs_ok,IF(7&lt;bx_nh-1,(bx_b-d1_bx)+(bx_phi/2)*-0.866025,NA()),NA())</f>
        <v/>
      </c>
      <c r="DF8">
        <f>IF(7&lt;bx_nh-1,(d1_bx+7*(bx_h-2*d1_bx)/(bx_nh-1))+(bx_phi/2)*0.500000,NA())</f>
        <v/>
      </c>
      <c r="DH8">
        <f>IF(inputs_ok,IF(8&lt;bx_nh-1,(d1_bx)+(bx_phi/2)*-0.866025,NA()),NA())</f>
        <v/>
      </c>
      <c r="DI8">
        <f>IF(8&lt;bx_nh-1,(d1_bx+8*(bx_h-2*d1_bx)/(bx_nh-1))+(bx_phi/2)*0.500000,NA())</f>
        <v/>
      </c>
      <c r="DK8">
        <f>IF(inputs_ok,IF(8&lt;bx_nh-1,(bx_b-d1_bx)+(bx_phi/2)*-0.866025,NA()),NA())</f>
        <v/>
      </c>
      <c r="DL8">
        <f>IF(8&lt;bx_nh-1,(d1_bx+8*(bx_h-2*d1_bx)/(bx_nh-1))+(bx_phi/2)*0.500000,NA())</f>
        <v/>
      </c>
      <c r="EX8">
        <f>IF(inputs_ok,((0.980785280)^a_bx+(0.195090322)^a_bx)^(-1/a_bx)*0.980785280,NA())</f>
        <v/>
      </c>
      <c r="EY8">
        <f>((0.980785280)^a_bx+(0.195090322)^a_bx)^(-1/a_bx)*0.195090322</f>
        <v/>
      </c>
    </row>
    <row r="9">
      <c r="J9">
        <f>IF(inputs_ok,IF(0&lt;bx_nb,(d1_bx+0*(bx_b-2*d1_bx)/(bx_nb-1))+(bx_phi/2)*-1.000000,NA()),NA())</f>
        <v/>
      </c>
      <c r="K9">
        <f>IF(0&lt;bx_nb,(bx_h-d1_bx)+(bx_phi/2)*0.000000,NA())</f>
        <v/>
      </c>
      <c r="M9">
        <f>IF(inputs_ok,IF(0&lt;bx_nb,(d1_bx+0*(bx_b-2*d1_bx)/(bx_nb-1))+(bx_phi/2)*-1.000000,NA()),NA())</f>
        <v/>
      </c>
      <c r="N9">
        <f>IF(0&lt;bx_nb,(d1_bx)+(bx_phi/2)*0.000000,NA())</f>
        <v/>
      </c>
      <c r="P9">
        <f>IF(inputs_ok,IF(1&lt;bx_nb,(d1_bx+1*(bx_b-2*d1_bx)/(bx_nb-1))+(bx_phi/2)*-1.000000,NA()),NA())</f>
        <v/>
      </c>
      <c r="Q9">
        <f>IF(1&lt;bx_nb,(bx_h-d1_bx)+(bx_phi/2)*0.000000,NA())</f>
        <v/>
      </c>
      <c r="S9">
        <f>IF(inputs_ok,IF(1&lt;bx_nb,(d1_bx+1*(bx_b-2*d1_bx)/(bx_nb-1))+(bx_phi/2)*-1.000000,NA()),NA())</f>
        <v/>
      </c>
      <c r="T9">
        <f>IF(1&lt;bx_nb,(d1_bx)+(bx_phi/2)*0.000000,NA())</f>
        <v/>
      </c>
      <c r="V9">
        <f>IF(inputs_ok,IF(2&lt;bx_nb,(d1_bx+2*(bx_b-2*d1_bx)/(bx_nb-1))+(bx_phi/2)*-1.000000,NA()),NA())</f>
        <v/>
      </c>
      <c r="W9">
        <f>IF(2&lt;bx_nb,(bx_h-d1_bx)+(bx_phi/2)*0.000000,NA())</f>
        <v/>
      </c>
      <c r="Y9">
        <f>IF(inputs_ok,IF(2&lt;bx_nb,(d1_bx+2*(bx_b-2*d1_bx)/(bx_nb-1))+(bx_phi/2)*-1.000000,NA()),NA())</f>
        <v/>
      </c>
      <c r="Z9">
        <f>IF(2&lt;bx_nb,(d1_bx)+(bx_phi/2)*0.000000,NA())</f>
        <v/>
      </c>
      <c r="AB9">
        <f>IF(inputs_ok,IF(3&lt;bx_nb,(d1_bx+3*(bx_b-2*d1_bx)/(bx_nb-1))+(bx_phi/2)*-1.000000,NA()),NA())</f>
        <v/>
      </c>
      <c r="AC9">
        <f>IF(3&lt;bx_nb,(bx_h-d1_bx)+(bx_phi/2)*0.000000,NA())</f>
        <v/>
      </c>
      <c r="AE9">
        <f>IF(inputs_ok,IF(3&lt;bx_nb,(d1_bx+3*(bx_b-2*d1_bx)/(bx_nb-1))+(bx_phi/2)*-1.000000,NA()),NA())</f>
        <v/>
      </c>
      <c r="AF9">
        <f>IF(3&lt;bx_nb,(d1_bx)+(bx_phi/2)*0.000000,NA())</f>
        <v/>
      </c>
      <c r="AH9">
        <f>IF(inputs_ok,IF(4&lt;bx_nb,(d1_bx+4*(bx_b-2*d1_bx)/(bx_nb-1))+(bx_phi/2)*-1.000000,NA()),NA())</f>
        <v/>
      </c>
      <c r="AI9">
        <f>IF(4&lt;bx_nb,(bx_h-d1_bx)+(bx_phi/2)*0.000000,NA())</f>
        <v/>
      </c>
      <c r="AK9">
        <f>IF(inputs_ok,IF(4&lt;bx_nb,(d1_bx+4*(bx_b-2*d1_bx)/(bx_nb-1))+(bx_phi/2)*-1.000000,NA()),NA())</f>
        <v/>
      </c>
      <c r="AL9">
        <f>IF(4&lt;bx_nb,(d1_bx)+(bx_phi/2)*0.000000,NA())</f>
        <v/>
      </c>
      <c r="AN9">
        <f>IF(inputs_ok,IF(5&lt;bx_nb,(d1_bx+5*(bx_b-2*d1_bx)/(bx_nb-1))+(bx_phi/2)*-1.000000,NA()),NA())</f>
        <v/>
      </c>
      <c r="AO9">
        <f>IF(5&lt;bx_nb,(bx_h-d1_bx)+(bx_phi/2)*0.000000,NA())</f>
        <v/>
      </c>
      <c r="AQ9">
        <f>IF(inputs_ok,IF(5&lt;bx_nb,(d1_bx+5*(bx_b-2*d1_bx)/(bx_nb-1))+(bx_phi/2)*-1.000000,NA()),NA())</f>
        <v/>
      </c>
      <c r="AR9">
        <f>IF(5&lt;bx_nb,(d1_bx)+(bx_phi/2)*0.000000,NA())</f>
        <v/>
      </c>
      <c r="AT9">
        <f>IF(inputs_ok,IF(6&lt;bx_nb,(d1_bx+6*(bx_b-2*d1_bx)/(bx_nb-1))+(bx_phi/2)*-1.000000,NA()),NA())</f>
        <v/>
      </c>
      <c r="AU9">
        <f>IF(6&lt;bx_nb,(bx_h-d1_bx)+(bx_phi/2)*0.000000,NA())</f>
        <v/>
      </c>
      <c r="AW9">
        <f>IF(inputs_ok,IF(6&lt;bx_nb,(d1_bx+6*(bx_b-2*d1_bx)/(bx_nb-1))+(bx_phi/2)*-1.000000,NA()),NA())</f>
        <v/>
      </c>
      <c r="AX9">
        <f>IF(6&lt;bx_nb,(d1_bx)+(bx_phi/2)*0.000000,NA())</f>
        <v/>
      </c>
      <c r="AZ9">
        <f>IF(inputs_ok,IF(7&lt;bx_nb,(d1_bx+7*(bx_b-2*d1_bx)/(bx_nb-1))+(bx_phi/2)*-1.000000,NA()),NA())</f>
        <v/>
      </c>
      <c r="BA9">
        <f>IF(7&lt;bx_nb,(bx_h-d1_bx)+(bx_phi/2)*0.000000,NA())</f>
        <v/>
      </c>
      <c r="BC9">
        <f>IF(inputs_ok,IF(7&lt;bx_nb,(d1_bx+7*(bx_b-2*d1_bx)/(bx_nb-1))+(bx_phi/2)*-1.000000,NA()),NA())</f>
        <v/>
      </c>
      <c r="BD9">
        <f>IF(7&lt;bx_nb,(d1_bx)+(bx_phi/2)*0.000000,NA())</f>
        <v/>
      </c>
      <c r="BF9">
        <f>IF(inputs_ok,IF(8&lt;bx_nb,(d1_bx+8*(bx_b-2*d1_bx)/(bx_nb-1))+(bx_phi/2)*-1.000000,NA()),NA())</f>
        <v/>
      </c>
      <c r="BG9">
        <f>IF(8&lt;bx_nb,(bx_h-d1_bx)+(bx_phi/2)*0.000000,NA())</f>
        <v/>
      </c>
      <c r="BI9">
        <f>IF(inputs_ok,IF(8&lt;bx_nb,(d1_bx+8*(bx_b-2*d1_bx)/(bx_nb-1))+(bx_phi/2)*-1.000000,NA()),NA())</f>
        <v/>
      </c>
      <c r="BJ9">
        <f>IF(8&lt;bx_nb,(d1_bx)+(bx_phi/2)*0.000000,NA())</f>
        <v/>
      </c>
      <c r="BL9">
        <f>IF(inputs_ok,IF(9&lt;bx_nb,(d1_bx+9*(bx_b-2*d1_bx)/(bx_nb-1))+(bx_phi/2)*-1.000000,NA()),NA())</f>
        <v/>
      </c>
      <c r="BM9">
        <f>IF(9&lt;bx_nb,(bx_h-d1_bx)+(bx_phi/2)*0.000000,NA())</f>
        <v/>
      </c>
      <c r="BO9">
        <f>IF(inputs_ok,IF(9&lt;bx_nb,(d1_bx+9*(bx_b-2*d1_bx)/(bx_nb-1))+(bx_phi/2)*-1.000000,NA()),NA())</f>
        <v/>
      </c>
      <c r="BP9">
        <f>IF(9&lt;bx_nb,(d1_bx)+(bx_phi/2)*0.000000,NA())</f>
        <v/>
      </c>
      <c r="BR9">
        <f>IF(inputs_ok,IF(1&lt;bx_nh-1,(d1_bx)+(bx_phi/2)*-1.000000,NA()),NA())</f>
        <v/>
      </c>
      <c r="BS9">
        <f>IF(1&lt;bx_nh-1,(d1_bx+1*(bx_h-2*d1_bx)/(bx_nh-1))+(bx_phi/2)*0.000000,NA())</f>
        <v/>
      </c>
      <c r="BU9">
        <f>IF(inputs_ok,IF(1&lt;bx_nh-1,(bx_b-d1_bx)+(bx_phi/2)*-1.000000,NA()),NA())</f>
        <v/>
      </c>
      <c r="BV9">
        <f>IF(1&lt;bx_nh-1,(d1_bx+1*(bx_h-2*d1_bx)/(bx_nh-1))+(bx_phi/2)*0.000000,NA())</f>
        <v/>
      </c>
      <c r="BX9">
        <f>IF(inputs_ok,IF(2&lt;bx_nh-1,(d1_bx)+(bx_phi/2)*-1.000000,NA()),NA())</f>
        <v/>
      </c>
      <c r="BY9">
        <f>IF(2&lt;bx_nh-1,(d1_bx+2*(bx_h-2*d1_bx)/(bx_nh-1))+(bx_phi/2)*0.000000,NA())</f>
        <v/>
      </c>
      <c r="CA9">
        <f>IF(inputs_ok,IF(2&lt;bx_nh-1,(bx_b-d1_bx)+(bx_phi/2)*-1.000000,NA()),NA())</f>
        <v/>
      </c>
      <c r="CB9">
        <f>IF(2&lt;bx_nh-1,(d1_bx+2*(bx_h-2*d1_bx)/(bx_nh-1))+(bx_phi/2)*0.000000,NA())</f>
        <v/>
      </c>
      <c r="CD9">
        <f>IF(inputs_ok,IF(3&lt;bx_nh-1,(d1_bx)+(bx_phi/2)*-1.000000,NA()),NA())</f>
        <v/>
      </c>
      <c r="CE9">
        <f>IF(3&lt;bx_nh-1,(d1_bx+3*(bx_h-2*d1_bx)/(bx_nh-1))+(bx_phi/2)*0.000000,NA())</f>
        <v/>
      </c>
      <c r="CG9">
        <f>IF(inputs_ok,IF(3&lt;bx_nh-1,(bx_b-d1_bx)+(bx_phi/2)*-1.000000,NA()),NA())</f>
        <v/>
      </c>
      <c r="CH9">
        <f>IF(3&lt;bx_nh-1,(d1_bx+3*(bx_h-2*d1_bx)/(bx_nh-1))+(bx_phi/2)*0.000000,NA())</f>
        <v/>
      </c>
      <c r="CJ9">
        <f>IF(inputs_ok,IF(4&lt;bx_nh-1,(d1_bx)+(bx_phi/2)*-1.000000,NA()),NA())</f>
        <v/>
      </c>
      <c r="CK9">
        <f>IF(4&lt;bx_nh-1,(d1_bx+4*(bx_h-2*d1_bx)/(bx_nh-1))+(bx_phi/2)*0.000000,NA())</f>
        <v/>
      </c>
      <c r="CM9">
        <f>IF(inputs_ok,IF(4&lt;bx_nh-1,(bx_b-d1_bx)+(bx_phi/2)*-1.000000,NA()),NA())</f>
        <v/>
      </c>
      <c r="CN9">
        <f>IF(4&lt;bx_nh-1,(d1_bx+4*(bx_h-2*d1_bx)/(bx_nh-1))+(bx_phi/2)*0.000000,NA())</f>
        <v/>
      </c>
      <c r="CP9">
        <f>IF(inputs_ok,IF(5&lt;bx_nh-1,(d1_bx)+(bx_phi/2)*-1.000000,NA()),NA())</f>
        <v/>
      </c>
      <c r="CQ9">
        <f>IF(5&lt;bx_nh-1,(d1_bx+5*(bx_h-2*d1_bx)/(bx_nh-1))+(bx_phi/2)*0.000000,NA())</f>
        <v/>
      </c>
      <c r="CS9">
        <f>IF(inputs_ok,IF(5&lt;bx_nh-1,(bx_b-d1_bx)+(bx_phi/2)*-1.000000,NA()),NA())</f>
        <v/>
      </c>
      <c r="CT9">
        <f>IF(5&lt;bx_nh-1,(d1_bx+5*(bx_h-2*d1_bx)/(bx_nh-1))+(bx_phi/2)*0.000000,NA())</f>
        <v/>
      </c>
      <c r="CV9">
        <f>IF(inputs_ok,IF(6&lt;bx_nh-1,(d1_bx)+(bx_phi/2)*-1.000000,NA()),NA())</f>
        <v/>
      </c>
      <c r="CW9">
        <f>IF(6&lt;bx_nh-1,(d1_bx+6*(bx_h-2*d1_bx)/(bx_nh-1))+(bx_phi/2)*0.000000,NA())</f>
        <v/>
      </c>
      <c r="CY9">
        <f>IF(inputs_ok,IF(6&lt;bx_nh-1,(bx_b-d1_bx)+(bx_phi/2)*-1.000000,NA()),NA())</f>
        <v/>
      </c>
      <c r="CZ9">
        <f>IF(6&lt;bx_nh-1,(d1_bx+6*(bx_h-2*d1_bx)/(bx_nh-1))+(bx_phi/2)*0.000000,NA())</f>
        <v/>
      </c>
      <c r="DB9">
        <f>IF(inputs_ok,IF(7&lt;bx_nh-1,(d1_bx)+(bx_phi/2)*-1.000000,NA()),NA())</f>
        <v/>
      </c>
      <c r="DC9">
        <f>IF(7&lt;bx_nh-1,(d1_bx+7*(bx_h-2*d1_bx)/(bx_nh-1))+(bx_phi/2)*0.000000,NA())</f>
        <v/>
      </c>
      <c r="DE9">
        <f>IF(inputs_ok,IF(7&lt;bx_nh-1,(bx_b-d1_bx)+(bx_phi/2)*-1.000000,NA()),NA())</f>
        <v/>
      </c>
      <c r="DF9">
        <f>IF(7&lt;bx_nh-1,(d1_bx+7*(bx_h-2*d1_bx)/(bx_nh-1))+(bx_phi/2)*0.000000,NA())</f>
        <v/>
      </c>
      <c r="DH9">
        <f>IF(inputs_ok,IF(8&lt;bx_nh-1,(d1_bx)+(bx_phi/2)*-1.000000,NA()),NA())</f>
        <v/>
      </c>
      <c r="DI9">
        <f>IF(8&lt;bx_nh-1,(d1_bx+8*(bx_h-2*d1_bx)/(bx_nh-1))+(bx_phi/2)*0.000000,NA())</f>
        <v/>
      </c>
      <c r="DK9">
        <f>IF(inputs_ok,IF(8&lt;bx_nh-1,(bx_b-d1_bx)+(bx_phi/2)*-1.000000,NA()),NA())</f>
        <v/>
      </c>
      <c r="DL9">
        <f>IF(8&lt;bx_nh-1,(d1_bx+8*(bx_h-2*d1_bx)/(bx_nh-1))+(bx_phi/2)*0.000000,NA())</f>
        <v/>
      </c>
      <c r="EX9">
        <f>IF(inputs_ok,((0.972369920)^a_bx+(0.233445364)^a_bx)^(-1/a_bx)*0.972369920,NA())</f>
        <v/>
      </c>
      <c r="EY9">
        <f>((0.972369920)^a_bx+(0.233445364)^a_bx)^(-1/a_bx)*0.233445364</f>
        <v/>
      </c>
    </row>
    <row r="10">
      <c r="J10">
        <f>IF(inputs_ok,IF(0&lt;bx_nb,(d1_bx+0*(bx_b-2*d1_bx)/(bx_nb-1))+(bx_phi/2)*-0.866025,NA()),NA())</f>
        <v/>
      </c>
      <c r="K10">
        <f>IF(0&lt;bx_nb,(bx_h-d1_bx)+(bx_phi/2)*-0.500000,NA())</f>
        <v/>
      </c>
      <c r="M10">
        <f>IF(inputs_ok,IF(0&lt;bx_nb,(d1_bx+0*(bx_b-2*d1_bx)/(bx_nb-1))+(bx_phi/2)*-0.866025,NA()),NA())</f>
        <v/>
      </c>
      <c r="N10">
        <f>IF(0&lt;bx_nb,(d1_bx)+(bx_phi/2)*-0.500000,NA())</f>
        <v/>
      </c>
      <c r="P10">
        <f>IF(inputs_ok,IF(1&lt;bx_nb,(d1_bx+1*(bx_b-2*d1_bx)/(bx_nb-1))+(bx_phi/2)*-0.866025,NA()),NA())</f>
        <v/>
      </c>
      <c r="Q10">
        <f>IF(1&lt;bx_nb,(bx_h-d1_bx)+(bx_phi/2)*-0.500000,NA())</f>
        <v/>
      </c>
      <c r="S10">
        <f>IF(inputs_ok,IF(1&lt;bx_nb,(d1_bx+1*(bx_b-2*d1_bx)/(bx_nb-1))+(bx_phi/2)*-0.866025,NA()),NA())</f>
        <v/>
      </c>
      <c r="T10">
        <f>IF(1&lt;bx_nb,(d1_bx)+(bx_phi/2)*-0.500000,NA())</f>
        <v/>
      </c>
      <c r="V10">
        <f>IF(inputs_ok,IF(2&lt;bx_nb,(d1_bx+2*(bx_b-2*d1_bx)/(bx_nb-1))+(bx_phi/2)*-0.866025,NA()),NA())</f>
        <v/>
      </c>
      <c r="W10">
        <f>IF(2&lt;bx_nb,(bx_h-d1_bx)+(bx_phi/2)*-0.500000,NA())</f>
        <v/>
      </c>
      <c r="Y10">
        <f>IF(inputs_ok,IF(2&lt;bx_nb,(d1_bx+2*(bx_b-2*d1_bx)/(bx_nb-1))+(bx_phi/2)*-0.866025,NA()),NA())</f>
        <v/>
      </c>
      <c r="Z10">
        <f>IF(2&lt;bx_nb,(d1_bx)+(bx_phi/2)*-0.500000,NA())</f>
        <v/>
      </c>
      <c r="AB10">
        <f>IF(inputs_ok,IF(3&lt;bx_nb,(d1_bx+3*(bx_b-2*d1_bx)/(bx_nb-1))+(bx_phi/2)*-0.866025,NA()),NA())</f>
        <v/>
      </c>
      <c r="AC10">
        <f>IF(3&lt;bx_nb,(bx_h-d1_bx)+(bx_phi/2)*-0.500000,NA())</f>
        <v/>
      </c>
      <c r="AE10">
        <f>IF(inputs_ok,IF(3&lt;bx_nb,(d1_bx+3*(bx_b-2*d1_bx)/(bx_nb-1))+(bx_phi/2)*-0.866025,NA()),NA())</f>
        <v/>
      </c>
      <c r="AF10">
        <f>IF(3&lt;bx_nb,(d1_bx)+(bx_phi/2)*-0.500000,NA())</f>
        <v/>
      </c>
      <c r="AH10">
        <f>IF(inputs_ok,IF(4&lt;bx_nb,(d1_bx+4*(bx_b-2*d1_bx)/(bx_nb-1))+(bx_phi/2)*-0.866025,NA()),NA())</f>
        <v/>
      </c>
      <c r="AI10">
        <f>IF(4&lt;bx_nb,(bx_h-d1_bx)+(bx_phi/2)*-0.500000,NA())</f>
        <v/>
      </c>
      <c r="AK10">
        <f>IF(inputs_ok,IF(4&lt;bx_nb,(d1_bx+4*(bx_b-2*d1_bx)/(bx_nb-1))+(bx_phi/2)*-0.866025,NA()),NA())</f>
        <v/>
      </c>
      <c r="AL10">
        <f>IF(4&lt;bx_nb,(d1_bx)+(bx_phi/2)*-0.500000,NA())</f>
        <v/>
      </c>
      <c r="AN10">
        <f>IF(inputs_ok,IF(5&lt;bx_nb,(d1_bx+5*(bx_b-2*d1_bx)/(bx_nb-1))+(bx_phi/2)*-0.866025,NA()),NA())</f>
        <v/>
      </c>
      <c r="AO10">
        <f>IF(5&lt;bx_nb,(bx_h-d1_bx)+(bx_phi/2)*-0.500000,NA())</f>
        <v/>
      </c>
      <c r="AQ10">
        <f>IF(inputs_ok,IF(5&lt;bx_nb,(d1_bx+5*(bx_b-2*d1_bx)/(bx_nb-1))+(bx_phi/2)*-0.866025,NA()),NA())</f>
        <v/>
      </c>
      <c r="AR10">
        <f>IF(5&lt;bx_nb,(d1_bx)+(bx_phi/2)*-0.500000,NA())</f>
        <v/>
      </c>
      <c r="AT10">
        <f>IF(inputs_ok,IF(6&lt;bx_nb,(d1_bx+6*(bx_b-2*d1_bx)/(bx_nb-1))+(bx_phi/2)*-0.866025,NA()),NA())</f>
        <v/>
      </c>
      <c r="AU10">
        <f>IF(6&lt;bx_nb,(bx_h-d1_bx)+(bx_phi/2)*-0.500000,NA())</f>
        <v/>
      </c>
      <c r="AW10">
        <f>IF(inputs_ok,IF(6&lt;bx_nb,(d1_bx+6*(bx_b-2*d1_bx)/(bx_nb-1))+(bx_phi/2)*-0.866025,NA()),NA())</f>
        <v/>
      </c>
      <c r="AX10">
        <f>IF(6&lt;bx_nb,(d1_bx)+(bx_phi/2)*-0.500000,NA())</f>
        <v/>
      </c>
      <c r="AZ10">
        <f>IF(inputs_ok,IF(7&lt;bx_nb,(d1_bx+7*(bx_b-2*d1_bx)/(bx_nb-1))+(bx_phi/2)*-0.866025,NA()),NA())</f>
        <v/>
      </c>
      <c r="BA10">
        <f>IF(7&lt;bx_nb,(bx_h-d1_bx)+(bx_phi/2)*-0.500000,NA())</f>
        <v/>
      </c>
      <c r="BC10">
        <f>IF(inputs_ok,IF(7&lt;bx_nb,(d1_bx+7*(bx_b-2*d1_bx)/(bx_nb-1))+(bx_phi/2)*-0.866025,NA()),NA())</f>
        <v/>
      </c>
      <c r="BD10">
        <f>IF(7&lt;bx_nb,(d1_bx)+(bx_phi/2)*-0.500000,NA())</f>
        <v/>
      </c>
      <c r="BF10">
        <f>IF(inputs_ok,IF(8&lt;bx_nb,(d1_bx+8*(bx_b-2*d1_bx)/(bx_nb-1))+(bx_phi/2)*-0.866025,NA()),NA())</f>
        <v/>
      </c>
      <c r="BG10">
        <f>IF(8&lt;bx_nb,(bx_h-d1_bx)+(bx_phi/2)*-0.500000,NA())</f>
        <v/>
      </c>
      <c r="BI10">
        <f>IF(inputs_ok,IF(8&lt;bx_nb,(d1_bx+8*(bx_b-2*d1_bx)/(bx_nb-1))+(bx_phi/2)*-0.866025,NA()),NA())</f>
        <v/>
      </c>
      <c r="BJ10">
        <f>IF(8&lt;bx_nb,(d1_bx)+(bx_phi/2)*-0.500000,NA())</f>
        <v/>
      </c>
      <c r="BL10">
        <f>IF(inputs_ok,IF(9&lt;bx_nb,(d1_bx+9*(bx_b-2*d1_bx)/(bx_nb-1))+(bx_phi/2)*-0.866025,NA()),NA())</f>
        <v/>
      </c>
      <c r="BM10">
        <f>IF(9&lt;bx_nb,(bx_h-d1_bx)+(bx_phi/2)*-0.500000,NA())</f>
        <v/>
      </c>
      <c r="BO10">
        <f>IF(inputs_ok,IF(9&lt;bx_nb,(d1_bx+9*(bx_b-2*d1_bx)/(bx_nb-1))+(bx_phi/2)*-0.866025,NA()),NA())</f>
        <v/>
      </c>
      <c r="BP10">
        <f>IF(9&lt;bx_nb,(d1_bx)+(bx_phi/2)*-0.500000,NA())</f>
        <v/>
      </c>
      <c r="BR10">
        <f>IF(inputs_ok,IF(1&lt;bx_nh-1,(d1_bx)+(bx_phi/2)*-0.866025,NA()),NA())</f>
        <v/>
      </c>
      <c r="BS10">
        <f>IF(1&lt;bx_nh-1,(d1_bx+1*(bx_h-2*d1_bx)/(bx_nh-1))+(bx_phi/2)*-0.500000,NA())</f>
        <v/>
      </c>
      <c r="BU10">
        <f>IF(inputs_ok,IF(1&lt;bx_nh-1,(bx_b-d1_bx)+(bx_phi/2)*-0.866025,NA()),NA())</f>
        <v/>
      </c>
      <c r="BV10">
        <f>IF(1&lt;bx_nh-1,(d1_bx+1*(bx_h-2*d1_bx)/(bx_nh-1))+(bx_phi/2)*-0.500000,NA())</f>
        <v/>
      </c>
      <c r="BX10">
        <f>IF(inputs_ok,IF(2&lt;bx_nh-1,(d1_bx)+(bx_phi/2)*-0.866025,NA()),NA())</f>
        <v/>
      </c>
      <c r="BY10">
        <f>IF(2&lt;bx_nh-1,(d1_bx+2*(bx_h-2*d1_bx)/(bx_nh-1))+(bx_phi/2)*-0.500000,NA())</f>
        <v/>
      </c>
      <c r="CA10">
        <f>IF(inputs_ok,IF(2&lt;bx_nh-1,(bx_b-d1_bx)+(bx_phi/2)*-0.866025,NA()),NA())</f>
        <v/>
      </c>
      <c r="CB10">
        <f>IF(2&lt;bx_nh-1,(d1_bx+2*(bx_h-2*d1_bx)/(bx_nh-1))+(bx_phi/2)*-0.500000,NA())</f>
        <v/>
      </c>
      <c r="CD10">
        <f>IF(inputs_ok,IF(3&lt;bx_nh-1,(d1_bx)+(bx_phi/2)*-0.866025,NA()),NA())</f>
        <v/>
      </c>
      <c r="CE10">
        <f>IF(3&lt;bx_nh-1,(d1_bx+3*(bx_h-2*d1_bx)/(bx_nh-1))+(bx_phi/2)*-0.500000,NA())</f>
        <v/>
      </c>
      <c r="CG10">
        <f>IF(inputs_ok,IF(3&lt;bx_nh-1,(bx_b-d1_bx)+(bx_phi/2)*-0.866025,NA()),NA())</f>
        <v/>
      </c>
      <c r="CH10">
        <f>IF(3&lt;bx_nh-1,(d1_bx+3*(bx_h-2*d1_bx)/(bx_nh-1))+(bx_phi/2)*-0.500000,NA())</f>
        <v/>
      </c>
      <c r="CJ10">
        <f>IF(inputs_ok,IF(4&lt;bx_nh-1,(d1_bx)+(bx_phi/2)*-0.866025,NA()),NA())</f>
        <v/>
      </c>
      <c r="CK10">
        <f>IF(4&lt;bx_nh-1,(d1_bx+4*(bx_h-2*d1_bx)/(bx_nh-1))+(bx_phi/2)*-0.500000,NA())</f>
        <v/>
      </c>
      <c r="CM10">
        <f>IF(inputs_ok,IF(4&lt;bx_nh-1,(bx_b-d1_bx)+(bx_phi/2)*-0.866025,NA()),NA())</f>
        <v/>
      </c>
      <c r="CN10">
        <f>IF(4&lt;bx_nh-1,(d1_bx+4*(bx_h-2*d1_bx)/(bx_nh-1))+(bx_phi/2)*-0.500000,NA())</f>
        <v/>
      </c>
      <c r="CP10">
        <f>IF(inputs_ok,IF(5&lt;bx_nh-1,(d1_bx)+(bx_phi/2)*-0.866025,NA()),NA())</f>
        <v/>
      </c>
      <c r="CQ10">
        <f>IF(5&lt;bx_nh-1,(d1_bx+5*(bx_h-2*d1_bx)/(bx_nh-1))+(bx_phi/2)*-0.500000,NA())</f>
        <v/>
      </c>
      <c r="CS10">
        <f>IF(inputs_ok,IF(5&lt;bx_nh-1,(bx_b-d1_bx)+(bx_phi/2)*-0.866025,NA()),NA())</f>
        <v/>
      </c>
      <c r="CT10">
        <f>IF(5&lt;bx_nh-1,(d1_bx+5*(bx_h-2*d1_bx)/(bx_nh-1))+(bx_phi/2)*-0.500000,NA())</f>
        <v/>
      </c>
      <c r="CV10">
        <f>IF(inputs_ok,IF(6&lt;bx_nh-1,(d1_bx)+(bx_phi/2)*-0.866025,NA()),NA())</f>
        <v/>
      </c>
      <c r="CW10">
        <f>IF(6&lt;bx_nh-1,(d1_bx+6*(bx_h-2*d1_bx)/(bx_nh-1))+(bx_phi/2)*-0.500000,NA())</f>
        <v/>
      </c>
      <c r="CY10">
        <f>IF(inputs_ok,IF(6&lt;bx_nh-1,(bx_b-d1_bx)+(bx_phi/2)*-0.866025,NA()),NA())</f>
        <v/>
      </c>
      <c r="CZ10">
        <f>IF(6&lt;bx_nh-1,(d1_bx+6*(bx_h-2*d1_bx)/(bx_nh-1))+(bx_phi/2)*-0.500000,NA())</f>
        <v/>
      </c>
      <c r="DB10">
        <f>IF(inputs_ok,IF(7&lt;bx_nh-1,(d1_bx)+(bx_phi/2)*-0.866025,NA()),NA())</f>
        <v/>
      </c>
      <c r="DC10">
        <f>IF(7&lt;bx_nh-1,(d1_bx+7*(bx_h-2*d1_bx)/(bx_nh-1))+(bx_phi/2)*-0.500000,NA())</f>
        <v/>
      </c>
      <c r="DE10">
        <f>IF(inputs_ok,IF(7&lt;bx_nh-1,(bx_b-d1_bx)+(bx_phi/2)*-0.866025,NA()),NA())</f>
        <v/>
      </c>
      <c r="DF10">
        <f>IF(7&lt;bx_nh-1,(d1_bx+7*(bx_h-2*d1_bx)/(bx_nh-1))+(bx_phi/2)*-0.500000,NA())</f>
        <v/>
      </c>
      <c r="DH10">
        <f>IF(inputs_ok,IF(8&lt;bx_nh-1,(d1_bx)+(bx_phi/2)*-0.866025,NA()),NA())</f>
        <v/>
      </c>
      <c r="DI10">
        <f>IF(8&lt;bx_nh-1,(d1_bx+8*(bx_h-2*d1_bx)/(bx_nh-1))+(bx_phi/2)*-0.500000,NA())</f>
        <v/>
      </c>
      <c r="DK10">
        <f>IF(inputs_ok,IF(8&lt;bx_nh-1,(bx_b-d1_bx)+(bx_phi/2)*-0.866025,NA()),NA())</f>
        <v/>
      </c>
      <c r="DL10">
        <f>IF(8&lt;bx_nh-1,(d1_bx+8*(bx_h-2*d1_bx)/(bx_nh-1))+(bx_phi/2)*-0.500000,NA())</f>
        <v/>
      </c>
      <c r="EX10">
        <f>IF(inputs_ok,((0.962455236)^a_bx+(0.271440450)^a_bx)^(-1/a_bx)*0.962455236,NA())</f>
        <v/>
      </c>
      <c r="EY10">
        <f>((0.962455236)^a_bx+(0.271440450)^a_bx)^(-1/a_bx)*0.271440450</f>
        <v/>
      </c>
    </row>
    <row r="11">
      <c r="J11">
        <f>IF(inputs_ok,IF(0&lt;bx_nb,(d1_bx+0*(bx_b-2*d1_bx)/(bx_nb-1))+(bx_phi/2)*-0.500000,NA()),NA())</f>
        <v/>
      </c>
      <c r="K11">
        <f>IF(0&lt;bx_nb,(bx_h-d1_bx)+(bx_phi/2)*-0.866025,NA())</f>
        <v/>
      </c>
      <c r="M11">
        <f>IF(inputs_ok,IF(0&lt;bx_nb,(d1_bx+0*(bx_b-2*d1_bx)/(bx_nb-1))+(bx_phi/2)*-0.500000,NA()),NA())</f>
        <v/>
      </c>
      <c r="N11">
        <f>IF(0&lt;bx_nb,(d1_bx)+(bx_phi/2)*-0.866025,NA())</f>
        <v/>
      </c>
      <c r="P11">
        <f>IF(inputs_ok,IF(1&lt;bx_nb,(d1_bx+1*(bx_b-2*d1_bx)/(bx_nb-1))+(bx_phi/2)*-0.500000,NA()),NA())</f>
        <v/>
      </c>
      <c r="Q11">
        <f>IF(1&lt;bx_nb,(bx_h-d1_bx)+(bx_phi/2)*-0.866025,NA())</f>
        <v/>
      </c>
      <c r="S11">
        <f>IF(inputs_ok,IF(1&lt;bx_nb,(d1_bx+1*(bx_b-2*d1_bx)/(bx_nb-1))+(bx_phi/2)*-0.500000,NA()),NA())</f>
        <v/>
      </c>
      <c r="T11">
        <f>IF(1&lt;bx_nb,(d1_bx)+(bx_phi/2)*-0.866025,NA())</f>
        <v/>
      </c>
      <c r="V11">
        <f>IF(inputs_ok,IF(2&lt;bx_nb,(d1_bx+2*(bx_b-2*d1_bx)/(bx_nb-1))+(bx_phi/2)*-0.500000,NA()),NA())</f>
        <v/>
      </c>
      <c r="W11">
        <f>IF(2&lt;bx_nb,(bx_h-d1_bx)+(bx_phi/2)*-0.866025,NA())</f>
        <v/>
      </c>
      <c r="Y11">
        <f>IF(inputs_ok,IF(2&lt;bx_nb,(d1_bx+2*(bx_b-2*d1_bx)/(bx_nb-1))+(bx_phi/2)*-0.500000,NA()),NA())</f>
        <v/>
      </c>
      <c r="Z11">
        <f>IF(2&lt;bx_nb,(d1_bx)+(bx_phi/2)*-0.866025,NA())</f>
        <v/>
      </c>
      <c r="AB11">
        <f>IF(inputs_ok,IF(3&lt;bx_nb,(d1_bx+3*(bx_b-2*d1_bx)/(bx_nb-1))+(bx_phi/2)*-0.500000,NA()),NA())</f>
        <v/>
      </c>
      <c r="AC11">
        <f>IF(3&lt;bx_nb,(bx_h-d1_bx)+(bx_phi/2)*-0.866025,NA())</f>
        <v/>
      </c>
      <c r="AE11">
        <f>IF(inputs_ok,IF(3&lt;bx_nb,(d1_bx+3*(bx_b-2*d1_bx)/(bx_nb-1))+(bx_phi/2)*-0.500000,NA()),NA())</f>
        <v/>
      </c>
      <c r="AF11">
        <f>IF(3&lt;bx_nb,(d1_bx)+(bx_phi/2)*-0.866025,NA())</f>
        <v/>
      </c>
      <c r="AH11">
        <f>IF(inputs_ok,IF(4&lt;bx_nb,(d1_bx+4*(bx_b-2*d1_bx)/(bx_nb-1))+(bx_phi/2)*-0.500000,NA()),NA())</f>
        <v/>
      </c>
      <c r="AI11">
        <f>IF(4&lt;bx_nb,(bx_h-d1_bx)+(bx_phi/2)*-0.866025,NA())</f>
        <v/>
      </c>
      <c r="AK11">
        <f>IF(inputs_ok,IF(4&lt;bx_nb,(d1_bx+4*(bx_b-2*d1_bx)/(bx_nb-1))+(bx_phi/2)*-0.500000,NA()),NA())</f>
        <v/>
      </c>
      <c r="AL11">
        <f>IF(4&lt;bx_nb,(d1_bx)+(bx_phi/2)*-0.866025,NA())</f>
        <v/>
      </c>
      <c r="AN11">
        <f>IF(inputs_ok,IF(5&lt;bx_nb,(d1_bx+5*(bx_b-2*d1_bx)/(bx_nb-1))+(bx_phi/2)*-0.500000,NA()),NA())</f>
        <v/>
      </c>
      <c r="AO11">
        <f>IF(5&lt;bx_nb,(bx_h-d1_bx)+(bx_phi/2)*-0.866025,NA())</f>
        <v/>
      </c>
      <c r="AQ11">
        <f>IF(inputs_ok,IF(5&lt;bx_nb,(d1_bx+5*(bx_b-2*d1_bx)/(bx_nb-1))+(bx_phi/2)*-0.500000,NA()),NA())</f>
        <v/>
      </c>
      <c r="AR11">
        <f>IF(5&lt;bx_nb,(d1_bx)+(bx_phi/2)*-0.866025,NA())</f>
        <v/>
      </c>
      <c r="AT11">
        <f>IF(inputs_ok,IF(6&lt;bx_nb,(d1_bx+6*(bx_b-2*d1_bx)/(bx_nb-1))+(bx_phi/2)*-0.500000,NA()),NA())</f>
        <v/>
      </c>
      <c r="AU11">
        <f>IF(6&lt;bx_nb,(bx_h-d1_bx)+(bx_phi/2)*-0.866025,NA())</f>
        <v/>
      </c>
      <c r="AW11">
        <f>IF(inputs_ok,IF(6&lt;bx_nb,(d1_bx+6*(bx_b-2*d1_bx)/(bx_nb-1))+(bx_phi/2)*-0.500000,NA()),NA())</f>
        <v/>
      </c>
      <c r="AX11">
        <f>IF(6&lt;bx_nb,(d1_bx)+(bx_phi/2)*-0.866025,NA())</f>
        <v/>
      </c>
      <c r="AZ11">
        <f>IF(inputs_ok,IF(7&lt;bx_nb,(d1_bx+7*(bx_b-2*d1_bx)/(bx_nb-1))+(bx_phi/2)*-0.500000,NA()),NA())</f>
        <v/>
      </c>
      <c r="BA11">
        <f>IF(7&lt;bx_nb,(bx_h-d1_bx)+(bx_phi/2)*-0.866025,NA())</f>
        <v/>
      </c>
      <c r="BC11">
        <f>IF(inputs_ok,IF(7&lt;bx_nb,(d1_bx+7*(bx_b-2*d1_bx)/(bx_nb-1))+(bx_phi/2)*-0.500000,NA()),NA())</f>
        <v/>
      </c>
      <c r="BD11">
        <f>IF(7&lt;bx_nb,(d1_bx)+(bx_phi/2)*-0.866025,NA())</f>
        <v/>
      </c>
      <c r="BF11">
        <f>IF(inputs_ok,IF(8&lt;bx_nb,(d1_bx+8*(bx_b-2*d1_bx)/(bx_nb-1))+(bx_phi/2)*-0.500000,NA()),NA())</f>
        <v/>
      </c>
      <c r="BG11">
        <f>IF(8&lt;bx_nb,(bx_h-d1_bx)+(bx_phi/2)*-0.866025,NA())</f>
        <v/>
      </c>
      <c r="BI11">
        <f>IF(inputs_ok,IF(8&lt;bx_nb,(d1_bx+8*(bx_b-2*d1_bx)/(bx_nb-1))+(bx_phi/2)*-0.500000,NA()),NA())</f>
        <v/>
      </c>
      <c r="BJ11">
        <f>IF(8&lt;bx_nb,(d1_bx)+(bx_phi/2)*-0.866025,NA())</f>
        <v/>
      </c>
      <c r="BL11">
        <f>IF(inputs_ok,IF(9&lt;bx_nb,(d1_bx+9*(bx_b-2*d1_bx)/(bx_nb-1))+(bx_phi/2)*-0.500000,NA()),NA())</f>
        <v/>
      </c>
      <c r="BM11">
        <f>IF(9&lt;bx_nb,(bx_h-d1_bx)+(bx_phi/2)*-0.866025,NA())</f>
        <v/>
      </c>
      <c r="BO11">
        <f>IF(inputs_ok,IF(9&lt;bx_nb,(d1_bx+9*(bx_b-2*d1_bx)/(bx_nb-1))+(bx_phi/2)*-0.500000,NA()),NA())</f>
        <v/>
      </c>
      <c r="BP11">
        <f>IF(9&lt;bx_nb,(d1_bx)+(bx_phi/2)*-0.866025,NA())</f>
        <v/>
      </c>
      <c r="BR11">
        <f>IF(inputs_ok,IF(1&lt;bx_nh-1,(d1_bx)+(bx_phi/2)*-0.500000,NA()),NA())</f>
        <v/>
      </c>
      <c r="BS11">
        <f>IF(1&lt;bx_nh-1,(d1_bx+1*(bx_h-2*d1_bx)/(bx_nh-1))+(bx_phi/2)*-0.866025,NA())</f>
        <v/>
      </c>
      <c r="BU11">
        <f>IF(inputs_ok,IF(1&lt;bx_nh-1,(bx_b-d1_bx)+(bx_phi/2)*-0.500000,NA()),NA())</f>
        <v/>
      </c>
      <c r="BV11">
        <f>IF(1&lt;bx_nh-1,(d1_bx+1*(bx_h-2*d1_bx)/(bx_nh-1))+(bx_phi/2)*-0.866025,NA())</f>
        <v/>
      </c>
      <c r="BX11">
        <f>IF(inputs_ok,IF(2&lt;bx_nh-1,(d1_bx)+(bx_phi/2)*-0.500000,NA()),NA())</f>
        <v/>
      </c>
      <c r="BY11">
        <f>IF(2&lt;bx_nh-1,(d1_bx+2*(bx_h-2*d1_bx)/(bx_nh-1))+(bx_phi/2)*-0.866025,NA())</f>
        <v/>
      </c>
      <c r="CA11">
        <f>IF(inputs_ok,IF(2&lt;bx_nh-1,(bx_b-d1_bx)+(bx_phi/2)*-0.500000,NA()),NA())</f>
        <v/>
      </c>
      <c r="CB11">
        <f>IF(2&lt;bx_nh-1,(d1_bx+2*(bx_h-2*d1_bx)/(bx_nh-1))+(bx_phi/2)*-0.866025,NA())</f>
        <v/>
      </c>
      <c r="CD11">
        <f>IF(inputs_ok,IF(3&lt;bx_nh-1,(d1_bx)+(bx_phi/2)*-0.500000,NA()),NA())</f>
        <v/>
      </c>
      <c r="CE11">
        <f>IF(3&lt;bx_nh-1,(d1_bx+3*(bx_h-2*d1_bx)/(bx_nh-1))+(bx_phi/2)*-0.866025,NA())</f>
        <v/>
      </c>
      <c r="CG11">
        <f>IF(inputs_ok,IF(3&lt;bx_nh-1,(bx_b-d1_bx)+(bx_phi/2)*-0.500000,NA()),NA())</f>
        <v/>
      </c>
      <c r="CH11">
        <f>IF(3&lt;bx_nh-1,(d1_bx+3*(bx_h-2*d1_bx)/(bx_nh-1))+(bx_phi/2)*-0.866025,NA())</f>
        <v/>
      </c>
      <c r="CJ11">
        <f>IF(inputs_ok,IF(4&lt;bx_nh-1,(d1_bx)+(bx_phi/2)*-0.500000,NA()),NA())</f>
        <v/>
      </c>
      <c r="CK11">
        <f>IF(4&lt;bx_nh-1,(d1_bx+4*(bx_h-2*d1_bx)/(bx_nh-1))+(bx_phi/2)*-0.866025,NA())</f>
        <v/>
      </c>
      <c r="CM11">
        <f>IF(inputs_ok,IF(4&lt;bx_nh-1,(bx_b-d1_bx)+(bx_phi/2)*-0.500000,NA()),NA())</f>
        <v/>
      </c>
      <c r="CN11">
        <f>IF(4&lt;bx_nh-1,(d1_bx+4*(bx_h-2*d1_bx)/(bx_nh-1))+(bx_phi/2)*-0.866025,NA())</f>
        <v/>
      </c>
      <c r="CP11">
        <f>IF(inputs_ok,IF(5&lt;bx_nh-1,(d1_bx)+(bx_phi/2)*-0.500000,NA()),NA())</f>
        <v/>
      </c>
      <c r="CQ11">
        <f>IF(5&lt;bx_nh-1,(d1_bx+5*(bx_h-2*d1_bx)/(bx_nh-1))+(bx_phi/2)*-0.866025,NA())</f>
        <v/>
      </c>
      <c r="CS11">
        <f>IF(inputs_ok,IF(5&lt;bx_nh-1,(bx_b-d1_bx)+(bx_phi/2)*-0.500000,NA()),NA())</f>
        <v/>
      </c>
      <c r="CT11">
        <f>IF(5&lt;bx_nh-1,(d1_bx+5*(bx_h-2*d1_bx)/(bx_nh-1))+(bx_phi/2)*-0.866025,NA())</f>
        <v/>
      </c>
      <c r="CV11">
        <f>IF(inputs_ok,IF(6&lt;bx_nh-1,(d1_bx)+(bx_phi/2)*-0.500000,NA()),NA())</f>
        <v/>
      </c>
      <c r="CW11">
        <f>IF(6&lt;bx_nh-1,(d1_bx+6*(bx_h-2*d1_bx)/(bx_nh-1))+(bx_phi/2)*-0.866025,NA())</f>
        <v/>
      </c>
      <c r="CY11">
        <f>IF(inputs_ok,IF(6&lt;bx_nh-1,(bx_b-d1_bx)+(bx_phi/2)*-0.500000,NA()),NA())</f>
        <v/>
      </c>
      <c r="CZ11">
        <f>IF(6&lt;bx_nh-1,(d1_bx+6*(bx_h-2*d1_bx)/(bx_nh-1))+(bx_phi/2)*-0.866025,NA())</f>
        <v/>
      </c>
      <c r="DB11">
        <f>IF(inputs_ok,IF(7&lt;bx_nh-1,(d1_bx)+(bx_phi/2)*-0.500000,NA()),NA())</f>
        <v/>
      </c>
      <c r="DC11">
        <f>IF(7&lt;bx_nh-1,(d1_bx+7*(bx_h-2*d1_bx)/(bx_nh-1))+(bx_phi/2)*-0.866025,NA())</f>
        <v/>
      </c>
      <c r="DE11">
        <f>IF(inputs_ok,IF(7&lt;bx_nh-1,(bx_b-d1_bx)+(bx_phi/2)*-0.500000,NA()),NA())</f>
        <v/>
      </c>
      <c r="DF11">
        <f>IF(7&lt;bx_nh-1,(d1_bx+7*(bx_h-2*d1_bx)/(bx_nh-1))+(bx_phi/2)*-0.866025,NA())</f>
        <v/>
      </c>
      <c r="DH11">
        <f>IF(inputs_ok,IF(8&lt;bx_nh-1,(d1_bx)+(bx_phi/2)*-0.500000,NA()),NA())</f>
        <v/>
      </c>
      <c r="DI11">
        <f>IF(8&lt;bx_nh-1,(d1_bx+8*(bx_h-2*d1_bx)/(bx_nh-1))+(bx_phi/2)*-0.866025,NA())</f>
        <v/>
      </c>
      <c r="DK11">
        <f>IF(inputs_ok,IF(8&lt;bx_nh-1,(bx_b-d1_bx)+(bx_phi/2)*-0.500000,NA()),NA())</f>
        <v/>
      </c>
      <c r="DL11">
        <f>IF(8&lt;bx_nh-1,(d1_bx+8*(bx_h-2*d1_bx)/(bx_nh-1))+(bx_phi/2)*-0.866025,NA())</f>
        <v/>
      </c>
      <c r="EX11">
        <f>IF(inputs_ok,((0.951056516)^a_bx+(0.309016994)^a_bx)^(-1/a_bx)*0.951056516,NA())</f>
        <v/>
      </c>
      <c r="EY11">
        <f>((0.951056516)^a_bx+(0.309016994)^a_bx)^(-1/a_bx)*0.309016994</f>
        <v/>
      </c>
    </row>
    <row r="12">
      <c r="J12">
        <f>IF(inputs_ok,IF(0&lt;bx_nb,(d1_bx+0*(bx_b-2*d1_bx)/(bx_nb-1))+(bx_phi/2)*-0.000000,NA()),NA())</f>
        <v/>
      </c>
      <c r="K12">
        <f>IF(0&lt;bx_nb,(bx_h-d1_bx)+(bx_phi/2)*-1.000000,NA())</f>
        <v/>
      </c>
      <c r="M12">
        <f>IF(inputs_ok,IF(0&lt;bx_nb,(d1_bx+0*(bx_b-2*d1_bx)/(bx_nb-1))+(bx_phi/2)*-0.000000,NA()),NA())</f>
        <v/>
      </c>
      <c r="N12">
        <f>IF(0&lt;bx_nb,(d1_bx)+(bx_phi/2)*-1.000000,NA())</f>
        <v/>
      </c>
      <c r="P12">
        <f>IF(inputs_ok,IF(1&lt;bx_nb,(d1_bx+1*(bx_b-2*d1_bx)/(bx_nb-1))+(bx_phi/2)*-0.000000,NA()),NA())</f>
        <v/>
      </c>
      <c r="Q12">
        <f>IF(1&lt;bx_nb,(bx_h-d1_bx)+(bx_phi/2)*-1.000000,NA())</f>
        <v/>
      </c>
      <c r="S12">
        <f>IF(inputs_ok,IF(1&lt;bx_nb,(d1_bx+1*(bx_b-2*d1_bx)/(bx_nb-1))+(bx_phi/2)*-0.000000,NA()),NA())</f>
        <v/>
      </c>
      <c r="T12">
        <f>IF(1&lt;bx_nb,(d1_bx)+(bx_phi/2)*-1.000000,NA())</f>
        <v/>
      </c>
      <c r="V12">
        <f>IF(inputs_ok,IF(2&lt;bx_nb,(d1_bx+2*(bx_b-2*d1_bx)/(bx_nb-1))+(bx_phi/2)*-0.000000,NA()),NA())</f>
        <v/>
      </c>
      <c r="W12">
        <f>IF(2&lt;bx_nb,(bx_h-d1_bx)+(bx_phi/2)*-1.000000,NA())</f>
        <v/>
      </c>
      <c r="Y12">
        <f>IF(inputs_ok,IF(2&lt;bx_nb,(d1_bx+2*(bx_b-2*d1_bx)/(bx_nb-1))+(bx_phi/2)*-0.000000,NA()),NA())</f>
        <v/>
      </c>
      <c r="Z12">
        <f>IF(2&lt;bx_nb,(d1_bx)+(bx_phi/2)*-1.000000,NA())</f>
        <v/>
      </c>
      <c r="AB12">
        <f>IF(inputs_ok,IF(3&lt;bx_nb,(d1_bx+3*(bx_b-2*d1_bx)/(bx_nb-1))+(bx_phi/2)*-0.000000,NA()),NA())</f>
        <v/>
      </c>
      <c r="AC12">
        <f>IF(3&lt;bx_nb,(bx_h-d1_bx)+(bx_phi/2)*-1.000000,NA())</f>
        <v/>
      </c>
      <c r="AE12">
        <f>IF(inputs_ok,IF(3&lt;bx_nb,(d1_bx+3*(bx_b-2*d1_bx)/(bx_nb-1))+(bx_phi/2)*-0.000000,NA()),NA())</f>
        <v/>
      </c>
      <c r="AF12">
        <f>IF(3&lt;bx_nb,(d1_bx)+(bx_phi/2)*-1.000000,NA())</f>
        <v/>
      </c>
      <c r="AH12">
        <f>IF(inputs_ok,IF(4&lt;bx_nb,(d1_bx+4*(bx_b-2*d1_bx)/(bx_nb-1))+(bx_phi/2)*-0.000000,NA()),NA())</f>
        <v/>
      </c>
      <c r="AI12">
        <f>IF(4&lt;bx_nb,(bx_h-d1_bx)+(bx_phi/2)*-1.000000,NA())</f>
        <v/>
      </c>
      <c r="AK12">
        <f>IF(inputs_ok,IF(4&lt;bx_nb,(d1_bx+4*(bx_b-2*d1_bx)/(bx_nb-1))+(bx_phi/2)*-0.000000,NA()),NA())</f>
        <v/>
      </c>
      <c r="AL12">
        <f>IF(4&lt;bx_nb,(d1_bx)+(bx_phi/2)*-1.000000,NA())</f>
        <v/>
      </c>
      <c r="AN12">
        <f>IF(inputs_ok,IF(5&lt;bx_nb,(d1_bx+5*(bx_b-2*d1_bx)/(bx_nb-1))+(bx_phi/2)*-0.000000,NA()),NA())</f>
        <v/>
      </c>
      <c r="AO12">
        <f>IF(5&lt;bx_nb,(bx_h-d1_bx)+(bx_phi/2)*-1.000000,NA())</f>
        <v/>
      </c>
      <c r="AQ12">
        <f>IF(inputs_ok,IF(5&lt;bx_nb,(d1_bx+5*(bx_b-2*d1_bx)/(bx_nb-1))+(bx_phi/2)*-0.000000,NA()),NA())</f>
        <v/>
      </c>
      <c r="AR12">
        <f>IF(5&lt;bx_nb,(d1_bx)+(bx_phi/2)*-1.000000,NA())</f>
        <v/>
      </c>
      <c r="AT12">
        <f>IF(inputs_ok,IF(6&lt;bx_nb,(d1_bx+6*(bx_b-2*d1_bx)/(bx_nb-1))+(bx_phi/2)*-0.000000,NA()),NA())</f>
        <v/>
      </c>
      <c r="AU12">
        <f>IF(6&lt;bx_nb,(bx_h-d1_bx)+(bx_phi/2)*-1.000000,NA())</f>
        <v/>
      </c>
      <c r="AW12">
        <f>IF(inputs_ok,IF(6&lt;bx_nb,(d1_bx+6*(bx_b-2*d1_bx)/(bx_nb-1))+(bx_phi/2)*-0.000000,NA()),NA())</f>
        <v/>
      </c>
      <c r="AX12">
        <f>IF(6&lt;bx_nb,(d1_bx)+(bx_phi/2)*-1.000000,NA())</f>
        <v/>
      </c>
      <c r="AZ12">
        <f>IF(inputs_ok,IF(7&lt;bx_nb,(d1_bx+7*(bx_b-2*d1_bx)/(bx_nb-1))+(bx_phi/2)*-0.000000,NA()),NA())</f>
        <v/>
      </c>
      <c r="BA12">
        <f>IF(7&lt;bx_nb,(bx_h-d1_bx)+(bx_phi/2)*-1.000000,NA())</f>
        <v/>
      </c>
      <c r="BC12">
        <f>IF(inputs_ok,IF(7&lt;bx_nb,(d1_bx+7*(bx_b-2*d1_bx)/(bx_nb-1))+(bx_phi/2)*-0.000000,NA()),NA())</f>
        <v/>
      </c>
      <c r="BD12">
        <f>IF(7&lt;bx_nb,(d1_bx)+(bx_phi/2)*-1.000000,NA())</f>
        <v/>
      </c>
      <c r="BF12">
        <f>IF(inputs_ok,IF(8&lt;bx_nb,(d1_bx+8*(bx_b-2*d1_bx)/(bx_nb-1))+(bx_phi/2)*-0.000000,NA()),NA())</f>
        <v/>
      </c>
      <c r="BG12">
        <f>IF(8&lt;bx_nb,(bx_h-d1_bx)+(bx_phi/2)*-1.000000,NA())</f>
        <v/>
      </c>
      <c r="BI12">
        <f>IF(inputs_ok,IF(8&lt;bx_nb,(d1_bx+8*(bx_b-2*d1_bx)/(bx_nb-1))+(bx_phi/2)*-0.000000,NA()),NA())</f>
        <v/>
      </c>
      <c r="BJ12">
        <f>IF(8&lt;bx_nb,(d1_bx)+(bx_phi/2)*-1.000000,NA())</f>
        <v/>
      </c>
      <c r="BL12">
        <f>IF(inputs_ok,IF(9&lt;bx_nb,(d1_bx+9*(bx_b-2*d1_bx)/(bx_nb-1))+(bx_phi/2)*-0.000000,NA()),NA())</f>
        <v/>
      </c>
      <c r="BM12">
        <f>IF(9&lt;bx_nb,(bx_h-d1_bx)+(bx_phi/2)*-1.000000,NA())</f>
        <v/>
      </c>
      <c r="BO12">
        <f>IF(inputs_ok,IF(9&lt;bx_nb,(d1_bx+9*(bx_b-2*d1_bx)/(bx_nb-1))+(bx_phi/2)*-0.000000,NA()),NA())</f>
        <v/>
      </c>
      <c r="BP12">
        <f>IF(9&lt;bx_nb,(d1_bx)+(bx_phi/2)*-1.000000,NA())</f>
        <v/>
      </c>
      <c r="BR12">
        <f>IF(inputs_ok,IF(1&lt;bx_nh-1,(d1_bx)+(bx_phi/2)*-0.000000,NA()),NA())</f>
        <v/>
      </c>
      <c r="BS12">
        <f>IF(1&lt;bx_nh-1,(d1_bx+1*(bx_h-2*d1_bx)/(bx_nh-1))+(bx_phi/2)*-1.000000,NA())</f>
        <v/>
      </c>
      <c r="BU12">
        <f>IF(inputs_ok,IF(1&lt;bx_nh-1,(bx_b-d1_bx)+(bx_phi/2)*-0.000000,NA()),NA())</f>
        <v/>
      </c>
      <c r="BV12">
        <f>IF(1&lt;bx_nh-1,(d1_bx+1*(bx_h-2*d1_bx)/(bx_nh-1))+(bx_phi/2)*-1.000000,NA())</f>
        <v/>
      </c>
      <c r="BX12">
        <f>IF(inputs_ok,IF(2&lt;bx_nh-1,(d1_bx)+(bx_phi/2)*-0.000000,NA()),NA())</f>
        <v/>
      </c>
      <c r="BY12">
        <f>IF(2&lt;bx_nh-1,(d1_bx+2*(bx_h-2*d1_bx)/(bx_nh-1))+(bx_phi/2)*-1.000000,NA())</f>
        <v/>
      </c>
      <c r="CA12">
        <f>IF(inputs_ok,IF(2&lt;bx_nh-1,(bx_b-d1_bx)+(bx_phi/2)*-0.000000,NA()),NA())</f>
        <v/>
      </c>
      <c r="CB12">
        <f>IF(2&lt;bx_nh-1,(d1_bx+2*(bx_h-2*d1_bx)/(bx_nh-1))+(bx_phi/2)*-1.000000,NA())</f>
        <v/>
      </c>
      <c r="CD12">
        <f>IF(inputs_ok,IF(3&lt;bx_nh-1,(d1_bx)+(bx_phi/2)*-0.000000,NA()),NA())</f>
        <v/>
      </c>
      <c r="CE12">
        <f>IF(3&lt;bx_nh-1,(d1_bx+3*(bx_h-2*d1_bx)/(bx_nh-1))+(bx_phi/2)*-1.000000,NA())</f>
        <v/>
      </c>
      <c r="CG12">
        <f>IF(inputs_ok,IF(3&lt;bx_nh-1,(bx_b-d1_bx)+(bx_phi/2)*-0.000000,NA()),NA())</f>
        <v/>
      </c>
      <c r="CH12">
        <f>IF(3&lt;bx_nh-1,(d1_bx+3*(bx_h-2*d1_bx)/(bx_nh-1))+(bx_phi/2)*-1.000000,NA())</f>
        <v/>
      </c>
      <c r="CJ12">
        <f>IF(inputs_ok,IF(4&lt;bx_nh-1,(d1_bx)+(bx_phi/2)*-0.000000,NA()),NA())</f>
        <v/>
      </c>
      <c r="CK12">
        <f>IF(4&lt;bx_nh-1,(d1_bx+4*(bx_h-2*d1_bx)/(bx_nh-1))+(bx_phi/2)*-1.000000,NA())</f>
        <v/>
      </c>
      <c r="CM12">
        <f>IF(inputs_ok,IF(4&lt;bx_nh-1,(bx_b-d1_bx)+(bx_phi/2)*-0.000000,NA()),NA())</f>
        <v/>
      </c>
      <c r="CN12">
        <f>IF(4&lt;bx_nh-1,(d1_bx+4*(bx_h-2*d1_bx)/(bx_nh-1))+(bx_phi/2)*-1.000000,NA())</f>
        <v/>
      </c>
      <c r="CP12">
        <f>IF(inputs_ok,IF(5&lt;bx_nh-1,(d1_bx)+(bx_phi/2)*-0.000000,NA()),NA())</f>
        <v/>
      </c>
      <c r="CQ12">
        <f>IF(5&lt;bx_nh-1,(d1_bx+5*(bx_h-2*d1_bx)/(bx_nh-1))+(bx_phi/2)*-1.000000,NA())</f>
        <v/>
      </c>
      <c r="CS12">
        <f>IF(inputs_ok,IF(5&lt;bx_nh-1,(bx_b-d1_bx)+(bx_phi/2)*-0.000000,NA()),NA())</f>
        <v/>
      </c>
      <c r="CT12">
        <f>IF(5&lt;bx_nh-1,(d1_bx+5*(bx_h-2*d1_bx)/(bx_nh-1))+(bx_phi/2)*-1.000000,NA())</f>
        <v/>
      </c>
      <c r="CV12">
        <f>IF(inputs_ok,IF(6&lt;bx_nh-1,(d1_bx)+(bx_phi/2)*-0.000000,NA()),NA())</f>
        <v/>
      </c>
      <c r="CW12">
        <f>IF(6&lt;bx_nh-1,(d1_bx+6*(bx_h-2*d1_bx)/(bx_nh-1))+(bx_phi/2)*-1.000000,NA())</f>
        <v/>
      </c>
      <c r="CY12">
        <f>IF(inputs_ok,IF(6&lt;bx_nh-1,(bx_b-d1_bx)+(bx_phi/2)*-0.000000,NA()),NA())</f>
        <v/>
      </c>
      <c r="CZ12">
        <f>IF(6&lt;bx_nh-1,(d1_bx+6*(bx_h-2*d1_bx)/(bx_nh-1))+(bx_phi/2)*-1.000000,NA())</f>
        <v/>
      </c>
      <c r="DB12">
        <f>IF(inputs_ok,IF(7&lt;bx_nh-1,(d1_bx)+(bx_phi/2)*-0.000000,NA()),NA())</f>
        <v/>
      </c>
      <c r="DC12">
        <f>IF(7&lt;bx_nh-1,(d1_bx+7*(bx_h-2*d1_bx)/(bx_nh-1))+(bx_phi/2)*-1.000000,NA())</f>
        <v/>
      </c>
      <c r="DE12">
        <f>IF(inputs_ok,IF(7&lt;bx_nh-1,(bx_b-d1_bx)+(bx_phi/2)*-0.000000,NA()),NA())</f>
        <v/>
      </c>
      <c r="DF12">
        <f>IF(7&lt;bx_nh-1,(d1_bx+7*(bx_h-2*d1_bx)/(bx_nh-1))+(bx_phi/2)*-1.000000,NA())</f>
        <v/>
      </c>
      <c r="DH12">
        <f>IF(inputs_ok,IF(8&lt;bx_nh-1,(d1_bx)+(bx_phi/2)*-0.000000,NA()),NA())</f>
        <v/>
      </c>
      <c r="DI12">
        <f>IF(8&lt;bx_nh-1,(d1_bx+8*(bx_h-2*d1_bx)/(bx_nh-1))+(bx_phi/2)*-1.000000,NA())</f>
        <v/>
      </c>
      <c r="DK12">
        <f>IF(inputs_ok,IF(8&lt;bx_nh-1,(bx_b-d1_bx)+(bx_phi/2)*-0.000000,NA()),NA())</f>
        <v/>
      </c>
      <c r="DL12">
        <f>IF(8&lt;bx_nh-1,(d1_bx+8*(bx_h-2*d1_bx)/(bx_nh-1))+(bx_phi/2)*-1.000000,NA())</f>
        <v/>
      </c>
      <c r="EX12">
        <f>IF(inputs_ok,((0.938191336)^a_bx+(0.346117057)^a_bx)^(-1/a_bx)*0.938191336,NA())</f>
        <v/>
      </c>
      <c r="EY12">
        <f>((0.938191336)^a_bx+(0.346117057)^a_bx)^(-1/a_bx)*0.346117057</f>
        <v/>
      </c>
    </row>
    <row r="13">
      <c r="J13">
        <f>IF(inputs_ok,IF(0&lt;bx_nb,(d1_bx+0*(bx_b-2*d1_bx)/(bx_nb-1))+(bx_phi/2)*0.500000,NA()),NA())</f>
        <v/>
      </c>
      <c r="K13">
        <f>IF(0&lt;bx_nb,(bx_h-d1_bx)+(bx_phi/2)*-0.866025,NA())</f>
        <v/>
      </c>
      <c r="M13">
        <f>IF(inputs_ok,IF(0&lt;bx_nb,(d1_bx+0*(bx_b-2*d1_bx)/(bx_nb-1))+(bx_phi/2)*0.500000,NA()),NA())</f>
        <v/>
      </c>
      <c r="N13">
        <f>IF(0&lt;bx_nb,(d1_bx)+(bx_phi/2)*-0.866025,NA())</f>
        <v/>
      </c>
      <c r="P13">
        <f>IF(inputs_ok,IF(1&lt;bx_nb,(d1_bx+1*(bx_b-2*d1_bx)/(bx_nb-1))+(bx_phi/2)*0.500000,NA()),NA())</f>
        <v/>
      </c>
      <c r="Q13">
        <f>IF(1&lt;bx_nb,(bx_h-d1_bx)+(bx_phi/2)*-0.866025,NA())</f>
        <v/>
      </c>
      <c r="S13">
        <f>IF(inputs_ok,IF(1&lt;bx_nb,(d1_bx+1*(bx_b-2*d1_bx)/(bx_nb-1))+(bx_phi/2)*0.500000,NA()),NA())</f>
        <v/>
      </c>
      <c r="T13">
        <f>IF(1&lt;bx_nb,(d1_bx)+(bx_phi/2)*-0.866025,NA())</f>
        <v/>
      </c>
      <c r="V13">
        <f>IF(inputs_ok,IF(2&lt;bx_nb,(d1_bx+2*(bx_b-2*d1_bx)/(bx_nb-1))+(bx_phi/2)*0.500000,NA()),NA())</f>
        <v/>
      </c>
      <c r="W13">
        <f>IF(2&lt;bx_nb,(bx_h-d1_bx)+(bx_phi/2)*-0.866025,NA())</f>
        <v/>
      </c>
      <c r="Y13">
        <f>IF(inputs_ok,IF(2&lt;bx_nb,(d1_bx+2*(bx_b-2*d1_bx)/(bx_nb-1))+(bx_phi/2)*0.500000,NA()),NA())</f>
        <v/>
      </c>
      <c r="Z13">
        <f>IF(2&lt;bx_nb,(d1_bx)+(bx_phi/2)*-0.866025,NA())</f>
        <v/>
      </c>
      <c r="AB13">
        <f>IF(inputs_ok,IF(3&lt;bx_nb,(d1_bx+3*(bx_b-2*d1_bx)/(bx_nb-1))+(bx_phi/2)*0.500000,NA()),NA())</f>
        <v/>
      </c>
      <c r="AC13">
        <f>IF(3&lt;bx_nb,(bx_h-d1_bx)+(bx_phi/2)*-0.866025,NA())</f>
        <v/>
      </c>
      <c r="AE13">
        <f>IF(inputs_ok,IF(3&lt;bx_nb,(d1_bx+3*(bx_b-2*d1_bx)/(bx_nb-1))+(bx_phi/2)*0.500000,NA()),NA())</f>
        <v/>
      </c>
      <c r="AF13">
        <f>IF(3&lt;bx_nb,(d1_bx)+(bx_phi/2)*-0.866025,NA())</f>
        <v/>
      </c>
      <c r="AH13">
        <f>IF(inputs_ok,IF(4&lt;bx_nb,(d1_bx+4*(bx_b-2*d1_bx)/(bx_nb-1))+(bx_phi/2)*0.500000,NA()),NA())</f>
        <v/>
      </c>
      <c r="AI13">
        <f>IF(4&lt;bx_nb,(bx_h-d1_bx)+(bx_phi/2)*-0.866025,NA())</f>
        <v/>
      </c>
      <c r="AK13">
        <f>IF(inputs_ok,IF(4&lt;bx_nb,(d1_bx+4*(bx_b-2*d1_bx)/(bx_nb-1))+(bx_phi/2)*0.500000,NA()),NA())</f>
        <v/>
      </c>
      <c r="AL13">
        <f>IF(4&lt;bx_nb,(d1_bx)+(bx_phi/2)*-0.866025,NA())</f>
        <v/>
      </c>
      <c r="AN13">
        <f>IF(inputs_ok,IF(5&lt;bx_nb,(d1_bx+5*(bx_b-2*d1_bx)/(bx_nb-1))+(bx_phi/2)*0.500000,NA()),NA())</f>
        <v/>
      </c>
      <c r="AO13">
        <f>IF(5&lt;bx_nb,(bx_h-d1_bx)+(bx_phi/2)*-0.866025,NA())</f>
        <v/>
      </c>
      <c r="AQ13">
        <f>IF(inputs_ok,IF(5&lt;bx_nb,(d1_bx+5*(bx_b-2*d1_bx)/(bx_nb-1))+(bx_phi/2)*0.500000,NA()),NA())</f>
        <v/>
      </c>
      <c r="AR13">
        <f>IF(5&lt;bx_nb,(d1_bx)+(bx_phi/2)*-0.866025,NA())</f>
        <v/>
      </c>
      <c r="AT13">
        <f>IF(inputs_ok,IF(6&lt;bx_nb,(d1_bx+6*(bx_b-2*d1_bx)/(bx_nb-1))+(bx_phi/2)*0.500000,NA()),NA())</f>
        <v/>
      </c>
      <c r="AU13">
        <f>IF(6&lt;bx_nb,(bx_h-d1_bx)+(bx_phi/2)*-0.866025,NA())</f>
        <v/>
      </c>
      <c r="AW13">
        <f>IF(inputs_ok,IF(6&lt;bx_nb,(d1_bx+6*(bx_b-2*d1_bx)/(bx_nb-1))+(bx_phi/2)*0.500000,NA()),NA())</f>
        <v/>
      </c>
      <c r="AX13">
        <f>IF(6&lt;bx_nb,(d1_bx)+(bx_phi/2)*-0.866025,NA())</f>
        <v/>
      </c>
      <c r="AZ13">
        <f>IF(inputs_ok,IF(7&lt;bx_nb,(d1_bx+7*(bx_b-2*d1_bx)/(bx_nb-1))+(bx_phi/2)*0.500000,NA()),NA())</f>
        <v/>
      </c>
      <c r="BA13">
        <f>IF(7&lt;bx_nb,(bx_h-d1_bx)+(bx_phi/2)*-0.866025,NA())</f>
        <v/>
      </c>
      <c r="BC13">
        <f>IF(inputs_ok,IF(7&lt;bx_nb,(d1_bx+7*(bx_b-2*d1_bx)/(bx_nb-1))+(bx_phi/2)*0.500000,NA()),NA())</f>
        <v/>
      </c>
      <c r="BD13">
        <f>IF(7&lt;bx_nb,(d1_bx)+(bx_phi/2)*-0.866025,NA())</f>
        <v/>
      </c>
      <c r="BF13">
        <f>IF(inputs_ok,IF(8&lt;bx_nb,(d1_bx+8*(bx_b-2*d1_bx)/(bx_nb-1))+(bx_phi/2)*0.500000,NA()),NA())</f>
        <v/>
      </c>
      <c r="BG13">
        <f>IF(8&lt;bx_nb,(bx_h-d1_bx)+(bx_phi/2)*-0.866025,NA())</f>
        <v/>
      </c>
      <c r="BI13">
        <f>IF(inputs_ok,IF(8&lt;bx_nb,(d1_bx+8*(bx_b-2*d1_bx)/(bx_nb-1))+(bx_phi/2)*0.500000,NA()),NA())</f>
        <v/>
      </c>
      <c r="BJ13">
        <f>IF(8&lt;bx_nb,(d1_bx)+(bx_phi/2)*-0.866025,NA())</f>
        <v/>
      </c>
      <c r="BL13">
        <f>IF(inputs_ok,IF(9&lt;bx_nb,(d1_bx+9*(bx_b-2*d1_bx)/(bx_nb-1))+(bx_phi/2)*0.500000,NA()),NA())</f>
        <v/>
      </c>
      <c r="BM13">
        <f>IF(9&lt;bx_nb,(bx_h-d1_bx)+(bx_phi/2)*-0.866025,NA())</f>
        <v/>
      </c>
      <c r="BO13">
        <f>IF(inputs_ok,IF(9&lt;bx_nb,(d1_bx+9*(bx_b-2*d1_bx)/(bx_nb-1))+(bx_phi/2)*0.500000,NA()),NA())</f>
        <v/>
      </c>
      <c r="BP13">
        <f>IF(9&lt;bx_nb,(d1_bx)+(bx_phi/2)*-0.866025,NA())</f>
        <v/>
      </c>
      <c r="BR13">
        <f>IF(inputs_ok,IF(1&lt;bx_nh-1,(d1_bx)+(bx_phi/2)*0.500000,NA()),NA())</f>
        <v/>
      </c>
      <c r="BS13">
        <f>IF(1&lt;bx_nh-1,(d1_bx+1*(bx_h-2*d1_bx)/(bx_nh-1))+(bx_phi/2)*-0.866025,NA())</f>
        <v/>
      </c>
      <c r="BU13">
        <f>IF(inputs_ok,IF(1&lt;bx_nh-1,(bx_b-d1_bx)+(bx_phi/2)*0.500000,NA()),NA())</f>
        <v/>
      </c>
      <c r="BV13">
        <f>IF(1&lt;bx_nh-1,(d1_bx+1*(bx_h-2*d1_bx)/(bx_nh-1))+(bx_phi/2)*-0.866025,NA())</f>
        <v/>
      </c>
      <c r="BX13">
        <f>IF(inputs_ok,IF(2&lt;bx_nh-1,(d1_bx)+(bx_phi/2)*0.500000,NA()),NA())</f>
        <v/>
      </c>
      <c r="BY13">
        <f>IF(2&lt;bx_nh-1,(d1_bx+2*(bx_h-2*d1_bx)/(bx_nh-1))+(bx_phi/2)*-0.866025,NA())</f>
        <v/>
      </c>
      <c r="CA13">
        <f>IF(inputs_ok,IF(2&lt;bx_nh-1,(bx_b-d1_bx)+(bx_phi/2)*0.500000,NA()),NA())</f>
        <v/>
      </c>
      <c r="CB13">
        <f>IF(2&lt;bx_nh-1,(d1_bx+2*(bx_h-2*d1_bx)/(bx_nh-1))+(bx_phi/2)*-0.866025,NA())</f>
        <v/>
      </c>
      <c r="CD13">
        <f>IF(inputs_ok,IF(3&lt;bx_nh-1,(d1_bx)+(bx_phi/2)*0.500000,NA()),NA())</f>
        <v/>
      </c>
      <c r="CE13">
        <f>IF(3&lt;bx_nh-1,(d1_bx+3*(bx_h-2*d1_bx)/(bx_nh-1))+(bx_phi/2)*-0.866025,NA())</f>
        <v/>
      </c>
      <c r="CG13">
        <f>IF(inputs_ok,IF(3&lt;bx_nh-1,(bx_b-d1_bx)+(bx_phi/2)*0.500000,NA()),NA())</f>
        <v/>
      </c>
      <c r="CH13">
        <f>IF(3&lt;bx_nh-1,(d1_bx+3*(bx_h-2*d1_bx)/(bx_nh-1))+(bx_phi/2)*-0.866025,NA())</f>
        <v/>
      </c>
      <c r="CJ13">
        <f>IF(inputs_ok,IF(4&lt;bx_nh-1,(d1_bx)+(bx_phi/2)*0.500000,NA()),NA())</f>
        <v/>
      </c>
      <c r="CK13">
        <f>IF(4&lt;bx_nh-1,(d1_bx+4*(bx_h-2*d1_bx)/(bx_nh-1))+(bx_phi/2)*-0.866025,NA())</f>
        <v/>
      </c>
      <c r="CM13">
        <f>IF(inputs_ok,IF(4&lt;bx_nh-1,(bx_b-d1_bx)+(bx_phi/2)*0.500000,NA()),NA())</f>
        <v/>
      </c>
      <c r="CN13">
        <f>IF(4&lt;bx_nh-1,(d1_bx+4*(bx_h-2*d1_bx)/(bx_nh-1))+(bx_phi/2)*-0.866025,NA())</f>
        <v/>
      </c>
      <c r="CP13">
        <f>IF(inputs_ok,IF(5&lt;bx_nh-1,(d1_bx)+(bx_phi/2)*0.500000,NA()),NA())</f>
        <v/>
      </c>
      <c r="CQ13">
        <f>IF(5&lt;bx_nh-1,(d1_bx+5*(bx_h-2*d1_bx)/(bx_nh-1))+(bx_phi/2)*-0.866025,NA())</f>
        <v/>
      </c>
      <c r="CS13">
        <f>IF(inputs_ok,IF(5&lt;bx_nh-1,(bx_b-d1_bx)+(bx_phi/2)*0.500000,NA()),NA())</f>
        <v/>
      </c>
      <c r="CT13">
        <f>IF(5&lt;bx_nh-1,(d1_bx+5*(bx_h-2*d1_bx)/(bx_nh-1))+(bx_phi/2)*-0.866025,NA())</f>
        <v/>
      </c>
      <c r="CV13">
        <f>IF(inputs_ok,IF(6&lt;bx_nh-1,(d1_bx)+(bx_phi/2)*0.500000,NA()),NA())</f>
        <v/>
      </c>
      <c r="CW13">
        <f>IF(6&lt;bx_nh-1,(d1_bx+6*(bx_h-2*d1_bx)/(bx_nh-1))+(bx_phi/2)*-0.866025,NA())</f>
        <v/>
      </c>
      <c r="CY13">
        <f>IF(inputs_ok,IF(6&lt;bx_nh-1,(bx_b-d1_bx)+(bx_phi/2)*0.500000,NA()),NA())</f>
        <v/>
      </c>
      <c r="CZ13">
        <f>IF(6&lt;bx_nh-1,(d1_bx+6*(bx_h-2*d1_bx)/(bx_nh-1))+(bx_phi/2)*-0.866025,NA())</f>
        <v/>
      </c>
      <c r="DB13">
        <f>IF(inputs_ok,IF(7&lt;bx_nh-1,(d1_bx)+(bx_phi/2)*0.500000,NA()),NA())</f>
        <v/>
      </c>
      <c r="DC13">
        <f>IF(7&lt;bx_nh-1,(d1_bx+7*(bx_h-2*d1_bx)/(bx_nh-1))+(bx_phi/2)*-0.866025,NA())</f>
        <v/>
      </c>
      <c r="DE13">
        <f>IF(inputs_ok,IF(7&lt;bx_nh-1,(bx_b-d1_bx)+(bx_phi/2)*0.500000,NA()),NA())</f>
        <v/>
      </c>
      <c r="DF13">
        <f>IF(7&lt;bx_nh-1,(d1_bx+7*(bx_h-2*d1_bx)/(bx_nh-1))+(bx_phi/2)*-0.866025,NA())</f>
        <v/>
      </c>
      <c r="DH13">
        <f>IF(inputs_ok,IF(8&lt;bx_nh-1,(d1_bx)+(bx_phi/2)*0.500000,NA()),NA())</f>
        <v/>
      </c>
      <c r="DI13">
        <f>IF(8&lt;bx_nh-1,(d1_bx+8*(bx_h-2*d1_bx)/(bx_nh-1))+(bx_phi/2)*-0.866025,NA())</f>
        <v/>
      </c>
      <c r="DK13">
        <f>IF(inputs_ok,IF(8&lt;bx_nh-1,(bx_b-d1_bx)+(bx_phi/2)*0.500000,NA()),NA())</f>
        <v/>
      </c>
      <c r="DL13">
        <f>IF(8&lt;bx_nh-1,(d1_bx+8*(bx_h-2*d1_bx)/(bx_nh-1))+(bx_phi/2)*-0.866025,NA())</f>
        <v/>
      </c>
      <c r="EX13">
        <f>IF(inputs_ok,((0.923879533)^a_bx+(0.382683432)^a_bx)^(-1/a_bx)*0.923879533,NA())</f>
        <v/>
      </c>
      <c r="EY13">
        <f>((0.923879533)^a_bx+(0.382683432)^a_bx)^(-1/a_bx)*0.382683432</f>
        <v/>
      </c>
    </row>
    <row r="14">
      <c r="J14">
        <f>IF(inputs_ok,IF(0&lt;bx_nb,(d1_bx+0*(bx_b-2*d1_bx)/(bx_nb-1))+(bx_phi/2)*0.866025,NA()),NA())</f>
        <v/>
      </c>
      <c r="K14">
        <f>IF(0&lt;bx_nb,(bx_h-d1_bx)+(bx_phi/2)*-0.500000,NA())</f>
        <v/>
      </c>
      <c r="M14">
        <f>IF(inputs_ok,IF(0&lt;bx_nb,(d1_bx+0*(bx_b-2*d1_bx)/(bx_nb-1))+(bx_phi/2)*0.866025,NA()),NA())</f>
        <v/>
      </c>
      <c r="N14">
        <f>IF(0&lt;bx_nb,(d1_bx)+(bx_phi/2)*-0.500000,NA())</f>
        <v/>
      </c>
      <c r="P14">
        <f>IF(inputs_ok,IF(1&lt;bx_nb,(d1_bx+1*(bx_b-2*d1_bx)/(bx_nb-1))+(bx_phi/2)*0.866025,NA()),NA())</f>
        <v/>
      </c>
      <c r="Q14">
        <f>IF(1&lt;bx_nb,(bx_h-d1_bx)+(bx_phi/2)*-0.500000,NA())</f>
        <v/>
      </c>
      <c r="S14">
        <f>IF(inputs_ok,IF(1&lt;bx_nb,(d1_bx+1*(bx_b-2*d1_bx)/(bx_nb-1))+(bx_phi/2)*0.866025,NA()),NA())</f>
        <v/>
      </c>
      <c r="T14">
        <f>IF(1&lt;bx_nb,(d1_bx)+(bx_phi/2)*-0.500000,NA())</f>
        <v/>
      </c>
      <c r="V14">
        <f>IF(inputs_ok,IF(2&lt;bx_nb,(d1_bx+2*(bx_b-2*d1_bx)/(bx_nb-1))+(bx_phi/2)*0.866025,NA()),NA())</f>
        <v/>
      </c>
      <c r="W14">
        <f>IF(2&lt;bx_nb,(bx_h-d1_bx)+(bx_phi/2)*-0.500000,NA())</f>
        <v/>
      </c>
      <c r="Y14">
        <f>IF(inputs_ok,IF(2&lt;bx_nb,(d1_bx+2*(bx_b-2*d1_bx)/(bx_nb-1))+(bx_phi/2)*0.866025,NA()),NA())</f>
        <v/>
      </c>
      <c r="Z14">
        <f>IF(2&lt;bx_nb,(d1_bx)+(bx_phi/2)*-0.500000,NA())</f>
        <v/>
      </c>
      <c r="AB14">
        <f>IF(inputs_ok,IF(3&lt;bx_nb,(d1_bx+3*(bx_b-2*d1_bx)/(bx_nb-1))+(bx_phi/2)*0.866025,NA()),NA())</f>
        <v/>
      </c>
      <c r="AC14">
        <f>IF(3&lt;bx_nb,(bx_h-d1_bx)+(bx_phi/2)*-0.500000,NA())</f>
        <v/>
      </c>
      <c r="AE14">
        <f>IF(inputs_ok,IF(3&lt;bx_nb,(d1_bx+3*(bx_b-2*d1_bx)/(bx_nb-1))+(bx_phi/2)*0.866025,NA()),NA())</f>
        <v/>
      </c>
      <c r="AF14">
        <f>IF(3&lt;bx_nb,(d1_bx)+(bx_phi/2)*-0.500000,NA())</f>
        <v/>
      </c>
      <c r="AH14">
        <f>IF(inputs_ok,IF(4&lt;bx_nb,(d1_bx+4*(bx_b-2*d1_bx)/(bx_nb-1))+(bx_phi/2)*0.866025,NA()),NA())</f>
        <v/>
      </c>
      <c r="AI14">
        <f>IF(4&lt;bx_nb,(bx_h-d1_bx)+(bx_phi/2)*-0.500000,NA())</f>
        <v/>
      </c>
      <c r="AK14">
        <f>IF(inputs_ok,IF(4&lt;bx_nb,(d1_bx+4*(bx_b-2*d1_bx)/(bx_nb-1))+(bx_phi/2)*0.866025,NA()),NA())</f>
        <v/>
      </c>
      <c r="AL14">
        <f>IF(4&lt;bx_nb,(d1_bx)+(bx_phi/2)*-0.500000,NA())</f>
        <v/>
      </c>
      <c r="AN14">
        <f>IF(inputs_ok,IF(5&lt;bx_nb,(d1_bx+5*(bx_b-2*d1_bx)/(bx_nb-1))+(bx_phi/2)*0.866025,NA()),NA())</f>
        <v/>
      </c>
      <c r="AO14">
        <f>IF(5&lt;bx_nb,(bx_h-d1_bx)+(bx_phi/2)*-0.500000,NA())</f>
        <v/>
      </c>
      <c r="AQ14">
        <f>IF(inputs_ok,IF(5&lt;bx_nb,(d1_bx+5*(bx_b-2*d1_bx)/(bx_nb-1))+(bx_phi/2)*0.866025,NA()),NA())</f>
        <v/>
      </c>
      <c r="AR14">
        <f>IF(5&lt;bx_nb,(d1_bx)+(bx_phi/2)*-0.500000,NA())</f>
        <v/>
      </c>
      <c r="AT14">
        <f>IF(inputs_ok,IF(6&lt;bx_nb,(d1_bx+6*(bx_b-2*d1_bx)/(bx_nb-1))+(bx_phi/2)*0.866025,NA()),NA())</f>
        <v/>
      </c>
      <c r="AU14">
        <f>IF(6&lt;bx_nb,(bx_h-d1_bx)+(bx_phi/2)*-0.500000,NA())</f>
        <v/>
      </c>
      <c r="AW14">
        <f>IF(inputs_ok,IF(6&lt;bx_nb,(d1_bx+6*(bx_b-2*d1_bx)/(bx_nb-1))+(bx_phi/2)*0.866025,NA()),NA())</f>
        <v/>
      </c>
      <c r="AX14">
        <f>IF(6&lt;bx_nb,(d1_bx)+(bx_phi/2)*-0.500000,NA())</f>
        <v/>
      </c>
      <c r="AZ14">
        <f>IF(inputs_ok,IF(7&lt;bx_nb,(d1_bx+7*(bx_b-2*d1_bx)/(bx_nb-1))+(bx_phi/2)*0.866025,NA()),NA())</f>
        <v/>
      </c>
      <c r="BA14">
        <f>IF(7&lt;bx_nb,(bx_h-d1_bx)+(bx_phi/2)*-0.500000,NA())</f>
        <v/>
      </c>
      <c r="BC14">
        <f>IF(inputs_ok,IF(7&lt;bx_nb,(d1_bx+7*(bx_b-2*d1_bx)/(bx_nb-1))+(bx_phi/2)*0.866025,NA()),NA())</f>
        <v/>
      </c>
      <c r="BD14">
        <f>IF(7&lt;bx_nb,(d1_bx)+(bx_phi/2)*-0.500000,NA())</f>
        <v/>
      </c>
      <c r="BF14">
        <f>IF(inputs_ok,IF(8&lt;bx_nb,(d1_bx+8*(bx_b-2*d1_bx)/(bx_nb-1))+(bx_phi/2)*0.866025,NA()),NA())</f>
        <v/>
      </c>
      <c r="BG14">
        <f>IF(8&lt;bx_nb,(bx_h-d1_bx)+(bx_phi/2)*-0.500000,NA())</f>
        <v/>
      </c>
      <c r="BI14">
        <f>IF(inputs_ok,IF(8&lt;bx_nb,(d1_bx+8*(bx_b-2*d1_bx)/(bx_nb-1))+(bx_phi/2)*0.866025,NA()),NA())</f>
        <v/>
      </c>
      <c r="BJ14">
        <f>IF(8&lt;bx_nb,(d1_bx)+(bx_phi/2)*-0.500000,NA())</f>
        <v/>
      </c>
      <c r="BL14">
        <f>IF(inputs_ok,IF(9&lt;bx_nb,(d1_bx+9*(bx_b-2*d1_bx)/(bx_nb-1))+(bx_phi/2)*0.866025,NA()),NA())</f>
        <v/>
      </c>
      <c r="BM14">
        <f>IF(9&lt;bx_nb,(bx_h-d1_bx)+(bx_phi/2)*-0.500000,NA())</f>
        <v/>
      </c>
      <c r="BO14">
        <f>IF(inputs_ok,IF(9&lt;bx_nb,(d1_bx+9*(bx_b-2*d1_bx)/(bx_nb-1))+(bx_phi/2)*0.866025,NA()),NA())</f>
        <v/>
      </c>
      <c r="BP14">
        <f>IF(9&lt;bx_nb,(d1_bx)+(bx_phi/2)*-0.500000,NA())</f>
        <v/>
      </c>
      <c r="BR14">
        <f>IF(inputs_ok,IF(1&lt;bx_nh-1,(d1_bx)+(bx_phi/2)*0.866025,NA()),NA())</f>
        <v/>
      </c>
      <c r="BS14">
        <f>IF(1&lt;bx_nh-1,(d1_bx+1*(bx_h-2*d1_bx)/(bx_nh-1))+(bx_phi/2)*-0.500000,NA())</f>
        <v/>
      </c>
      <c r="BU14">
        <f>IF(inputs_ok,IF(1&lt;bx_nh-1,(bx_b-d1_bx)+(bx_phi/2)*0.866025,NA()),NA())</f>
        <v/>
      </c>
      <c r="BV14">
        <f>IF(1&lt;bx_nh-1,(d1_bx+1*(bx_h-2*d1_bx)/(bx_nh-1))+(bx_phi/2)*-0.500000,NA())</f>
        <v/>
      </c>
      <c r="BX14">
        <f>IF(inputs_ok,IF(2&lt;bx_nh-1,(d1_bx)+(bx_phi/2)*0.866025,NA()),NA())</f>
        <v/>
      </c>
      <c r="BY14">
        <f>IF(2&lt;bx_nh-1,(d1_bx+2*(bx_h-2*d1_bx)/(bx_nh-1))+(bx_phi/2)*-0.500000,NA())</f>
        <v/>
      </c>
      <c r="CA14">
        <f>IF(inputs_ok,IF(2&lt;bx_nh-1,(bx_b-d1_bx)+(bx_phi/2)*0.866025,NA()),NA())</f>
        <v/>
      </c>
      <c r="CB14">
        <f>IF(2&lt;bx_nh-1,(d1_bx+2*(bx_h-2*d1_bx)/(bx_nh-1))+(bx_phi/2)*-0.500000,NA())</f>
        <v/>
      </c>
      <c r="CD14">
        <f>IF(inputs_ok,IF(3&lt;bx_nh-1,(d1_bx)+(bx_phi/2)*0.866025,NA()),NA())</f>
        <v/>
      </c>
      <c r="CE14">
        <f>IF(3&lt;bx_nh-1,(d1_bx+3*(bx_h-2*d1_bx)/(bx_nh-1))+(bx_phi/2)*-0.500000,NA())</f>
        <v/>
      </c>
      <c r="CG14">
        <f>IF(inputs_ok,IF(3&lt;bx_nh-1,(bx_b-d1_bx)+(bx_phi/2)*0.866025,NA()),NA())</f>
        <v/>
      </c>
      <c r="CH14">
        <f>IF(3&lt;bx_nh-1,(d1_bx+3*(bx_h-2*d1_bx)/(bx_nh-1))+(bx_phi/2)*-0.500000,NA())</f>
        <v/>
      </c>
      <c r="CJ14">
        <f>IF(inputs_ok,IF(4&lt;bx_nh-1,(d1_bx)+(bx_phi/2)*0.866025,NA()),NA())</f>
        <v/>
      </c>
      <c r="CK14">
        <f>IF(4&lt;bx_nh-1,(d1_bx+4*(bx_h-2*d1_bx)/(bx_nh-1))+(bx_phi/2)*-0.500000,NA())</f>
        <v/>
      </c>
      <c r="CM14">
        <f>IF(inputs_ok,IF(4&lt;bx_nh-1,(bx_b-d1_bx)+(bx_phi/2)*0.866025,NA()),NA())</f>
        <v/>
      </c>
      <c r="CN14">
        <f>IF(4&lt;bx_nh-1,(d1_bx+4*(bx_h-2*d1_bx)/(bx_nh-1))+(bx_phi/2)*-0.500000,NA())</f>
        <v/>
      </c>
      <c r="CP14">
        <f>IF(inputs_ok,IF(5&lt;bx_nh-1,(d1_bx)+(bx_phi/2)*0.866025,NA()),NA())</f>
        <v/>
      </c>
      <c r="CQ14">
        <f>IF(5&lt;bx_nh-1,(d1_bx+5*(bx_h-2*d1_bx)/(bx_nh-1))+(bx_phi/2)*-0.500000,NA())</f>
        <v/>
      </c>
      <c r="CS14">
        <f>IF(inputs_ok,IF(5&lt;bx_nh-1,(bx_b-d1_bx)+(bx_phi/2)*0.866025,NA()),NA())</f>
        <v/>
      </c>
      <c r="CT14">
        <f>IF(5&lt;bx_nh-1,(d1_bx+5*(bx_h-2*d1_bx)/(bx_nh-1))+(bx_phi/2)*-0.500000,NA())</f>
        <v/>
      </c>
      <c r="CV14">
        <f>IF(inputs_ok,IF(6&lt;bx_nh-1,(d1_bx)+(bx_phi/2)*0.866025,NA()),NA())</f>
        <v/>
      </c>
      <c r="CW14">
        <f>IF(6&lt;bx_nh-1,(d1_bx+6*(bx_h-2*d1_bx)/(bx_nh-1))+(bx_phi/2)*-0.500000,NA())</f>
        <v/>
      </c>
      <c r="CY14">
        <f>IF(inputs_ok,IF(6&lt;bx_nh-1,(bx_b-d1_bx)+(bx_phi/2)*0.866025,NA()),NA())</f>
        <v/>
      </c>
      <c r="CZ14">
        <f>IF(6&lt;bx_nh-1,(d1_bx+6*(bx_h-2*d1_bx)/(bx_nh-1))+(bx_phi/2)*-0.500000,NA())</f>
        <v/>
      </c>
      <c r="DB14">
        <f>IF(inputs_ok,IF(7&lt;bx_nh-1,(d1_bx)+(bx_phi/2)*0.866025,NA()),NA())</f>
        <v/>
      </c>
      <c r="DC14">
        <f>IF(7&lt;bx_nh-1,(d1_bx+7*(bx_h-2*d1_bx)/(bx_nh-1))+(bx_phi/2)*-0.500000,NA())</f>
        <v/>
      </c>
      <c r="DE14">
        <f>IF(inputs_ok,IF(7&lt;bx_nh-1,(bx_b-d1_bx)+(bx_phi/2)*0.866025,NA()),NA())</f>
        <v/>
      </c>
      <c r="DF14">
        <f>IF(7&lt;bx_nh-1,(d1_bx+7*(bx_h-2*d1_bx)/(bx_nh-1))+(bx_phi/2)*-0.500000,NA())</f>
        <v/>
      </c>
      <c r="DH14">
        <f>IF(inputs_ok,IF(8&lt;bx_nh-1,(d1_bx)+(bx_phi/2)*0.866025,NA()),NA())</f>
        <v/>
      </c>
      <c r="DI14">
        <f>IF(8&lt;bx_nh-1,(d1_bx+8*(bx_h-2*d1_bx)/(bx_nh-1))+(bx_phi/2)*-0.500000,NA())</f>
        <v/>
      </c>
      <c r="DK14">
        <f>IF(inputs_ok,IF(8&lt;bx_nh-1,(bx_b-d1_bx)+(bx_phi/2)*0.866025,NA()),NA())</f>
        <v/>
      </c>
      <c r="DL14">
        <f>IF(8&lt;bx_nh-1,(d1_bx+8*(bx_h-2*d1_bx)/(bx_nh-1))+(bx_phi/2)*-0.500000,NA())</f>
        <v/>
      </c>
      <c r="EX14">
        <f>IF(inputs_ok,((0.908143174)^a_bx+(0.418659738)^a_bx)^(-1/a_bx)*0.908143174,NA())</f>
        <v/>
      </c>
      <c r="EY14">
        <f>((0.908143174)^a_bx+(0.418659738)^a_bx)^(-1/a_bx)*0.418659738</f>
        <v/>
      </c>
    </row>
    <row r="15">
      <c r="J15">
        <f>IF(inputs_ok,IF(0&lt;bx_nb,(d1_bx+0*(bx_b-2*d1_bx)/(bx_nb-1))+(bx_phi/2)*1.000000,NA()),NA())</f>
        <v/>
      </c>
      <c r="K15">
        <f>IF(0&lt;bx_nb,(bx_h-d1_bx)+(bx_phi/2)*-0.000000,NA())</f>
        <v/>
      </c>
      <c r="M15">
        <f>IF(inputs_ok,IF(0&lt;bx_nb,(d1_bx+0*(bx_b-2*d1_bx)/(bx_nb-1))+(bx_phi/2)*1.000000,NA()),NA())</f>
        <v/>
      </c>
      <c r="N15">
        <f>IF(0&lt;bx_nb,(d1_bx)+(bx_phi/2)*-0.000000,NA())</f>
        <v/>
      </c>
      <c r="P15">
        <f>IF(inputs_ok,IF(1&lt;bx_nb,(d1_bx+1*(bx_b-2*d1_bx)/(bx_nb-1))+(bx_phi/2)*1.000000,NA()),NA())</f>
        <v/>
      </c>
      <c r="Q15">
        <f>IF(1&lt;bx_nb,(bx_h-d1_bx)+(bx_phi/2)*-0.000000,NA())</f>
        <v/>
      </c>
      <c r="S15">
        <f>IF(inputs_ok,IF(1&lt;bx_nb,(d1_bx+1*(bx_b-2*d1_bx)/(bx_nb-1))+(bx_phi/2)*1.000000,NA()),NA())</f>
        <v/>
      </c>
      <c r="T15">
        <f>IF(1&lt;bx_nb,(d1_bx)+(bx_phi/2)*-0.000000,NA())</f>
        <v/>
      </c>
      <c r="V15">
        <f>IF(inputs_ok,IF(2&lt;bx_nb,(d1_bx+2*(bx_b-2*d1_bx)/(bx_nb-1))+(bx_phi/2)*1.000000,NA()),NA())</f>
        <v/>
      </c>
      <c r="W15">
        <f>IF(2&lt;bx_nb,(bx_h-d1_bx)+(bx_phi/2)*-0.000000,NA())</f>
        <v/>
      </c>
      <c r="Y15">
        <f>IF(inputs_ok,IF(2&lt;bx_nb,(d1_bx+2*(bx_b-2*d1_bx)/(bx_nb-1))+(bx_phi/2)*1.000000,NA()),NA())</f>
        <v/>
      </c>
      <c r="Z15">
        <f>IF(2&lt;bx_nb,(d1_bx)+(bx_phi/2)*-0.000000,NA())</f>
        <v/>
      </c>
      <c r="AB15">
        <f>IF(inputs_ok,IF(3&lt;bx_nb,(d1_bx+3*(bx_b-2*d1_bx)/(bx_nb-1))+(bx_phi/2)*1.000000,NA()),NA())</f>
        <v/>
      </c>
      <c r="AC15">
        <f>IF(3&lt;bx_nb,(bx_h-d1_bx)+(bx_phi/2)*-0.000000,NA())</f>
        <v/>
      </c>
      <c r="AE15">
        <f>IF(inputs_ok,IF(3&lt;bx_nb,(d1_bx+3*(bx_b-2*d1_bx)/(bx_nb-1))+(bx_phi/2)*1.000000,NA()),NA())</f>
        <v/>
      </c>
      <c r="AF15">
        <f>IF(3&lt;bx_nb,(d1_bx)+(bx_phi/2)*-0.000000,NA())</f>
        <v/>
      </c>
      <c r="AH15">
        <f>IF(inputs_ok,IF(4&lt;bx_nb,(d1_bx+4*(bx_b-2*d1_bx)/(bx_nb-1))+(bx_phi/2)*1.000000,NA()),NA())</f>
        <v/>
      </c>
      <c r="AI15">
        <f>IF(4&lt;bx_nb,(bx_h-d1_bx)+(bx_phi/2)*-0.000000,NA())</f>
        <v/>
      </c>
      <c r="AK15">
        <f>IF(inputs_ok,IF(4&lt;bx_nb,(d1_bx+4*(bx_b-2*d1_bx)/(bx_nb-1))+(bx_phi/2)*1.000000,NA()),NA())</f>
        <v/>
      </c>
      <c r="AL15">
        <f>IF(4&lt;bx_nb,(d1_bx)+(bx_phi/2)*-0.000000,NA())</f>
        <v/>
      </c>
      <c r="AN15">
        <f>IF(inputs_ok,IF(5&lt;bx_nb,(d1_bx+5*(bx_b-2*d1_bx)/(bx_nb-1))+(bx_phi/2)*1.000000,NA()),NA())</f>
        <v/>
      </c>
      <c r="AO15">
        <f>IF(5&lt;bx_nb,(bx_h-d1_bx)+(bx_phi/2)*-0.000000,NA())</f>
        <v/>
      </c>
      <c r="AQ15">
        <f>IF(inputs_ok,IF(5&lt;bx_nb,(d1_bx+5*(bx_b-2*d1_bx)/(bx_nb-1))+(bx_phi/2)*1.000000,NA()),NA())</f>
        <v/>
      </c>
      <c r="AR15">
        <f>IF(5&lt;bx_nb,(d1_bx)+(bx_phi/2)*-0.000000,NA())</f>
        <v/>
      </c>
      <c r="AT15">
        <f>IF(inputs_ok,IF(6&lt;bx_nb,(d1_bx+6*(bx_b-2*d1_bx)/(bx_nb-1))+(bx_phi/2)*1.000000,NA()),NA())</f>
        <v/>
      </c>
      <c r="AU15">
        <f>IF(6&lt;bx_nb,(bx_h-d1_bx)+(bx_phi/2)*-0.000000,NA())</f>
        <v/>
      </c>
      <c r="AW15">
        <f>IF(inputs_ok,IF(6&lt;bx_nb,(d1_bx+6*(bx_b-2*d1_bx)/(bx_nb-1))+(bx_phi/2)*1.000000,NA()),NA())</f>
        <v/>
      </c>
      <c r="AX15">
        <f>IF(6&lt;bx_nb,(d1_bx)+(bx_phi/2)*-0.000000,NA())</f>
        <v/>
      </c>
      <c r="AZ15">
        <f>IF(inputs_ok,IF(7&lt;bx_nb,(d1_bx+7*(bx_b-2*d1_bx)/(bx_nb-1))+(bx_phi/2)*1.000000,NA()),NA())</f>
        <v/>
      </c>
      <c r="BA15">
        <f>IF(7&lt;bx_nb,(bx_h-d1_bx)+(bx_phi/2)*-0.000000,NA())</f>
        <v/>
      </c>
      <c r="BC15">
        <f>IF(inputs_ok,IF(7&lt;bx_nb,(d1_bx+7*(bx_b-2*d1_bx)/(bx_nb-1))+(bx_phi/2)*1.000000,NA()),NA())</f>
        <v/>
      </c>
      <c r="BD15">
        <f>IF(7&lt;bx_nb,(d1_bx)+(bx_phi/2)*-0.000000,NA())</f>
        <v/>
      </c>
      <c r="BF15">
        <f>IF(inputs_ok,IF(8&lt;bx_nb,(d1_bx+8*(bx_b-2*d1_bx)/(bx_nb-1))+(bx_phi/2)*1.000000,NA()),NA())</f>
        <v/>
      </c>
      <c r="BG15">
        <f>IF(8&lt;bx_nb,(bx_h-d1_bx)+(bx_phi/2)*-0.000000,NA())</f>
        <v/>
      </c>
      <c r="BI15">
        <f>IF(inputs_ok,IF(8&lt;bx_nb,(d1_bx+8*(bx_b-2*d1_bx)/(bx_nb-1))+(bx_phi/2)*1.000000,NA()),NA())</f>
        <v/>
      </c>
      <c r="BJ15">
        <f>IF(8&lt;bx_nb,(d1_bx)+(bx_phi/2)*-0.000000,NA())</f>
        <v/>
      </c>
      <c r="BL15">
        <f>IF(inputs_ok,IF(9&lt;bx_nb,(d1_bx+9*(bx_b-2*d1_bx)/(bx_nb-1))+(bx_phi/2)*1.000000,NA()),NA())</f>
        <v/>
      </c>
      <c r="BM15">
        <f>IF(9&lt;bx_nb,(bx_h-d1_bx)+(bx_phi/2)*-0.000000,NA())</f>
        <v/>
      </c>
      <c r="BO15">
        <f>IF(inputs_ok,IF(9&lt;bx_nb,(d1_bx+9*(bx_b-2*d1_bx)/(bx_nb-1))+(bx_phi/2)*1.000000,NA()),NA())</f>
        <v/>
      </c>
      <c r="BP15">
        <f>IF(9&lt;bx_nb,(d1_bx)+(bx_phi/2)*-0.000000,NA())</f>
        <v/>
      </c>
      <c r="BR15">
        <f>IF(inputs_ok,IF(1&lt;bx_nh-1,(d1_bx)+(bx_phi/2)*1.000000,NA()),NA())</f>
        <v/>
      </c>
      <c r="BS15">
        <f>IF(1&lt;bx_nh-1,(d1_bx+1*(bx_h-2*d1_bx)/(bx_nh-1))+(bx_phi/2)*-0.000000,NA())</f>
        <v/>
      </c>
      <c r="BU15">
        <f>IF(inputs_ok,IF(1&lt;bx_nh-1,(bx_b-d1_bx)+(bx_phi/2)*1.000000,NA()),NA())</f>
        <v/>
      </c>
      <c r="BV15">
        <f>IF(1&lt;bx_nh-1,(d1_bx+1*(bx_h-2*d1_bx)/(bx_nh-1))+(bx_phi/2)*-0.000000,NA())</f>
        <v/>
      </c>
      <c r="BX15">
        <f>IF(inputs_ok,IF(2&lt;bx_nh-1,(d1_bx)+(bx_phi/2)*1.000000,NA()),NA())</f>
        <v/>
      </c>
      <c r="BY15">
        <f>IF(2&lt;bx_nh-1,(d1_bx+2*(bx_h-2*d1_bx)/(bx_nh-1))+(bx_phi/2)*-0.000000,NA())</f>
        <v/>
      </c>
      <c r="CA15">
        <f>IF(inputs_ok,IF(2&lt;bx_nh-1,(bx_b-d1_bx)+(bx_phi/2)*1.000000,NA()),NA())</f>
        <v/>
      </c>
      <c r="CB15">
        <f>IF(2&lt;bx_nh-1,(d1_bx+2*(bx_h-2*d1_bx)/(bx_nh-1))+(bx_phi/2)*-0.000000,NA())</f>
        <v/>
      </c>
      <c r="CD15">
        <f>IF(inputs_ok,IF(3&lt;bx_nh-1,(d1_bx)+(bx_phi/2)*1.000000,NA()),NA())</f>
        <v/>
      </c>
      <c r="CE15">
        <f>IF(3&lt;bx_nh-1,(d1_bx+3*(bx_h-2*d1_bx)/(bx_nh-1))+(bx_phi/2)*-0.000000,NA())</f>
        <v/>
      </c>
      <c r="CG15">
        <f>IF(inputs_ok,IF(3&lt;bx_nh-1,(bx_b-d1_bx)+(bx_phi/2)*1.000000,NA()),NA())</f>
        <v/>
      </c>
      <c r="CH15">
        <f>IF(3&lt;bx_nh-1,(d1_bx+3*(bx_h-2*d1_bx)/(bx_nh-1))+(bx_phi/2)*-0.000000,NA())</f>
        <v/>
      </c>
      <c r="CJ15">
        <f>IF(inputs_ok,IF(4&lt;bx_nh-1,(d1_bx)+(bx_phi/2)*1.000000,NA()),NA())</f>
        <v/>
      </c>
      <c r="CK15">
        <f>IF(4&lt;bx_nh-1,(d1_bx+4*(bx_h-2*d1_bx)/(bx_nh-1))+(bx_phi/2)*-0.000000,NA())</f>
        <v/>
      </c>
      <c r="CM15">
        <f>IF(inputs_ok,IF(4&lt;bx_nh-1,(bx_b-d1_bx)+(bx_phi/2)*1.000000,NA()),NA())</f>
        <v/>
      </c>
      <c r="CN15">
        <f>IF(4&lt;bx_nh-1,(d1_bx+4*(bx_h-2*d1_bx)/(bx_nh-1))+(bx_phi/2)*-0.000000,NA())</f>
        <v/>
      </c>
      <c r="CP15">
        <f>IF(inputs_ok,IF(5&lt;bx_nh-1,(d1_bx)+(bx_phi/2)*1.000000,NA()),NA())</f>
        <v/>
      </c>
      <c r="CQ15">
        <f>IF(5&lt;bx_nh-1,(d1_bx+5*(bx_h-2*d1_bx)/(bx_nh-1))+(bx_phi/2)*-0.000000,NA())</f>
        <v/>
      </c>
      <c r="CS15">
        <f>IF(inputs_ok,IF(5&lt;bx_nh-1,(bx_b-d1_bx)+(bx_phi/2)*1.000000,NA()),NA())</f>
        <v/>
      </c>
      <c r="CT15">
        <f>IF(5&lt;bx_nh-1,(d1_bx+5*(bx_h-2*d1_bx)/(bx_nh-1))+(bx_phi/2)*-0.000000,NA())</f>
        <v/>
      </c>
      <c r="CV15">
        <f>IF(inputs_ok,IF(6&lt;bx_nh-1,(d1_bx)+(bx_phi/2)*1.000000,NA()),NA())</f>
        <v/>
      </c>
      <c r="CW15">
        <f>IF(6&lt;bx_nh-1,(d1_bx+6*(bx_h-2*d1_bx)/(bx_nh-1))+(bx_phi/2)*-0.000000,NA())</f>
        <v/>
      </c>
      <c r="CY15">
        <f>IF(inputs_ok,IF(6&lt;bx_nh-1,(bx_b-d1_bx)+(bx_phi/2)*1.000000,NA()),NA())</f>
        <v/>
      </c>
      <c r="CZ15">
        <f>IF(6&lt;bx_nh-1,(d1_bx+6*(bx_h-2*d1_bx)/(bx_nh-1))+(bx_phi/2)*-0.000000,NA())</f>
        <v/>
      </c>
      <c r="DB15">
        <f>IF(inputs_ok,IF(7&lt;bx_nh-1,(d1_bx)+(bx_phi/2)*1.000000,NA()),NA())</f>
        <v/>
      </c>
      <c r="DC15">
        <f>IF(7&lt;bx_nh-1,(d1_bx+7*(bx_h-2*d1_bx)/(bx_nh-1))+(bx_phi/2)*-0.000000,NA())</f>
        <v/>
      </c>
      <c r="DE15">
        <f>IF(inputs_ok,IF(7&lt;bx_nh-1,(bx_b-d1_bx)+(bx_phi/2)*1.000000,NA()),NA())</f>
        <v/>
      </c>
      <c r="DF15">
        <f>IF(7&lt;bx_nh-1,(d1_bx+7*(bx_h-2*d1_bx)/(bx_nh-1))+(bx_phi/2)*-0.000000,NA())</f>
        <v/>
      </c>
      <c r="DH15">
        <f>IF(inputs_ok,IF(8&lt;bx_nh-1,(d1_bx)+(bx_phi/2)*1.000000,NA()),NA())</f>
        <v/>
      </c>
      <c r="DI15">
        <f>IF(8&lt;bx_nh-1,(d1_bx+8*(bx_h-2*d1_bx)/(bx_nh-1))+(bx_phi/2)*-0.000000,NA())</f>
        <v/>
      </c>
      <c r="DK15">
        <f>IF(inputs_ok,IF(8&lt;bx_nh-1,(bx_b-d1_bx)+(bx_phi/2)*1.000000,NA()),NA())</f>
        <v/>
      </c>
      <c r="DL15">
        <f>IF(8&lt;bx_nh-1,(d1_bx+8*(bx_h-2*d1_bx)/(bx_nh-1))+(bx_phi/2)*-0.000000,NA())</f>
        <v/>
      </c>
      <c r="EX15">
        <f>IF(inputs_ok,((0.891006524)^a_bx+(0.453990500)^a_bx)^(-1/a_bx)*0.891006524,NA())</f>
        <v/>
      </c>
      <c r="EY15">
        <f>((0.891006524)^a_bx+(0.453990500)^a_bx)^(-1/a_bx)*0.453990500</f>
        <v/>
      </c>
    </row>
    <row r="16">
      <c r="EX16">
        <f>IF(inputs_ok,((0.872496007)^a_bx+(0.488621241)^a_bx)^(-1/a_bx)*0.872496007,NA())</f>
        <v/>
      </c>
      <c r="EY16">
        <f>((0.872496007)^a_bx+(0.488621241)^a_bx)^(-1/a_bx)*0.488621241</f>
        <v/>
      </c>
    </row>
    <row r="17">
      <c r="EX17">
        <f>IF(inputs_ok,((0.852640164)^a_bx+(0.522498565)^a_bx)^(-1/a_bx)*0.852640164,NA())</f>
        <v/>
      </c>
      <c r="EY17">
        <f>((0.852640164)^a_bx+(0.522498565)^a_bx)^(-1/a_bx)*0.522498565</f>
        <v/>
      </c>
    </row>
    <row r="18">
      <c r="EX18">
        <f>IF(inputs_ok,((0.831469612)^a_bx+(0.555570233)^a_bx)^(-1/a_bx)*0.831469612,NA())</f>
        <v/>
      </c>
      <c r="EY18">
        <f>((0.831469612)^a_bx+(0.555570233)^a_bx)^(-1/a_bx)*0.555570233</f>
        <v/>
      </c>
    </row>
    <row r="19">
      <c r="EX19">
        <f>IF(inputs_ok,((0.809016994)^a_bx+(0.587785252)^a_bx)^(-1/a_bx)*0.809016994,NA())</f>
        <v/>
      </c>
      <c r="EY19">
        <f>((0.809016994)^a_bx+(0.587785252)^a_bx)^(-1/a_bx)*0.587785252</f>
        <v/>
      </c>
    </row>
    <row r="20">
      <c r="EX20">
        <f>IF(inputs_ok,((0.785316931)^a_bx+(0.619093949)^a_bx)^(-1/a_bx)*0.785316931,NA())</f>
        <v/>
      </c>
      <c r="EY20">
        <f>((0.785316931)^a_bx+(0.619093949)^a_bx)^(-1/a_bx)*0.619093949</f>
        <v/>
      </c>
    </row>
    <row r="21">
      <c r="EX21">
        <f>IF(inputs_ok,((0.760405966)^a_bx+(0.649448048)^a_bx)^(-1/a_bx)*0.760405966,NA())</f>
        <v/>
      </c>
      <c r="EY21">
        <f>((0.760405966)^a_bx+(0.649448048)^a_bx)^(-1/a_bx)*0.649448048</f>
        <v/>
      </c>
    </row>
    <row r="22">
      <c r="EX22">
        <f>IF(inputs_ok,((0.734322509)^a_bx+(0.678800746)^a_bx)^(-1/a_bx)*0.734322509,NA())</f>
        <v/>
      </c>
      <c r="EY22">
        <f>((0.734322509)^a_bx+(0.678800746)^a_bx)^(-1/a_bx)*0.678800746</f>
        <v/>
      </c>
    </row>
    <row r="23">
      <c r="EX23">
        <f>IF(inputs_ok,((0.707106781)^a_bx+(0.707106781)^a_bx)^(-1/a_bx)*0.707106781,NA())</f>
        <v/>
      </c>
      <c r="EY23">
        <f>((0.707106781)^a_bx+(0.707106781)^a_bx)^(-1/a_bx)*0.707106781</f>
        <v/>
      </c>
    </row>
    <row r="24">
      <c r="EX24">
        <f>IF(inputs_ok,((0.678800746)^a_bx+(0.734322509)^a_bx)^(-1/a_bx)*0.678800746,NA())</f>
        <v/>
      </c>
      <c r="EY24">
        <f>((0.678800746)^a_bx+(0.734322509)^a_bx)^(-1/a_bx)*0.734322509</f>
        <v/>
      </c>
    </row>
    <row r="25">
      <c r="EX25">
        <f>IF(inputs_ok,((0.649448048)^a_bx+(0.760405966)^a_bx)^(-1/a_bx)*0.649448048,NA())</f>
        <v/>
      </c>
      <c r="EY25">
        <f>((0.649448048)^a_bx+(0.760405966)^a_bx)^(-1/a_bx)*0.760405966</f>
        <v/>
      </c>
    </row>
    <row r="26">
      <c r="EX26">
        <f>IF(inputs_ok,((0.619093949)^a_bx+(0.785316931)^a_bx)^(-1/a_bx)*0.619093949,NA())</f>
        <v/>
      </c>
      <c r="EY26">
        <f>((0.619093949)^a_bx+(0.785316931)^a_bx)^(-1/a_bx)*0.785316931</f>
        <v/>
      </c>
    </row>
    <row r="27">
      <c r="EX27">
        <f>IF(inputs_ok,((0.587785252)^a_bx+(0.809016994)^a_bx)^(-1/a_bx)*0.587785252,NA())</f>
        <v/>
      </c>
      <c r="EY27">
        <f>((0.587785252)^a_bx+(0.809016994)^a_bx)^(-1/a_bx)*0.809016994</f>
        <v/>
      </c>
    </row>
    <row r="28">
      <c r="EX28">
        <f>IF(inputs_ok,((0.555570233)^a_bx+(0.831469612)^a_bx)^(-1/a_bx)*0.555570233,NA())</f>
        <v/>
      </c>
      <c r="EY28">
        <f>((0.555570233)^a_bx+(0.831469612)^a_bx)^(-1/a_bx)*0.831469612</f>
        <v/>
      </c>
    </row>
    <row r="29">
      <c r="EX29">
        <f>IF(inputs_ok,((0.522498565)^a_bx+(0.852640164)^a_bx)^(-1/a_bx)*0.522498565,NA())</f>
        <v/>
      </c>
      <c r="EY29">
        <f>((0.522498565)^a_bx+(0.852640164)^a_bx)^(-1/a_bx)*0.852640164</f>
        <v/>
      </c>
    </row>
    <row r="30">
      <c r="EX30">
        <f>IF(inputs_ok,((0.488621241)^a_bx+(0.872496007)^a_bx)^(-1/a_bx)*0.488621241,NA())</f>
        <v/>
      </c>
      <c r="EY30">
        <f>((0.488621241)^a_bx+(0.872496007)^a_bx)^(-1/a_bx)*0.872496007</f>
        <v/>
      </c>
    </row>
    <row r="31">
      <c r="EX31">
        <f>IF(inputs_ok,((0.453990500)^a_bx+(0.891006524)^a_bx)^(-1/a_bx)*0.453990500,NA())</f>
        <v/>
      </c>
      <c r="EY31">
        <f>((0.453990500)^a_bx+(0.891006524)^a_bx)^(-1/a_bx)*0.891006524</f>
        <v/>
      </c>
    </row>
    <row r="32">
      <c r="EX32">
        <f>IF(inputs_ok,((0.418659738)^a_bx+(0.908143174)^a_bx)^(-1/a_bx)*0.418659738,NA())</f>
        <v/>
      </c>
      <c r="EY32">
        <f>((0.418659738)^a_bx+(0.908143174)^a_bx)^(-1/a_bx)*0.908143174</f>
        <v/>
      </c>
    </row>
    <row r="33">
      <c r="EX33">
        <f>IF(inputs_ok,((0.382683432)^a_bx+(0.923879533)^a_bx)^(-1/a_bx)*0.382683432,NA())</f>
        <v/>
      </c>
      <c r="EY33">
        <f>((0.382683432)^a_bx+(0.923879533)^a_bx)^(-1/a_bx)*0.923879533</f>
        <v/>
      </c>
    </row>
    <row r="34">
      <c r="EX34">
        <f>IF(inputs_ok,((0.346117057)^a_bx+(0.938191336)^a_bx)^(-1/a_bx)*0.346117057,NA())</f>
        <v/>
      </c>
      <c r="EY34">
        <f>((0.346117057)^a_bx+(0.938191336)^a_bx)^(-1/a_bx)*0.938191336</f>
        <v/>
      </c>
    </row>
    <row r="35">
      <c r="EX35">
        <f>IF(inputs_ok,((0.309016994)^a_bx+(0.951056516)^a_bx)^(-1/a_bx)*0.309016994,NA())</f>
        <v/>
      </c>
      <c r="EY35">
        <f>((0.309016994)^a_bx+(0.951056516)^a_bx)^(-1/a_bx)*0.951056516</f>
        <v/>
      </c>
    </row>
    <row r="36">
      <c r="EX36">
        <f>IF(inputs_ok,((0.271440450)^a_bx+(0.962455236)^a_bx)^(-1/a_bx)*0.271440450,NA())</f>
        <v/>
      </c>
      <c r="EY36">
        <f>((0.271440450)^a_bx+(0.962455236)^a_bx)^(-1/a_bx)*0.962455236</f>
        <v/>
      </c>
    </row>
    <row r="37">
      <c r="EX37">
        <f>IF(inputs_ok,((0.233445364)^a_bx+(0.972369920)^a_bx)^(-1/a_bx)*0.233445364,NA())</f>
        <v/>
      </c>
      <c r="EY37">
        <f>((0.233445364)^a_bx+(0.972369920)^a_bx)^(-1/a_bx)*0.972369920</f>
        <v/>
      </c>
    </row>
    <row r="38">
      <c r="EX38">
        <f>IF(inputs_ok,((0.195090322)^a_bx+(0.980785280)^a_bx)^(-1/a_bx)*0.195090322,NA())</f>
        <v/>
      </c>
      <c r="EY38">
        <f>((0.195090322)^a_bx+(0.980785280)^a_bx)^(-1/a_bx)*0.980785280</f>
        <v/>
      </c>
    </row>
    <row r="39">
      <c r="EX39">
        <f>IF(inputs_ok,((0.156434465)^a_bx+(0.987688341)^a_bx)^(-1/a_bx)*0.156434465,NA())</f>
        <v/>
      </c>
      <c r="EY39">
        <f>((0.156434465)^a_bx+(0.987688341)^a_bx)^(-1/a_bx)*0.987688341</f>
        <v/>
      </c>
    </row>
    <row r="40">
      <c r="EX40">
        <f>IF(inputs_ok,((0.117537397)^a_bx+(0.993068457)^a_bx)^(-1/a_bx)*0.117537397,NA())</f>
        <v/>
      </c>
      <c r="EY40">
        <f>((0.117537397)^a_bx+(0.993068457)^a_bx)^(-1/a_bx)*0.993068457</f>
        <v/>
      </c>
    </row>
    <row r="41">
      <c r="EX41">
        <f>IF(inputs_ok,((0.078459096)^a_bx+(0.996917334)^a_bx)^(-1/a_bx)*0.078459096,NA())</f>
        <v/>
      </c>
      <c r="EY41">
        <f>((0.078459096)^a_bx+(0.996917334)^a_bx)^(-1/a_bx)*0.996917334</f>
        <v/>
      </c>
    </row>
    <row r="42">
      <c r="EX42">
        <f>IF(inputs_ok,((0.039259816)^a_bx+(0.999229036)^a_bx)^(-1/a_bx)*0.039259816,NA())</f>
        <v/>
      </c>
      <c r="EY42">
        <f>((0.039259816)^a_bx+(0.999229036)^a_bx)^(-1/a_bx)*0.999229036</f>
        <v/>
      </c>
    </row>
    <row r="43">
      <c r="EX43">
        <f>IF(inputs_ok,((0.000000000)^a_bx+(1.000000000)^a_bx)^(-1/a_bx)*0.000000000,NA())</f>
        <v/>
      </c>
      <c r="EY43">
        <f>((0.000000000)^a_bx+(1.000000000)^a_bx)^(-1/a_bx)*1.000000000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T136"/>
  <sheetViews>
    <sheetView showGridLines="0" tabSelected="0" workbookViewId="0">
      <selection activeCell="A1" sqref="A1"/>
    </sheetView>
  </sheetViews>
  <sheetFormatPr baseColWidth="8" defaultRowHeight="15"/>
  <cols>
    <col width="2" customWidth="1" min="1" max="1"/>
    <col width="8" customWidth="1" min="2" max="2"/>
    <col width="12" customWidth="1" min="3" max="3"/>
    <col width="12" customWidth="1" min="4" max="4"/>
    <col width="12" customWidth="1" min="5" max="5"/>
    <col width="12" customWidth="1" min="6" max="6"/>
    <col width="12" customWidth="1" min="7" max="7"/>
    <col width="12" customWidth="1" min="8" max="8"/>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s>
  <sheetData>
    <row r="2">
      <c r="B2" s="48" t="inlineStr">
        <is>
          <t>Uniaxial resistances at NEd  ·  strain compatibility, EN 1992-1-1 §6.1</t>
        </is>
      </c>
    </row>
    <row r="3" ht="64" customHeight="1">
      <c r="B3" s="49" t="inlineStr">
        <is>
          <t>Parabola-rectangle of 3.1.7(1), (3.17): εc2 = 0.002, εcu2 = 0.0035, n = 2, fcd = αcc fck / γc, no tension. Strain limits of 6.1(5), Fig. 6.1: 0.0035 at the compressed face while x ≤ h; once the whole section is compressed, 0.002 at 3h/7 from that face, down to the uniform 0.002. Bars elastic-plastic, Es = 200 GPa, horizontal branch (3.2.7(2)b); the concrete displaced by the bars is deducted at the concrete stress at each bar centre. Bisection on the strain state s (0 to 1: x = s D; 1 to 2: whole section compressed, uniform strain at s = 2) until N = NEd, for each axis; with the bars symmetrical N rises with s, so the root is unique.</t>
        </is>
      </c>
    </row>
    <row r="5">
      <c r="B5" s="50" t="inlineStr">
        <is>
          <t>Bending in the plane of h</t>
        </is>
      </c>
      <c r="J5">
        <f>IF(1&lt;=bx_nh,d1_bx+(1-1)*(bx_h-2*d1_bx)/(bx_nh-1),bx_h/2)</f>
        <v/>
      </c>
      <c r="K5">
        <f>IF(2&lt;=bx_nh,d1_bx+(2-1)*(bx_h-2*d1_bx)/(bx_nh-1),bx_h/2)</f>
        <v/>
      </c>
      <c r="L5">
        <f>IF(3&lt;=bx_nh,d1_bx+(3-1)*(bx_h-2*d1_bx)/(bx_nh-1),bx_h/2)</f>
        <v/>
      </c>
      <c r="M5">
        <f>IF(4&lt;=bx_nh,d1_bx+(4-1)*(bx_h-2*d1_bx)/(bx_nh-1),bx_h/2)</f>
        <v/>
      </c>
      <c r="N5">
        <f>IF(5&lt;=bx_nh,d1_bx+(5-1)*(bx_h-2*d1_bx)/(bx_nh-1),bx_h/2)</f>
        <v/>
      </c>
      <c r="O5">
        <f>IF(6&lt;=bx_nh,d1_bx+(6-1)*(bx_h-2*d1_bx)/(bx_nh-1),bx_h/2)</f>
        <v/>
      </c>
      <c r="P5">
        <f>IF(7&lt;=bx_nh,d1_bx+(7-1)*(bx_h-2*d1_bx)/(bx_nh-1),bx_h/2)</f>
        <v/>
      </c>
      <c r="Q5">
        <f>IF(8&lt;=bx_nh,d1_bx+(8-1)*(bx_h-2*d1_bx)/(bx_nh-1),bx_h/2)</f>
        <v/>
      </c>
      <c r="R5">
        <f>IF(9&lt;=bx_nh,d1_bx+(9-1)*(bx_h-2*d1_bx)/(bx_nh-1),bx_h/2)</f>
        <v/>
      </c>
      <c r="S5">
        <f>IF(10&lt;=bx_nh,d1_bx+(10-1)*(bx_h-2*d1_bx)/(bx_nh-1),bx_h/2)</f>
        <v/>
      </c>
    </row>
    <row r="6">
      <c r="J6">
        <f>IF(1&gt;bx_nh,0,IF(OR(1=1,1=bx_nh),bx_nb,2))*PI()*bx_phi^2/4</f>
        <v/>
      </c>
      <c r="K6">
        <f>IF(2&gt;bx_nh,0,IF(OR(2=1,2=bx_nh),bx_nb,2))*PI()*bx_phi^2/4</f>
        <v/>
      </c>
      <c r="L6">
        <f>IF(3&gt;bx_nh,0,IF(OR(3=1,3=bx_nh),bx_nb,2))*PI()*bx_phi^2/4</f>
        <v/>
      </c>
      <c r="M6">
        <f>IF(4&gt;bx_nh,0,IF(OR(4=1,4=bx_nh),bx_nb,2))*PI()*bx_phi^2/4</f>
        <v/>
      </c>
      <c r="N6">
        <f>IF(5&gt;bx_nh,0,IF(OR(5=1,5=bx_nh),bx_nb,2))*PI()*bx_phi^2/4</f>
        <v/>
      </c>
      <c r="O6">
        <f>IF(6&gt;bx_nh,0,IF(OR(6=1,6=bx_nh),bx_nb,2))*PI()*bx_phi^2/4</f>
        <v/>
      </c>
      <c r="P6">
        <f>IF(7&gt;bx_nh,0,IF(OR(7=1,7=bx_nh),bx_nb,2))*PI()*bx_phi^2/4</f>
        <v/>
      </c>
      <c r="Q6">
        <f>IF(8&gt;bx_nh,0,IF(OR(8=1,8=bx_nh),bx_nb,2))*PI()*bx_phi^2/4</f>
        <v/>
      </c>
      <c r="R6">
        <f>IF(9&gt;bx_nh,0,IF(OR(9=1,9=bx_nh),bx_nb,2))*PI()*bx_phi^2/4</f>
        <v/>
      </c>
      <c r="S6">
        <f>IF(10&gt;bx_nh,0,IF(OR(10=1,10=bx_nh),bx_nb,2))*PI()*bx_phi^2/4</f>
        <v/>
      </c>
    </row>
    <row r="7">
      <c r="J7">
        <f>bx_h/2-J5</f>
        <v/>
      </c>
      <c r="K7">
        <f>bx_h/2-K5</f>
        <v/>
      </c>
      <c r="L7">
        <f>bx_h/2-L5</f>
        <v/>
      </c>
      <c r="M7">
        <f>bx_h/2-M5</f>
        <v/>
      </c>
      <c r="N7">
        <f>bx_h/2-N5</f>
        <v/>
      </c>
      <c r="O7">
        <f>bx_h/2-O5</f>
        <v/>
      </c>
      <c r="P7">
        <f>bx_h/2-P5</f>
        <v/>
      </c>
      <c r="Q7">
        <f>bx_h/2-Q5</f>
        <v/>
      </c>
      <c r="R7">
        <f>bx_h/2-R5</f>
        <v/>
      </c>
      <c r="S7">
        <f>bx_h/2-S5</f>
        <v/>
      </c>
    </row>
    <row r="9">
      <c r="B9" s="51" t="inlineStr">
        <is>
          <t>step</t>
        </is>
      </c>
      <c r="C9" s="51" t="inlineStr">
        <is>
          <t>s low</t>
        </is>
      </c>
      <c r="D9" s="51" t="inlineStr">
        <is>
          <t>s high</t>
        </is>
      </c>
      <c r="E9" s="51" t="inlineStr">
        <is>
          <t>x (mm)</t>
        </is>
      </c>
      <c r="F9" s="51" t="inlineStr">
        <is>
          <t>zc (mm)</t>
        </is>
      </c>
      <c r="G9" s="51" t="inlineStr">
        <is>
          <t>N (kN)</t>
        </is>
      </c>
      <c r="H9" s="51" t="inlineStr">
        <is>
          <t>M (kNm)</t>
        </is>
      </c>
    </row>
    <row r="10">
      <c r="B10" s="52" t="n">
        <v>1</v>
      </c>
      <c r="C10" s="53" t="n">
        <v>0</v>
      </c>
      <c r="D10" s="53" t="n">
        <v>2</v>
      </c>
      <c r="E10" s="54">
        <f>IF($T10&gt;=1,$F10,3/7*bx_h+4/7*bx_h/MAX($T10,1E-12))</f>
        <v/>
      </c>
      <c r="F10" s="55">
        <f>bx_h*MIN((($C10+$D10)/2),1)</f>
        <v/>
      </c>
      <c r="G10" s="55">
        <f>(fcd_bx*bx_b*$F10*(3/7+4/7*(1-$T10^2/3))+SUMPRODUCT($J$6:$S$6,$J10:$S10))/1000</f>
        <v/>
      </c>
      <c r="H10" s="55">
        <f>(fcd_bx*bx_b*(3/14*$F10*(bx_h-3/7*$F10)+4/7*$F10*(bx_h/2-3/7*$F10)*(1-$T10^2/3)-16/49*$F10^2*(1/2-$T10^2/4))+SUMPRODUCT($J$6:$S$6,$J10:$S10,$J$7:$S$7))/1E6</f>
        <v/>
      </c>
      <c r="J10">
        <f>MAX(-fyd_bx,MIN(fyd_bx,200000*0.002*(1-$T10*(7*J$5-3*$F10)/(4*$F10))))-fcd_bx*(1-MIN(1,MAX(0,$T10*(7*J$5-3*$F10)/(4*$F10)))^2)</f>
        <v/>
      </c>
      <c r="K10">
        <f>MAX(-fyd_bx,MIN(fyd_bx,200000*0.002*(1-$T10*(7*K$5-3*$F10)/(4*$F10))))-fcd_bx*(1-MIN(1,MAX(0,$T10*(7*K$5-3*$F10)/(4*$F10)))^2)</f>
        <v/>
      </c>
      <c r="L10">
        <f>MAX(-fyd_bx,MIN(fyd_bx,200000*0.002*(1-$T10*(7*L$5-3*$F10)/(4*$F10))))-fcd_bx*(1-MIN(1,MAX(0,$T10*(7*L$5-3*$F10)/(4*$F10)))^2)</f>
        <v/>
      </c>
      <c r="M10">
        <f>MAX(-fyd_bx,MIN(fyd_bx,200000*0.002*(1-$T10*(7*M$5-3*$F10)/(4*$F10))))-fcd_bx*(1-MIN(1,MAX(0,$T10*(7*M$5-3*$F10)/(4*$F10)))^2)</f>
        <v/>
      </c>
      <c r="N10">
        <f>MAX(-fyd_bx,MIN(fyd_bx,200000*0.002*(1-$T10*(7*N$5-3*$F10)/(4*$F10))))-fcd_bx*(1-MIN(1,MAX(0,$T10*(7*N$5-3*$F10)/(4*$F10)))^2)</f>
        <v/>
      </c>
      <c r="O10">
        <f>MAX(-fyd_bx,MIN(fyd_bx,200000*0.002*(1-$T10*(7*O$5-3*$F10)/(4*$F10))))-fcd_bx*(1-MIN(1,MAX(0,$T10*(7*O$5-3*$F10)/(4*$F10)))^2)</f>
        <v/>
      </c>
      <c r="P10">
        <f>MAX(-fyd_bx,MIN(fyd_bx,200000*0.002*(1-$T10*(7*P$5-3*$F10)/(4*$F10))))-fcd_bx*(1-MIN(1,MAX(0,$T10*(7*P$5-3*$F10)/(4*$F10)))^2)</f>
        <v/>
      </c>
      <c r="Q10">
        <f>MAX(-fyd_bx,MIN(fyd_bx,200000*0.002*(1-$T10*(7*Q$5-3*$F10)/(4*$F10))))-fcd_bx*(1-MIN(1,MAX(0,$T10*(7*Q$5-3*$F10)/(4*$F10)))^2)</f>
        <v/>
      </c>
      <c r="R10">
        <f>MAX(-fyd_bx,MIN(fyd_bx,200000*0.002*(1-$T10*(7*R$5-3*$F10)/(4*$F10))))-fcd_bx*(1-MIN(1,MAX(0,$T10*(7*R$5-3*$F10)/(4*$F10)))^2)</f>
        <v/>
      </c>
      <c r="S10">
        <f>MAX(-fyd_bx,MIN(fyd_bx,200000*0.002*(1-$T10*(7*S$5-3*$F10)/(4*$F10))))-fcd_bx*(1-MIN(1,MAX(0,$T10*(7*S$5-3*$F10)/(4*$F10)))^2)</f>
        <v/>
      </c>
      <c r="T10">
        <f>MIN(1,2-(($C10+$D10)/2))</f>
        <v/>
      </c>
    </row>
    <row r="11">
      <c r="B11" s="52" t="n">
        <v>2</v>
      </c>
      <c r="C11" s="53">
        <f>IF($G10&lt;bx_N,($C10+$D10)/2,$C10)</f>
        <v/>
      </c>
      <c r="D11" s="53">
        <f>IF($G10&lt;bx_N,$D10,($C10+$D10)/2)</f>
        <v/>
      </c>
      <c r="E11" s="54">
        <f>IF($T11&gt;=1,$F11,3/7*bx_h+4/7*bx_h/MAX($T11,1E-12))</f>
        <v/>
      </c>
      <c r="F11" s="55">
        <f>bx_h*MIN((($C11+$D11)/2),1)</f>
        <v/>
      </c>
      <c r="G11" s="55">
        <f>(fcd_bx*bx_b*$F11*(3/7+4/7*(1-$T11^2/3))+SUMPRODUCT($J$6:$S$6,$J11:$S11))/1000</f>
        <v/>
      </c>
      <c r="H11" s="55">
        <f>(fcd_bx*bx_b*(3/14*$F11*(bx_h-3/7*$F11)+4/7*$F11*(bx_h/2-3/7*$F11)*(1-$T11^2/3)-16/49*$F11^2*(1/2-$T11^2/4))+SUMPRODUCT($J$6:$S$6,$J11:$S11,$J$7:$S$7))/1E6</f>
        <v/>
      </c>
      <c r="J11">
        <f>MAX(-fyd_bx,MIN(fyd_bx,200000*0.002*(1-$T11*(7*J$5-3*$F11)/(4*$F11))))-fcd_bx*(1-MIN(1,MAX(0,$T11*(7*J$5-3*$F11)/(4*$F11)))^2)</f>
        <v/>
      </c>
      <c r="K11">
        <f>MAX(-fyd_bx,MIN(fyd_bx,200000*0.002*(1-$T11*(7*K$5-3*$F11)/(4*$F11))))-fcd_bx*(1-MIN(1,MAX(0,$T11*(7*K$5-3*$F11)/(4*$F11)))^2)</f>
        <v/>
      </c>
      <c r="L11">
        <f>MAX(-fyd_bx,MIN(fyd_bx,200000*0.002*(1-$T11*(7*L$5-3*$F11)/(4*$F11))))-fcd_bx*(1-MIN(1,MAX(0,$T11*(7*L$5-3*$F11)/(4*$F11)))^2)</f>
        <v/>
      </c>
      <c r="M11">
        <f>MAX(-fyd_bx,MIN(fyd_bx,200000*0.002*(1-$T11*(7*M$5-3*$F11)/(4*$F11))))-fcd_bx*(1-MIN(1,MAX(0,$T11*(7*M$5-3*$F11)/(4*$F11)))^2)</f>
        <v/>
      </c>
      <c r="N11">
        <f>MAX(-fyd_bx,MIN(fyd_bx,200000*0.002*(1-$T11*(7*N$5-3*$F11)/(4*$F11))))-fcd_bx*(1-MIN(1,MAX(0,$T11*(7*N$5-3*$F11)/(4*$F11)))^2)</f>
        <v/>
      </c>
      <c r="O11">
        <f>MAX(-fyd_bx,MIN(fyd_bx,200000*0.002*(1-$T11*(7*O$5-3*$F11)/(4*$F11))))-fcd_bx*(1-MIN(1,MAX(0,$T11*(7*O$5-3*$F11)/(4*$F11)))^2)</f>
        <v/>
      </c>
      <c r="P11">
        <f>MAX(-fyd_bx,MIN(fyd_bx,200000*0.002*(1-$T11*(7*P$5-3*$F11)/(4*$F11))))-fcd_bx*(1-MIN(1,MAX(0,$T11*(7*P$5-3*$F11)/(4*$F11)))^2)</f>
        <v/>
      </c>
      <c r="Q11">
        <f>MAX(-fyd_bx,MIN(fyd_bx,200000*0.002*(1-$T11*(7*Q$5-3*$F11)/(4*$F11))))-fcd_bx*(1-MIN(1,MAX(0,$T11*(7*Q$5-3*$F11)/(4*$F11)))^2)</f>
        <v/>
      </c>
      <c r="R11">
        <f>MAX(-fyd_bx,MIN(fyd_bx,200000*0.002*(1-$T11*(7*R$5-3*$F11)/(4*$F11))))-fcd_bx*(1-MIN(1,MAX(0,$T11*(7*R$5-3*$F11)/(4*$F11)))^2)</f>
        <v/>
      </c>
      <c r="S11">
        <f>MAX(-fyd_bx,MIN(fyd_bx,200000*0.002*(1-$T11*(7*S$5-3*$F11)/(4*$F11))))-fcd_bx*(1-MIN(1,MAX(0,$T11*(7*S$5-3*$F11)/(4*$F11)))^2)</f>
        <v/>
      </c>
      <c r="T11">
        <f>MIN(1,2-(($C11+$D11)/2))</f>
        <v/>
      </c>
    </row>
    <row r="12">
      <c r="B12" s="52" t="n">
        <v>3</v>
      </c>
      <c r="C12" s="53">
        <f>IF($G11&lt;bx_N,($C11+$D11)/2,$C11)</f>
        <v/>
      </c>
      <c r="D12" s="53">
        <f>IF($G11&lt;bx_N,$D11,($C11+$D11)/2)</f>
        <v/>
      </c>
      <c r="E12" s="54">
        <f>IF($T12&gt;=1,$F12,3/7*bx_h+4/7*bx_h/MAX($T12,1E-12))</f>
        <v/>
      </c>
      <c r="F12" s="55">
        <f>bx_h*MIN((($C12+$D12)/2),1)</f>
        <v/>
      </c>
      <c r="G12" s="55">
        <f>(fcd_bx*bx_b*$F12*(3/7+4/7*(1-$T12^2/3))+SUMPRODUCT($J$6:$S$6,$J12:$S12))/1000</f>
        <v/>
      </c>
      <c r="H12" s="55">
        <f>(fcd_bx*bx_b*(3/14*$F12*(bx_h-3/7*$F12)+4/7*$F12*(bx_h/2-3/7*$F12)*(1-$T12^2/3)-16/49*$F12^2*(1/2-$T12^2/4))+SUMPRODUCT($J$6:$S$6,$J12:$S12,$J$7:$S$7))/1E6</f>
        <v/>
      </c>
      <c r="J12">
        <f>MAX(-fyd_bx,MIN(fyd_bx,200000*0.002*(1-$T12*(7*J$5-3*$F12)/(4*$F12))))-fcd_bx*(1-MIN(1,MAX(0,$T12*(7*J$5-3*$F12)/(4*$F12)))^2)</f>
        <v/>
      </c>
      <c r="K12">
        <f>MAX(-fyd_bx,MIN(fyd_bx,200000*0.002*(1-$T12*(7*K$5-3*$F12)/(4*$F12))))-fcd_bx*(1-MIN(1,MAX(0,$T12*(7*K$5-3*$F12)/(4*$F12)))^2)</f>
        <v/>
      </c>
      <c r="L12">
        <f>MAX(-fyd_bx,MIN(fyd_bx,200000*0.002*(1-$T12*(7*L$5-3*$F12)/(4*$F12))))-fcd_bx*(1-MIN(1,MAX(0,$T12*(7*L$5-3*$F12)/(4*$F12)))^2)</f>
        <v/>
      </c>
      <c r="M12">
        <f>MAX(-fyd_bx,MIN(fyd_bx,200000*0.002*(1-$T12*(7*M$5-3*$F12)/(4*$F12))))-fcd_bx*(1-MIN(1,MAX(0,$T12*(7*M$5-3*$F12)/(4*$F12)))^2)</f>
        <v/>
      </c>
      <c r="N12">
        <f>MAX(-fyd_bx,MIN(fyd_bx,200000*0.002*(1-$T12*(7*N$5-3*$F12)/(4*$F12))))-fcd_bx*(1-MIN(1,MAX(0,$T12*(7*N$5-3*$F12)/(4*$F12)))^2)</f>
        <v/>
      </c>
      <c r="O12">
        <f>MAX(-fyd_bx,MIN(fyd_bx,200000*0.002*(1-$T12*(7*O$5-3*$F12)/(4*$F12))))-fcd_bx*(1-MIN(1,MAX(0,$T12*(7*O$5-3*$F12)/(4*$F12)))^2)</f>
        <v/>
      </c>
      <c r="P12">
        <f>MAX(-fyd_bx,MIN(fyd_bx,200000*0.002*(1-$T12*(7*P$5-3*$F12)/(4*$F12))))-fcd_bx*(1-MIN(1,MAX(0,$T12*(7*P$5-3*$F12)/(4*$F12)))^2)</f>
        <v/>
      </c>
      <c r="Q12">
        <f>MAX(-fyd_bx,MIN(fyd_bx,200000*0.002*(1-$T12*(7*Q$5-3*$F12)/(4*$F12))))-fcd_bx*(1-MIN(1,MAX(0,$T12*(7*Q$5-3*$F12)/(4*$F12)))^2)</f>
        <v/>
      </c>
      <c r="R12">
        <f>MAX(-fyd_bx,MIN(fyd_bx,200000*0.002*(1-$T12*(7*R$5-3*$F12)/(4*$F12))))-fcd_bx*(1-MIN(1,MAX(0,$T12*(7*R$5-3*$F12)/(4*$F12)))^2)</f>
        <v/>
      </c>
      <c r="S12">
        <f>MAX(-fyd_bx,MIN(fyd_bx,200000*0.002*(1-$T12*(7*S$5-3*$F12)/(4*$F12))))-fcd_bx*(1-MIN(1,MAX(0,$T12*(7*S$5-3*$F12)/(4*$F12)))^2)</f>
        <v/>
      </c>
      <c r="T12">
        <f>MIN(1,2-(($C12+$D12)/2))</f>
        <v/>
      </c>
    </row>
    <row r="13">
      <c r="B13" s="52" t="n">
        <v>4</v>
      </c>
      <c r="C13" s="53">
        <f>IF($G12&lt;bx_N,($C12+$D12)/2,$C12)</f>
        <v/>
      </c>
      <c r="D13" s="53">
        <f>IF($G12&lt;bx_N,$D12,($C12+$D12)/2)</f>
        <v/>
      </c>
      <c r="E13" s="54">
        <f>IF($T13&gt;=1,$F13,3/7*bx_h+4/7*bx_h/MAX($T13,1E-12))</f>
        <v/>
      </c>
      <c r="F13" s="55">
        <f>bx_h*MIN((($C13+$D13)/2),1)</f>
        <v/>
      </c>
      <c r="G13" s="55">
        <f>(fcd_bx*bx_b*$F13*(3/7+4/7*(1-$T13^2/3))+SUMPRODUCT($J$6:$S$6,$J13:$S13))/1000</f>
        <v/>
      </c>
      <c r="H13" s="55">
        <f>(fcd_bx*bx_b*(3/14*$F13*(bx_h-3/7*$F13)+4/7*$F13*(bx_h/2-3/7*$F13)*(1-$T13^2/3)-16/49*$F13^2*(1/2-$T13^2/4))+SUMPRODUCT($J$6:$S$6,$J13:$S13,$J$7:$S$7))/1E6</f>
        <v/>
      </c>
      <c r="J13">
        <f>MAX(-fyd_bx,MIN(fyd_bx,200000*0.002*(1-$T13*(7*J$5-3*$F13)/(4*$F13))))-fcd_bx*(1-MIN(1,MAX(0,$T13*(7*J$5-3*$F13)/(4*$F13)))^2)</f>
        <v/>
      </c>
      <c r="K13">
        <f>MAX(-fyd_bx,MIN(fyd_bx,200000*0.002*(1-$T13*(7*K$5-3*$F13)/(4*$F13))))-fcd_bx*(1-MIN(1,MAX(0,$T13*(7*K$5-3*$F13)/(4*$F13)))^2)</f>
        <v/>
      </c>
      <c r="L13">
        <f>MAX(-fyd_bx,MIN(fyd_bx,200000*0.002*(1-$T13*(7*L$5-3*$F13)/(4*$F13))))-fcd_bx*(1-MIN(1,MAX(0,$T13*(7*L$5-3*$F13)/(4*$F13)))^2)</f>
        <v/>
      </c>
      <c r="M13">
        <f>MAX(-fyd_bx,MIN(fyd_bx,200000*0.002*(1-$T13*(7*M$5-3*$F13)/(4*$F13))))-fcd_bx*(1-MIN(1,MAX(0,$T13*(7*M$5-3*$F13)/(4*$F13)))^2)</f>
        <v/>
      </c>
      <c r="N13">
        <f>MAX(-fyd_bx,MIN(fyd_bx,200000*0.002*(1-$T13*(7*N$5-3*$F13)/(4*$F13))))-fcd_bx*(1-MIN(1,MAX(0,$T13*(7*N$5-3*$F13)/(4*$F13)))^2)</f>
        <v/>
      </c>
      <c r="O13">
        <f>MAX(-fyd_bx,MIN(fyd_bx,200000*0.002*(1-$T13*(7*O$5-3*$F13)/(4*$F13))))-fcd_bx*(1-MIN(1,MAX(0,$T13*(7*O$5-3*$F13)/(4*$F13)))^2)</f>
        <v/>
      </c>
      <c r="P13">
        <f>MAX(-fyd_bx,MIN(fyd_bx,200000*0.002*(1-$T13*(7*P$5-3*$F13)/(4*$F13))))-fcd_bx*(1-MIN(1,MAX(0,$T13*(7*P$5-3*$F13)/(4*$F13)))^2)</f>
        <v/>
      </c>
      <c r="Q13">
        <f>MAX(-fyd_bx,MIN(fyd_bx,200000*0.002*(1-$T13*(7*Q$5-3*$F13)/(4*$F13))))-fcd_bx*(1-MIN(1,MAX(0,$T13*(7*Q$5-3*$F13)/(4*$F13)))^2)</f>
        <v/>
      </c>
      <c r="R13">
        <f>MAX(-fyd_bx,MIN(fyd_bx,200000*0.002*(1-$T13*(7*R$5-3*$F13)/(4*$F13))))-fcd_bx*(1-MIN(1,MAX(0,$T13*(7*R$5-3*$F13)/(4*$F13)))^2)</f>
        <v/>
      </c>
      <c r="S13">
        <f>MAX(-fyd_bx,MIN(fyd_bx,200000*0.002*(1-$T13*(7*S$5-3*$F13)/(4*$F13))))-fcd_bx*(1-MIN(1,MAX(0,$T13*(7*S$5-3*$F13)/(4*$F13)))^2)</f>
        <v/>
      </c>
      <c r="T13">
        <f>MIN(1,2-(($C13+$D13)/2))</f>
        <v/>
      </c>
    </row>
    <row r="14">
      <c r="B14" s="52" t="n">
        <v>5</v>
      </c>
      <c r="C14" s="53">
        <f>IF($G13&lt;bx_N,($C13+$D13)/2,$C13)</f>
        <v/>
      </c>
      <c r="D14" s="53">
        <f>IF($G13&lt;bx_N,$D13,($C13+$D13)/2)</f>
        <v/>
      </c>
      <c r="E14" s="54">
        <f>IF($T14&gt;=1,$F14,3/7*bx_h+4/7*bx_h/MAX($T14,1E-12))</f>
        <v/>
      </c>
      <c r="F14" s="55">
        <f>bx_h*MIN((($C14+$D14)/2),1)</f>
        <v/>
      </c>
      <c r="G14" s="55">
        <f>(fcd_bx*bx_b*$F14*(3/7+4/7*(1-$T14^2/3))+SUMPRODUCT($J$6:$S$6,$J14:$S14))/1000</f>
        <v/>
      </c>
      <c r="H14" s="55">
        <f>(fcd_bx*bx_b*(3/14*$F14*(bx_h-3/7*$F14)+4/7*$F14*(bx_h/2-3/7*$F14)*(1-$T14^2/3)-16/49*$F14^2*(1/2-$T14^2/4))+SUMPRODUCT($J$6:$S$6,$J14:$S14,$J$7:$S$7))/1E6</f>
        <v/>
      </c>
      <c r="J14">
        <f>MAX(-fyd_bx,MIN(fyd_bx,200000*0.002*(1-$T14*(7*J$5-3*$F14)/(4*$F14))))-fcd_bx*(1-MIN(1,MAX(0,$T14*(7*J$5-3*$F14)/(4*$F14)))^2)</f>
        <v/>
      </c>
      <c r="K14">
        <f>MAX(-fyd_bx,MIN(fyd_bx,200000*0.002*(1-$T14*(7*K$5-3*$F14)/(4*$F14))))-fcd_bx*(1-MIN(1,MAX(0,$T14*(7*K$5-3*$F14)/(4*$F14)))^2)</f>
        <v/>
      </c>
      <c r="L14">
        <f>MAX(-fyd_bx,MIN(fyd_bx,200000*0.002*(1-$T14*(7*L$5-3*$F14)/(4*$F14))))-fcd_bx*(1-MIN(1,MAX(0,$T14*(7*L$5-3*$F14)/(4*$F14)))^2)</f>
        <v/>
      </c>
      <c r="M14">
        <f>MAX(-fyd_bx,MIN(fyd_bx,200000*0.002*(1-$T14*(7*M$5-3*$F14)/(4*$F14))))-fcd_bx*(1-MIN(1,MAX(0,$T14*(7*M$5-3*$F14)/(4*$F14)))^2)</f>
        <v/>
      </c>
      <c r="N14">
        <f>MAX(-fyd_bx,MIN(fyd_bx,200000*0.002*(1-$T14*(7*N$5-3*$F14)/(4*$F14))))-fcd_bx*(1-MIN(1,MAX(0,$T14*(7*N$5-3*$F14)/(4*$F14)))^2)</f>
        <v/>
      </c>
      <c r="O14">
        <f>MAX(-fyd_bx,MIN(fyd_bx,200000*0.002*(1-$T14*(7*O$5-3*$F14)/(4*$F14))))-fcd_bx*(1-MIN(1,MAX(0,$T14*(7*O$5-3*$F14)/(4*$F14)))^2)</f>
        <v/>
      </c>
      <c r="P14">
        <f>MAX(-fyd_bx,MIN(fyd_bx,200000*0.002*(1-$T14*(7*P$5-3*$F14)/(4*$F14))))-fcd_bx*(1-MIN(1,MAX(0,$T14*(7*P$5-3*$F14)/(4*$F14)))^2)</f>
        <v/>
      </c>
      <c r="Q14">
        <f>MAX(-fyd_bx,MIN(fyd_bx,200000*0.002*(1-$T14*(7*Q$5-3*$F14)/(4*$F14))))-fcd_bx*(1-MIN(1,MAX(0,$T14*(7*Q$5-3*$F14)/(4*$F14)))^2)</f>
        <v/>
      </c>
      <c r="R14">
        <f>MAX(-fyd_bx,MIN(fyd_bx,200000*0.002*(1-$T14*(7*R$5-3*$F14)/(4*$F14))))-fcd_bx*(1-MIN(1,MAX(0,$T14*(7*R$5-3*$F14)/(4*$F14)))^2)</f>
        <v/>
      </c>
      <c r="S14">
        <f>MAX(-fyd_bx,MIN(fyd_bx,200000*0.002*(1-$T14*(7*S$5-3*$F14)/(4*$F14))))-fcd_bx*(1-MIN(1,MAX(0,$T14*(7*S$5-3*$F14)/(4*$F14)))^2)</f>
        <v/>
      </c>
      <c r="T14">
        <f>MIN(1,2-(($C14+$D14)/2))</f>
        <v/>
      </c>
    </row>
    <row r="15">
      <c r="B15" s="52" t="n">
        <v>6</v>
      </c>
      <c r="C15" s="53">
        <f>IF($G14&lt;bx_N,($C14+$D14)/2,$C14)</f>
        <v/>
      </c>
      <c r="D15" s="53">
        <f>IF($G14&lt;bx_N,$D14,($C14+$D14)/2)</f>
        <v/>
      </c>
      <c r="E15" s="54">
        <f>IF($T15&gt;=1,$F15,3/7*bx_h+4/7*bx_h/MAX($T15,1E-12))</f>
        <v/>
      </c>
      <c r="F15" s="55">
        <f>bx_h*MIN((($C15+$D15)/2),1)</f>
        <v/>
      </c>
      <c r="G15" s="55">
        <f>(fcd_bx*bx_b*$F15*(3/7+4/7*(1-$T15^2/3))+SUMPRODUCT($J$6:$S$6,$J15:$S15))/1000</f>
        <v/>
      </c>
      <c r="H15" s="55">
        <f>(fcd_bx*bx_b*(3/14*$F15*(bx_h-3/7*$F15)+4/7*$F15*(bx_h/2-3/7*$F15)*(1-$T15^2/3)-16/49*$F15^2*(1/2-$T15^2/4))+SUMPRODUCT($J$6:$S$6,$J15:$S15,$J$7:$S$7))/1E6</f>
        <v/>
      </c>
      <c r="J15">
        <f>MAX(-fyd_bx,MIN(fyd_bx,200000*0.002*(1-$T15*(7*J$5-3*$F15)/(4*$F15))))-fcd_bx*(1-MIN(1,MAX(0,$T15*(7*J$5-3*$F15)/(4*$F15)))^2)</f>
        <v/>
      </c>
      <c r="K15">
        <f>MAX(-fyd_bx,MIN(fyd_bx,200000*0.002*(1-$T15*(7*K$5-3*$F15)/(4*$F15))))-fcd_bx*(1-MIN(1,MAX(0,$T15*(7*K$5-3*$F15)/(4*$F15)))^2)</f>
        <v/>
      </c>
      <c r="L15">
        <f>MAX(-fyd_bx,MIN(fyd_bx,200000*0.002*(1-$T15*(7*L$5-3*$F15)/(4*$F15))))-fcd_bx*(1-MIN(1,MAX(0,$T15*(7*L$5-3*$F15)/(4*$F15)))^2)</f>
        <v/>
      </c>
      <c r="M15">
        <f>MAX(-fyd_bx,MIN(fyd_bx,200000*0.002*(1-$T15*(7*M$5-3*$F15)/(4*$F15))))-fcd_bx*(1-MIN(1,MAX(0,$T15*(7*M$5-3*$F15)/(4*$F15)))^2)</f>
        <v/>
      </c>
      <c r="N15">
        <f>MAX(-fyd_bx,MIN(fyd_bx,200000*0.002*(1-$T15*(7*N$5-3*$F15)/(4*$F15))))-fcd_bx*(1-MIN(1,MAX(0,$T15*(7*N$5-3*$F15)/(4*$F15)))^2)</f>
        <v/>
      </c>
      <c r="O15">
        <f>MAX(-fyd_bx,MIN(fyd_bx,200000*0.002*(1-$T15*(7*O$5-3*$F15)/(4*$F15))))-fcd_bx*(1-MIN(1,MAX(0,$T15*(7*O$5-3*$F15)/(4*$F15)))^2)</f>
        <v/>
      </c>
      <c r="P15">
        <f>MAX(-fyd_bx,MIN(fyd_bx,200000*0.002*(1-$T15*(7*P$5-3*$F15)/(4*$F15))))-fcd_bx*(1-MIN(1,MAX(0,$T15*(7*P$5-3*$F15)/(4*$F15)))^2)</f>
        <v/>
      </c>
      <c r="Q15">
        <f>MAX(-fyd_bx,MIN(fyd_bx,200000*0.002*(1-$T15*(7*Q$5-3*$F15)/(4*$F15))))-fcd_bx*(1-MIN(1,MAX(0,$T15*(7*Q$5-3*$F15)/(4*$F15)))^2)</f>
        <v/>
      </c>
      <c r="R15">
        <f>MAX(-fyd_bx,MIN(fyd_bx,200000*0.002*(1-$T15*(7*R$5-3*$F15)/(4*$F15))))-fcd_bx*(1-MIN(1,MAX(0,$T15*(7*R$5-3*$F15)/(4*$F15)))^2)</f>
        <v/>
      </c>
      <c r="S15">
        <f>MAX(-fyd_bx,MIN(fyd_bx,200000*0.002*(1-$T15*(7*S$5-3*$F15)/(4*$F15))))-fcd_bx*(1-MIN(1,MAX(0,$T15*(7*S$5-3*$F15)/(4*$F15)))^2)</f>
        <v/>
      </c>
      <c r="T15">
        <f>MIN(1,2-(($C15+$D15)/2))</f>
        <v/>
      </c>
    </row>
    <row r="16">
      <c r="B16" s="52" t="n">
        <v>7</v>
      </c>
      <c r="C16" s="53">
        <f>IF($G15&lt;bx_N,($C15+$D15)/2,$C15)</f>
        <v/>
      </c>
      <c r="D16" s="53">
        <f>IF($G15&lt;bx_N,$D15,($C15+$D15)/2)</f>
        <v/>
      </c>
      <c r="E16" s="54">
        <f>IF($T16&gt;=1,$F16,3/7*bx_h+4/7*bx_h/MAX($T16,1E-12))</f>
        <v/>
      </c>
      <c r="F16" s="55">
        <f>bx_h*MIN((($C16+$D16)/2),1)</f>
        <v/>
      </c>
      <c r="G16" s="55">
        <f>(fcd_bx*bx_b*$F16*(3/7+4/7*(1-$T16^2/3))+SUMPRODUCT($J$6:$S$6,$J16:$S16))/1000</f>
        <v/>
      </c>
      <c r="H16" s="55">
        <f>(fcd_bx*bx_b*(3/14*$F16*(bx_h-3/7*$F16)+4/7*$F16*(bx_h/2-3/7*$F16)*(1-$T16^2/3)-16/49*$F16^2*(1/2-$T16^2/4))+SUMPRODUCT($J$6:$S$6,$J16:$S16,$J$7:$S$7))/1E6</f>
        <v/>
      </c>
      <c r="J16">
        <f>MAX(-fyd_bx,MIN(fyd_bx,200000*0.002*(1-$T16*(7*J$5-3*$F16)/(4*$F16))))-fcd_bx*(1-MIN(1,MAX(0,$T16*(7*J$5-3*$F16)/(4*$F16)))^2)</f>
        <v/>
      </c>
      <c r="K16">
        <f>MAX(-fyd_bx,MIN(fyd_bx,200000*0.002*(1-$T16*(7*K$5-3*$F16)/(4*$F16))))-fcd_bx*(1-MIN(1,MAX(0,$T16*(7*K$5-3*$F16)/(4*$F16)))^2)</f>
        <v/>
      </c>
      <c r="L16">
        <f>MAX(-fyd_bx,MIN(fyd_bx,200000*0.002*(1-$T16*(7*L$5-3*$F16)/(4*$F16))))-fcd_bx*(1-MIN(1,MAX(0,$T16*(7*L$5-3*$F16)/(4*$F16)))^2)</f>
        <v/>
      </c>
      <c r="M16">
        <f>MAX(-fyd_bx,MIN(fyd_bx,200000*0.002*(1-$T16*(7*M$5-3*$F16)/(4*$F16))))-fcd_bx*(1-MIN(1,MAX(0,$T16*(7*M$5-3*$F16)/(4*$F16)))^2)</f>
        <v/>
      </c>
      <c r="N16">
        <f>MAX(-fyd_bx,MIN(fyd_bx,200000*0.002*(1-$T16*(7*N$5-3*$F16)/(4*$F16))))-fcd_bx*(1-MIN(1,MAX(0,$T16*(7*N$5-3*$F16)/(4*$F16)))^2)</f>
        <v/>
      </c>
      <c r="O16">
        <f>MAX(-fyd_bx,MIN(fyd_bx,200000*0.002*(1-$T16*(7*O$5-3*$F16)/(4*$F16))))-fcd_bx*(1-MIN(1,MAX(0,$T16*(7*O$5-3*$F16)/(4*$F16)))^2)</f>
        <v/>
      </c>
      <c r="P16">
        <f>MAX(-fyd_bx,MIN(fyd_bx,200000*0.002*(1-$T16*(7*P$5-3*$F16)/(4*$F16))))-fcd_bx*(1-MIN(1,MAX(0,$T16*(7*P$5-3*$F16)/(4*$F16)))^2)</f>
        <v/>
      </c>
      <c r="Q16">
        <f>MAX(-fyd_bx,MIN(fyd_bx,200000*0.002*(1-$T16*(7*Q$5-3*$F16)/(4*$F16))))-fcd_bx*(1-MIN(1,MAX(0,$T16*(7*Q$5-3*$F16)/(4*$F16)))^2)</f>
        <v/>
      </c>
      <c r="R16">
        <f>MAX(-fyd_bx,MIN(fyd_bx,200000*0.002*(1-$T16*(7*R$5-3*$F16)/(4*$F16))))-fcd_bx*(1-MIN(1,MAX(0,$T16*(7*R$5-3*$F16)/(4*$F16)))^2)</f>
        <v/>
      </c>
      <c r="S16">
        <f>MAX(-fyd_bx,MIN(fyd_bx,200000*0.002*(1-$T16*(7*S$5-3*$F16)/(4*$F16))))-fcd_bx*(1-MIN(1,MAX(0,$T16*(7*S$5-3*$F16)/(4*$F16)))^2)</f>
        <v/>
      </c>
      <c r="T16">
        <f>MIN(1,2-(($C16+$D16)/2))</f>
        <v/>
      </c>
    </row>
    <row r="17">
      <c r="B17" s="52" t="n">
        <v>8</v>
      </c>
      <c r="C17" s="53">
        <f>IF($G16&lt;bx_N,($C16+$D16)/2,$C16)</f>
        <v/>
      </c>
      <c r="D17" s="53">
        <f>IF($G16&lt;bx_N,$D16,($C16+$D16)/2)</f>
        <v/>
      </c>
      <c r="E17" s="54">
        <f>IF($T17&gt;=1,$F17,3/7*bx_h+4/7*bx_h/MAX($T17,1E-12))</f>
        <v/>
      </c>
      <c r="F17" s="55">
        <f>bx_h*MIN((($C17+$D17)/2),1)</f>
        <v/>
      </c>
      <c r="G17" s="55">
        <f>(fcd_bx*bx_b*$F17*(3/7+4/7*(1-$T17^2/3))+SUMPRODUCT($J$6:$S$6,$J17:$S17))/1000</f>
        <v/>
      </c>
      <c r="H17" s="55">
        <f>(fcd_bx*bx_b*(3/14*$F17*(bx_h-3/7*$F17)+4/7*$F17*(bx_h/2-3/7*$F17)*(1-$T17^2/3)-16/49*$F17^2*(1/2-$T17^2/4))+SUMPRODUCT($J$6:$S$6,$J17:$S17,$J$7:$S$7))/1E6</f>
        <v/>
      </c>
      <c r="J17">
        <f>MAX(-fyd_bx,MIN(fyd_bx,200000*0.002*(1-$T17*(7*J$5-3*$F17)/(4*$F17))))-fcd_bx*(1-MIN(1,MAX(0,$T17*(7*J$5-3*$F17)/(4*$F17)))^2)</f>
        <v/>
      </c>
      <c r="K17">
        <f>MAX(-fyd_bx,MIN(fyd_bx,200000*0.002*(1-$T17*(7*K$5-3*$F17)/(4*$F17))))-fcd_bx*(1-MIN(1,MAX(0,$T17*(7*K$5-3*$F17)/(4*$F17)))^2)</f>
        <v/>
      </c>
      <c r="L17">
        <f>MAX(-fyd_bx,MIN(fyd_bx,200000*0.002*(1-$T17*(7*L$5-3*$F17)/(4*$F17))))-fcd_bx*(1-MIN(1,MAX(0,$T17*(7*L$5-3*$F17)/(4*$F17)))^2)</f>
        <v/>
      </c>
      <c r="M17">
        <f>MAX(-fyd_bx,MIN(fyd_bx,200000*0.002*(1-$T17*(7*M$5-3*$F17)/(4*$F17))))-fcd_bx*(1-MIN(1,MAX(0,$T17*(7*M$5-3*$F17)/(4*$F17)))^2)</f>
        <v/>
      </c>
      <c r="N17">
        <f>MAX(-fyd_bx,MIN(fyd_bx,200000*0.002*(1-$T17*(7*N$5-3*$F17)/(4*$F17))))-fcd_bx*(1-MIN(1,MAX(0,$T17*(7*N$5-3*$F17)/(4*$F17)))^2)</f>
        <v/>
      </c>
      <c r="O17">
        <f>MAX(-fyd_bx,MIN(fyd_bx,200000*0.002*(1-$T17*(7*O$5-3*$F17)/(4*$F17))))-fcd_bx*(1-MIN(1,MAX(0,$T17*(7*O$5-3*$F17)/(4*$F17)))^2)</f>
        <v/>
      </c>
      <c r="P17">
        <f>MAX(-fyd_bx,MIN(fyd_bx,200000*0.002*(1-$T17*(7*P$5-3*$F17)/(4*$F17))))-fcd_bx*(1-MIN(1,MAX(0,$T17*(7*P$5-3*$F17)/(4*$F17)))^2)</f>
        <v/>
      </c>
      <c r="Q17">
        <f>MAX(-fyd_bx,MIN(fyd_bx,200000*0.002*(1-$T17*(7*Q$5-3*$F17)/(4*$F17))))-fcd_bx*(1-MIN(1,MAX(0,$T17*(7*Q$5-3*$F17)/(4*$F17)))^2)</f>
        <v/>
      </c>
      <c r="R17">
        <f>MAX(-fyd_bx,MIN(fyd_bx,200000*0.002*(1-$T17*(7*R$5-3*$F17)/(4*$F17))))-fcd_bx*(1-MIN(1,MAX(0,$T17*(7*R$5-3*$F17)/(4*$F17)))^2)</f>
        <v/>
      </c>
      <c r="S17">
        <f>MAX(-fyd_bx,MIN(fyd_bx,200000*0.002*(1-$T17*(7*S$5-3*$F17)/(4*$F17))))-fcd_bx*(1-MIN(1,MAX(0,$T17*(7*S$5-3*$F17)/(4*$F17)))^2)</f>
        <v/>
      </c>
      <c r="T17">
        <f>MIN(1,2-(($C17+$D17)/2))</f>
        <v/>
      </c>
    </row>
    <row r="18">
      <c r="B18" s="52" t="n">
        <v>9</v>
      </c>
      <c r="C18" s="53">
        <f>IF($G17&lt;bx_N,($C17+$D17)/2,$C17)</f>
        <v/>
      </c>
      <c r="D18" s="53">
        <f>IF($G17&lt;bx_N,$D17,($C17+$D17)/2)</f>
        <v/>
      </c>
      <c r="E18" s="54">
        <f>IF($T18&gt;=1,$F18,3/7*bx_h+4/7*bx_h/MAX($T18,1E-12))</f>
        <v/>
      </c>
      <c r="F18" s="55">
        <f>bx_h*MIN((($C18+$D18)/2),1)</f>
        <v/>
      </c>
      <c r="G18" s="55">
        <f>(fcd_bx*bx_b*$F18*(3/7+4/7*(1-$T18^2/3))+SUMPRODUCT($J$6:$S$6,$J18:$S18))/1000</f>
        <v/>
      </c>
      <c r="H18" s="55">
        <f>(fcd_bx*bx_b*(3/14*$F18*(bx_h-3/7*$F18)+4/7*$F18*(bx_h/2-3/7*$F18)*(1-$T18^2/3)-16/49*$F18^2*(1/2-$T18^2/4))+SUMPRODUCT($J$6:$S$6,$J18:$S18,$J$7:$S$7))/1E6</f>
        <v/>
      </c>
      <c r="J18">
        <f>MAX(-fyd_bx,MIN(fyd_bx,200000*0.002*(1-$T18*(7*J$5-3*$F18)/(4*$F18))))-fcd_bx*(1-MIN(1,MAX(0,$T18*(7*J$5-3*$F18)/(4*$F18)))^2)</f>
        <v/>
      </c>
      <c r="K18">
        <f>MAX(-fyd_bx,MIN(fyd_bx,200000*0.002*(1-$T18*(7*K$5-3*$F18)/(4*$F18))))-fcd_bx*(1-MIN(1,MAX(0,$T18*(7*K$5-3*$F18)/(4*$F18)))^2)</f>
        <v/>
      </c>
      <c r="L18">
        <f>MAX(-fyd_bx,MIN(fyd_bx,200000*0.002*(1-$T18*(7*L$5-3*$F18)/(4*$F18))))-fcd_bx*(1-MIN(1,MAX(0,$T18*(7*L$5-3*$F18)/(4*$F18)))^2)</f>
        <v/>
      </c>
      <c r="M18">
        <f>MAX(-fyd_bx,MIN(fyd_bx,200000*0.002*(1-$T18*(7*M$5-3*$F18)/(4*$F18))))-fcd_bx*(1-MIN(1,MAX(0,$T18*(7*M$5-3*$F18)/(4*$F18)))^2)</f>
        <v/>
      </c>
      <c r="N18">
        <f>MAX(-fyd_bx,MIN(fyd_bx,200000*0.002*(1-$T18*(7*N$5-3*$F18)/(4*$F18))))-fcd_bx*(1-MIN(1,MAX(0,$T18*(7*N$5-3*$F18)/(4*$F18)))^2)</f>
        <v/>
      </c>
      <c r="O18">
        <f>MAX(-fyd_bx,MIN(fyd_bx,200000*0.002*(1-$T18*(7*O$5-3*$F18)/(4*$F18))))-fcd_bx*(1-MIN(1,MAX(0,$T18*(7*O$5-3*$F18)/(4*$F18)))^2)</f>
        <v/>
      </c>
      <c r="P18">
        <f>MAX(-fyd_bx,MIN(fyd_bx,200000*0.002*(1-$T18*(7*P$5-3*$F18)/(4*$F18))))-fcd_bx*(1-MIN(1,MAX(0,$T18*(7*P$5-3*$F18)/(4*$F18)))^2)</f>
        <v/>
      </c>
      <c r="Q18">
        <f>MAX(-fyd_bx,MIN(fyd_bx,200000*0.002*(1-$T18*(7*Q$5-3*$F18)/(4*$F18))))-fcd_bx*(1-MIN(1,MAX(0,$T18*(7*Q$5-3*$F18)/(4*$F18)))^2)</f>
        <v/>
      </c>
      <c r="R18">
        <f>MAX(-fyd_bx,MIN(fyd_bx,200000*0.002*(1-$T18*(7*R$5-3*$F18)/(4*$F18))))-fcd_bx*(1-MIN(1,MAX(0,$T18*(7*R$5-3*$F18)/(4*$F18)))^2)</f>
        <v/>
      </c>
      <c r="S18">
        <f>MAX(-fyd_bx,MIN(fyd_bx,200000*0.002*(1-$T18*(7*S$5-3*$F18)/(4*$F18))))-fcd_bx*(1-MIN(1,MAX(0,$T18*(7*S$5-3*$F18)/(4*$F18)))^2)</f>
        <v/>
      </c>
      <c r="T18">
        <f>MIN(1,2-(($C18+$D18)/2))</f>
        <v/>
      </c>
    </row>
    <row r="19">
      <c r="B19" s="52" t="n">
        <v>10</v>
      </c>
      <c r="C19" s="53">
        <f>IF($G18&lt;bx_N,($C18+$D18)/2,$C18)</f>
        <v/>
      </c>
      <c r="D19" s="53">
        <f>IF($G18&lt;bx_N,$D18,($C18+$D18)/2)</f>
        <v/>
      </c>
      <c r="E19" s="54">
        <f>IF($T19&gt;=1,$F19,3/7*bx_h+4/7*bx_h/MAX($T19,1E-12))</f>
        <v/>
      </c>
      <c r="F19" s="55">
        <f>bx_h*MIN((($C19+$D19)/2),1)</f>
        <v/>
      </c>
      <c r="G19" s="55">
        <f>(fcd_bx*bx_b*$F19*(3/7+4/7*(1-$T19^2/3))+SUMPRODUCT($J$6:$S$6,$J19:$S19))/1000</f>
        <v/>
      </c>
      <c r="H19" s="55">
        <f>(fcd_bx*bx_b*(3/14*$F19*(bx_h-3/7*$F19)+4/7*$F19*(bx_h/2-3/7*$F19)*(1-$T19^2/3)-16/49*$F19^2*(1/2-$T19^2/4))+SUMPRODUCT($J$6:$S$6,$J19:$S19,$J$7:$S$7))/1E6</f>
        <v/>
      </c>
      <c r="J19">
        <f>MAX(-fyd_bx,MIN(fyd_bx,200000*0.002*(1-$T19*(7*J$5-3*$F19)/(4*$F19))))-fcd_bx*(1-MIN(1,MAX(0,$T19*(7*J$5-3*$F19)/(4*$F19)))^2)</f>
        <v/>
      </c>
      <c r="K19">
        <f>MAX(-fyd_bx,MIN(fyd_bx,200000*0.002*(1-$T19*(7*K$5-3*$F19)/(4*$F19))))-fcd_bx*(1-MIN(1,MAX(0,$T19*(7*K$5-3*$F19)/(4*$F19)))^2)</f>
        <v/>
      </c>
      <c r="L19">
        <f>MAX(-fyd_bx,MIN(fyd_bx,200000*0.002*(1-$T19*(7*L$5-3*$F19)/(4*$F19))))-fcd_bx*(1-MIN(1,MAX(0,$T19*(7*L$5-3*$F19)/(4*$F19)))^2)</f>
        <v/>
      </c>
      <c r="M19">
        <f>MAX(-fyd_bx,MIN(fyd_bx,200000*0.002*(1-$T19*(7*M$5-3*$F19)/(4*$F19))))-fcd_bx*(1-MIN(1,MAX(0,$T19*(7*M$5-3*$F19)/(4*$F19)))^2)</f>
        <v/>
      </c>
      <c r="N19">
        <f>MAX(-fyd_bx,MIN(fyd_bx,200000*0.002*(1-$T19*(7*N$5-3*$F19)/(4*$F19))))-fcd_bx*(1-MIN(1,MAX(0,$T19*(7*N$5-3*$F19)/(4*$F19)))^2)</f>
        <v/>
      </c>
      <c r="O19">
        <f>MAX(-fyd_bx,MIN(fyd_bx,200000*0.002*(1-$T19*(7*O$5-3*$F19)/(4*$F19))))-fcd_bx*(1-MIN(1,MAX(0,$T19*(7*O$5-3*$F19)/(4*$F19)))^2)</f>
        <v/>
      </c>
      <c r="P19">
        <f>MAX(-fyd_bx,MIN(fyd_bx,200000*0.002*(1-$T19*(7*P$5-3*$F19)/(4*$F19))))-fcd_bx*(1-MIN(1,MAX(0,$T19*(7*P$5-3*$F19)/(4*$F19)))^2)</f>
        <v/>
      </c>
      <c r="Q19">
        <f>MAX(-fyd_bx,MIN(fyd_bx,200000*0.002*(1-$T19*(7*Q$5-3*$F19)/(4*$F19))))-fcd_bx*(1-MIN(1,MAX(0,$T19*(7*Q$5-3*$F19)/(4*$F19)))^2)</f>
        <v/>
      </c>
      <c r="R19">
        <f>MAX(-fyd_bx,MIN(fyd_bx,200000*0.002*(1-$T19*(7*R$5-3*$F19)/(4*$F19))))-fcd_bx*(1-MIN(1,MAX(0,$T19*(7*R$5-3*$F19)/(4*$F19)))^2)</f>
        <v/>
      </c>
      <c r="S19">
        <f>MAX(-fyd_bx,MIN(fyd_bx,200000*0.002*(1-$T19*(7*S$5-3*$F19)/(4*$F19))))-fcd_bx*(1-MIN(1,MAX(0,$T19*(7*S$5-3*$F19)/(4*$F19)))^2)</f>
        <v/>
      </c>
      <c r="T19">
        <f>MIN(1,2-(($C19+$D19)/2))</f>
        <v/>
      </c>
    </row>
    <row r="20">
      <c r="B20" s="52" t="n">
        <v>11</v>
      </c>
      <c r="C20" s="53">
        <f>IF($G19&lt;bx_N,($C19+$D19)/2,$C19)</f>
        <v/>
      </c>
      <c r="D20" s="53">
        <f>IF($G19&lt;bx_N,$D19,($C19+$D19)/2)</f>
        <v/>
      </c>
      <c r="E20" s="54">
        <f>IF($T20&gt;=1,$F20,3/7*bx_h+4/7*bx_h/MAX($T20,1E-12))</f>
        <v/>
      </c>
      <c r="F20" s="55">
        <f>bx_h*MIN((($C20+$D20)/2),1)</f>
        <v/>
      </c>
      <c r="G20" s="55">
        <f>(fcd_bx*bx_b*$F20*(3/7+4/7*(1-$T20^2/3))+SUMPRODUCT($J$6:$S$6,$J20:$S20))/1000</f>
        <v/>
      </c>
      <c r="H20" s="55">
        <f>(fcd_bx*bx_b*(3/14*$F20*(bx_h-3/7*$F20)+4/7*$F20*(bx_h/2-3/7*$F20)*(1-$T20^2/3)-16/49*$F20^2*(1/2-$T20^2/4))+SUMPRODUCT($J$6:$S$6,$J20:$S20,$J$7:$S$7))/1E6</f>
        <v/>
      </c>
      <c r="J20">
        <f>MAX(-fyd_bx,MIN(fyd_bx,200000*0.002*(1-$T20*(7*J$5-3*$F20)/(4*$F20))))-fcd_bx*(1-MIN(1,MAX(0,$T20*(7*J$5-3*$F20)/(4*$F20)))^2)</f>
        <v/>
      </c>
      <c r="K20">
        <f>MAX(-fyd_bx,MIN(fyd_bx,200000*0.002*(1-$T20*(7*K$5-3*$F20)/(4*$F20))))-fcd_bx*(1-MIN(1,MAX(0,$T20*(7*K$5-3*$F20)/(4*$F20)))^2)</f>
        <v/>
      </c>
      <c r="L20">
        <f>MAX(-fyd_bx,MIN(fyd_bx,200000*0.002*(1-$T20*(7*L$5-3*$F20)/(4*$F20))))-fcd_bx*(1-MIN(1,MAX(0,$T20*(7*L$5-3*$F20)/(4*$F20)))^2)</f>
        <v/>
      </c>
      <c r="M20">
        <f>MAX(-fyd_bx,MIN(fyd_bx,200000*0.002*(1-$T20*(7*M$5-3*$F20)/(4*$F20))))-fcd_bx*(1-MIN(1,MAX(0,$T20*(7*M$5-3*$F20)/(4*$F20)))^2)</f>
        <v/>
      </c>
      <c r="N20">
        <f>MAX(-fyd_bx,MIN(fyd_bx,200000*0.002*(1-$T20*(7*N$5-3*$F20)/(4*$F20))))-fcd_bx*(1-MIN(1,MAX(0,$T20*(7*N$5-3*$F20)/(4*$F20)))^2)</f>
        <v/>
      </c>
      <c r="O20">
        <f>MAX(-fyd_bx,MIN(fyd_bx,200000*0.002*(1-$T20*(7*O$5-3*$F20)/(4*$F20))))-fcd_bx*(1-MIN(1,MAX(0,$T20*(7*O$5-3*$F20)/(4*$F20)))^2)</f>
        <v/>
      </c>
      <c r="P20">
        <f>MAX(-fyd_bx,MIN(fyd_bx,200000*0.002*(1-$T20*(7*P$5-3*$F20)/(4*$F20))))-fcd_bx*(1-MIN(1,MAX(0,$T20*(7*P$5-3*$F20)/(4*$F20)))^2)</f>
        <v/>
      </c>
      <c r="Q20">
        <f>MAX(-fyd_bx,MIN(fyd_bx,200000*0.002*(1-$T20*(7*Q$5-3*$F20)/(4*$F20))))-fcd_bx*(1-MIN(1,MAX(0,$T20*(7*Q$5-3*$F20)/(4*$F20)))^2)</f>
        <v/>
      </c>
      <c r="R20">
        <f>MAX(-fyd_bx,MIN(fyd_bx,200000*0.002*(1-$T20*(7*R$5-3*$F20)/(4*$F20))))-fcd_bx*(1-MIN(1,MAX(0,$T20*(7*R$5-3*$F20)/(4*$F20)))^2)</f>
        <v/>
      </c>
      <c r="S20">
        <f>MAX(-fyd_bx,MIN(fyd_bx,200000*0.002*(1-$T20*(7*S$5-3*$F20)/(4*$F20))))-fcd_bx*(1-MIN(1,MAX(0,$T20*(7*S$5-3*$F20)/(4*$F20)))^2)</f>
        <v/>
      </c>
      <c r="T20">
        <f>MIN(1,2-(($C20+$D20)/2))</f>
        <v/>
      </c>
    </row>
    <row r="21">
      <c r="B21" s="52" t="n">
        <v>12</v>
      </c>
      <c r="C21" s="53">
        <f>IF($G20&lt;bx_N,($C20+$D20)/2,$C20)</f>
        <v/>
      </c>
      <c r="D21" s="53">
        <f>IF($G20&lt;bx_N,$D20,($C20+$D20)/2)</f>
        <v/>
      </c>
      <c r="E21" s="54">
        <f>IF($T21&gt;=1,$F21,3/7*bx_h+4/7*bx_h/MAX($T21,1E-12))</f>
        <v/>
      </c>
      <c r="F21" s="55">
        <f>bx_h*MIN((($C21+$D21)/2),1)</f>
        <v/>
      </c>
      <c r="G21" s="55">
        <f>(fcd_bx*bx_b*$F21*(3/7+4/7*(1-$T21^2/3))+SUMPRODUCT($J$6:$S$6,$J21:$S21))/1000</f>
        <v/>
      </c>
      <c r="H21" s="55">
        <f>(fcd_bx*bx_b*(3/14*$F21*(bx_h-3/7*$F21)+4/7*$F21*(bx_h/2-3/7*$F21)*(1-$T21^2/3)-16/49*$F21^2*(1/2-$T21^2/4))+SUMPRODUCT($J$6:$S$6,$J21:$S21,$J$7:$S$7))/1E6</f>
        <v/>
      </c>
      <c r="J21">
        <f>MAX(-fyd_bx,MIN(fyd_bx,200000*0.002*(1-$T21*(7*J$5-3*$F21)/(4*$F21))))-fcd_bx*(1-MIN(1,MAX(0,$T21*(7*J$5-3*$F21)/(4*$F21)))^2)</f>
        <v/>
      </c>
      <c r="K21">
        <f>MAX(-fyd_bx,MIN(fyd_bx,200000*0.002*(1-$T21*(7*K$5-3*$F21)/(4*$F21))))-fcd_bx*(1-MIN(1,MAX(0,$T21*(7*K$5-3*$F21)/(4*$F21)))^2)</f>
        <v/>
      </c>
      <c r="L21">
        <f>MAX(-fyd_bx,MIN(fyd_bx,200000*0.002*(1-$T21*(7*L$5-3*$F21)/(4*$F21))))-fcd_bx*(1-MIN(1,MAX(0,$T21*(7*L$5-3*$F21)/(4*$F21)))^2)</f>
        <v/>
      </c>
      <c r="M21">
        <f>MAX(-fyd_bx,MIN(fyd_bx,200000*0.002*(1-$T21*(7*M$5-3*$F21)/(4*$F21))))-fcd_bx*(1-MIN(1,MAX(0,$T21*(7*M$5-3*$F21)/(4*$F21)))^2)</f>
        <v/>
      </c>
      <c r="N21">
        <f>MAX(-fyd_bx,MIN(fyd_bx,200000*0.002*(1-$T21*(7*N$5-3*$F21)/(4*$F21))))-fcd_bx*(1-MIN(1,MAX(0,$T21*(7*N$5-3*$F21)/(4*$F21)))^2)</f>
        <v/>
      </c>
      <c r="O21">
        <f>MAX(-fyd_bx,MIN(fyd_bx,200000*0.002*(1-$T21*(7*O$5-3*$F21)/(4*$F21))))-fcd_bx*(1-MIN(1,MAX(0,$T21*(7*O$5-3*$F21)/(4*$F21)))^2)</f>
        <v/>
      </c>
      <c r="P21">
        <f>MAX(-fyd_bx,MIN(fyd_bx,200000*0.002*(1-$T21*(7*P$5-3*$F21)/(4*$F21))))-fcd_bx*(1-MIN(1,MAX(0,$T21*(7*P$5-3*$F21)/(4*$F21)))^2)</f>
        <v/>
      </c>
      <c r="Q21">
        <f>MAX(-fyd_bx,MIN(fyd_bx,200000*0.002*(1-$T21*(7*Q$5-3*$F21)/(4*$F21))))-fcd_bx*(1-MIN(1,MAX(0,$T21*(7*Q$5-3*$F21)/(4*$F21)))^2)</f>
        <v/>
      </c>
      <c r="R21">
        <f>MAX(-fyd_bx,MIN(fyd_bx,200000*0.002*(1-$T21*(7*R$5-3*$F21)/(4*$F21))))-fcd_bx*(1-MIN(1,MAX(0,$T21*(7*R$5-3*$F21)/(4*$F21)))^2)</f>
        <v/>
      </c>
      <c r="S21">
        <f>MAX(-fyd_bx,MIN(fyd_bx,200000*0.002*(1-$T21*(7*S$5-3*$F21)/(4*$F21))))-fcd_bx*(1-MIN(1,MAX(0,$T21*(7*S$5-3*$F21)/(4*$F21)))^2)</f>
        <v/>
      </c>
      <c r="T21">
        <f>MIN(1,2-(($C21+$D21)/2))</f>
        <v/>
      </c>
    </row>
    <row r="22">
      <c r="B22" s="52" t="n">
        <v>13</v>
      </c>
      <c r="C22" s="53">
        <f>IF($G21&lt;bx_N,($C21+$D21)/2,$C21)</f>
        <v/>
      </c>
      <c r="D22" s="53">
        <f>IF($G21&lt;bx_N,$D21,($C21+$D21)/2)</f>
        <v/>
      </c>
      <c r="E22" s="54">
        <f>IF($T22&gt;=1,$F22,3/7*bx_h+4/7*bx_h/MAX($T22,1E-12))</f>
        <v/>
      </c>
      <c r="F22" s="55">
        <f>bx_h*MIN((($C22+$D22)/2),1)</f>
        <v/>
      </c>
      <c r="G22" s="55">
        <f>(fcd_bx*bx_b*$F22*(3/7+4/7*(1-$T22^2/3))+SUMPRODUCT($J$6:$S$6,$J22:$S22))/1000</f>
        <v/>
      </c>
      <c r="H22" s="55">
        <f>(fcd_bx*bx_b*(3/14*$F22*(bx_h-3/7*$F22)+4/7*$F22*(bx_h/2-3/7*$F22)*(1-$T22^2/3)-16/49*$F22^2*(1/2-$T22^2/4))+SUMPRODUCT($J$6:$S$6,$J22:$S22,$J$7:$S$7))/1E6</f>
        <v/>
      </c>
      <c r="J22">
        <f>MAX(-fyd_bx,MIN(fyd_bx,200000*0.002*(1-$T22*(7*J$5-3*$F22)/(4*$F22))))-fcd_bx*(1-MIN(1,MAX(0,$T22*(7*J$5-3*$F22)/(4*$F22)))^2)</f>
        <v/>
      </c>
      <c r="K22">
        <f>MAX(-fyd_bx,MIN(fyd_bx,200000*0.002*(1-$T22*(7*K$5-3*$F22)/(4*$F22))))-fcd_bx*(1-MIN(1,MAX(0,$T22*(7*K$5-3*$F22)/(4*$F22)))^2)</f>
        <v/>
      </c>
      <c r="L22">
        <f>MAX(-fyd_bx,MIN(fyd_bx,200000*0.002*(1-$T22*(7*L$5-3*$F22)/(4*$F22))))-fcd_bx*(1-MIN(1,MAX(0,$T22*(7*L$5-3*$F22)/(4*$F22)))^2)</f>
        <v/>
      </c>
      <c r="M22">
        <f>MAX(-fyd_bx,MIN(fyd_bx,200000*0.002*(1-$T22*(7*M$5-3*$F22)/(4*$F22))))-fcd_bx*(1-MIN(1,MAX(0,$T22*(7*M$5-3*$F22)/(4*$F22)))^2)</f>
        <v/>
      </c>
      <c r="N22">
        <f>MAX(-fyd_bx,MIN(fyd_bx,200000*0.002*(1-$T22*(7*N$5-3*$F22)/(4*$F22))))-fcd_bx*(1-MIN(1,MAX(0,$T22*(7*N$5-3*$F22)/(4*$F22)))^2)</f>
        <v/>
      </c>
      <c r="O22">
        <f>MAX(-fyd_bx,MIN(fyd_bx,200000*0.002*(1-$T22*(7*O$5-3*$F22)/(4*$F22))))-fcd_bx*(1-MIN(1,MAX(0,$T22*(7*O$5-3*$F22)/(4*$F22)))^2)</f>
        <v/>
      </c>
      <c r="P22">
        <f>MAX(-fyd_bx,MIN(fyd_bx,200000*0.002*(1-$T22*(7*P$5-3*$F22)/(4*$F22))))-fcd_bx*(1-MIN(1,MAX(0,$T22*(7*P$5-3*$F22)/(4*$F22)))^2)</f>
        <v/>
      </c>
      <c r="Q22">
        <f>MAX(-fyd_bx,MIN(fyd_bx,200000*0.002*(1-$T22*(7*Q$5-3*$F22)/(4*$F22))))-fcd_bx*(1-MIN(1,MAX(0,$T22*(7*Q$5-3*$F22)/(4*$F22)))^2)</f>
        <v/>
      </c>
      <c r="R22">
        <f>MAX(-fyd_bx,MIN(fyd_bx,200000*0.002*(1-$T22*(7*R$5-3*$F22)/(4*$F22))))-fcd_bx*(1-MIN(1,MAX(0,$T22*(7*R$5-3*$F22)/(4*$F22)))^2)</f>
        <v/>
      </c>
      <c r="S22">
        <f>MAX(-fyd_bx,MIN(fyd_bx,200000*0.002*(1-$T22*(7*S$5-3*$F22)/(4*$F22))))-fcd_bx*(1-MIN(1,MAX(0,$T22*(7*S$5-3*$F22)/(4*$F22)))^2)</f>
        <v/>
      </c>
      <c r="T22">
        <f>MIN(1,2-(($C22+$D22)/2))</f>
        <v/>
      </c>
    </row>
    <row r="23">
      <c r="B23" s="52" t="n">
        <v>14</v>
      </c>
      <c r="C23" s="53">
        <f>IF($G22&lt;bx_N,($C22+$D22)/2,$C22)</f>
        <v/>
      </c>
      <c r="D23" s="53">
        <f>IF($G22&lt;bx_N,$D22,($C22+$D22)/2)</f>
        <v/>
      </c>
      <c r="E23" s="54">
        <f>IF($T23&gt;=1,$F23,3/7*bx_h+4/7*bx_h/MAX($T23,1E-12))</f>
        <v/>
      </c>
      <c r="F23" s="55">
        <f>bx_h*MIN((($C23+$D23)/2),1)</f>
        <v/>
      </c>
      <c r="G23" s="55">
        <f>(fcd_bx*bx_b*$F23*(3/7+4/7*(1-$T23^2/3))+SUMPRODUCT($J$6:$S$6,$J23:$S23))/1000</f>
        <v/>
      </c>
      <c r="H23" s="55">
        <f>(fcd_bx*bx_b*(3/14*$F23*(bx_h-3/7*$F23)+4/7*$F23*(bx_h/2-3/7*$F23)*(1-$T23^2/3)-16/49*$F23^2*(1/2-$T23^2/4))+SUMPRODUCT($J$6:$S$6,$J23:$S23,$J$7:$S$7))/1E6</f>
        <v/>
      </c>
      <c r="J23">
        <f>MAX(-fyd_bx,MIN(fyd_bx,200000*0.002*(1-$T23*(7*J$5-3*$F23)/(4*$F23))))-fcd_bx*(1-MIN(1,MAX(0,$T23*(7*J$5-3*$F23)/(4*$F23)))^2)</f>
        <v/>
      </c>
      <c r="K23">
        <f>MAX(-fyd_bx,MIN(fyd_bx,200000*0.002*(1-$T23*(7*K$5-3*$F23)/(4*$F23))))-fcd_bx*(1-MIN(1,MAX(0,$T23*(7*K$5-3*$F23)/(4*$F23)))^2)</f>
        <v/>
      </c>
      <c r="L23">
        <f>MAX(-fyd_bx,MIN(fyd_bx,200000*0.002*(1-$T23*(7*L$5-3*$F23)/(4*$F23))))-fcd_bx*(1-MIN(1,MAX(0,$T23*(7*L$5-3*$F23)/(4*$F23)))^2)</f>
        <v/>
      </c>
      <c r="M23">
        <f>MAX(-fyd_bx,MIN(fyd_bx,200000*0.002*(1-$T23*(7*M$5-3*$F23)/(4*$F23))))-fcd_bx*(1-MIN(1,MAX(0,$T23*(7*M$5-3*$F23)/(4*$F23)))^2)</f>
        <v/>
      </c>
      <c r="N23">
        <f>MAX(-fyd_bx,MIN(fyd_bx,200000*0.002*(1-$T23*(7*N$5-3*$F23)/(4*$F23))))-fcd_bx*(1-MIN(1,MAX(0,$T23*(7*N$5-3*$F23)/(4*$F23)))^2)</f>
        <v/>
      </c>
      <c r="O23">
        <f>MAX(-fyd_bx,MIN(fyd_bx,200000*0.002*(1-$T23*(7*O$5-3*$F23)/(4*$F23))))-fcd_bx*(1-MIN(1,MAX(0,$T23*(7*O$5-3*$F23)/(4*$F23)))^2)</f>
        <v/>
      </c>
      <c r="P23">
        <f>MAX(-fyd_bx,MIN(fyd_bx,200000*0.002*(1-$T23*(7*P$5-3*$F23)/(4*$F23))))-fcd_bx*(1-MIN(1,MAX(0,$T23*(7*P$5-3*$F23)/(4*$F23)))^2)</f>
        <v/>
      </c>
      <c r="Q23">
        <f>MAX(-fyd_bx,MIN(fyd_bx,200000*0.002*(1-$T23*(7*Q$5-3*$F23)/(4*$F23))))-fcd_bx*(1-MIN(1,MAX(0,$T23*(7*Q$5-3*$F23)/(4*$F23)))^2)</f>
        <v/>
      </c>
      <c r="R23">
        <f>MAX(-fyd_bx,MIN(fyd_bx,200000*0.002*(1-$T23*(7*R$5-3*$F23)/(4*$F23))))-fcd_bx*(1-MIN(1,MAX(0,$T23*(7*R$5-3*$F23)/(4*$F23)))^2)</f>
        <v/>
      </c>
      <c r="S23">
        <f>MAX(-fyd_bx,MIN(fyd_bx,200000*0.002*(1-$T23*(7*S$5-3*$F23)/(4*$F23))))-fcd_bx*(1-MIN(1,MAX(0,$T23*(7*S$5-3*$F23)/(4*$F23)))^2)</f>
        <v/>
      </c>
      <c r="T23">
        <f>MIN(1,2-(($C23+$D23)/2))</f>
        <v/>
      </c>
    </row>
    <row r="24">
      <c r="B24" s="52" t="n">
        <v>15</v>
      </c>
      <c r="C24" s="53">
        <f>IF($G23&lt;bx_N,($C23+$D23)/2,$C23)</f>
        <v/>
      </c>
      <c r="D24" s="53">
        <f>IF($G23&lt;bx_N,$D23,($C23+$D23)/2)</f>
        <v/>
      </c>
      <c r="E24" s="54">
        <f>IF($T24&gt;=1,$F24,3/7*bx_h+4/7*bx_h/MAX($T24,1E-12))</f>
        <v/>
      </c>
      <c r="F24" s="55">
        <f>bx_h*MIN((($C24+$D24)/2),1)</f>
        <v/>
      </c>
      <c r="G24" s="55">
        <f>(fcd_bx*bx_b*$F24*(3/7+4/7*(1-$T24^2/3))+SUMPRODUCT($J$6:$S$6,$J24:$S24))/1000</f>
        <v/>
      </c>
      <c r="H24" s="55">
        <f>(fcd_bx*bx_b*(3/14*$F24*(bx_h-3/7*$F24)+4/7*$F24*(bx_h/2-3/7*$F24)*(1-$T24^2/3)-16/49*$F24^2*(1/2-$T24^2/4))+SUMPRODUCT($J$6:$S$6,$J24:$S24,$J$7:$S$7))/1E6</f>
        <v/>
      </c>
      <c r="J24">
        <f>MAX(-fyd_bx,MIN(fyd_bx,200000*0.002*(1-$T24*(7*J$5-3*$F24)/(4*$F24))))-fcd_bx*(1-MIN(1,MAX(0,$T24*(7*J$5-3*$F24)/(4*$F24)))^2)</f>
        <v/>
      </c>
      <c r="K24">
        <f>MAX(-fyd_bx,MIN(fyd_bx,200000*0.002*(1-$T24*(7*K$5-3*$F24)/(4*$F24))))-fcd_bx*(1-MIN(1,MAX(0,$T24*(7*K$5-3*$F24)/(4*$F24)))^2)</f>
        <v/>
      </c>
      <c r="L24">
        <f>MAX(-fyd_bx,MIN(fyd_bx,200000*0.002*(1-$T24*(7*L$5-3*$F24)/(4*$F24))))-fcd_bx*(1-MIN(1,MAX(0,$T24*(7*L$5-3*$F24)/(4*$F24)))^2)</f>
        <v/>
      </c>
      <c r="M24">
        <f>MAX(-fyd_bx,MIN(fyd_bx,200000*0.002*(1-$T24*(7*M$5-3*$F24)/(4*$F24))))-fcd_bx*(1-MIN(1,MAX(0,$T24*(7*M$5-3*$F24)/(4*$F24)))^2)</f>
        <v/>
      </c>
      <c r="N24">
        <f>MAX(-fyd_bx,MIN(fyd_bx,200000*0.002*(1-$T24*(7*N$5-3*$F24)/(4*$F24))))-fcd_bx*(1-MIN(1,MAX(0,$T24*(7*N$5-3*$F24)/(4*$F24)))^2)</f>
        <v/>
      </c>
      <c r="O24">
        <f>MAX(-fyd_bx,MIN(fyd_bx,200000*0.002*(1-$T24*(7*O$5-3*$F24)/(4*$F24))))-fcd_bx*(1-MIN(1,MAX(0,$T24*(7*O$5-3*$F24)/(4*$F24)))^2)</f>
        <v/>
      </c>
      <c r="P24">
        <f>MAX(-fyd_bx,MIN(fyd_bx,200000*0.002*(1-$T24*(7*P$5-3*$F24)/(4*$F24))))-fcd_bx*(1-MIN(1,MAX(0,$T24*(7*P$5-3*$F24)/(4*$F24)))^2)</f>
        <v/>
      </c>
      <c r="Q24">
        <f>MAX(-fyd_bx,MIN(fyd_bx,200000*0.002*(1-$T24*(7*Q$5-3*$F24)/(4*$F24))))-fcd_bx*(1-MIN(1,MAX(0,$T24*(7*Q$5-3*$F24)/(4*$F24)))^2)</f>
        <v/>
      </c>
      <c r="R24">
        <f>MAX(-fyd_bx,MIN(fyd_bx,200000*0.002*(1-$T24*(7*R$5-3*$F24)/(4*$F24))))-fcd_bx*(1-MIN(1,MAX(0,$T24*(7*R$5-3*$F24)/(4*$F24)))^2)</f>
        <v/>
      </c>
      <c r="S24">
        <f>MAX(-fyd_bx,MIN(fyd_bx,200000*0.002*(1-$T24*(7*S$5-3*$F24)/(4*$F24))))-fcd_bx*(1-MIN(1,MAX(0,$T24*(7*S$5-3*$F24)/(4*$F24)))^2)</f>
        <v/>
      </c>
      <c r="T24">
        <f>MIN(1,2-(($C24+$D24)/2))</f>
        <v/>
      </c>
    </row>
    <row r="25">
      <c r="B25" s="52" t="n">
        <v>16</v>
      </c>
      <c r="C25" s="53">
        <f>IF($G24&lt;bx_N,($C24+$D24)/2,$C24)</f>
        <v/>
      </c>
      <c r="D25" s="53">
        <f>IF($G24&lt;bx_N,$D24,($C24+$D24)/2)</f>
        <v/>
      </c>
      <c r="E25" s="54">
        <f>IF($T25&gt;=1,$F25,3/7*bx_h+4/7*bx_h/MAX($T25,1E-12))</f>
        <v/>
      </c>
      <c r="F25" s="55">
        <f>bx_h*MIN((($C25+$D25)/2),1)</f>
        <v/>
      </c>
      <c r="G25" s="55">
        <f>(fcd_bx*bx_b*$F25*(3/7+4/7*(1-$T25^2/3))+SUMPRODUCT($J$6:$S$6,$J25:$S25))/1000</f>
        <v/>
      </c>
      <c r="H25" s="55">
        <f>(fcd_bx*bx_b*(3/14*$F25*(bx_h-3/7*$F25)+4/7*$F25*(bx_h/2-3/7*$F25)*(1-$T25^2/3)-16/49*$F25^2*(1/2-$T25^2/4))+SUMPRODUCT($J$6:$S$6,$J25:$S25,$J$7:$S$7))/1E6</f>
        <v/>
      </c>
      <c r="J25">
        <f>MAX(-fyd_bx,MIN(fyd_bx,200000*0.002*(1-$T25*(7*J$5-3*$F25)/(4*$F25))))-fcd_bx*(1-MIN(1,MAX(0,$T25*(7*J$5-3*$F25)/(4*$F25)))^2)</f>
        <v/>
      </c>
      <c r="K25">
        <f>MAX(-fyd_bx,MIN(fyd_bx,200000*0.002*(1-$T25*(7*K$5-3*$F25)/(4*$F25))))-fcd_bx*(1-MIN(1,MAX(0,$T25*(7*K$5-3*$F25)/(4*$F25)))^2)</f>
        <v/>
      </c>
      <c r="L25">
        <f>MAX(-fyd_bx,MIN(fyd_bx,200000*0.002*(1-$T25*(7*L$5-3*$F25)/(4*$F25))))-fcd_bx*(1-MIN(1,MAX(0,$T25*(7*L$5-3*$F25)/(4*$F25)))^2)</f>
        <v/>
      </c>
      <c r="M25">
        <f>MAX(-fyd_bx,MIN(fyd_bx,200000*0.002*(1-$T25*(7*M$5-3*$F25)/(4*$F25))))-fcd_bx*(1-MIN(1,MAX(0,$T25*(7*M$5-3*$F25)/(4*$F25)))^2)</f>
        <v/>
      </c>
      <c r="N25">
        <f>MAX(-fyd_bx,MIN(fyd_bx,200000*0.002*(1-$T25*(7*N$5-3*$F25)/(4*$F25))))-fcd_bx*(1-MIN(1,MAX(0,$T25*(7*N$5-3*$F25)/(4*$F25)))^2)</f>
        <v/>
      </c>
      <c r="O25">
        <f>MAX(-fyd_bx,MIN(fyd_bx,200000*0.002*(1-$T25*(7*O$5-3*$F25)/(4*$F25))))-fcd_bx*(1-MIN(1,MAX(0,$T25*(7*O$5-3*$F25)/(4*$F25)))^2)</f>
        <v/>
      </c>
      <c r="P25">
        <f>MAX(-fyd_bx,MIN(fyd_bx,200000*0.002*(1-$T25*(7*P$5-3*$F25)/(4*$F25))))-fcd_bx*(1-MIN(1,MAX(0,$T25*(7*P$5-3*$F25)/(4*$F25)))^2)</f>
        <v/>
      </c>
      <c r="Q25">
        <f>MAX(-fyd_bx,MIN(fyd_bx,200000*0.002*(1-$T25*(7*Q$5-3*$F25)/(4*$F25))))-fcd_bx*(1-MIN(1,MAX(0,$T25*(7*Q$5-3*$F25)/(4*$F25)))^2)</f>
        <v/>
      </c>
      <c r="R25">
        <f>MAX(-fyd_bx,MIN(fyd_bx,200000*0.002*(1-$T25*(7*R$5-3*$F25)/(4*$F25))))-fcd_bx*(1-MIN(1,MAX(0,$T25*(7*R$5-3*$F25)/(4*$F25)))^2)</f>
        <v/>
      </c>
      <c r="S25">
        <f>MAX(-fyd_bx,MIN(fyd_bx,200000*0.002*(1-$T25*(7*S$5-3*$F25)/(4*$F25))))-fcd_bx*(1-MIN(1,MAX(0,$T25*(7*S$5-3*$F25)/(4*$F25)))^2)</f>
        <v/>
      </c>
      <c r="T25">
        <f>MIN(1,2-(($C25+$D25)/2))</f>
        <v/>
      </c>
    </row>
    <row r="26">
      <c r="B26" s="52" t="n">
        <v>17</v>
      </c>
      <c r="C26" s="53">
        <f>IF($G25&lt;bx_N,($C25+$D25)/2,$C25)</f>
        <v/>
      </c>
      <c r="D26" s="53">
        <f>IF($G25&lt;bx_N,$D25,($C25+$D25)/2)</f>
        <v/>
      </c>
      <c r="E26" s="54">
        <f>IF($T26&gt;=1,$F26,3/7*bx_h+4/7*bx_h/MAX($T26,1E-12))</f>
        <v/>
      </c>
      <c r="F26" s="55">
        <f>bx_h*MIN((($C26+$D26)/2),1)</f>
        <v/>
      </c>
      <c r="G26" s="55">
        <f>(fcd_bx*bx_b*$F26*(3/7+4/7*(1-$T26^2/3))+SUMPRODUCT($J$6:$S$6,$J26:$S26))/1000</f>
        <v/>
      </c>
      <c r="H26" s="55">
        <f>(fcd_bx*bx_b*(3/14*$F26*(bx_h-3/7*$F26)+4/7*$F26*(bx_h/2-3/7*$F26)*(1-$T26^2/3)-16/49*$F26^2*(1/2-$T26^2/4))+SUMPRODUCT($J$6:$S$6,$J26:$S26,$J$7:$S$7))/1E6</f>
        <v/>
      </c>
      <c r="J26">
        <f>MAX(-fyd_bx,MIN(fyd_bx,200000*0.002*(1-$T26*(7*J$5-3*$F26)/(4*$F26))))-fcd_bx*(1-MIN(1,MAX(0,$T26*(7*J$5-3*$F26)/(4*$F26)))^2)</f>
        <v/>
      </c>
      <c r="K26">
        <f>MAX(-fyd_bx,MIN(fyd_bx,200000*0.002*(1-$T26*(7*K$5-3*$F26)/(4*$F26))))-fcd_bx*(1-MIN(1,MAX(0,$T26*(7*K$5-3*$F26)/(4*$F26)))^2)</f>
        <v/>
      </c>
      <c r="L26">
        <f>MAX(-fyd_bx,MIN(fyd_bx,200000*0.002*(1-$T26*(7*L$5-3*$F26)/(4*$F26))))-fcd_bx*(1-MIN(1,MAX(0,$T26*(7*L$5-3*$F26)/(4*$F26)))^2)</f>
        <v/>
      </c>
      <c r="M26">
        <f>MAX(-fyd_bx,MIN(fyd_bx,200000*0.002*(1-$T26*(7*M$5-3*$F26)/(4*$F26))))-fcd_bx*(1-MIN(1,MAX(0,$T26*(7*M$5-3*$F26)/(4*$F26)))^2)</f>
        <v/>
      </c>
      <c r="N26">
        <f>MAX(-fyd_bx,MIN(fyd_bx,200000*0.002*(1-$T26*(7*N$5-3*$F26)/(4*$F26))))-fcd_bx*(1-MIN(1,MAX(0,$T26*(7*N$5-3*$F26)/(4*$F26)))^2)</f>
        <v/>
      </c>
      <c r="O26">
        <f>MAX(-fyd_bx,MIN(fyd_bx,200000*0.002*(1-$T26*(7*O$5-3*$F26)/(4*$F26))))-fcd_bx*(1-MIN(1,MAX(0,$T26*(7*O$5-3*$F26)/(4*$F26)))^2)</f>
        <v/>
      </c>
      <c r="P26">
        <f>MAX(-fyd_bx,MIN(fyd_bx,200000*0.002*(1-$T26*(7*P$5-3*$F26)/(4*$F26))))-fcd_bx*(1-MIN(1,MAX(0,$T26*(7*P$5-3*$F26)/(4*$F26)))^2)</f>
        <v/>
      </c>
      <c r="Q26">
        <f>MAX(-fyd_bx,MIN(fyd_bx,200000*0.002*(1-$T26*(7*Q$5-3*$F26)/(4*$F26))))-fcd_bx*(1-MIN(1,MAX(0,$T26*(7*Q$5-3*$F26)/(4*$F26)))^2)</f>
        <v/>
      </c>
      <c r="R26">
        <f>MAX(-fyd_bx,MIN(fyd_bx,200000*0.002*(1-$T26*(7*R$5-3*$F26)/(4*$F26))))-fcd_bx*(1-MIN(1,MAX(0,$T26*(7*R$5-3*$F26)/(4*$F26)))^2)</f>
        <v/>
      </c>
      <c r="S26">
        <f>MAX(-fyd_bx,MIN(fyd_bx,200000*0.002*(1-$T26*(7*S$5-3*$F26)/(4*$F26))))-fcd_bx*(1-MIN(1,MAX(0,$T26*(7*S$5-3*$F26)/(4*$F26)))^2)</f>
        <v/>
      </c>
      <c r="T26">
        <f>MIN(1,2-(($C26+$D26)/2))</f>
        <v/>
      </c>
    </row>
    <row r="27">
      <c r="B27" s="52" t="n">
        <v>18</v>
      </c>
      <c r="C27" s="53">
        <f>IF($G26&lt;bx_N,($C26+$D26)/2,$C26)</f>
        <v/>
      </c>
      <c r="D27" s="53">
        <f>IF($G26&lt;bx_N,$D26,($C26+$D26)/2)</f>
        <v/>
      </c>
      <c r="E27" s="54">
        <f>IF($T27&gt;=1,$F27,3/7*bx_h+4/7*bx_h/MAX($T27,1E-12))</f>
        <v/>
      </c>
      <c r="F27" s="55">
        <f>bx_h*MIN((($C27+$D27)/2),1)</f>
        <v/>
      </c>
      <c r="G27" s="55">
        <f>(fcd_bx*bx_b*$F27*(3/7+4/7*(1-$T27^2/3))+SUMPRODUCT($J$6:$S$6,$J27:$S27))/1000</f>
        <v/>
      </c>
      <c r="H27" s="55">
        <f>(fcd_bx*bx_b*(3/14*$F27*(bx_h-3/7*$F27)+4/7*$F27*(bx_h/2-3/7*$F27)*(1-$T27^2/3)-16/49*$F27^2*(1/2-$T27^2/4))+SUMPRODUCT($J$6:$S$6,$J27:$S27,$J$7:$S$7))/1E6</f>
        <v/>
      </c>
      <c r="J27">
        <f>MAX(-fyd_bx,MIN(fyd_bx,200000*0.002*(1-$T27*(7*J$5-3*$F27)/(4*$F27))))-fcd_bx*(1-MIN(1,MAX(0,$T27*(7*J$5-3*$F27)/(4*$F27)))^2)</f>
        <v/>
      </c>
      <c r="K27">
        <f>MAX(-fyd_bx,MIN(fyd_bx,200000*0.002*(1-$T27*(7*K$5-3*$F27)/(4*$F27))))-fcd_bx*(1-MIN(1,MAX(0,$T27*(7*K$5-3*$F27)/(4*$F27)))^2)</f>
        <v/>
      </c>
      <c r="L27">
        <f>MAX(-fyd_bx,MIN(fyd_bx,200000*0.002*(1-$T27*(7*L$5-3*$F27)/(4*$F27))))-fcd_bx*(1-MIN(1,MAX(0,$T27*(7*L$5-3*$F27)/(4*$F27)))^2)</f>
        <v/>
      </c>
      <c r="M27">
        <f>MAX(-fyd_bx,MIN(fyd_bx,200000*0.002*(1-$T27*(7*M$5-3*$F27)/(4*$F27))))-fcd_bx*(1-MIN(1,MAX(0,$T27*(7*M$5-3*$F27)/(4*$F27)))^2)</f>
        <v/>
      </c>
      <c r="N27">
        <f>MAX(-fyd_bx,MIN(fyd_bx,200000*0.002*(1-$T27*(7*N$5-3*$F27)/(4*$F27))))-fcd_bx*(1-MIN(1,MAX(0,$T27*(7*N$5-3*$F27)/(4*$F27)))^2)</f>
        <v/>
      </c>
      <c r="O27">
        <f>MAX(-fyd_bx,MIN(fyd_bx,200000*0.002*(1-$T27*(7*O$5-3*$F27)/(4*$F27))))-fcd_bx*(1-MIN(1,MAX(0,$T27*(7*O$5-3*$F27)/(4*$F27)))^2)</f>
        <v/>
      </c>
      <c r="P27">
        <f>MAX(-fyd_bx,MIN(fyd_bx,200000*0.002*(1-$T27*(7*P$5-3*$F27)/(4*$F27))))-fcd_bx*(1-MIN(1,MAX(0,$T27*(7*P$5-3*$F27)/(4*$F27)))^2)</f>
        <v/>
      </c>
      <c r="Q27">
        <f>MAX(-fyd_bx,MIN(fyd_bx,200000*0.002*(1-$T27*(7*Q$5-3*$F27)/(4*$F27))))-fcd_bx*(1-MIN(1,MAX(0,$T27*(7*Q$5-3*$F27)/(4*$F27)))^2)</f>
        <v/>
      </c>
      <c r="R27">
        <f>MAX(-fyd_bx,MIN(fyd_bx,200000*0.002*(1-$T27*(7*R$5-3*$F27)/(4*$F27))))-fcd_bx*(1-MIN(1,MAX(0,$T27*(7*R$5-3*$F27)/(4*$F27)))^2)</f>
        <v/>
      </c>
      <c r="S27">
        <f>MAX(-fyd_bx,MIN(fyd_bx,200000*0.002*(1-$T27*(7*S$5-3*$F27)/(4*$F27))))-fcd_bx*(1-MIN(1,MAX(0,$T27*(7*S$5-3*$F27)/(4*$F27)))^2)</f>
        <v/>
      </c>
      <c r="T27">
        <f>MIN(1,2-(($C27+$D27)/2))</f>
        <v/>
      </c>
    </row>
    <row r="28">
      <c r="B28" s="52" t="n">
        <v>19</v>
      </c>
      <c r="C28" s="53">
        <f>IF($G27&lt;bx_N,($C27+$D27)/2,$C27)</f>
        <v/>
      </c>
      <c r="D28" s="53">
        <f>IF($G27&lt;bx_N,$D27,($C27+$D27)/2)</f>
        <v/>
      </c>
      <c r="E28" s="54">
        <f>IF($T28&gt;=1,$F28,3/7*bx_h+4/7*bx_h/MAX($T28,1E-12))</f>
        <v/>
      </c>
      <c r="F28" s="55">
        <f>bx_h*MIN((($C28+$D28)/2),1)</f>
        <v/>
      </c>
      <c r="G28" s="55">
        <f>(fcd_bx*bx_b*$F28*(3/7+4/7*(1-$T28^2/3))+SUMPRODUCT($J$6:$S$6,$J28:$S28))/1000</f>
        <v/>
      </c>
      <c r="H28" s="55">
        <f>(fcd_bx*bx_b*(3/14*$F28*(bx_h-3/7*$F28)+4/7*$F28*(bx_h/2-3/7*$F28)*(1-$T28^2/3)-16/49*$F28^2*(1/2-$T28^2/4))+SUMPRODUCT($J$6:$S$6,$J28:$S28,$J$7:$S$7))/1E6</f>
        <v/>
      </c>
      <c r="J28">
        <f>MAX(-fyd_bx,MIN(fyd_bx,200000*0.002*(1-$T28*(7*J$5-3*$F28)/(4*$F28))))-fcd_bx*(1-MIN(1,MAX(0,$T28*(7*J$5-3*$F28)/(4*$F28)))^2)</f>
        <v/>
      </c>
      <c r="K28">
        <f>MAX(-fyd_bx,MIN(fyd_bx,200000*0.002*(1-$T28*(7*K$5-3*$F28)/(4*$F28))))-fcd_bx*(1-MIN(1,MAX(0,$T28*(7*K$5-3*$F28)/(4*$F28)))^2)</f>
        <v/>
      </c>
      <c r="L28">
        <f>MAX(-fyd_bx,MIN(fyd_bx,200000*0.002*(1-$T28*(7*L$5-3*$F28)/(4*$F28))))-fcd_bx*(1-MIN(1,MAX(0,$T28*(7*L$5-3*$F28)/(4*$F28)))^2)</f>
        <v/>
      </c>
      <c r="M28">
        <f>MAX(-fyd_bx,MIN(fyd_bx,200000*0.002*(1-$T28*(7*M$5-3*$F28)/(4*$F28))))-fcd_bx*(1-MIN(1,MAX(0,$T28*(7*M$5-3*$F28)/(4*$F28)))^2)</f>
        <v/>
      </c>
      <c r="N28">
        <f>MAX(-fyd_bx,MIN(fyd_bx,200000*0.002*(1-$T28*(7*N$5-3*$F28)/(4*$F28))))-fcd_bx*(1-MIN(1,MAX(0,$T28*(7*N$5-3*$F28)/(4*$F28)))^2)</f>
        <v/>
      </c>
      <c r="O28">
        <f>MAX(-fyd_bx,MIN(fyd_bx,200000*0.002*(1-$T28*(7*O$5-3*$F28)/(4*$F28))))-fcd_bx*(1-MIN(1,MAX(0,$T28*(7*O$5-3*$F28)/(4*$F28)))^2)</f>
        <v/>
      </c>
      <c r="P28">
        <f>MAX(-fyd_bx,MIN(fyd_bx,200000*0.002*(1-$T28*(7*P$5-3*$F28)/(4*$F28))))-fcd_bx*(1-MIN(1,MAX(0,$T28*(7*P$5-3*$F28)/(4*$F28)))^2)</f>
        <v/>
      </c>
      <c r="Q28">
        <f>MAX(-fyd_bx,MIN(fyd_bx,200000*0.002*(1-$T28*(7*Q$5-3*$F28)/(4*$F28))))-fcd_bx*(1-MIN(1,MAX(0,$T28*(7*Q$5-3*$F28)/(4*$F28)))^2)</f>
        <v/>
      </c>
      <c r="R28">
        <f>MAX(-fyd_bx,MIN(fyd_bx,200000*0.002*(1-$T28*(7*R$5-3*$F28)/(4*$F28))))-fcd_bx*(1-MIN(1,MAX(0,$T28*(7*R$5-3*$F28)/(4*$F28)))^2)</f>
        <v/>
      </c>
      <c r="S28">
        <f>MAX(-fyd_bx,MIN(fyd_bx,200000*0.002*(1-$T28*(7*S$5-3*$F28)/(4*$F28))))-fcd_bx*(1-MIN(1,MAX(0,$T28*(7*S$5-3*$F28)/(4*$F28)))^2)</f>
        <v/>
      </c>
      <c r="T28">
        <f>MIN(1,2-(($C28+$D28)/2))</f>
        <v/>
      </c>
    </row>
    <row r="29">
      <c r="B29" s="52" t="n">
        <v>20</v>
      </c>
      <c r="C29" s="53">
        <f>IF($G28&lt;bx_N,($C28+$D28)/2,$C28)</f>
        <v/>
      </c>
      <c r="D29" s="53">
        <f>IF($G28&lt;bx_N,$D28,($C28+$D28)/2)</f>
        <v/>
      </c>
      <c r="E29" s="54">
        <f>IF($T29&gt;=1,$F29,3/7*bx_h+4/7*bx_h/MAX($T29,1E-12))</f>
        <v/>
      </c>
      <c r="F29" s="55">
        <f>bx_h*MIN((($C29+$D29)/2),1)</f>
        <v/>
      </c>
      <c r="G29" s="55">
        <f>(fcd_bx*bx_b*$F29*(3/7+4/7*(1-$T29^2/3))+SUMPRODUCT($J$6:$S$6,$J29:$S29))/1000</f>
        <v/>
      </c>
      <c r="H29" s="55">
        <f>(fcd_bx*bx_b*(3/14*$F29*(bx_h-3/7*$F29)+4/7*$F29*(bx_h/2-3/7*$F29)*(1-$T29^2/3)-16/49*$F29^2*(1/2-$T29^2/4))+SUMPRODUCT($J$6:$S$6,$J29:$S29,$J$7:$S$7))/1E6</f>
        <v/>
      </c>
      <c r="J29">
        <f>MAX(-fyd_bx,MIN(fyd_bx,200000*0.002*(1-$T29*(7*J$5-3*$F29)/(4*$F29))))-fcd_bx*(1-MIN(1,MAX(0,$T29*(7*J$5-3*$F29)/(4*$F29)))^2)</f>
        <v/>
      </c>
      <c r="K29">
        <f>MAX(-fyd_bx,MIN(fyd_bx,200000*0.002*(1-$T29*(7*K$5-3*$F29)/(4*$F29))))-fcd_bx*(1-MIN(1,MAX(0,$T29*(7*K$5-3*$F29)/(4*$F29)))^2)</f>
        <v/>
      </c>
      <c r="L29">
        <f>MAX(-fyd_bx,MIN(fyd_bx,200000*0.002*(1-$T29*(7*L$5-3*$F29)/(4*$F29))))-fcd_bx*(1-MIN(1,MAX(0,$T29*(7*L$5-3*$F29)/(4*$F29)))^2)</f>
        <v/>
      </c>
      <c r="M29">
        <f>MAX(-fyd_bx,MIN(fyd_bx,200000*0.002*(1-$T29*(7*M$5-3*$F29)/(4*$F29))))-fcd_bx*(1-MIN(1,MAX(0,$T29*(7*M$5-3*$F29)/(4*$F29)))^2)</f>
        <v/>
      </c>
      <c r="N29">
        <f>MAX(-fyd_bx,MIN(fyd_bx,200000*0.002*(1-$T29*(7*N$5-3*$F29)/(4*$F29))))-fcd_bx*(1-MIN(1,MAX(0,$T29*(7*N$5-3*$F29)/(4*$F29)))^2)</f>
        <v/>
      </c>
      <c r="O29">
        <f>MAX(-fyd_bx,MIN(fyd_bx,200000*0.002*(1-$T29*(7*O$5-3*$F29)/(4*$F29))))-fcd_bx*(1-MIN(1,MAX(0,$T29*(7*O$5-3*$F29)/(4*$F29)))^2)</f>
        <v/>
      </c>
      <c r="P29">
        <f>MAX(-fyd_bx,MIN(fyd_bx,200000*0.002*(1-$T29*(7*P$5-3*$F29)/(4*$F29))))-fcd_bx*(1-MIN(1,MAX(0,$T29*(7*P$5-3*$F29)/(4*$F29)))^2)</f>
        <v/>
      </c>
      <c r="Q29">
        <f>MAX(-fyd_bx,MIN(fyd_bx,200000*0.002*(1-$T29*(7*Q$5-3*$F29)/(4*$F29))))-fcd_bx*(1-MIN(1,MAX(0,$T29*(7*Q$5-3*$F29)/(4*$F29)))^2)</f>
        <v/>
      </c>
      <c r="R29">
        <f>MAX(-fyd_bx,MIN(fyd_bx,200000*0.002*(1-$T29*(7*R$5-3*$F29)/(4*$F29))))-fcd_bx*(1-MIN(1,MAX(0,$T29*(7*R$5-3*$F29)/(4*$F29)))^2)</f>
        <v/>
      </c>
      <c r="S29">
        <f>MAX(-fyd_bx,MIN(fyd_bx,200000*0.002*(1-$T29*(7*S$5-3*$F29)/(4*$F29))))-fcd_bx*(1-MIN(1,MAX(0,$T29*(7*S$5-3*$F29)/(4*$F29)))^2)</f>
        <v/>
      </c>
      <c r="T29">
        <f>MIN(1,2-(($C29+$D29)/2))</f>
        <v/>
      </c>
    </row>
    <row r="30">
      <c r="B30" s="52" t="n">
        <v>21</v>
      </c>
      <c r="C30" s="53">
        <f>IF($G29&lt;bx_N,($C29+$D29)/2,$C29)</f>
        <v/>
      </c>
      <c r="D30" s="53">
        <f>IF($G29&lt;bx_N,$D29,($C29+$D29)/2)</f>
        <v/>
      </c>
      <c r="E30" s="54">
        <f>IF($T30&gt;=1,$F30,3/7*bx_h+4/7*bx_h/MAX($T30,1E-12))</f>
        <v/>
      </c>
      <c r="F30" s="55">
        <f>bx_h*MIN((($C30+$D30)/2),1)</f>
        <v/>
      </c>
      <c r="G30" s="55">
        <f>(fcd_bx*bx_b*$F30*(3/7+4/7*(1-$T30^2/3))+SUMPRODUCT($J$6:$S$6,$J30:$S30))/1000</f>
        <v/>
      </c>
      <c r="H30" s="55">
        <f>(fcd_bx*bx_b*(3/14*$F30*(bx_h-3/7*$F30)+4/7*$F30*(bx_h/2-3/7*$F30)*(1-$T30^2/3)-16/49*$F30^2*(1/2-$T30^2/4))+SUMPRODUCT($J$6:$S$6,$J30:$S30,$J$7:$S$7))/1E6</f>
        <v/>
      </c>
      <c r="J30">
        <f>MAX(-fyd_bx,MIN(fyd_bx,200000*0.002*(1-$T30*(7*J$5-3*$F30)/(4*$F30))))-fcd_bx*(1-MIN(1,MAX(0,$T30*(7*J$5-3*$F30)/(4*$F30)))^2)</f>
        <v/>
      </c>
      <c r="K30">
        <f>MAX(-fyd_bx,MIN(fyd_bx,200000*0.002*(1-$T30*(7*K$5-3*$F30)/(4*$F30))))-fcd_bx*(1-MIN(1,MAX(0,$T30*(7*K$5-3*$F30)/(4*$F30)))^2)</f>
        <v/>
      </c>
      <c r="L30">
        <f>MAX(-fyd_bx,MIN(fyd_bx,200000*0.002*(1-$T30*(7*L$5-3*$F30)/(4*$F30))))-fcd_bx*(1-MIN(1,MAX(0,$T30*(7*L$5-3*$F30)/(4*$F30)))^2)</f>
        <v/>
      </c>
      <c r="M30">
        <f>MAX(-fyd_bx,MIN(fyd_bx,200000*0.002*(1-$T30*(7*M$5-3*$F30)/(4*$F30))))-fcd_bx*(1-MIN(1,MAX(0,$T30*(7*M$5-3*$F30)/(4*$F30)))^2)</f>
        <v/>
      </c>
      <c r="N30">
        <f>MAX(-fyd_bx,MIN(fyd_bx,200000*0.002*(1-$T30*(7*N$5-3*$F30)/(4*$F30))))-fcd_bx*(1-MIN(1,MAX(0,$T30*(7*N$5-3*$F30)/(4*$F30)))^2)</f>
        <v/>
      </c>
      <c r="O30">
        <f>MAX(-fyd_bx,MIN(fyd_bx,200000*0.002*(1-$T30*(7*O$5-3*$F30)/(4*$F30))))-fcd_bx*(1-MIN(1,MAX(0,$T30*(7*O$5-3*$F30)/(4*$F30)))^2)</f>
        <v/>
      </c>
      <c r="P30">
        <f>MAX(-fyd_bx,MIN(fyd_bx,200000*0.002*(1-$T30*(7*P$5-3*$F30)/(4*$F30))))-fcd_bx*(1-MIN(1,MAX(0,$T30*(7*P$5-3*$F30)/(4*$F30)))^2)</f>
        <v/>
      </c>
      <c r="Q30">
        <f>MAX(-fyd_bx,MIN(fyd_bx,200000*0.002*(1-$T30*(7*Q$5-3*$F30)/(4*$F30))))-fcd_bx*(1-MIN(1,MAX(0,$T30*(7*Q$5-3*$F30)/(4*$F30)))^2)</f>
        <v/>
      </c>
      <c r="R30">
        <f>MAX(-fyd_bx,MIN(fyd_bx,200000*0.002*(1-$T30*(7*R$5-3*$F30)/(4*$F30))))-fcd_bx*(1-MIN(1,MAX(0,$T30*(7*R$5-3*$F30)/(4*$F30)))^2)</f>
        <v/>
      </c>
      <c r="S30">
        <f>MAX(-fyd_bx,MIN(fyd_bx,200000*0.002*(1-$T30*(7*S$5-3*$F30)/(4*$F30))))-fcd_bx*(1-MIN(1,MAX(0,$T30*(7*S$5-3*$F30)/(4*$F30)))^2)</f>
        <v/>
      </c>
      <c r="T30">
        <f>MIN(1,2-(($C30+$D30)/2))</f>
        <v/>
      </c>
    </row>
    <row r="31">
      <c r="B31" s="52" t="n">
        <v>22</v>
      </c>
      <c r="C31" s="53">
        <f>IF($G30&lt;bx_N,($C30+$D30)/2,$C30)</f>
        <v/>
      </c>
      <c r="D31" s="53">
        <f>IF($G30&lt;bx_N,$D30,($C30+$D30)/2)</f>
        <v/>
      </c>
      <c r="E31" s="54">
        <f>IF($T31&gt;=1,$F31,3/7*bx_h+4/7*bx_h/MAX($T31,1E-12))</f>
        <v/>
      </c>
      <c r="F31" s="55">
        <f>bx_h*MIN((($C31+$D31)/2),1)</f>
        <v/>
      </c>
      <c r="G31" s="55">
        <f>(fcd_bx*bx_b*$F31*(3/7+4/7*(1-$T31^2/3))+SUMPRODUCT($J$6:$S$6,$J31:$S31))/1000</f>
        <v/>
      </c>
      <c r="H31" s="55">
        <f>(fcd_bx*bx_b*(3/14*$F31*(bx_h-3/7*$F31)+4/7*$F31*(bx_h/2-3/7*$F31)*(1-$T31^2/3)-16/49*$F31^2*(1/2-$T31^2/4))+SUMPRODUCT($J$6:$S$6,$J31:$S31,$J$7:$S$7))/1E6</f>
        <v/>
      </c>
      <c r="J31">
        <f>MAX(-fyd_bx,MIN(fyd_bx,200000*0.002*(1-$T31*(7*J$5-3*$F31)/(4*$F31))))-fcd_bx*(1-MIN(1,MAX(0,$T31*(7*J$5-3*$F31)/(4*$F31)))^2)</f>
        <v/>
      </c>
      <c r="K31">
        <f>MAX(-fyd_bx,MIN(fyd_bx,200000*0.002*(1-$T31*(7*K$5-3*$F31)/(4*$F31))))-fcd_bx*(1-MIN(1,MAX(0,$T31*(7*K$5-3*$F31)/(4*$F31)))^2)</f>
        <v/>
      </c>
      <c r="L31">
        <f>MAX(-fyd_bx,MIN(fyd_bx,200000*0.002*(1-$T31*(7*L$5-3*$F31)/(4*$F31))))-fcd_bx*(1-MIN(1,MAX(0,$T31*(7*L$5-3*$F31)/(4*$F31)))^2)</f>
        <v/>
      </c>
      <c r="M31">
        <f>MAX(-fyd_bx,MIN(fyd_bx,200000*0.002*(1-$T31*(7*M$5-3*$F31)/(4*$F31))))-fcd_bx*(1-MIN(1,MAX(0,$T31*(7*M$5-3*$F31)/(4*$F31)))^2)</f>
        <v/>
      </c>
      <c r="N31">
        <f>MAX(-fyd_bx,MIN(fyd_bx,200000*0.002*(1-$T31*(7*N$5-3*$F31)/(4*$F31))))-fcd_bx*(1-MIN(1,MAX(0,$T31*(7*N$5-3*$F31)/(4*$F31)))^2)</f>
        <v/>
      </c>
      <c r="O31">
        <f>MAX(-fyd_bx,MIN(fyd_bx,200000*0.002*(1-$T31*(7*O$5-3*$F31)/(4*$F31))))-fcd_bx*(1-MIN(1,MAX(0,$T31*(7*O$5-3*$F31)/(4*$F31)))^2)</f>
        <v/>
      </c>
      <c r="P31">
        <f>MAX(-fyd_bx,MIN(fyd_bx,200000*0.002*(1-$T31*(7*P$5-3*$F31)/(4*$F31))))-fcd_bx*(1-MIN(1,MAX(0,$T31*(7*P$5-3*$F31)/(4*$F31)))^2)</f>
        <v/>
      </c>
      <c r="Q31">
        <f>MAX(-fyd_bx,MIN(fyd_bx,200000*0.002*(1-$T31*(7*Q$5-3*$F31)/(4*$F31))))-fcd_bx*(1-MIN(1,MAX(0,$T31*(7*Q$5-3*$F31)/(4*$F31)))^2)</f>
        <v/>
      </c>
      <c r="R31">
        <f>MAX(-fyd_bx,MIN(fyd_bx,200000*0.002*(1-$T31*(7*R$5-3*$F31)/(4*$F31))))-fcd_bx*(1-MIN(1,MAX(0,$T31*(7*R$5-3*$F31)/(4*$F31)))^2)</f>
        <v/>
      </c>
      <c r="S31">
        <f>MAX(-fyd_bx,MIN(fyd_bx,200000*0.002*(1-$T31*(7*S$5-3*$F31)/(4*$F31))))-fcd_bx*(1-MIN(1,MAX(0,$T31*(7*S$5-3*$F31)/(4*$F31)))^2)</f>
        <v/>
      </c>
      <c r="T31">
        <f>MIN(1,2-(($C31+$D31)/2))</f>
        <v/>
      </c>
    </row>
    <row r="32">
      <c r="B32" s="52" t="n">
        <v>23</v>
      </c>
      <c r="C32" s="53">
        <f>IF($G31&lt;bx_N,($C31+$D31)/2,$C31)</f>
        <v/>
      </c>
      <c r="D32" s="53">
        <f>IF($G31&lt;bx_N,$D31,($C31+$D31)/2)</f>
        <v/>
      </c>
      <c r="E32" s="54">
        <f>IF($T32&gt;=1,$F32,3/7*bx_h+4/7*bx_h/MAX($T32,1E-12))</f>
        <v/>
      </c>
      <c r="F32" s="55">
        <f>bx_h*MIN((($C32+$D32)/2),1)</f>
        <v/>
      </c>
      <c r="G32" s="55">
        <f>(fcd_bx*bx_b*$F32*(3/7+4/7*(1-$T32^2/3))+SUMPRODUCT($J$6:$S$6,$J32:$S32))/1000</f>
        <v/>
      </c>
      <c r="H32" s="55">
        <f>(fcd_bx*bx_b*(3/14*$F32*(bx_h-3/7*$F32)+4/7*$F32*(bx_h/2-3/7*$F32)*(1-$T32^2/3)-16/49*$F32^2*(1/2-$T32^2/4))+SUMPRODUCT($J$6:$S$6,$J32:$S32,$J$7:$S$7))/1E6</f>
        <v/>
      </c>
      <c r="J32">
        <f>MAX(-fyd_bx,MIN(fyd_bx,200000*0.002*(1-$T32*(7*J$5-3*$F32)/(4*$F32))))-fcd_bx*(1-MIN(1,MAX(0,$T32*(7*J$5-3*$F32)/(4*$F32)))^2)</f>
        <v/>
      </c>
      <c r="K32">
        <f>MAX(-fyd_bx,MIN(fyd_bx,200000*0.002*(1-$T32*(7*K$5-3*$F32)/(4*$F32))))-fcd_bx*(1-MIN(1,MAX(0,$T32*(7*K$5-3*$F32)/(4*$F32)))^2)</f>
        <v/>
      </c>
      <c r="L32">
        <f>MAX(-fyd_bx,MIN(fyd_bx,200000*0.002*(1-$T32*(7*L$5-3*$F32)/(4*$F32))))-fcd_bx*(1-MIN(1,MAX(0,$T32*(7*L$5-3*$F32)/(4*$F32)))^2)</f>
        <v/>
      </c>
      <c r="M32">
        <f>MAX(-fyd_bx,MIN(fyd_bx,200000*0.002*(1-$T32*(7*M$5-3*$F32)/(4*$F32))))-fcd_bx*(1-MIN(1,MAX(0,$T32*(7*M$5-3*$F32)/(4*$F32)))^2)</f>
        <v/>
      </c>
      <c r="N32">
        <f>MAX(-fyd_bx,MIN(fyd_bx,200000*0.002*(1-$T32*(7*N$5-3*$F32)/(4*$F32))))-fcd_bx*(1-MIN(1,MAX(0,$T32*(7*N$5-3*$F32)/(4*$F32)))^2)</f>
        <v/>
      </c>
      <c r="O32">
        <f>MAX(-fyd_bx,MIN(fyd_bx,200000*0.002*(1-$T32*(7*O$5-3*$F32)/(4*$F32))))-fcd_bx*(1-MIN(1,MAX(0,$T32*(7*O$5-3*$F32)/(4*$F32)))^2)</f>
        <v/>
      </c>
      <c r="P32">
        <f>MAX(-fyd_bx,MIN(fyd_bx,200000*0.002*(1-$T32*(7*P$5-3*$F32)/(4*$F32))))-fcd_bx*(1-MIN(1,MAX(0,$T32*(7*P$5-3*$F32)/(4*$F32)))^2)</f>
        <v/>
      </c>
      <c r="Q32">
        <f>MAX(-fyd_bx,MIN(fyd_bx,200000*0.002*(1-$T32*(7*Q$5-3*$F32)/(4*$F32))))-fcd_bx*(1-MIN(1,MAX(0,$T32*(7*Q$5-3*$F32)/(4*$F32)))^2)</f>
        <v/>
      </c>
      <c r="R32">
        <f>MAX(-fyd_bx,MIN(fyd_bx,200000*0.002*(1-$T32*(7*R$5-3*$F32)/(4*$F32))))-fcd_bx*(1-MIN(1,MAX(0,$T32*(7*R$5-3*$F32)/(4*$F32)))^2)</f>
        <v/>
      </c>
      <c r="S32">
        <f>MAX(-fyd_bx,MIN(fyd_bx,200000*0.002*(1-$T32*(7*S$5-3*$F32)/(4*$F32))))-fcd_bx*(1-MIN(1,MAX(0,$T32*(7*S$5-3*$F32)/(4*$F32)))^2)</f>
        <v/>
      </c>
      <c r="T32">
        <f>MIN(1,2-(($C32+$D32)/2))</f>
        <v/>
      </c>
    </row>
    <row r="33">
      <c r="B33" s="52" t="n">
        <v>24</v>
      </c>
      <c r="C33" s="53">
        <f>IF($G32&lt;bx_N,($C32+$D32)/2,$C32)</f>
        <v/>
      </c>
      <c r="D33" s="53">
        <f>IF($G32&lt;bx_N,$D32,($C32+$D32)/2)</f>
        <v/>
      </c>
      <c r="E33" s="54">
        <f>IF($T33&gt;=1,$F33,3/7*bx_h+4/7*bx_h/MAX($T33,1E-12))</f>
        <v/>
      </c>
      <c r="F33" s="55">
        <f>bx_h*MIN((($C33+$D33)/2),1)</f>
        <v/>
      </c>
      <c r="G33" s="55">
        <f>(fcd_bx*bx_b*$F33*(3/7+4/7*(1-$T33^2/3))+SUMPRODUCT($J$6:$S$6,$J33:$S33))/1000</f>
        <v/>
      </c>
      <c r="H33" s="55">
        <f>(fcd_bx*bx_b*(3/14*$F33*(bx_h-3/7*$F33)+4/7*$F33*(bx_h/2-3/7*$F33)*(1-$T33^2/3)-16/49*$F33^2*(1/2-$T33^2/4))+SUMPRODUCT($J$6:$S$6,$J33:$S33,$J$7:$S$7))/1E6</f>
        <v/>
      </c>
      <c r="J33">
        <f>MAX(-fyd_bx,MIN(fyd_bx,200000*0.002*(1-$T33*(7*J$5-3*$F33)/(4*$F33))))-fcd_bx*(1-MIN(1,MAX(0,$T33*(7*J$5-3*$F33)/(4*$F33)))^2)</f>
        <v/>
      </c>
      <c r="K33">
        <f>MAX(-fyd_bx,MIN(fyd_bx,200000*0.002*(1-$T33*(7*K$5-3*$F33)/(4*$F33))))-fcd_bx*(1-MIN(1,MAX(0,$T33*(7*K$5-3*$F33)/(4*$F33)))^2)</f>
        <v/>
      </c>
      <c r="L33">
        <f>MAX(-fyd_bx,MIN(fyd_bx,200000*0.002*(1-$T33*(7*L$5-3*$F33)/(4*$F33))))-fcd_bx*(1-MIN(1,MAX(0,$T33*(7*L$5-3*$F33)/(4*$F33)))^2)</f>
        <v/>
      </c>
      <c r="M33">
        <f>MAX(-fyd_bx,MIN(fyd_bx,200000*0.002*(1-$T33*(7*M$5-3*$F33)/(4*$F33))))-fcd_bx*(1-MIN(1,MAX(0,$T33*(7*M$5-3*$F33)/(4*$F33)))^2)</f>
        <v/>
      </c>
      <c r="N33">
        <f>MAX(-fyd_bx,MIN(fyd_bx,200000*0.002*(1-$T33*(7*N$5-3*$F33)/(4*$F33))))-fcd_bx*(1-MIN(1,MAX(0,$T33*(7*N$5-3*$F33)/(4*$F33)))^2)</f>
        <v/>
      </c>
      <c r="O33">
        <f>MAX(-fyd_bx,MIN(fyd_bx,200000*0.002*(1-$T33*(7*O$5-3*$F33)/(4*$F33))))-fcd_bx*(1-MIN(1,MAX(0,$T33*(7*O$5-3*$F33)/(4*$F33)))^2)</f>
        <v/>
      </c>
      <c r="P33">
        <f>MAX(-fyd_bx,MIN(fyd_bx,200000*0.002*(1-$T33*(7*P$5-3*$F33)/(4*$F33))))-fcd_bx*(1-MIN(1,MAX(0,$T33*(7*P$5-3*$F33)/(4*$F33)))^2)</f>
        <v/>
      </c>
      <c r="Q33">
        <f>MAX(-fyd_bx,MIN(fyd_bx,200000*0.002*(1-$T33*(7*Q$5-3*$F33)/(4*$F33))))-fcd_bx*(1-MIN(1,MAX(0,$T33*(7*Q$5-3*$F33)/(4*$F33)))^2)</f>
        <v/>
      </c>
      <c r="R33">
        <f>MAX(-fyd_bx,MIN(fyd_bx,200000*0.002*(1-$T33*(7*R$5-3*$F33)/(4*$F33))))-fcd_bx*(1-MIN(1,MAX(0,$T33*(7*R$5-3*$F33)/(4*$F33)))^2)</f>
        <v/>
      </c>
      <c r="S33">
        <f>MAX(-fyd_bx,MIN(fyd_bx,200000*0.002*(1-$T33*(7*S$5-3*$F33)/(4*$F33))))-fcd_bx*(1-MIN(1,MAX(0,$T33*(7*S$5-3*$F33)/(4*$F33)))^2)</f>
        <v/>
      </c>
      <c r="T33">
        <f>MIN(1,2-(($C33+$D33)/2))</f>
        <v/>
      </c>
    </row>
    <row r="34">
      <c r="B34" s="52" t="n">
        <v>25</v>
      </c>
      <c r="C34" s="53">
        <f>IF($G33&lt;bx_N,($C33+$D33)/2,$C33)</f>
        <v/>
      </c>
      <c r="D34" s="53">
        <f>IF($G33&lt;bx_N,$D33,($C33+$D33)/2)</f>
        <v/>
      </c>
      <c r="E34" s="54">
        <f>IF($T34&gt;=1,$F34,3/7*bx_h+4/7*bx_h/MAX($T34,1E-12))</f>
        <v/>
      </c>
      <c r="F34" s="55">
        <f>bx_h*MIN((($C34+$D34)/2),1)</f>
        <v/>
      </c>
      <c r="G34" s="55">
        <f>(fcd_bx*bx_b*$F34*(3/7+4/7*(1-$T34^2/3))+SUMPRODUCT($J$6:$S$6,$J34:$S34))/1000</f>
        <v/>
      </c>
      <c r="H34" s="55">
        <f>(fcd_bx*bx_b*(3/14*$F34*(bx_h-3/7*$F34)+4/7*$F34*(bx_h/2-3/7*$F34)*(1-$T34^2/3)-16/49*$F34^2*(1/2-$T34^2/4))+SUMPRODUCT($J$6:$S$6,$J34:$S34,$J$7:$S$7))/1E6</f>
        <v/>
      </c>
      <c r="J34">
        <f>MAX(-fyd_bx,MIN(fyd_bx,200000*0.002*(1-$T34*(7*J$5-3*$F34)/(4*$F34))))-fcd_bx*(1-MIN(1,MAX(0,$T34*(7*J$5-3*$F34)/(4*$F34)))^2)</f>
        <v/>
      </c>
      <c r="K34">
        <f>MAX(-fyd_bx,MIN(fyd_bx,200000*0.002*(1-$T34*(7*K$5-3*$F34)/(4*$F34))))-fcd_bx*(1-MIN(1,MAX(0,$T34*(7*K$5-3*$F34)/(4*$F34)))^2)</f>
        <v/>
      </c>
      <c r="L34">
        <f>MAX(-fyd_bx,MIN(fyd_bx,200000*0.002*(1-$T34*(7*L$5-3*$F34)/(4*$F34))))-fcd_bx*(1-MIN(1,MAX(0,$T34*(7*L$5-3*$F34)/(4*$F34)))^2)</f>
        <v/>
      </c>
      <c r="M34">
        <f>MAX(-fyd_bx,MIN(fyd_bx,200000*0.002*(1-$T34*(7*M$5-3*$F34)/(4*$F34))))-fcd_bx*(1-MIN(1,MAX(0,$T34*(7*M$5-3*$F34)/(4*$F34)))^2)</f>
        <v/>
      </c>
      <c r="N34">
        <f>MAX(-fyd_bx,MIN(fyd_bx,200000*0.002*(1-$T34*(7*N$5-3*$F34)/(4*$F34))))-fcd_bx*(1-MIN(1,MAX(0,$T34*(7*N$5-3*$F34)/(4*$F34)))^2)</f>
        <v/>
      </c>
      <c r="O34">
        <f>MAX(-fyd_bx,MIN(fyd_bx,200000*0.002*(1-$T34*(7*O$5-3*$F34)/(4*$F34))))-fcd_bx*(1-MIN(1,MAX(0,$T34*(7*O$5-3*$F34)/(4*$F34)))^2)</f>
        <v/>
      </c>
      <c r="P34">
        <f>MAX(-fyd_bx,MIN(fyd_bx,200000*0.002*(1-$T34*(7*P$5-3*$F34)/(4*$F34))))-fcd_bx*(1-MIN(1,MAX(0,$T34*(7*P$5-3*$F34)/(4*$F34)))^2)</f>
        <v/>
      </c>
      <c r="Q34">
        <f>MAX(-fyd_bx,MIN(fyd_bx,200000*0.002*(1-$T34*(7*Q$5-3*$F34)/(4*$F34))))-fcd_bx*(1-MIN(1,MAX(0,$T34*(7*Q$5-3*$F34)/(4*$F34)))^2)</f>
        <v/>
      </c>
      <c r="R34">
        <f>MAX(-fyd_bx,MIN(fyd_bx,200000*0.002*(1-$T34*(7*R$5-3*$F34)/(4*$F34))))-fcd_bx*(1-MIN(1,MAX(0,$T34*(7*R$5-3*$F34)/(4*$F34)))^2)</f>
        <v/>
      </c>
      <c r="S34">
        <f>MAX(-fyd_bx,MIN(fyd_bx,200000*0.002*(1-$T34*(7*S$5-3*$F34)/(4*$F34))))-fcd_bx*(1-MIN(1,MAX(0,$T34*(7*S$5-3*$F34)/(4*$F34)))^2)</f>
        <v/>
      </c>
      <c r="T34">
        <f>MIN(1,2-(($C34+$D34)/2))</f>
        <v/>
      </c>
    </row>
    <row r="35">
      <c r="B35" s="52" t="n">
        <v>26</v>
      </c>
      <c r="C35" s="53">
        <f>IF($G34&lt;bx_N,($C34+$D34)/2,$C34)</f>
        <v/>
      </c>
      <c r="D35" s="53">
        <f>IF($G34&lt;bx_N,$D34,($C34+$D34)/2)</f>
        <v/>
      </c>
      <c r="E35" s="54">
        <f>IF($T35&gt;=1,$F35,3/7*bx_h+4/7*bx_h/MAX($T35,1E-12))</f>
        <v/>
      </c>
      <c r="F35" s="55">
        <f>bx_h*MIN((($C35+$D35)/2),1)</f>
        <v/>
      </c>
      <c r="G35" s="55">
        <f>(fcd_bx*bx_b*$F35*(3/7+4/7*(1-$T35^2/3))+SUMPRODUCT($J$6:$S$6,$J35:$S35))/1000</f>
        <v/>
      </c>
      <c r="H35" s="55">
        <f>(fcd_bx*bx_b*(3/14*$F35*(bx_h-3/7*$F35)+4/7*$F35*(bx_h/2-3/7*$F35)*(1-$T35^2/3)-16/49*$F35^2*(1/2-$T35^2/4))+SUMPRODUCT($J$6:$S$6,$J35:$S35,$J$7:$S$7))/1E6</f>
        <v/>
      </c>
      <c r="J35">
        <f>MAX(-fyd_bx,MIN(fyd_bx,200000*0.002*(1-$T35*(7*J$5-3*$F35)/(4*$F35))))-fcd_bx*(1-MIN(1,MAX(0,$T35*(7*J$5-3*$F35)/(4*$F35)))^2)</f>
        <v/>
      </c>
      <c r="K35">
        <f>MAX(-fyd_bx,MIN(fyd_bx,200000*0.002*(1-$T35*(7*K$5-3*$F35)/(4*$F35))))-fcd_bx*(1-MIN(1,MAX(0,$T35*(7*K$5-3*$F35)/(4*$F35)))^2)</f>
        <v/>
      </c>
      <c r="L35">
        <f>MAX(-fyd_bx,MIN(fyd_bx,200000*0.002*(1-$T35*(7*L$5-3*$F35)/(4*$F35))))-fcd_bx*(1-MIN(1,MAX(0,$T35*(7*L$5-3*$F35)/(4*$F35)))^2)</f>
        <v/>
      </c>
      <c r="M35">
        <f>MAX(-fyd_bx,MIN(fyd_bx,200000*0.002*(1-$T35*(7*M$5-3*$F35)/(4*$F35))))-fcd_bx*(1-MIN(1,MAX(0,$T35*(7*M$5-3*$F35)/(4*$F35)))^2)</f>
        <v/>
      </c>
      <c r="N35">
        <f>MAX(-fyd_bx,MIN(fyd_bx,200000*0.002*(1-$T35*(7*N$5-3*$F35)/(4*$F35))))-fcd_bx*(1-MIN(1,MAX(0,$T35*(7*N$5-3*$F35)/(4*$F35)))^2)</f>
        <v/>
      </c>
      <c r="O35">
        <f>MAX(-fyd_bx,MIN(fyd_bx,200000*0.002*(1-$T35*(7*O$5-3*$F35)/(4*$F35))))-fcd_bx*(1-MIN(1,MAX(0,$T35*(7*O$5-3*$F35)/(4*$F35)))^2)</f>
        <v/>
      </c>
      <c r="P35">
        <f>MAX(-fyd_bx,MIN(fyd_bx,200000*0.002*(1-$T35*(7*P$5-3*$F35)/(4*$F35))))-fcd_bx*(1-MIN(1,MAX(0,$T35*(7*P$5-3*$F35)/(4*$F35)))^2)</f>
        <v/>
      </c>
      <c r="Q35">
        <f>MAX(-fyd_bx,MIN(fyd_bx,200000*0.002*(1-$T35*(7*Q$5-3*$F35)/(4*$F35))))-fcd_bx*(1-MIN(1,MAX(0,$T35*(7*Q$5-3*$F35)/(4*$F35)))^2)</f>
        <v/>
      </c>
      <c r="R35">
        <f>MAX(-fyd_bx,MIN(fyd_bx,200000*0.002*(1-$T35*(7*R$5-3*$F35)/(4*$F35))))-fcd_bx*(1-MIN(1,MAX(0,$T35*(7*R$5-3*$F35)/(4*$F35)))^2)</f>
        <v/>
      </c>
      <c r="S35">
        <f>MAX(-fyd_bx,MIN(fyd_bx,200000*0.002*(1-$T35*(7*S$5-3*$F35)/(4*$F35))))-fcd_bx*(1-MIN(1,MAX(0,$T35*(7*S$5-3*$F35)/(4*$F35)))^2)</f>
        <v/>
      </c>
      <c r="T35">
        <f>MIN(1,2-(($C35+$D35)/2))</f>
        <v/>
      </c>
    </row>
    <row r="36">
      <c r="B36" s="52" t="n">
        <v>27</v>
      </c>
      <c r="C36" s="53">
        <f>IF($G35&lt;bx_N,($C35+$D35)/2,$C35)</f>
        <v/>
      </c>
      <c r="D36" s="53">
        <f>IF($G35&lt;bx_N,$D35,($C35+$D35)/2)</f>
        <v/>
      </c>
      <c r="E36" s="54">
        <f>IF($T36&gt;=1,$F36,3/7*bx_h+4/7*bx_h/MAX($T36,1E-12))</f>
        <v/>
      </c>
      <c r="F36" s="55">
        <f>bx_h*MIN((($C36+$D36)/2),1)</f>
        <v/>
      </c>
      <c r="G36" s="55">
        <f>(fcd_bx*bx_b*$F36*(3/7+4/7*(1-$T36^2/3))+SUMPRODUCT($J$6:$S$6,$J36:$S36))/1000</f>
        <v/>
      </c>
      <c r="H36" s="55">
        <f>(fcd_bx*bx_b*(3/14*$F36*(bx_h-3/7*$F36)+4/7*$F36*(bx_h/2-3/7*$F36)*(1-$T36^2/3)-16/49*$F36^2*(1/2-$T36^2/4))+SUMPRODUCT($J$6:$S$6,$J36:$S36,$J$7:$S$7))/1E6</f>
        <v/>
      </c>
      <c r="J36">
        <f>MAX(-fyd_bx,MIN(fyd_bx,200000*0.002*(1-$T36*(7*J$5-3*$F36)/(4*$F36))))-fcd_bx*(1-MIN(1,MAX(0,$T36*(7*J$5-3*$F36)/(4*$F36)))^2)</f>
        <v/>
      </c>
      <c r="K36">
        <f>MAX(-fyd_bx,MIN(fyd_bx,200000*0.002*(1-$T36*(7*K$5-3*$F36)/(4*$F36))))-fcd_bx*(1-MIN(1,MAX(0,$T36*(7*K$5-3*$F36)/(4*$F36)))^2)</f>
        <v/>
      </c>
      <c r="L36">
        <f>MAX(-fyd_bx,MIN(fyd_bx,200000*0.002*(1-$T36*(7*L$5-3*$F36)/(4*$F36))))-fcd_bx*(1-MIN(1,MAX(0,$T36*(7*L$5-3*$F36)/(4*$F36)))^2)</f>
        <v/>
      </c>
      <c r="M36">
        <f>MAX(-fyd_bx,MIN(fyd_bx,200000*0.002*(1-$T36*(7*M$5-3*$F36)/(4*$F36))))-fcd_bx*(1-MIN(1,MAX(0,$T36*(7*M$5-3*$F36)/(4*$F36)))^2)</f>
        <v/>
      </c>
      <c r="N36">
        <f>MAX(-fyd_bx,MIN(fyd_bx,200000*0.002*(1-$T36*(7*N$5-3*$F36)/(4*$F36))))-fcd_bx*(1-MIN(1,MAX(0,$T36*(7*N$5-3*$F36)/(4*$F36)))^2)</f>
        <v/>
      </c>
      <c r="O36">
        <f>MAX(-fyd_bx,MIN(fyd_bx,200000*0.002*(1-$T36*(7*O$5-3*$F36)/(4*$F36))))-fcd_bx*(1-MIN(1,MAX(0,$T36*(7*O$5-3*$F36)/(4*$F36)))^2)</f>
        <v/>
      </c>
      <c r="P36">
        <f>MAX(-fyd_bx,MIN(fyd_bx,200000*0.002*(1-$T36*(7*P$5-3*$F36)/(4*$F36))))-fcd_bx*(1-MIN(1,MAX(0,$T36*(7*P$5-3*$F36)/(4*$F36)))^2)</f>
        <v/>
      </c>
      <c r="Q36">
        <f>MAX(-fyd_bx,MIN(fyd_bx,200000*0.002*(1-$T36*(7*Q$5-3*$F36)/(4*$F36))))-fcd_bx*(1-MIN(1,MAX(0,$T36*(7*Q$5-3*$F36)/(4*$F36)))^2)</f>
        <v/>
      </c>
      <c r="R36">
        <f>MAX(-fyd_bx,MIN(fyd_bx,200000*0.002*(1-$T36*(7*R$5-3*$F36)/(4*$F36))))-fcd_bx*(1-MIN(1,MAX(0,$T36*(7*R$5-3*$F36)/(4*$F36)))^2)</f>
        <v/>
      </c>
      <c r="S36">
        <f>MAX(-fyd_bx,MIN(fyd_bx,200000*0.002*(1-$T36*(7*S$5-3*$F36)/(4*$F36))))-fcd_bx*(1-MIN(1,MAX(0,$T36*(7*S$5-3*$F36)/(4*$F36)))^2)</f>
        <v/>
      </c>
      <c r="T36">
        <f>MIN(1,2-(($C36+$D36)/2))</f>
        <v/>
      </c>
    </row>
    <row r="37">
      <c r="B37" s="52" t="n">
        <v>28</v>
      </c>
      <c r="C37" s="53">
        <f>IF($G36&lt;bx_N,($C36+$D36)/2,$C36)</f>
        <v/>
      </c>
      <c r="D37" s="53">
        <f>IF($G36&lt;bx_N,$D36,($C36+$D36)/2)</f>
        <v/>
      </c>
      <c r="E37" s="54">
        <f>IF($T37&gt;=1,$F37,3/7*bx_h+4/7*bx_h/MAX($T37,1E-12))</f>
        <v/>
      </c>
      <c r="F37" s="55">
        <f>bx_h*MIN((($C37+$D37)/2),1)</f>
        <v/>
      </c>
      <c r="G37" s="55">
        <f>(fcd_bx*bx_b*$F37*(3/7+4/7*(1-$T37^2/3))+SUMPRODUCT($J$6:$S$6,$J37:$S37))/1000</f>
        <v/>
      </c>
      <c r="H37" s="55">
        <f>(fcd_bx*bx_b*(3/14*$F37*(bx_h-3/7*$F37)+4/7*$F37*(bx_h/2-3/7*$F37)*(1-$T37^2/3)-16/49*$F37^2*(1/2-$T37^2/4))+SUMPRODUCT($J$6:$S$6,$J37:$S37,$J$7:$S$7))/1E6</f>
        <v/>
      </c>
      <c r="J37">
        <f>MAX(-fyd_bx,MIN(fyd_bx,200000*0.002*(1-$T37*(7*J$5-3*$F37)/(4*$F37))))-fcd_bx*(1-MIN(1,MAX(0,$T37*(7*J$5-3*$F37)/(4*$F37)))^2)</f>
        <v/>
      </c>
      <c r="K37">
        <f>MAX(-fyd_bx,MIN(fyd_bx,200000*0.002*(1-$T37*(7*K$5-3*$F37)/(4*$F37))))-fcd_bx*(1-MIN(1,MAX(0,$T37*(7*K$5-3*$F37)/(4*$F37)))^2)</f>
        <v/>
      </c>
      <c r="L37">
        <f>MAX(-fyd_bx,MIN(fyd_bx,200000*0.002*(1-$T37*(7*L$5-3*$F37)/(4*$F37))))-fcd_bx*(1-MIN(1,MAX(0,$T37*(7*L$5-3*$F37)/(4*$F37)))^2)</f>
        <v/>
      </c>
      <c r="M37">
        <f>MAX(-fyd_bx,MIN(fyd_bx,200000*0.002*(1-$T37*(7*M$5-3*$F37)/(4*$F37))))-fcd_bx*(1-MIN(1,MAX(0,$T37*(7*M$5-3*$F37)/(4*$F37)))^2)</f>
        <v/>
      </c>
      <c r="N37">
        <f>MAX(-fyd_bx,MIN(fyd_bx,200000*0.002*(1-$T37*(7*N$5-3*$F37)/(4*$F37))))-fcd_bx*(1-MIN(1,MAX(0,$T37*(7*N$5-3*$F37)/(4*$F37)))^2)</f>
        <v/>
      </c>
      <c r="O37">
        <f>MAX(-fyd_bx,MIN(fyd_bx,200000*0.002*(1-$T37*(7*O$5-3*$F37)/(4*$F37))))-fcd_bx*(1-MIN(1,MAX(0,$T37*(7*O$5-3*$F37)/(4*$F37)))^2)</f>
        <v/>
      </c>
      <c r="P37">
        <f>MAX(-fyd_bx,MIN(fyd_bx,200000*0.002*(1-$T37*(7*P$5-3*$F37)/(4*$F37))))-fcd_bx*(1-MIN(1,MAX(0,$T37*(7*P$5-3*$F37)/(4*$F37)))^2)</f>
        <v/>
      </c>
      <c r="Q37">
        <f>MAX(-fyd_bx,MIN(fyd_bx,200000*0.002*(1-$T37*(7*Q$5-3*$F37)/(4*$F37))))-fcd_bx*(1-MIN(1,MAX(0,$T37*(7*Q$5-3*$F37)/(4*$F37)))^2)</f>
        <v/>
      </c>
      <c r="R37">
        <f>MAX(-fyd_bx,MIN(fyd_bx,200000*0.002*(1-$T37*(7*R$5-3*$F37)/(4*$F37))))-fcd_bx*(1-MIN(1,MAX(0,$T37*(7*R$5-3*$F37)/(4*$F37)))^2)</f>
        <v/>
      </c>
      <c r="S37">
        <f>MAX(-fyd_bx,MIN(fyd_bx,200000*0.002*(1-$T37*(7*S$5-3*$F37)/(4*$F37))))-fcd_bx*(1-MIN(1,MAX(0,$T37*(7*S$5-3*$F37)/(4*$F37)))^2)</f>
        <v/>
      </c>
      <c r="T37">
        <f>MIN(1,2-(($C37+$D37)/2))</f>
        <v/>
      </c>
    </row>
    <row r="38">
      <c r="B38" s="52" t="n">
        <v>29</v>
      </c>
      <c r="C38" s="53">
        <f>IF($G37&lt;bx_N,($C37+$D37)/2,$C37)</f>
        <v/>
      </c>
      <c r="D38" s="53">
        <f>IF($G37&lt;bx_N,$D37,($C37+$D37)/2)</f>
        <v/>
      </c>
      <c r="E38" s="54">
        <f>IF($T38&gt;=1,$F38,3/7*bx_h+4/7*bx_h/MAX($T38,1E-12))</f>
        <v/>
      </c>
      <c r="F38" s="55">
        <f>bx_h*MIN((($C38+$D38)/2),1)</f>
        <v/>
      </c>
      <c r="G38" s="55">
        <f>(fcd_bx*bx_b*$F38*(3/7+4/7*(1-$T38^2/3))+SUMPRODUCT($J$6:$S$6,$J38:$S38))/1000</f>
        <v/>
      </c>
      <c r="H38" s="55">
        <f>(fcd_bx*bx_b*(3/14*$F38*(bx_h-3/7*$F38)+4/7*$F38*(bx_h/2-3/7*$F38)*(1-$T38^2/3)-16/49*$F38^2*(1/2-$T38^2/4))+SUMPRODUCT($J$6:$S$6,$J38:$S38,$J$7:$S$7))/1E6</f>
        <v/>
      </c>
      <c r="J38">
        <f>MAX(-fyd_bx,MIN(fyd_bx,200000*0.002*(1-$T38*(7*J$5-3*$F38)/(4*$F38))))-fcd_bx*(1-MIN(1,MAX(0,$T38*(7*J$5-3*$F38)/(4*$F38)))^2)</f>
        <v/>
      </c>
      <c r="K38">
        <f>MAX(-fyd_bx,MIN(fyd_bx,200000*0.002*(1-$T38*(7*K$5-3*$F38)/(4*$F38))))-fcd_bx*(1-MIN(1,MAX(0,$T38*(7*K$5-3*$F38)/(4*$F38)))^2)</f>
        <v/>
      </c>
      <c r="L38">
        <f>MAX(-fyd_bx,MIN(fyd_bx,200000*0.002*(1-$T38*(7*L$5-3*$F38)/(4*$F38))))-fcd_bx*(1-MIN(1,MAX(0,$T38*(7*L$5-3*$F38)/(4*$F38)))^2)</f>
        <v/>
      </c>
      <c r="M38">
        <f>MAX(-fyd_bx,MIN(fyd_bx,200000*0.002*(1-$T38*(7*M$5-3*$F38)/(4*$F38))))-fcd_bx*(1-MIN(1,MAX(0,$T38*(7*M$5-3*$F38)/(4*$F38)))^2)</f>
        <v/>
      </c>
      <c r="N38">
        <f>MAX(-fyd_bx,MIN(fyd_bx,200000*0.002*(1-$T38*(7*N$5-3*$F38)/(4*$F38))))-fcd_bx*(1-MIN(1,MAX(0,$T38*(7*N$5-3*$F38)/(4*$F38)))^2)</f>
        <v/>
      </c>
      <c r="O38">
        <f>MAX(-fyd_bx,MIN(fyd_bx,200000*0.002*(1-$T38*(7*O$5-3*$F38)/(4*$F38))))-fcd_bx*(1-MIN(1,MAX(0,$T38*(7*O$5-3*$F38)/(4*$F38)))^2)</f>
        <v/>
      </c>
      <c r="P38">
        <f>MAX(-fyd_bx,MIN(fyd_bx,200000*0.002*(1-$T38*(7*P$5-3*$F38)/(4*$F38))))-fcd_bx*(1-MIN(1,MAX(0,$T38*(7*P$5-3*$F38)/(4*$F38)))^2)</f>
        <v/>
      </c>
      <c r="Q38">
        <f>MAX(-fyd_bx,MIN(fyd_bx,200000*0.002*(1-$T38*(7*Q$5-3*$F38)/(4*$F38))))-fcd_bx*(1-MIN(1,MAX(0,$T38*(7*Q$5-3*$F38)/(4*$F38)))^2)</f>
        <v/>
      </c>
      <c r="R38">
        <f>MAX(-fyd_bx,MIN(fyd_bx,200000*0.002*(1-$T38*(7*R$5-3*$F38)/(4*$F38))))-fcd_bx*(1-MIN(1,MAX(0,$T38*(7*R$5-3*$F38)/(4*$F38)))^2)</f>
        <v/>
      </c>
      <c r="S38">
        <f>MAX(-fyd_bx,MIN(fyd_bx,200000*0.002*(1-$T38*(7*S$5-3*$F38)/(4*$F38))))-fcd_bx*(1-MIN(1,MAX(0,$T38*(7*S$5-3*$F38)/(4*$F38)))^2)</f>
        <v/>
      </c>
      <c r="T38">
        <f>MIN(1,2-(($C38+$D38)/2))</f>
        <v/>
      </c>
    </row>
    <row r="39">
      <c r="B39" s="52" t="n">
        <v>30</v>
      </c>
      <c r="C39" s="53">
        <f>IF($G38&lt;bx_N,($C38+$D38)/2,$C38)</f>
        <v/>
      </c>
      <c r="D39" s="53">
        <f>IF($G38&lt;bx_N,$D38,($C38+$D38)/2)</f>
        <v/>
      </c>
      <c r="E39" s="54">
        <f>IF($T39&gt;=1,$F39,3/7*bx_h+4/7*bx_h/MAX($T39,1E-12))</f>
        <v/>
      </c>
      <c r="F39" s="55">
        <f>bx_h*MIN((($C39+$D39)/2),1)</f>
        <v/>
      </c>
      <c r="G39" s="55">
        <f>(fcd_bx*bx_b*$F39*(3/7+4/7*(1-$T39^2/3))+SUMPRODUCT($J$6:$S$6,$J39:$S39))/1000</f>
        <v/>
      </c>
      <c r="H39" s="55">
        <f>(fcd_bx*bx_b*(3/14*$F39*(bx_h-3/7*$F39)+4/7*$F39*(bx_h/2-3/7*$F39)*(1-$T39^2/3)-16/49*$F39^2*(1/2-$T39^2/4))+SUMPRODUCT($J$6:$S$6,$J39:$S39,$J$7:$S$7))/1E6</f>
        <v/>
      </c>
      <c r="J39">
        <f>MAX(-fyd_bx,MIN(fyd_bx,200000*0.002*(1-$T39*(7*J$5-3*$F39)/(4*$F39))))-fcd_bx*(1-MIN(1,MAX(0,$T39*(7*J$5-3*$F39)/(4*$F39)))^2)</f>
        <v/>
      </c>
      <c r="K39">
        <f>MAX(-fyd_bx,MIN(fyd_bx,200000*0.002*(1-$T39*(7*K$5-3*$F39)/(4*$F39))))-fcd_bx*(1-MIN(1,MAX(0,$T39*(7*K$5-3*$F39)/(4*$F39)))^2)</f>
        <v/>
      </c>
      <c r="L39">
        <f>MAX(-fyd_bx,MIN(fyd_bx,200000*0.002*(1-$T39*(7*L$5-3*$F39)/(4*$F39))))-fcd_bx*(1-MIN(1,MAX(0,$T39*(7*L$5-3*$F39)/(4*$F39)))^2)</f>
        <v/>
      </c>
      <c r="M39">
        <f>MAX(-fyd_bx,MIN(fyd_bx,200000*0.002*(1-$T39*(7*M$5-3*$F39)/(4*$F39))))-fcd_bx*(1-MIN(1,MAX(0,$T39*(7*M$5-3*$F39)/(4*$F39)))^2)</f>
        <v/>
      </c>
      <c r="N39">
        <f>MAX(-fyd_bx,MIN(fyd_bx,200000*0.002*(1-$T39*(7*N$5-3*$F39)/(4*$F39))))-fcd_bx*(1-MIN(1,MAX(0,$T39*(7*N$5-3*$F39)/(4*$F39)))^2)</f>
        <v/>
      </c>
      <c r="O39">
        <f>MAX(-fyd_bx,MIN(fyd_bx,200000*0.002*(1-$T39*(7*O$5-3*$F39)/(4*$F39))))-fcd_bx*(1-MIN(1,MAX(0,$T39*(7*O$5-3*$F39)/(4*$F39)))^2)</f>
        <v/>
      </c>
      <c r="P39">
        <f>MAX(-fyd_bx,MIN(fyd_bx,200000*0.002*(1-$T39*(7*P$5-3*$F39)/(4*$F39))))-fcd_bx*(1-MIN(1,MAX(0,$T39*(7*P$5-3*$F39)/(4*$F39)))^2)</f>
        <v/>
      </c>
      <c r="Q39">
        <f>MAX(-fyd_bx,MIN(fyd_bx,200000*0.002*(1-$T39*(7*Q$5-3*$F39)/(4*$F39))))-fcd_bx*(1-MIN(1,MAX(0,$T39*(7*Q$5-3*$F39)/(4*$F39)))^2)</f>
        <v/>
      </c>
      <c r="R39">
        <f>MAX(-fyd_bx,MIN(fyd_bx,200000*0.002*(1-$T39*(7*R$5-3*$F39)/(4*$F39))))-fcd_bx*(1-MIN(1,MAX(0,$T39*(7*R$5-3*$F39)/(4*$F39)))^2)</f>
        <v/>
      </c>
      <c r="S39">
        <f>MAX(-fyd_bx,MIN(fyd_bx,200000*0.002*(1-$T39*(7*S$5-3*$F39)/(4*$F39))))-fcd_bx*(1-MIN(1,MAX(0,$T39*(7*S$5-3*$F39)/(4*$F39)))^2)</f>
        <v/>
      </c>
      <c r="T39">
        <f>MIN(1,2-(($C39+$D39)/2))</f>
        <v/>
      </c>
    </row>
    <row r="40">
      <c r="B40" s="52" t="n">
        <v>31</v>
      </c>
      <c r="C40" s="53">
        <f>IF($G39&lt;bx_N,($C39+$D39)/2,$C39)</f>
        <v/>
      </c>
      <c r="D40" s="53">
        <f>IF($G39&lt;bx_N,$D39,($C39+$D39)/2)</f>
        <v/>
      </c>
      <c r="E40" s="54">
        <f>IF($T40&gt;=1,$F40,3/7*bx_h+4/7*bx_h/MAX($T40,1E-12))</f>
        <v/>
      </c>
      <c r="F40" s="55">
        <f>bx_h*MIN((($C40+$D40)/2),1)</f>
        <v/>
      </c>
      <c r="G40" s="55">
        <f>(fcd_bx*bx_b*$F40*(3/7+4/7*(1-$T40^2/3))+SUMPRODUCT($J$6:$S$6,$J40:$S40))/1000</f>
        <v/>
      </c>
      <c r="H40" s="55">
        <f>(fcd_bx*bx_b*(3/14*$F40*(bx_h-3/7*$F40)+4/7*$F40*(bx_h/2-3/7*$F40)*(1-$T40^2/3)-16/49*$F40^2*(1/2-$T40^2/4))+SUMPRODUCT($J$6:$S$6,$J40:$S40,$J$7:$S$7))/1E6</f>
        <v/>
      </c>
      <c r="J40">
        <f>MAX(-fyd_bx,MIN(fyd_bx,200000*0.002*(1-$T40*(7*J$5-3*$F40)/(4*$F40))))-fcd_bx*(1-MIN(1,MAX(0,$T40*(7*J$5-3*$F40)/(4*$F40)))^2)</f>
        <v/>
      </c>
      <c r="K40">
        <f>MAX(-fyd_bx,MIN(fyd_bx,200000*0.002*(1-$T40*(7*K$5-3*$F40)/(4*$F40))))-fcd_bx*(1-MIN(1,MAX(0,$T40*(7*K$5-3*$F40)/(4*$F40)))^2)</f>
        <v/>
      </c>
      <c r="L40">
        <f>MAX(-fyd_bx,MIN(fyd_bx,200000*0.002*(1-$T40*(7*L$5-3*$F40)/(4*$F40))))-fcd_bx*(1-MIN(1,MAX(0,$T40*(7*L$5-3*$F40)/(4*$F40)))^2)</f>
        <v/>
      </c>
      <c r="M40">
        <f>MAX(-fyd_bx,MIN(fyd_bx,200000*0.002*(1-$T40*(7*M$5-3*$F40)/(4*$F40))))-fcd_bx*(1-MIN(1,MAX(0,$T40*(7*M$5-3*$F40)/(4*$F40)))^2)</f>
        <v/>
      </c>
      <c r="N40">
        <f>MAX(-fyd_bx,MIN(fyd_bx,200000*0.002*(1-$T40*(7*N$5-3*$F40)/(4*$F40))))-fcd_bx*(1-MIN(1,MAX(0,$T40*(7*N$5-3*$F40)/(4*$F40)))^2)</f>
        <v/>
      </c>
      <c r="O40">
        <f>MAX(-fyd_bx,MIN(fyd_bx,200000*0.002*(1-$T40*(7*O$5-3*$F40)/(4*$F40))))-fcd_bx*(1-MIN(1,MAX(0,$T40*(7*O$5-3*$F40)/(4*$F40)))^2)</f>
        <v/>
      </c>
      <c r="P40">
        <f>MAX(-fyd_bx,MIN(fyd_bx,200000*0.002*(1-$T40*(7*P$5-3*$F40)/(4*$F40))))-fcd_bx*(1-MIN(1,MAX(0,$T40*(7*P$5-3*$F40)/(4*$F40)))^2)</f>
        <v/>
      </c>
      <c r="Q40">
        <f>MAX(-fyd_bx,MIN(fyd_bx,200000*0.002*(1-$T40*(7*Q$5-3*$F40)/(4*$F40))))-fcd_bx*(1-MIN(1,MAX(0,$T40*(7*Q$5-3*$F40)/(4*$F40)))^2)</f>
        <v/>
      </c>
      <c r="R40">
        <f>MAX(-fyd_bx,MIN(fyd_bx,200000*0.002*(1-$T40*(7*R$5-3*$F40)/(4*$F40))))-fcd_bx*(1-MIN(1,MAX(0,$T40*(7*R$5-3*$F40)/(4*$F40)))^2)</f>
        <v/>
      </c>
      <c r="S40">
        <f>MAX(-fyd_bx,MIN(fyd_bx,200000*0.002*(1-$T40*(7*S$5-3*$F40)/(4*$F40))))-fcd_bx*(1-MIN(1,MAX(0,$T40*(7*S$5-3*$F40)/(4*$F40)))^2)</f>
        <v/>
      </c>
      <c r="T40">
        <f>MIN(1,2-(($C40+$D40)/2))</f>
        <v/>
      </c>
    </row>
    <row r="41">
      <c r="B41" s="52" t="n">
        <v>32</v>
      </c>
      <c r="C41" s="53">
        <f>IF($G40&lt;bx_N,($C40+$D40)/2,$C40)</f>
        <v/>
      </c>
      <c r="D41" s="53">
        <f>IF($G40&lt;bx_N,$D40,($C40+$D40)/2)</f>
        <v/>
      </c>
      <c r="E41" s="54">
        <f>IF($T41&gt;=1,$F41,3/7*bx_h+4/7*bx_h/MAX($T41,1E-12))</f>
        <v/>
      </c>
      <c r="F41" s="55">
        <f>bx_h*MIN((($C41+$D41)/2),1)</f>
        <v/>
      </c>
      <c r="G41" s="55">
        <f>(fcd_bx*bx_b*$F41*(3/7+4/7*(1-$T41^2/3))+SUMPRODUCT($J$6:$S$6,$J41:$S41))/1000</f>
        <v/>
      </c>
      <c r="H41" s="55">
        <f>(fcd_bx*bx_b*(3/14*$F41*(bx_h-3/7*$F41)+4/7*$F41*(bx_h/2-3/7*$F41)*(1-$T41^2/3)-16/49*$F41^2*(1/2-$T41^2/4))+SUMPRODUCT($J$6:$S$6,$J41:$S41,$J$7:$S$7))/1E6</f>
        <v/>
      </c>
      <c r="J41">
        <f>MAX(-fyd_bx,MIN(fyd_bx,200000*0.002*(1-$T41*(7*J$5-3*$F41)/(4*$F41))))-fcd_bx*(1-MIN(1,MAX(0,$T41*(7*J$5-3*$F41)/(4*$F41)))^2)</f>
        <v/>
      </c>
      <c r="K41">
        <f>MAX(-fyd_bx,MIN(fyd_bx,200000*0.002*(1-$T41*(7*K$5-3*$F41)/(4*$F41))))-fcd_bx*(1-MIN(1,MAX(0,$T41*(7*K$5-3*$F41)/(4*$F41)))^2)</f>
        <v/>
      </c>
      <c r="L41">
        <f>MAX(-fyd_bx,MIN(fyd_bx,200000*0.002*(1-$T41*(7*L$5-3*$F41)/(4*$F41))))-fcd_bx*(1-MIN(1,MAX(0,$T41*(7*L$5-3*$F41)/(4*$F41)))^2)</f>
        <v/>
      </c>
      <c r="M41">
        <f>MAX(-fyd_bx,MIN(fyd_bx,200000*0.002*(1-$T41*(7*M$5-3*$F41)/(4*$F41))))-fcd_bx*(1-MIN(1,MAX(0,$T41*(7*M$5-3*$F41)/(4*$F41)))^2)</f>
        <v/>
      </c>
      <c r="N41">
        <f>MAX(-fyd_bx,MIN(fyd_bx,200000*0.002*(1-$T41*(7*N$5-3*$F41)/(4*$F41))))-fcd_bx*(1-MIN(1,MAX(0,$T41*(7*N$5-3*$F41)/(4*$F41)))^2)</f>
        <v/>
      </c>
      <c r="O41">
        <f>MAX(-fyd_bx,MIN(fyd_bx,200000*0.002*(1-$T41*(7*O$5-3*$F41)/(4*$F41))))-fcd_bx*(1-MIN(1,MAX(0,$T41*(7*O$5-3*$F41)/(4*$F41)))^2)</f>
        <v/>
      </c>
      <c r="P41">
        <f>MAX(-fyd_bx,MIN(fyd_bx,200000*0.002*(1-$T41*(7*P$5-3*$F41)/(4*$F41))))-fcd_bx*(1-MIN(1,MAX(0,$T41*(7*P$5-3*$F41)/(4*$F41)))^2)</f>
        <v/>
      </c>
      <c r="Q41">
        <f>MAX(-fyd_bx,MIN(fyd_bx,200000*0.002*(1-$T41*(7*Q$5-3*$F41)/(4*$F41))))-fcd_bx*(1-MIN(1,MAX(0,$T41*(7*Q$5-3*$F41)/(4*$F41)))^2)</f>
        <v/>
      </c>
      <c r="R41">
        <f>MAX(-fyd_bx,MIN(fyd_bx,200000*0.002*(1-$T41*(7*R$5-3*$F41)/(4*$F41))))-fcd_bx*(1-MIN(1,MAX(0,$T41*(7*R$5-3*$F41)/(4*$F41)))^2)</f>
        <v/>
      </c>
      <c r="S41">
        <f>MAX(-fyd_bx,MIN(fyd_bx,200000*0.002*(1-$T41*(7*S$5-3*$F41)/(4*$F41))))-fcd_bx*(1-MIN(1,MAX(0,$T41*(7*S$5-3*$F41)/(4*$F41)))^2)</f>
        <v/>
      </c>
      <c r="T41">
        <f>MIN(1,2-(($C41+$D41)/2))</f>
        <v/>
      </c>
    </row>
    <row r="42">
      <c r="B42" s="52" t="n">
        <v>33</v>
      </c>
      <c r="C42" s="53">
        <f>IF($G41&lt;bx_N,($C41+$D41)/2,$C41)</f>
        <v/>
      </c>
      <c r="D42" s="53">
        <f>IF($G41&lt;bx_N,$D41,($C41+$D41)/2)</f>
        <v/>
      </c>
      <c r="E42" s="54">
        <f>IF($T42&gt;=1,$F42,3/7*bx_h+4/7*bx_h/MAX($T42,1E-12))</f>
        <v/>
      </c>
      <c r="F42" s="55">
        <f>bx_h*MIN((($C42+$D42)/2),1)</f>
        <v/>
      </c>
      <c r="G42" s="55">
        <f>(fcd_bx*bx_b*$F42*(3/7+4/7*(1-$T42^2/3))+SUMPRODUCT($J$6:$S$6,$J42:$S42))/1000</f>
        <v/>
      </c>
      <c r="H42" s="55">
        <f>(fcd_bx*bx_b*(3/14*$F42*(bx_h-3/7*$F42)+4/7*$F42*(bx_h/2-3/7*$F42)*(1-$T42^2/3)-16/49*$F42^2*(1/2-$T42^2/4))+SUMPRODUCT($J$6:$S$6,$J42:$S42,$J$7:$S$7))/1E6</f>
        <v/>
      </c>
      <c r="J42">
        <f>MAX(-fyd_bx,MIN(fyd_bx,200000*0.002*(1-$T42*(7*J$5-3*$F42)/(4*$F42))))-fcd_bx*(1-MIN(1,MAX(0,$T42*(7*J$5-3*$F42)/(4*$F42)))^2)</f>
        <v/>
      </c>
      <c r="K42">
        <f>MAX(-fyd_bx,MIN(fyd_bx,200000*0.002*(1-$T42*(7*K$5-3*$F42)/(4*$F42))))-fcd_bx*(1-MIN(1,MAX(0,$T42*(7*K$5-3*$F42)/(4*$F42)))^2)</f>
        <v/>
      </c>
      <c r="L42">
        <f>MAX(-fyd_bx,MIN(fyd_bx,200000*0.002*(1-$T42*(7*L$5-3*$F42)/(4*$F42))))-fcd_bx*(1-MIN(1,MAX(0,$T42*(7*L$5-3*$F42)/(4*$F42)))^2)</f>
        <v/>
      </c>
      <c r="M42">
        <f>MAX(-fyd_bx,MIN(fyd_bx,200000*0.002*(1-$T42*(7*M$5-3*$F42)/(4*$F42))))-fcd_bx*(1-MIN(1,MAX(0,$T42*(7*M$5-3*$F42)/(4*$F42)))^2)</f>
        <v/>
      </c>
      <c r="N42">
        <f>MAX(-fyd_bx,MIN(fyd_bx,200000*0.002*(1-$T42*(7*N$5-3*$F42)/(4*$F42))))-fcd_bx*(1-MIN(1,MAX(0,$T42*(7*N$5-3*$F42)/(4*$F42)))^2)</f>
        <v/>
      </c>
      <c r="O42">
        <f>MAX(-fyd_bx,MIN(fyd_bx,200000*0.002*(1-$T42*(7*O$5-3*$F42)/(4*$F42))))-fcd_bx*(1-MIN(1,MAX(0,$T42*(7*O$5-3*$F42)/(4*$F42)))^2)</f>
        <v/>
      </c>
      <c r="P42">
        <f>MAX(-fyd_bx,MIN(fyd_bx,200000*0.002*(1-$T42*(7*P$5-3*$F42)/(4*$F42))))-fcd_bx*(1-MIN(1,MAX(0,$T42*(7*P$5-3*$F42)/(4*$F42)))^2)</f>
        <v/>
      </c>
      <c r="Q42">
        <f>MAX(-fyd_bx,MIN(fyd_bx,200000*0.002*(1-$T42*(7*Q$5-3*$F42)/(4*$F42))))-fcd_bx*(1-MIN(1,MAX(0,$T42*(7*Q$5-3*$F42)/(4*$F42)))^2)</f>
        <v/>
      </c>
      <c r="R42">
        <f>MAX(-fyd_bx,MIN(fyd_bx,200000*0.002*(1-$T42*(7*R$5-3*$F42)/(4*$F42))))-fcd_bx*(1-MIN(1,MAX(0,$T42*(7*R$5-3*$F42)/(4*$F42)))^2)</f>
        <v/>
      </c>
      <c r="S42">
        <f>MAX(-fyd_bx,MIN(fyd_bx,200000*0.002*(1-$T42*(7*S$5-3*$F42)/(4*$F42))))-fcd_bx*(1-MIN(1,MAX(0,$T42*(7*S$5-3*$F42)/(4*$F42)))^2)</f>
        <v/>
      </c>
      <c r="T42">
        <f>MIN(1,2-(($C42+$D42)/2))</f>
        <v/>
      </c>
    </row>
    <row r="43">
      <c r="B43" s="52" t="n">
        <v>34</v>
      </c>
      <c r="C43" s="53">
        <f>IF($G42&lt;bx_N,($C42+$D42)/2,$C42)</f>
        <v/>
      </c>
      <c r="D43" s="53">
        <f>IF($G42&lt;bx_N,$D42,($C42+$D42)/2)</f>
        <v/>
      </c>
      <c r="E43" s="54">
        <f>IF($T43&gt;=1,$F43,3/7*bx_h+4/7*bx_h/MAX($T43,1E-12))</f>
        <v/>
      </c>
      <c r="F43" s="55">
        <f>bx_h*MIN((($C43+$D43)/2),1)</f>
        <v/>
      </c>
      <c r="G43" s="55">
        <f>(fcd_bx*bx_b*$F43*(3/7+4/7*(1-$T43^2/3))+SUMPRODUCT($J$6:$S$6,$J43:$S43))/1000</f>
        <v/>
      </c>
      <c r="H43" s="55">
        <f>(fcd_bx*bx_b*(3/14*$F43*(bx_h-3/7*$F43)+4/7*$F43*(bx_h/2-3/7*$F43)*(1-$T43^2/3)-16/49*$F43^2*(1/2-$T43^2/4))+SUMPRODUCT($J$6:$S$6,$J43:$S43,$J$7:$S$7))/1E6</f>
        <v/>
      </c>
      <c r="J43">
        <f>MAX(-fyd_bx,MIN(fyd_bx,200000*0.002*(1-$T43*(7*J$5-3*$F43)/(4*$F43))))-fcd_bx*(1-MIN(1,MAX(0,$T43*(7*J$5-3*$F43)/(4*$F43)))^2)</f>
        <v/>
      </c>
      <c r="K43">
        <f>MAX(-fyd_bx,MIN(fyd_bx,200000*0.002*(1-$T43*(7*K$5-3*$F43)/(4*$F43))))-fcd_bx*(1-MIN(1,MAX(0,$T43*(7*K$5-3*$F43)/(4*$F43)))^2)</f>
        <v/>
      </c>
      <c r="L43">
        <f>MAX(-fyd_bx,MIN(fyd_bx,200000*0.002*(1-$T43*(7*L$5-3*$F43)/(4*$F43))))-fcd_bx*(1-MIN(1,MAX(0,$T43*(7*L$5-3*$F43)/(4*$F43)))^2)</f>
        <v/>
      </c>
      <c r="M43">
        <f>MAX(-fyd_bx,MIN(fyd_bx,200000*0.002*(1-$T43*(7*M$5-3*$F43)/(4*$F43))))-fcd_bx*(1-MIN(1,MAX(0,$T43*(7*M$5-3*$F43)/(4*$F43)))^2)</f>
        <v/>
      </c>
      <c r="N43">
        <f>MAX(-fyd_bx,MIN(fyd_bx,200000*0.002*(1-$T43*(7*N$5-3*$F43)/(4*$F43))))-fcd_bx*(1-MIN(1,MAX(0,$T43*(7*N$5-3*$F43)/(4*$F43)))^2)</f>
        <v/>
      </c>
      <c r="O43">
        <f>MAX(-fyd_bx,MIN(fyd_bx,200000*0.002*(1-$T43*(7*O$5-3*$F43)/(4*$F43))))-fcd_bx*(1-MIN(1,MAX(0,$T43*(7*O$5-3*$F43)/(4*$F43)))^2)</f>
        <v/>
      </c>
      <c r="P43">
        <f>MAX(-fyd_bx,MIN(fyd_bx,200000*0.002*(1-$T43*(7*P$5-3*$F43)/(4*$F43))))-fcd_bx*(1-MIN(1,MAX(0,$T43*(7*P$5-3*$F43)/(4*$F43)))^2)</f>
        <v/>
      </c>
      <c r="Q43">
        <f>MAX(-fyd_bx,MIN(fyd_bx,200000*0.002*(1-$T43*(7*Q$5-3*$F43)/(4*$F43))))-fcd_bx*(1-MIN(1,MAX(0,$T43*(7*Q$5-3*$F43)/(4*$F43)))^2)</f>
        <v/>
      </c>
      <c r="R43">
        <f>MAX(-fyd_bx,MIN(fyd_bx,200000*0.002*(1-$T43*(7*R$5-3*$F43)/(4*$F43))))-fcd_bx*(1-MIN(1,MAX(0,$T43*(7*R$5-3*$F43)/(4*$F43)))^2)</f>
        <v/>
      </c>
      <c r="S43">
        <f>MAX(-fyd_bx,MIN(fyd_bx,200000*0.002*(1-$T43*(7*S$5-3*$F43)/(4*$F43))))-fcd_bx*(1-MIN(1,MAX(0,$T43*(7*S$5-3*$F43)/(4*$F43)))^2)</f>
        <v/>
      </c>
      <c r="T43">
        <f>MIN(1,2-(($C43+$D43)/2))</f>
        <v/>
      </c>
    </row>
    <row r="44">
      <c r="B44" s="52" t="n">
        <v>35</v>
      </c>
      <c r="C44" s="53">
        <f>IF($G43&lt;bx_N,($C43+$D43)/2,$C43)</f>
        <v/>
      </c>
      <c r="D44" s="53">
        <f>IF($G43&lt;bx_N,$D43,($C43+$D43)/2)</f>
        <v/>
      </c>
      <c r="E44" s="54">
        <f>IF($T44&gt;=1,$F44,3/7*bx_h+4/7*bx_h/MAX($T44,1E-12))</f>
        <v/>
      </c>
      <c r="F44" s="55">
        <f>bx_h*MIN((($C44+$D44)/2),1)</f>
        <v/>
      </c>
      <c r="G44" s="55">
        <f>(fcd_bx*bx_b*$F44*(3/7+4/7*(1-$T44^2/3))+SUMPRODUCT($J$6:$S$6,$J44:$S44))/1000</f>
        <v/>
      </c>
      <c r="H44" s="55">
        <f>(fcd_bx*bx_b*(3/14*$F44*(bx_h-3/7*$F44)+4/7*$F44*(bx_h/2-3/7*$F44)*(1-$T44^2/3)-16/49*$F44^2*(1/2-$T44^2/4))+SUMPRODUCT($J$6:$S$6,$J44:$S44,$J$7:$S$7))/1E6</f>
        <v/>
      </c>
      <c r="J44">
        <f>MAX(-fyd_bx,MIN(fyd_bx,200000*0.002*(1-$T44*(7*J$5-3*$F44)/(4*$F44))))-fcd_bx*(1-MIN(1,MAX(0,$T44*(7*J$5-3*$F44)/(4*$F44)))^2)</f>
        <v/>
      </c>
      <c r="K44">
        <f>MAX(-fyd_bx,MIN(fyd_bx,200000*0.002*(1-$T44*(7*K$5-3*$F44)/(4*$F44))))-fcd_bx*(1-MIN(1,MAX(0,$T44*(7*K$5-3*$F44)/(4*$F44)))^2)</f>
        <v/>
      </c>
      <c r="L44">
        <f>MAX(-fyd_bx,MIN(fyd_bx,200000*0.002*(1-$T44*(7*L$5-3*$F44)/(4*$F44))))-fcd_bx*(1-MIN(1,MAX(0,$T44*(7*L$5-3*$F44)/(4*$F44)))^2)</f>
        <v/>
      </c>
      <c r="M44">
        <f>MAX(-fyd_bx,MIN(fyd_bx,200000*0.002*(1-$T44*(7*M$5-3*$F44)/(4*$F44))))-fcd_bx*(1-MIN(1,MAX(0,$T44*(7*M$5-3*$F44)/(4*$F44)))^2)</f>
        <v/>
      </c>
      <c r="N44">
        <f>MAX(-fyd_bx,MIN(fyd_bx,200000*0.002*(1-$T44*(7*N$5-3*$F44)/(4*$F44))))-fcd_bx*(1-MIN(1,MAX(0,$T44*(7*N$5-3*$F44)/(4*$F44)))^2)</f>
        <v/>
      </c>
      <c r="O44">
        <f>MAX(-fyd_bx,MIN(fyd_bx,200000*0.002*(1-$T44*(7*O$5-3*$F44)/(4*$F44))))-fcd_bx*(1-MIN(1,MAX(0,$T44*(7*O$5-3*$F44)/(4*$F44)))^2)</f>
        <v/>
      </c>
      <c r="P44">
        <f>MAX(-fyd_bx,MIN(fyd_bx,200000*0.002*(1-$T44*(7*P$5-3*$F44)/(4*$F44))))-fcd_bx*(1-MIN(1,MAX(0,$T44*(7*P$5-3*$F44)/(4*$F44)))^2)</f>
        <v/>
      </c>
      <c r="Q44">
        <f>MAX(-fyd_bx,MIN(fyd_bx,200000*0.002*(1-$T44*(7*Q$5-3*$F44)/(4*$F44))))-fcd_bx*(1-MIN(1,MAX(0,$T44*(7*Q$5-3*$F44)/(4*$F44)))^2)</f>
        <v/>
      </c>
      <c r="R44">
        <f>MAX(-fyd_bx,MIN(fyd_bx,200000*0.002*(1-$T44*(7*R$5-3*$F44)/(4*$F44))))-fcd_bx*(1-MIN(1,MAX(0,$T44*(7*R$5-3*$F44)/(4*$F44)))^2)</f>
        <v/>
      </c>
      <c r="S44">
        <f>MAX(-fyd_bx,MIN(fyd_bx,200000*0.002*(1-$T44*(7*S$5-3*$F44)/(4*$F44))))-fcd_bx*(1-MIN(1,MAX(0,$T44*(7*S$5-3*$F44)/(4*$F44)))^2)</f>
        <v/>
      </c>
      <c r="T44">
        <f>MIN(1,2-(($C44+$D44)/2))</f>
        <v/>
      </c>
    </row>
    <row r="45">
      <c r="B45" s="52" t="n">
        <v>36</v>
      </c>
      <c r="C45" s="53">
        <f>IF($G44&lt;bx_N,($C44+$D44)/2,$C44)</f>
        <v/>
      </c>
      <c r="D45" s="53">
        <f>IF($G44&lt;bx_N,$D44,($C44+$D44)/2)</f>
        <v/>
      </c>
      <c r="E45" s="54">
        <f>IF($T45&gt;=1,$F45,3/7*bx_h+4/7*bx_h/MAX($T45,1E-12))</f>
        <v/>
      </c>
      <c r="F45" s="55">
        <f>bx_h*MIN((($C45+$D45)/2),1)</f>
        <v/>
      </c>
      <c r="G45" s="55">
        <f>(fcd_bx*bx_b*$F45*(3/7+4/7*(1-$T45^2/3))+SUMPRODUCT($J$6:$S$6,$J45:$S45))/1000</f>
        <v/>
      </c>
      <c r="H45" s="55">
        <f>(fcd_bx*bx_b*(3/14*$F45*(bx_h-3/7*$F45)+4/7*$F45*(bx_h/2-3/7*$F45)*(1-$T45^2/3)-16/49*$F45^2*(1/2-$T45^2/4))+SUMPRODUCT($J$6:$S$6,$J45:$S45,$J$7:$S$7))/1E6</f>
        <v/>
      </c>
      <c r="J45">
        <f>MAX(-fyd_bx,MIN(fyd_bx,200000*0.002*(1-$T45*(7*J$5-3*$F45)/(4*$F45))))-fcd_bx*(1-MIN(1,MAX(0,$T45*(7*J$5-3*$F45)/(4*$F45)))^2)</f>
        <v/>
      </c>
      <c r="K45">
        <f>MAX(-fyd_bx,MIN(fyd_bx,200000*0.002*(1-$T45*(7*K$5-3*$F45)/(4*$F45))))-fcd_bx*(1-MIN(1,MAX(0,$T45*(7*K$5-3*$F45)/(4*$F45)))^2)</f>
        <v/>
      </c>
      <c r="L45">
        <f>MAX(-fyd_bx,MIN(fyd_bx,200000*0.002*(1-$T45*(7*L$5-3*$F45)/(4*$F45))))-fcd_bx*(1-MIN(1,MAX(0,$T45*(7*L$5-3*$F45)/(4*$F45)))^2)</f>
        <v/>
      </c>
      <c r="M45">
        <f>MAX(-fyd_bx,MIN(fyd_bx,200000*0.002*(1-$T45*(7*M$5-3*$F45)/(4*$F45))))-fcd_bx*(1-MIN(1,MAX(0,$T45*(7*M$5-3*$F45)/(4*$F45)))^2)</f>
        <v/>
      </c>
      <c r="N45">
        <f>MAX(-fyd_bx,MIN(fyd_bx,200000*0.002*(1-$T45*(7*N$5-3*$F45)/(4*$F45))))-fcd_bx*(1-MIN(1,MAX(0,$T45*(7*N$5-3*$F45)/(4*$F45)))^2)</f>
        <v/>
      </c>
      <c r="O45">
        <f>MAX(-fyd_bx,MIN(fyd_bx,200000*0.002*(1-$T45*(7*O$5-3*$F45)/(4*$F45))))-fcd_bx*(1-MIN(1,MAX(0,$T45*(7*O$5-3*$F45)/(4*$F45)))^2)</f>
        <v/>
      </c>
      <c r="P45">
        <f>MAX(-fyd_bx,MIN(fyd_bx,200000*0.002*(1-$T45*(7*P$5-3*$F45)/(4*$F45))))-fcd_bx*(1-MIN(1,MAX(0,$T45*(7*P$5-3*$F45)/(4*$F45)))^2)</f>
        <v/>
      </c>
      <c r="Q45">
        <f>MAX(-fyd_bx,MIN(fyd_bx,200000*0.002*(1-$T45*(7*Q$5-3*$F45)/(4*$F45))))-fcd_bx*(1-MIN(1,MAX(0,$T45*(7*Q$5-3*$F45)/(4*$F45)))^2)</f>
        <v/>
      </c>
      <c r="R45">
        <f>MAX(-fyd_bx,MIN(fyd_bx,200000*0.002*(1-$T45*(7*R$5-3*$F45)/(4*$F45))))-fcd_bx*(1-MIN(1,MAX(0,$T45*(7*R$5-3*$F45)/(4*$F45)))^2)</f>
        <v/>
      </c>
      <c r="S45">
        <f>MAX(-fyd_bx,MIN(fyd_bx,200000*0.002*(1-$T45*(7*S$5-3*$F45)/(4*$F45))))-fcd_bx*(1-MIN(1,MAX(0,$T45*(7*S$5-3*$F45)/(4*$F45)))^2)</f>
        <v/>
      </c>
      <c r="T45">
        <f>MIN(1,2-(($C45+$D45)/2))</f>
        <v/>
      </c>
    </row>
    <row r="46">
      <c r="B46" s="52" t="n">
        <v>37</v>
      </c>
      <c r="C46" s="53">
        <f>IF($G45&lt;bx_N,($C45+$D45)/2,$C45)</f>
        <v/>
      </c>
      <c r="D46" s="53">
        <f>IF($G45&lt;bx_N,$D45,($C45+$D45)/2)</f>
        <v/>
      </c>
      <c r="E46" s="54">
        <f>IF($T46&gt;=1,$F46,3/7*bx_h+4/7*bx_h/MAX($T46,1E-12))</f>
        <v/>
      </c>
      <c r="F46" s="55">
        <f>bx_h*MIN((($C46+$D46)/2),1)</f>
        <v/>
      </c>
      <c r="G46" s="55">
        <f>(fcd_bx*bx_b*$F46*(3/7+4/7*(1-$T46^2/3))+SUMPRODUCT($J$6:$S$6,$J46:$S46))/1000</f>
        <v/>
      </c>
      <c r="H46" s="55">
        <f>(fcd_bx*bx_b*(3/14*$F46*(bx_h-3/7*$F46)+4/7*$F46*(bx_h/2-3/7*$F46)*(1-$T46^2/3)-16/49*$F46^2*(1/2-$T46^2/4))+SUMPRODUCT($J$6:$S$6,$J46:$S46,$J$7:$S$7))/1E6</f>
        <v/>
      </c>
      <c r="J46">
        <f>MAX(-fyd_bx,MIN(fyd_bx,200000*0.002*(1-$T46*(7*J$5-3*$F46)/(4*$F46))))-fcd_bx*(1-MIN(1,MAX(0,$T46*(7*J$5-3*$F46)/(4*$F46)))^2)</f>
        <v/>
      </c>
      <c r="K46">
        <f>MAX(-fyd_bx,MIN(fyd_bx,200000*0.002*(1-$T46*(7*K$5-3*$F46)/(4*$F46))))-fcd_bx*(1-MIN(1,MAX(0,$T46*(7*K$5-3*$F46)/(4*$F46)))^2)</f>
        <v/>
      </c>
      <c r="L46">
        <f>MAX(-fyd_bx,MIN(fyd_bx,200000*0.002*(1-$T46*(7*L$5-3*$F46)/(4*$F46))))-fcd_bx*(1-MIN(1,MAX(0,$T46*(7*L$5-3*$F46)/(4*$F46)))^2)</f>
        <v/>
      </c>
      <c r="M46">
        <f>MAX(-fyd_bx,MIN(fyd_bx,200000*0.002*(1-$T46*(7*M$5-3*$F46)/(4*$F46))))-fcd_bx*(1-MIN(1,MAX(0,$T46*(7*M$5-3*$F46)/(4*$F46)))^2)</f>
        <v/>
      </c>
      <c r="N46">
        <f>MAX(-fyd_bx,MIN(fyd_bx,200000*0.002*(1-$T46*(7*N$5-3*$F46)/(4*$F46))))-fcd_bx*(1-MIN(1,MAX(0,$T46*(7*N$5-3*$F46)/(4*$F46)))^2)</f>
        <v/>
      </c>
      <c r="O46">
        <f>MAX(-fyd_bx,MIN(fyd_bx,200000*0.002*(1-$T46*(7*O$5-3*$F46)/(4*$F46))))-fcd_bx*(1-MIN(1,MAX(0,$T46*(7*O$5-3*$F46)/(4*$F46)))^2)</f>
        <v/>
      </c>
      <c r="P46">
        <f>MAX(-fyd_bx,MIN(fyd_bx,200000*0.002*(1-$T46*(7*P$5-3*$F46)/(4*$F46))))-fcd_bx*(1-MIN(1,MAX(0,$T46*(7*P$5-3*$F46)/(4*$F46)))^2)</f>
        <v/>
      </c>
      <c r="Q46">
        <f>MAX(-fyd_bx,MIN(fyd_bx,200000*0.002*(1-$T46*(7*Q$5-3*$F46)/(4*$F46))))-fcd_bx*(1-MIN(1,MAX(0,$T46*(7*Q$5-3*$F46)/(4*$F46)))^2)</f>
        <v/>
      </c>
      <c r="R46">
        <f>MAX(-fyd_bx,MIN(fyd_bx,200000*0.002*(1-$T46*(7*R$5-3*$F46)/(4*$F46))))-fcd_bx*(1-MIN(1,MAX(0,$T46*(7*R$5-3*$F46)/(4*$F46)))^2)</f>
        <v/>
      </c>
      <c r="S46">
        <f>MAX(-fyd_bx,MIN(fyd_bx,200000*0.002*(1-$T46*(7*S$5-3*$F46)/(4*$F46))))-fcd_bx*(1-MIN(1,MAX(0,$T46*(7*S$5-3*$F46)/(4*$F46)))^2)</f>
        <v/>
      </c>
      <c r="T46">
        <f>MIN(1,2-(($C46+$D46)/2))</f>
        <v/>
      </c>
    </row>
    <row r="47">
      <c r="B47" s="52" t="n">
        <v>38</v>
      </c>
      <c r="C47" s="53">
        <f>IF($G46&lt;bx_N,($C46+$D46)/2,$C46)</f>
        <v/>
      </c>
      <c r="D47" s="53">
        <f>IF($G46&lt;bx_N,$D46,($C46+$D46)/2)</f>
        <v/>
      </c>
      <c r="E47" s="54">
        <f>IF($T47&gt;=1,$F47,3/7*bx_h+4/7*bx_h/MAX($T47,1E-12))</f>
        <v/>
      </c>
      <c r="F47" s="55">
        <f>bx_h*MIN((($C47+$D47)/2),1)</f>
        <v/>
      </c>
      <c r="G47" s="55">
        <f>(fcd_bx*bx_b*$F47*(3/7+4/7*(1-$T47^2/3))+SUMPRODUCT($J$6:$S$6,$J47:$S47))/1000</f>
        <v/>
      </c>
      <c r="H47" s="55">
        <f>(fcd_bx*bx_b*(3/14*$F47*(bx_h-3/7*$F47)+4/7*$F47*(bx_h/2-3/7*$F47)*(1-$T47^2/3)-16/49*$F47^2*(1/2-$T47^2/4))+SUMPRODUCT($J$6:$S$6,$J47:$S47,$J$7:$S$7))/1E6</f>
        <v/>
      </c>
      <c r="J47">
        <f>MAX(-fyd_bx,MIN(fyd_bx,200000*0.002*(1-$T47*(7*J$5-3*$F47)/(4*$F47))))-fcd_bx*(1-MIN(1,MAX(0,$T47*(7*J$5-3*$F47)/(4*$F47)))^2)</f>
        <v/>
      </c>
      <c r="K47">
        <f>MAX(-fyd_bx,MIN(fyd_bx,200000*0.002*(1-$T47*(7*K$5-3*$F47)/(4*$F47))))-fcd_bx*(1-MIN(1,MAX(0,$T47*(7*K$5-3*$F47)/(4*$F47)))^2)</f>
        <v/>
      </c>
      <c r="L47">
        <f>MAX(-fyd_bx,MIN(fyd_bx,200000*0.002*(1-$T47*(7*L$5-3*$F47)/(4*$F47))))-fcd_bx*(1-MIN(1,MAX(0,$T47*(7*L$5-3*$F47)/(4*$F47)))^2)</f>
        <v/>
      </c>
      <c r="M47">
        <f>MAX(-fyd_bx,MIN(fyd_bx,200000*0.002*(1-$T47*(7*M$5-3*$F47)/(4*$F47))))-fcd_bx*(1-MIN(1,MAX(0,$T47*(7*M$5-3*$F47)/(4*$F47)))^2)</f>
        <v/>
      </c>
      <c r="N47">
        <f>MAX(-fyd_bx,MIN(fyd_bx,200000*0.002*(1-$T47*(7*N$5-3*$F47)/(4*$F47))))-fcd_bx*(1-MIN(1,MAX(0,$T47*(7*N$5-3*$F47)/(4*$F47)))^2)</f>
        <v/>
      </c>
      <c r="O47">
        <f>MAX(-fyd_bx,MIN(fyd_bx,200000*0.002*(1-$T47*(7*O$5-3*$F47)/(4*$F47))))-fcd_bx*(1-MIN(1,MAX(0,$T47*(7*O$5-3*$F47)/(4*$F47)))^2)</f>
        <v/>
      </c>
      <c r="P47">
        <f>MAX(-fyd_bx,MIN(fyd_bx,200000*0.002*(1-$T47*(7*P$5-3*$F47)/(4*$F47))))-fcd_bx*(1-MIN(1,MAX(0,$T47*(7*P$5-3*$F47)/(4*$F47)))^2)</f>
        <v/>
      </c>
      <c r="Q47">
        <f>MAX(-fyd_bx,MIN(fyd_bx,200000*0.002*(1-$T47*(7*Q$5-3*$F47)/(4*$F47))))-fcd_bx*(1-MIN(1,MAX(0,$T47*(7*Q$5-3*$F47)/(4*$F47)))^2)</f>
        <v/>
      </c>
      <c r="R47">
        <f>MAX(-fyd_bx,MIN(fyd_bx,200000*0.002*(1-$T47*(7*R$5-3*$F47)/(4*$F47))))-fcd_bx*(1-MIN(1,MAX(0,$T47*(7*R$5-3*$F47)/(4*$F47)))^2)</f>
        <v/>
      </c>
      <c r="S47">
        <f>MAX(-fyd_bx,MIN(fyd_bx,200000*0.002*(1-$T47*(7*S$5-3*$F47)/(4*$F47))))-fcd_bx*(1-MIN(1,MAX(0,$T47*(7*S$5-3*$F47)/(4*$F47)))^2)</f>
        <v/>
      </c>
      <c r="T47">
        <f>MIN(1,2-(($C47+$D47)/2))</f>
        <v/>
      </c>
    </row>
    <row r="48">
      <c r="B48" s="52" t="n">
        <v>39</v>
      </c>
      <c r="C48" s="53">
        <f>IF($G47&lt;bx_N,($C47+$D47)/2,$C47)</f>
        <v/>
      </c>
      <c r="D48" s="53">
        <f>IF($G47&lt;bx_N,$D47,($C47+$D47)/2)</f>
        <v/>
      </c>
      <c r="E48" s="54">
        <f>IF($T48&gt;=1,$F48,3/7*bx_h+4/7*bx_h/MAX($T48,1E-12))</f>
        <v/>
      </c>
      <c r="F48" s="55">
        <f>bx_h*MIN((($C48+$D48)/2),1)</f>
        <v/>
      </c>
      <c r="G48" s="55">
        <f>(fcd_bx*bx_b*$F48*(3/7+4/7*(1-$T48^2/3))+SUMPRODUCT($J$6:$S$6,$J48:$S48))/1000</f>
        <v/>
      </c>
      <c r="H48" s="55">
        <f>(fcd_bx*bx_b*(3/14*$F48*(bx_h-3/7*$F48)+4/7*$F48*(bx_h/2-3/7*$F48)*(1-$T48^2/3)-16/49*$F48^2*(1/2-$T48^2/4))+SUMPRODUCT($J$6:$S$6,$J48:$S48,$J$7:$S$7))/1E6</f>
        <v/>
      </c>
      <c r="J48">
        <f>MAX(-fyd_bx,MIN(fyd_bx,200000*0.002*(1-$T48*(7*J$5-3*$F48)/(4*$F48))))-fcd_bx*(1-MIN(1,MAX(0,$T48*(7*J$5-3*$F48)/(4*$F48)))^2)</f>
        <v/>
      </c>
      <c r="K48">
        <f>MAX(-fyd_bx,MIN(fyd_bx,200000*0.002*(1-$T48*(7*K$5-3*$F48)/(4*$F48))))-fcd_bx*(1-MIN(1,MAX(0,$T48*(7*K$5-3*$F48)/(4*$F48)))^2)</f>
        <v/>
      </c>
      <c r="L48">
        <f>MAX(-fyd_bx,MIN(fyd_bx,200000*0.002*(1-$T48*(7*L$5-3*$F48)/(4*$F48))))-fcd_bx*(1-MIN(1,MAX(0,$T48*(7*L$5-3*$F48)/(4*$F48)))^2)</f>
        <v/>
      </c>
      <c r="M48">
        <f>MAX(-fyd_bx,MIN(fyd_bx,200000*0.002*(1-$T48*(7*M$5-3*$F48)/(4*$F48))))-fcd_bx*(1-MIN(1,MAX(0,$T48*(7*M$5-3*$F48)/(4*$F48)))^2)</f>
        <v/>
      </c>
      <c r="N48">
        <f>MAX(-fyd_bx,MIN(fyd_bx,200000*0.002*(1-$T48*(7*N$5-3*$F48)/(4*$F48))))-fcd_bx*(1-MIN(1,MAX(0,$T48*(7*N$5-3*$F48)/(4*$F48)))^2)</f>
        <v/>
      </c>
      <c r="O48">
        <f>MAX(-fyd_bx,MIN(fyd_bx,200000*0.002*(1-$T48*(7*O$5-3*$F48)/(4*$F48))))-fcd_bx*(1-MIN(1,MAX(0,$T48*(7*O$5-3*$F48)/(4*$F48)))^2)</f>
        <v/>
      </c>
      <c r="P48">
        <f>MAX(-fyd_bx,MIN(fyd_bx,200000*0.002*(1-$T48*(7*P$5-3*$F48)/(4*$F48))))-fcd_bx*(1-MIN(1,MAX(0,$T48*(7*P$5-3*$F48)/(4*$F48)))^2)</f>
        <v/>
      </c>
      <c r="Q48">
        <f>MAX(-fyd_bx,MIN(fyd_bx,200000*0.002*(1-$T48*(7*Q$5-3*$F48)/(4*$F48))))-fcd_bx*(1-MIN(1,MAX(0,$T48*(7*Q$5-3*$F48)/(4*$F48)))^2)</f>
        <v/>
      </c>
      <c r="R48">
        <f>MAX(-fyd_bx,MIN(fyd_bx,200000*0.002*(1-$T48*(7*R$5-3*$F48)/(4*$F48))))-fcd_bx*(1-MIN(1,MAX(0,$T48*(7*R$5-3*$F48)/(4*$F48)))^2)</f>
        <v/>
      </c>
      <c r="S48">
        <f>MAX(-fyd_bx,MIN(fyd_bx,200000*0.002*(1-$T48*(7*S$5-3*$F48)/(4*$F48))))-fcd_bx*(1-MIN(1,MAX(0,$T48*(7*S$5-3*$F48)/(4*$F48)))^2)</f>
        <v/>
      </c>
      <c r="T48">
        <f>MIN(1,2-(($C48+$D48)/2))</f>
        <v/>
      </c>
    </row>
    <row r="49">
      <c r="B49" s="52" t="n">
        <v>40</v>
      </c>
      <c r="C49" s="53">
        <f>IF($G48&lt;bx_N,($C48+$D48)/2,$C48)</f>
        <v/>
      </c>
      <c r="D49" s="53">
        <f>IF($G48&lt;bx_N,$D48,($C48+$D48)/2)</f>
        <v/>
      </c>
      <c r="E49" s="54">
        <f>IF($T49&gt;=1,$F49,3/7*bx_h+4/7*bx_h/MAX($T49,1E-12))</f>
        <v/>
      </c>
      <c r="F49" s="55">
        <f>bx_h*MIN((($C49+$D49)/2),1)</f>
        <v/>
      </c>
      <c r="G49" s="55">
        <f>(fcd_bx*bx_b*$F49*(3/7+4/7*(1-$T49^2/3))+SUMPRODUCT($J$6:$S$6,$J49:$S49))/1000</f>
        <v/>
      </c>
      <c r="H49" s="55">
        <f>(fcd_bx*bx_b*(3/14*$F49*(bx_h-3/7*$F49)+4/7*$F49*(bx_h/2-3/7*$F49)*(1-$T49^2/3)-16/49*$F49^2*(1/2-$T49^2/4))+SUMPRODUCT($J$6:$S$6,$J49:$S49,$J$7:$S$7))/1E6</f>
        <v/>
      </c>
      <c r="J49">
        <f>MAX(-fyd_bx,MIN(fyd_bx,200000*0.002*(1-$T49*(7*J$5-3*$F49)/(4*$F49))))-fcd_bx*(1-MIN(1,MAX(0,$T49*(7*J$5-3*$F49)/(4*$F49)))^2)</f>
        <v/>
      </c>
      <c r="K49">
        <f>MAX(-fyd_bx,MIN(fyd_bx,200000*0.002*(1-$T49*(7*K$5-3*$F49)/(4*$F49))))-fcd_bx*(1-MIN(1,MAX(0,$T49*(7*K$5-3*$F49)/(4*$F49)))^2)</f>
        <v/>
      </c>
      <c r="L49">
        <f>MAX(-fyd_bx,MIN(fyd_bx,200000*0.002*(1-$T49*(7*L$5-3*$F49)/(4*$F49))))-fcd_bx*(1-MIN(1,MAX(0,$T49*(7*L$5-3*$F49)/(4*$F49)))^2)</f>
        <v/>
      </c>
      <c r="M49">
        <f>MAX(-fyd_bx,MIN(fyd_bx,200000*0.002*(1-$T49*(7*M$5-3*$F49)/(4*$F49))))-fcd_bx*(1-MIN(1,MAX(0,$T49*(7*M$5-3*$F49)/(4*$F49)))^2)</f>
        <v/>
      </c>
      <c r="N49">
        <f>MAX(-fyd_bx,MIN(fyd_bx,200000*0.002*(1-$T49*(7*N$5-3*$F49)/(4*$F49))))-fcd_bx*(1-MIN(1,MAX(0,$T49*(7*N$5-3*$F49)/(4*$F49)))^2)</f>
        <v/>
      </c>
      <c r="O49">
        <f>MAX(-fyd_bx,MIN(fyd_bx,200000*0.002*(1-$T49*(7*O$5-3*$F49)/(4*$F49))))-fcd_bx*(1-MIN(1,MAX(0,$T49*(7*O$5-3*$F49)/(4*$F49)))^2)</f>
        <v/>
      </c>
      <c r="P49">
        <f>MAX(-fyd_bx,MIN(fyd_bx,200000*0.002*(1-$T49*(7*P$5-3*$F49)/(4*$F49))))-fcd_bx*(1-MIN(1,MAX(0,$T49*(7*P$5-3*$F49)/(4*$F49)))^2)</f>
        <v/>
      </c>
      <c r="Q49">
        <f>MAX(-fyd_bx,MIN(fyd_bx,200000*0.002*(1-$T49*(7*Q$5-3*$F49)/(4*$F49))))-fcd_bx*(1-MIN(1,MAX(0,$T49*(7*Q$5-3*$F49)/(4*$F49)))^2)</f>
        <v/>
      </c>
      <c r="R49">
        <f>MAX(-fyd_bx,MIN(fyd_bx,200000*0.002*(1-$T49*(7*R$5-3*$F49)/(4*$F49))))-fcd_bx*(1-MIN(1,MAX(0,$T49*(7*R$5-3*$F49)/(4*$F49)))^2)</f>
        <v/>
      </c>
      <c r="S49">
        <f>MAX(-fyd_bx,MIN(fyd_bx,200000*0.002*(1-$T49*(7*S$5-3*$F49)/(4*$F49))))-fcd_bx*(1-MIN(1,MAX(0,$T49*(7*S$5-3*$F49)/(4*$F49)))^2)</f>
        <v/>
      </c>
      <c r="T49">
        <f>MIN(1,2-(($C49+$D49)/2))</f>
        <v/>
      </c>
    </row>
    <row r="50">
      <c r="B50" s="52" t="n">
        <v>41</v>
      </c>
      <c r="C50" s="53">
        <f>IF($G49&lt;bx_N,($C49+$D49)/2,$C49)</f>
        <v/>
      </c>
      <c r="D50" s="53">
        <f>IF($G49&lt;bx_N,$D49,($C49+$D49)/2)</f>
        <v/>
      </c>
      <c r="E50" s="54">
        <f>IF($T50&gt;=1,$F50,3/7*bx_h+4/7*bx_h/MAX($T50,1E-12))</f>
        <v/>
      </c>
      <c r="F50" s="55">
        <f>bx_h*MIN((($C50+$D50)/2),1)</f>
        <v/>
      </c>
      <c r="G50" s="55">
        <f>(fcd_bx*bx_b*$F50*(3/7+4/7*(1-$T50^2/3))+SUMPRODUCT($J$6:$S$6,$J50:$S50))/1000</f>
        <v/>
      </c>
      <c r="H50" s="55">
        <f>(fcd_bx*bx_b*(3/14*$F50*(bx_h-3/7*$F50)+4/7*$F50*(bx_h/2-3/7*$F50)*(1-$T50^2/3)-16/49*$F50^2*(1/2-$T50^2/4))+SUMPRODUCT($J$6:$S$6,$J50:$S50,$J$7:$S$7))/1E6</f>
        <v/>
      </c>
      <c r="J50">
        <f>MAX(-fyd_bx,MIN(fyd_bx,200000*0.002*(1-$T50*(7*J$5-3*$F50)/(4*$F50))))-fcd_bx*(1-MIN(1,MAX(0,$T50*(7*J$5-3*$F50)/(4*$F50)))^2)</f>
        <v/>
      </c>
      <c r="K50">
        <f>MAX(-fyd_bx,MIN(fyd_bx,200000*0.002*(1-$T50*(7*K$5-3*$F50)/(4*$F50))))-fcd_bx*(1-MIN(1,MAX(0,$T50*(7*K$5-3*$F50)/(4*$F50)))^2)</f>
        <v/>
      </c>
      <c r="L50">
        <f>MAX(-fyd_bx,MIN(fyd_bx,200000*0.002*(1-$T50*(7*L$5-3*$F50)/(4*$F50))))-fcd_bx*(1-MIN(1,MAX(0,$T50*(7*L$5-3*$F50)/(4*$F50)))^2)</f>
        <v/>
      </c>
      <c r="M50">
        <f>MAX(-fyd_bx,MIN(fyd_bx,200000*0.002*(1-$T50*(7*M$5-3*$F50)/(4*$F50))))-fcd_bx*(1-MIN(1,MAX(0,$T50*(7*M$5-3*$F50)/(4*$F50)))^2)</f>
        <v/>
      </c>
      <c r="N50">
        <f>MAX(-fyd_bx,MIN(fyd_bx,200000*0.002*(1-$T50*(7*N$5-3*$F50)/(4*$F50))))-fcd_bx*(1-MIN(1,MAX(0,$T50*(7*N$5-3*$F50)/(4*$F50)))^2)</f>
        <v/>
      </c>
      <c r="O50">
        <f>MAX(-fyd_bx,MIN(fyd_bx,200000*0.002*(1-$T50*(7*O$5-3*$F50)/(4*$F50))))-fcd_bx*(1-MIN(1,MAX(0,$T50*(7*O$5-3*$F50)/(4*$F50)))^2)</f>
        <v/>
      </c>
      <c r="P50">
        <f>MAX(-fyd_bx,MIN(fyd_bx,200000*0.002*(1-$T50*(7*P$5-3*$F50)/(4*$F50))))-fcd_bx*(1-MIN(1,MAX(0,$T50*(7*P$5-3*$F50)/(4*$F50)))^2)</f>
        <v/>
      </c>
      <c r="Q50">
        <f>MAX(-fyd_bx,MIN(fyd_bx,200000*0.002*(1-$T50*(7*Q$5-3*$F50)/(4*$F50))))-fcd_bx*(1-MIN(1,MAX(0,$T50*(7*Q$5-3*$F50)/(4*$F50)))^2)</f>
        <v/>
      </c>
      <c r="R50">
        <f>MAX(-fyd_bx,MIN(fyd_bx,200000*0.002*(1-$T50*(7*R$5-3*$F50)/(4*$F50))))-fcd_bx*(1-MIN(1,MAX(0,$T50*(7*R$5-3*$F50)/(4*$F50)))^2)</f>
        <v/>
      </c>
      <c r="S50">
        <f>MAX(-fyd_bx,MIN(fyd_bx,200000*0.002*(1-$T50*(7*S$5-3*$F50)/(4*$F50))))-fcd_bx*(1-MIN(1,MAX(0,$T50*(7*S$5-3*$F50)/(4*$F50)))^2)</f>
        <v/>
      </c>
      <c r="T50">
        <f>MIN(1,2-(($C50+$D50)/2))</f>
        <v/>
      </c>
    </row>
    <row r="51">
      <c r="B51" s="52" t="n">
        <v>42</v>
      </c>
      <c r="C51" s="53">
        <f>IF($G50&lt;bx_N,($C50+$D50)/2,$C50)</f>
        <v/>
      </c>
      <c r="D51" s="53">
        <f>IF($G50&lt;bx_N,$D50,($C50+$D50)/2)</f>
        <v/>
      </c>
      <c r="E51" s="54">
        <f>IF($T51&gt;=1,$F51,3/7*bx_h+4/7*bx_h/MAX($T51,1E-12))</f>
        <v/>
      </c>
      <c r="F51" s="55">
        <f>bx_h*MIN((($C51+$D51)/2),1)</f>
        <v/>
      </c>
      <c r="G51" s="55">
        <f>(fcd_bx*bx_b*$F51*(3/7+4/7*(1-$T51^2/3))+SUMPRODUCT($J$6:$S$6,$J51:$S51))/1000</f>
        <v/>
      </c>
      <c r="H51" s="55">
        <f>(fcd_bx*bx_b*(3/14*$F51*(bx_h-3/7*$F51)+4/7*$F51*(bx_h/2-3/7*$F51)*(1-$T51^2/3)-16/49*$F51^2*(1/2-$T51^2/4))+SUMPRODUCT($J$6:$S$6,$J51:$S51,$J$7:$S$7))/1E6</f>
        <v/>
      </c>
      <c r="J51">
        <f>MAX(-fyd_bx,MIN(fyd_bx,200000*0.002*(1-$T51*(7*J$5-3*$F51)/(4*$F51))))-fcd_bx*(1-MIN(1,MAX(0,$T51*(7*J$5-3*$F51)/(4*$F51)))^2)</f>
        <v/>
      </c>
      <c r="K51">
        <f>MAX(-fyd_bx,MIN(fyd_bx,200000*0.002*(1-$T51*(7*K$5-3*$F51)/(4*$F51))))-fcd_bx*(1-MIN(1,MAX(0,$T51*(7*K$5-3*$F51)/(4*$F51)))^2)</f>
        <v/>
      </c>
      <c r="L51">
        <f>MAX(-fyd_bx,MIN(fyd_bx,200000*0.002*(1-$T51*(7*L$5-3*$F51)/(4*$F51))))-fcd_bx*(1-MIN(1,MAX(0,$T51*(7*L$5-3*$F51)/(4*$F51)))^2)</f>
        <v/>
      </c>
      <c r="M51">
        <f>MAX(-fyd_bx,MIN(fyd_bx,200000*0.002*(1-$T51*(7*M$5-3*$F51)/(4*$F51))))-fcd_bx*(1-MIN(1,MAX(0,$T51*(7*M$5-3*$F51)/(4*$F51)))^2)</f>
        <v/>
      </c>
      <c r="N51">
        <f>MAX(-fyd_bx,MIN(fyd_bx,200000*0.002*(1-$T51*(7*N$5-3*$F51)/(4*$F51))))-fcd_bx*(1-MIN(1,MAX(0,$T51*(7*N$5-3*$F51)/(4*$F51)))^2)</f>
        <v/>
      </c>
      <c r="O51">
        <f>MAX(-fyd_bx,MIN(fyd_bx,200000*0.002*(1-$T51*(7*O$5-3*$F51)/(4*$F51))))-fcd_bx*(1-MIN(1,MAX(0,$T51*(7*O$5-3*$F51)/(4*$F51)))^2)</f>
        <v/>
      </c>
      <c r="P51">
        <f>MAX(-fyd_bx,MIN(fyd_bx,200000*0.002*(1-$T51*(7*P$5-3*$F51)/(4*$F51))))-fcd_bx*(1-MIN(1,MAX(0,$T51*(7*P$5-3*$F51)/(4*$F51)))^2)</f>
        <v/>
      </c>
      <c r="Q51">
        <f>MAX(-fyd_bx,MIN(fyd_bx,200000*0.002*(1-$T51*(7*Q$5-3*$F51)/(4*$F51))))-fcd_bx*(1-MIN(1,MAX(0,$T51*(7*Q$5-3*$F51)/(4*$F51)))^2)</f>
        <v/>
      </c>
      <c r="R51">
        <f>MAX(-fyd_bx,MIN(fyd_bx,200000*0.002*(1-$T51*(7*R$5-3*$F51)/(4*$F51))))-fcd_bx*(1-MIN(1,MAX(0,$T51*(7*R$5-3*$F51)/(4*$F51)))^2)</f>
        <v/>
      </c>
      <c r="S51">
        <f>MAX(-fyd_bx,MIN(fyd_bx,200000*0.002*(1-$T51*(7*S$5-3*$F51)/(4*$F51))))-fcd_bx*(1-MIN(1,MAX(0,$T51*(7*S$5-3*$F51)/(4*$F51)))^2)</f>
        <v/>
      </c>
      <c r="T51">
        <f>MIN(1,2-(($C51+$D51)/2))</f>
        <v/>
      </c>
    </row>
    <row r="52">
      <c r="B52" s="52" t="n">
        <v>43</v>
      </c>
      <c r="C52" s="53">
        <f>IF($G51&lt;bx_N,($C51+$D51)/2,$C51)</f>
        <v/>
      </c>
      <c r="D52" s="53">
        <f>IF($G51&lt;bx_N,$D51,($C51+$D51)/2)</f>
        <v/>
      </c>
      <c r="E52" s="54">
        <f>IF($T52&gt;=1,$F52,3/7*bx_h+4/7*bx_h/MAX($T52,1E-12))</f>
        <v/>
      </c>
      <c r="F52" s="55">
        <f>bx_h*MIN((($C52+$D52)/2),1)</f>
        <v/>
      </c>
      <c r="G52" s="55">
        <f>(fcd_bx*bx_b*$F52*(3/7+4/7*(1-$T52^2/3))+SUMPRODUCT($J$6:$S$6,$J52:$S52))/1000</f>
        <v/>
      </c>
      <c r="H52" s="55">
        <f>(fcd_bx*bx_b*(3/14*$F52*(bx_h-3/7*$F52)+4/7*$F52*(bx_h/2-3/7*$F52)*(1-$T52^2/3)-16/49*$F52^2*(1/2-$T52^2/4))+SUMPRODUCT($J$6:$S$6,$J52:$S52,$J$7:$S$7))/1E6</f>
        <v/>
      </c>
      <c r="J52">
        <f>MAX(-fyd_bx,MIN(fyd_bx,200000*0.002*(1-$T52*(7*J$5-3*$F52)/(4*$F52))))-fcd_bx*(1-MIN(1,MAX(0,$T52*(7*J$5-3*$F52)/(4*$F52)))^2)</f>
        <v/>
      </c>
      <c r="K52">
        <f>MAX(-fyd_bx,MIN(fyd_bx,200000*0.002*(1-$T52*(7*K$5-3*$F52)/(4*$F52))))-fcd_bx*(1-MIN(1,MAX(0,$T52*(7*K$5-3*$F52)/(4*$F52)))^2)</f>
        <v/>
      </c>
      <c r="L52">
        <f>MAX(-fyd_bx,MIN(fyd_bx,200000*0.002*(1-$T52*(7*L$5-3*$F52)/(4*$F52))))-fcd_bx*(1-MIN(1,MAX(0,$T52*(7*L$5-3*$F52)/(4*$F52)))^2)</f>
        <v/>
      </c>
      <c r="M52">
        <f>MAX(-fyd_bx,MIN(fyd_bx,200000*0.002*(1-$T52*(7*M$5-3*$F52)/(4*$F52))))-fcd_bx*(1-MIN(1,MAX(0,$T52*(7*M$5-3*$F52)/(4*$F52)))^2)</f>
        <v/>
      </c>
      <c r="N52">
        <f>MAX(-fyd_bx,MIN(fyd_bx,200000*0.002*(1-$T52*(7*N$5-3*$F52)/(4*$F52))))-fcd_bx*(1-MIN(1,MAX(0,$T52*(7*N$5-3*$F52)/(4*$F52)))^2)</f>
        <v/>
      </c>
      <c r="O52">
        <f>MAX(-fyd_bx,MIN(fyd_bx,200000*0.002*(1-$T52*(7*O$5-3*$F52)/(4*$F52))))-fcd_bx*(1-MIN(1,MAX(0,$T52*(7*O$5-3*$F52)/(4*$F52)))^2)</f>
        <v/>
      </c>
      <c r="P52">
        <f>MAX(-fyd_bx,MIN(fyd_bx,200000*0.002*(1-$T52*(7*P$5-3*$F52)/(4*$F52))))-fcd_bx*(1-MIN(1,MAX(0,$T52*(7*P$5-3*$F52)/(4*$F52)))^2)</f>
        <v/>
      </c>
      <c r="Q52">
        <f>MAX(-fyd_bx,MIN(fyd_bx,200000*0.002*(1-$T52*(7*Q$5-3*$F52)/(4*$F52))))-fcd_bx*(1-MIN(1,MAX(0,$T52*(7*Q$5-3*$F52)/(4*$F52)))^2)</f>
        <v/>
      </c>
      <c r="R52">
        <f>MAX(-fyd_bx,MIN(fyd_bx,200000*0.002*(1-$T52*(7*R$5-3*$F52)/(4*$F52))))-fcd_bx*(1-MIN(1,MAX(0,$T52*(7*R$5-3*$F52)/(4*$F52)))^2)</f>
        <v/>
      </c>
      <c r="S52">
        <f>MAX(-fyd_bx,MIN(fyd_bx,200000*0.002*(1-$T52*(7*S$5-3*$F52)/(4*$F52))))-fcd_bx*(1-MIN(1,MAX(0,$T52*(7*S$5-3*$F52)/(4*$F52)))^2)</f>
        <v/>
      </c>
      <c r="T52">
        <f>MIN(1,2-(($C52+$D52)/2))</f>
        <v/>
      </c>
    </row>
    <row r="53">
      <c r="B53" s="52" t="n">
        <v>44</v>
      </c>
      <c r="C53" s="53">
        <f>IF($G52&lt;bx_N,($C52+$D52)/2,$C52)</f>
        <v/>
      </c>
      <c r="D53" s="53">
        <f>IF($G52&lt;bx_N,$D52,($C52+$D52)/2)</f>
        <v/>
      </c>
      <c r="E53" s="54">
        <f>IF($T53&gt;=1,$F53,3/7*bx_h+4/7*bx_h/MAX($T53,1E-12))</f>
        <v/>
      </c>
      <c r="F53" s="55">
        <f>bx_h*MIN((($C53+$D53)/2),1)</f>
        <v/>
      </c>
      <c r="G53" s="55">
        <f>(fcd_bx*bx_b*$F53*(3/7+4/7*(1-$T53^2/3))+SUMPRODUCT($J$6:$S$6,$J53:$S53))/1000</f>
        <v/>
      </c>
      <c r="H53" s="55">
        <f>(fcd_bx*bx_b*(3/14*$F53*(bx_h-3/7*$F53)+4/7*$F53*(bx_h/2-3/7*$F53)*(1-$T53^2/3)-16/49*$F53^2*(1/2-$T53^2/4))+SUMPRODUCT($J$6:$S$6,$J53:$S53,$J$7:$S$7))/1E6</f>
        <v/>
      </c>
      <c r="J53">
        <f>MAX(-fyd_bx,MIN(fyd_bx,200000*0.002*(1-$T53*(7*J$5-3*$F53)/(4*$F53))))-fcd_bx*(1-MIN(1,MAX(0,$T53*(7*J$5-3*$F53)/(4*$F53)))^2)</f>
        <v/>
      </c>
      <c r="K53">
        <f>MAX(-fyd_bx,MIN(fyd_bx,200000*0.002*(1-$T53*(7*K$5-3*$F53)/(4*$F53))))-fcd_bx*(1-MIN(1,MAX(0,$T53*(7*K$5-3*$F53)/(4*$F53)))^2)</f>
        <v/>
      </c>
      <c r="L53">
        <f>MAX(-fyd_bx,MIN(fyd_bx,200000*0.002*(1-$T53*(7*L$5-3*$F53)/(4*$F53))))-fcd_bx*(1-MIN(1,MAX(0,$T53*(7*L$5-3*$F53)/(4*$F53)))^2)</f>
        <v/>
      </c>
      <c r="M53">
        <f>MAX(-fyd_bx,MIN(fyd_bx,200000*0.002*(1-$T53*(7*M$5-3*$F53)/(4*$F53))))-fcd_bx*(1-MIN(1,MAX(0,$T53*(7*M$5-3*$F53)/(4*$F53)))^2)</f>
        <v/>
      </c>
      <c r="N53">
        <f>MAX(-fyd_bx,MIN(fyd_bx,200000*0.002*(1-$T53*(7*N$5-3*$F53)/(4*$F53))))-fcd_bx*(1-MIN(1,MAX(0,$T53*(7*N$5-3*$F53)/(4*$F53)))^2)</f>
        <v/>
      </c>
      <c r="O53">
        <f>MAX(-fyd_bx,MIN(fyd_bx,200000*0.002*(1-$T53*(7*O$5-3*$F53)/(4*$F53))))-fcd_bx*(1-MIN(1,MAX(0,$T53*(7*O$5-3*$F53)/(4*$F53)))^2)</f>
        <v/>
      </c>
      <c r="P53">
        <f>MAX(-fyd_bx,MIN(fyd_bx,200000*0.002*(1-$T53*(7*P$5-3*$F53)/(4*$F53))))-fcd_bx*(1-MIN(1,MAX(0,$T53*(7*P$5-3*$F53)/(4*$F53)))^2)</f>
        <v/>
      </c>
      <c r="Q53">
        <f>MAX(-fyd_bx,MIN(fyd_bx,200000*0.002*(1-$T53*(7*Q$5-3*$F53)/(4*$F53))))-fcd_bx*(1-MIN(1,MAX(0,$T53*(7*Q$5-3*$F53)/(4*$F53)))^2)</f>
        <v/>
      </c>
      <c r="R53">
        <f>MAX(-fyd_bx,MIN(fyd_bx,200000*0.002*(1-$T53*(7*R$5-3*$F53)/(4*$F53))))-fcd_bx*(1-MIN(1,MAX(0,$T53*(7*R$5-3*$F53)/(4*$F53)))^2)</f>
        <v/>
      </c>
      <c r="S53">
        <f>MAX(-fyd_bx,MIN(fyd_bx,200000*0.002*(1-$T53*(7*S$5-3*$F53)/(4*$F53))))-fcd_bx*(1-MIN(1,MAX(0,$T53*(7*S$5-3*$F53)/(4*$F53)))^2)</f>
        <v/>
      </c>
      <c r="T53">
        <f>MIN(1,2-(($C53+$D53)/2))</f>
        <v/>
      </c>
    </row>
    <row r="54">
      <c r="B54" s="52" t="n">
        <v>45</v>
      </c>
      <c r="C54" s="53">
        <f>IF($G53&lt;bx_N,($C53+$D53)/2,$C53)</f>
        <v/>
      </c>
      <c r="D54" s="53">
        <f>IF($G53&lt;bx_N,$D53,($C53+$D53)/2)</f>
        <v/>
      </c>
      <c r="E54" s="54">
        <f>IF($T54&gt;=1,$F54,3/7*bx_h+4/7*bx_h/MAX($T54,1E-12))</f>
        <v/>
      </c>
      <c r="F54" s="55">
        <f>bx_h*MIN((($C54+$D54)/2),1)</f>
        <v/>
      </c>
      <c r="G54" s="55">
        <f>(fcd_bx*bx_b*$F54*(3/7+4/7*(1-$T54^2/3))+SUMPRODUCT($J$6:$S$6,$J54:$S54))/1000</f>
        <v/>
      </c>
      <c r="H54" s="55">
        <f>(fcd_bx*bx_b*(3/14*$F54*(bx_h-3/7*$F54)+4/7*$F54*(bx_h/2-3/7*$F54)*(1-$T54^2/3)-16/49*$F54^2*(1/2-$T54^2/4))+SUMPRODUCT($J$6:$S$6,$J54:$S54,$J$7:$S$7))/1E6</f>
        <v/>
      </c>
      <c r="J54">
        <f>MAX(-fyd_bx,MIN(fyd_bx,200000*0.002*(1-$T54*(7*J$5-3*$F54)/(4*$F54))))-fcd_bx*(1-MIN(1,MAX(0,$T54*(7*J$5-3*$F54)/(4*$F54)))^2)</f>
        <v/>
      </c>
      <c r="K54">
        <f>MAX(-fyd_bx,MIN(fyd_bx,200000*0.002*(1-$T54*(7*K$5-3*$F54)/(4*$F54))))-fcd_bx*(1-MIN(1,MAX(0,$T54*(7*K$5-3*$F54)/(4*$F54)))^2)</f>
        <v/>
      </c>
      <c r="L54">
        <f>MAX(-fyd_bx,MIN(fyd_bx,200000*0.002*(1-$T54*(7*L$5-3*$F54)/(4*$F54))))-fcd_bx*(1-MIN(1,MAX(0,$T54*(7*L$5-3*$F54)/(4*$F54)))^2)</f>
        <v/>
      </c>
      <c r="M54">
        <f>MAX(-fyd_bx,MIN(fyd_bx,200000*0.002*(1-$T54*(7*M$5-3*$F54)/(4*$F54))))-fcd_bx*(1-MIN(1,MAX(0,$T54*(7*M$5-3*$F54)/(4*$F54)))^2)</f>
        <v/>
      </c>
      <c r="N54">
        <f>MAX(-fyd_bx,MIN(fyd_bx,200000*0.002*(1-$T54*(7*N$5-3*$F54)/(4*$F54))))-fcd_bx*(1-MIN(1,MAX(0,$T54*(7*N$5-3*$F54)/(4*$F54)))^2)</f>
        <v/>
      </c>
      <c r="O54">
        <f>MAX(-fyd_bx,MIN(fyd_bx,200000*0.002*(1-$T54*(7*O$5-3*$F54)/(4*$F54))))-fcd_bx*(1-MIN(1,MAX(0,$T54*(7*O$5-3*$F54)/(4*$F54)))^2)</f>
        <v/>
      </c>
      <c r="P54">
        <f>MAX(-fyd_bx,MIN(fyd_bx,200000*0.002*(1-$T54*(7*P$5-3*$F54)/(4*$F54))))-fcd_bx*(1-MIN(1,MAX(0,$T54*(7*P$5-3*$F54)/(4*$F54)))^2)</f>
        <v/>
      </c>
      <c r="Q54">
        <f>MAX(-fyd_bx,MIN(fyd_bx,200000*0.002*(1-$T54*(7*Q$5-3*$F54)/(4*$F54))))-fcd_bx*(1-MIN(1,MAX(0,$T54*(7*Q$5-3*$F54)/(4*$F54)))^2)</f>
        <v/>
      </c>
      <c r="R54">
        <f>MAX(-fyd_bx,MIN(fyd_bx,200000*0.002*(1-$T54*(7*R$5-3*$F54)/(4*$F54))))-fcd_bx*(1-MIN(1,MAX(0,$T54*(7*R$5-3*$F54)/(4*$F54)))^2)</f>
        <v/>
      </c>
      <c r="S54">
        <f>MAX(-fyd_bx,MIN(fyd_bx,200000*0.002*(1-$T54*(7*S$5-3*$F54)/(4*$F54))))-fcd_bx*(1-MIN(1,MAX(0,$T54*(7*S$5-3*$F54)/(4*$F54)))^2)</f>
        <v/>
      </c>
      <c r="T54">
        <f>MIN(1,2-(($C54+$D54)/2))</f>
        <v/>
      </c>
    </row>
    <row r="55">
      <c r="B55" s="52" t="n">
        <v>46</v>
      </c>
      <c r="C55" s="53">
        <f>IF($G54&lt;bx_N,($C54+$D54)/2,$C54)</f>
        <v/>
      </c>
      <c r="D55" s="53">
        <f>IF($G54&lt;bx_N,$D54,($C54+$D54)/2)</f>
        <v/>
      </c>
      <c r="E55" s="54">
        <f>IF($T55&gt;=1,$F55,3/7*bx_h+4/7*bx_h/MAX($T55,1E-12))</f>
        <v/>
      </c>
      <c r="F55" s="55">
        <f>bx_h*MIN((($C55+$D55)/2),1)</f>
        <v/>
      </c>
      <c r="G55" s="55">
        <f>(fcd_bx*bx_b*$F55*(3/7+4/7*(1-$T55^2/3))+SUMPRODUCT($J$6:$S$6,$J55:$S55))/1000</f>
        <v/>
      </c>
      <c r="H55" s="55">
        <f>(fcd_bx*bx_b*(3/14*$F55*(bx_h-3/7*$F55)+4/7*$F55*(bx_h/2-3/7*$F55)*(1-$T55^2/3)-16/49*$F55^2*(1/2-$T55^2/4))+SUMPRODUCT($J$6:$S$6,$J55:$S55,$J$7:$S$7))/1E6</f>
        <v/>
      </c>
      <c r="J55">
        <f>MAX(-fyd_bx,MIN(fyd_bx,200000*0.002*(1-$T55*(7*J$5-3*$F55)/(4*$F55))))-fcd_bx*(1-MIN(1,MAX(0,$T55*(7*J$5-3*$F55)/(4*$F55)))^2)</f>
        <v/>
      </c>
      <c r="K55">
        <f>MAX(-fyd_bx,MIN(fyd_bx,200000*0.002*(1-$T55*(7*K$5-3*$F55)/(4*$F55))))-fcd_bx*(1-MIN(1,MAX(0,$T55*(7*K$5-3*$F55)/(4*$F55)))^2)</f>
        <v/>
      </c>
      <c r="L55">
        <f>MAX(-fyd_bx,MIN(fyd_bx,200000*0.002*(1-$T55*(7*L$5-3*$F55)/(4*$F55))))-fcd_bx*(1-MIN(1,MAX(0,$T55*(7*L$5-3*$F55)/(4*$F55)))^2)</f>
        <v/>
      </c>
      <c r="M55">
        <f>MAX(-fyd_bx,MIN(fyd_bx,200000*0.002*(1-$T55*(7*M$5-3*$F55)/(4*$F55))))-fcd_bx*(1-MIN(1,MAX(0,$T55*(7*M$5-3*$F55)/(4*$F55)))^2)</f>
        <v/>
      </c>
      <c r="N55">
        <f>MAX(-fyd_bx,MIN(fyd_bx,200000*0.002*(1-$T55*(7*N$5-3*$F55)/(4*$F55))))-fcd_bx*(1-MIN(1,MAX(0,$T55*(7*N$5-3*$F55)/(4*$F55)))^2)</f>
        <v/>
      </c>
      <c r="O55">
        <f>MAX(-fyd_bx,MIN(fyd_bx,200000*0.002*(1-$T55*(7*O$5-3*$F55)/(4*$F55))))-fcd_bx*(1-MIN(1,MAX(0,$T55*(7*O$5-3*$F55)/(4*$F55)))^2)</f>
        <v/>
      </c>
      <c r="P55">
        <f>MAX(-fyd_bx,MIN(fyd_bx,200000*0.002*(1-$T55*(7*P$5-3*$F55)/(4*$F55))))-fcd_bx*(1-MIN(1,MAX(0,$T55*(7*P$5-3*$F55)/(4*$F55)))^2)</f>
        <v/>
      </c>
      <c r="Q55">
        <f>MAX(-fyd_bx,MIN(fyd_bx,200000*0.002*(1-$T55*(7*Q$5-3*$F55)/(4*$F55))))-fcd_bx*(1-MIN(1,MAX(0,$T55*(7*Q$5-3*$F55)/(4*$F55)))^2)</f>
        <v/>
      </c>
      <c r="R55">
        <f>MAX(-fyd_bx,MIN(fyd_bx,200000*0.002*(1-$T55*(7*R$5-3*$F55)/(4*$F55))))-fcd_bx*(1-MIN(1,MAX(0,$T55*(7*R$5-3*$F55)/(4*$F55)))^2)</f>
        <v/>
      </c>
      <c r="S55">
        <f>MAX(-fyd_bx,MIN(fyd_bx,200000*0.002*(1-$T55*(7*S$5-3*$F55)/(4*$F55))))-fcd_bx*(1-MIN(1,MAX(0,$T55*(7*S$5-3*$F55)/(4*$F55)))^2)</f>
        <v/>
      </c>
      <c r="T55">
        <f>MIN(1,2-(($C55+$D55)/2))</f>
        <v/>
      </c>
    </row>
    <row r="56">
      <c r="B56" s="52" t="n">
        <v>47</v>
      </c>
      <c r="C56" s="53">
        <f>IF($G55&lt;bx_N,($C55+$D55)/2,$C55)</f>
        <v/>
      </c>
      <c r="D56" s="53">
        <f>IF($G55&lt;bx_N,$D55,($C55+$D55)/2)</f>
        <v/>
      </c>
      <c r="E56" s="54">
        <f>IF($T56&gt;=1,$F56,3/7*bx_h+4/7*bx_h/MAX($T56,1E-12))</f>
        <v/>
      </c>
      <c r="F56" s="55">
        <f>bx_h*MIN((($C56+$D56)/2),1)</f>
        <v/>
      </c>
      <c r="G56" s="55">
        <f>(fcd_bx*bx_b*$F56*(3/7+4/7*(1-$T56^2/3))+SUMPRODUCT($J$6:$S$6,$J56:$S56))/1000</f>
        <v/>
      </c>
      <c r="H56" s="55">
        <f>(fcd_bx*bx_b*(3/14*$F56*(bx_h-3/7*$F56)+4/7*$F56*(bx_h/2-3/7*$F56)*(1-$T56^2/3)-16/49*$F56^2*(1/2-$T56^2/4))+SUMPRODUCT($J$6:$S$6,$J56:$S56,$J$7:$S$7))/1E6</f>
        <v/>
      </c>
      <c r="J56">
        <f>MAX(-fyd_bx,MIN(fyd_bx,200000*0.002*(1-$T56*(7*J$5-3*$F56)/(4*$F56))))-fcd_bx*(1-MIN(1,MAX(0,$T56*(7*J$5-3*$F56)/(4*$F56)))^2)</f>
        <v/>
      </c>
      <c r="K56">
        <f>MAX(-fyd_bx,MIN(fyd_bx,200000*0.002*(1-$T56*(7*K$5-3*$F56)/(4*$F56))))-fcd_bx*(1-MIN(1,MAX(0,$T56*(7*K$5-3*$F56)/(4*$F56)))^2)</f>
        <v/>
      </c>
      <c r="L56">
        <f>MAX(-fyd_bx,MIN(fyd_bx,200000*0.002*(1-$T56*(7*L$5-3*$F56)/(4*$F56))))-fcd_bx*(1-MIN(1,MAX(0,$T56*(7*L$5-3*$F56)/(4*$F56)))^2)</f>
        <v/>
      </c>
      <c r="M56">
        <f>MAX(-fyd_bx,MIN(fyd_bx,200000*0.002*(1-$T56*(7*M$5-3*$F56)/(4*$F56))))-fcd_bx*(1-MIN(1,MAX(0,$T56*(7*M$5-3*$F56)/(4*$F56)))^2)</f>
        <v/>
      </c>
      <c r="N56">
        <f>MAX(-fyd_bx,MIN(fyd_bx,200000*0.002*(1-$T56*(7*N$5-3*$F56)/(4*$F56))))-fcd_bx*(1-MIN(1,MAX(0,$T56*(7*N$5-3*$F56)/(4*$F56)))^2)</f>
        <v/>
      </c>
      <c r="O56">
        <f>MAX(-fyd_bx,MIN(fyd_bx,200000*0.002*(1-$T56*(7*O$5-3*$F56)/(4*$F56))))-fcd_bx*(1-MIN(1,MAX(0,$T56*(7*O$5-3*$F56)/(4*$F56)))^2)</f>
        <v/>
      </c>
      <c r="P56">
        <f>MAX(-fyd_bx,MIN(fyd_bx,200000*0.002*(1-$T56*(7*P$5-3*$F56)/(4*$F56))))-fcd_bx*(1-MIN(1,MAX(0,$T56*(7*P$5-3*$F56)/(4*$F56)))^2)</f>
        <v/>
      </c>
      <c r="Q56">
        <f>MAX(-fyd_bx,MIN(fyd_bx,200000*0.002*(1-$T56*(7*Q$5-3*$F56)/(4*$F56))))-fcd_bx*(1-MIN(1,MAX(0,$T56*(7*Q$5-3*$F56)/(4*$F56)))^2)</f>
        <v/>
      </c>
      <c r="R56">
        <f>MAX(-fyd_bx,MIN(fyd_bx,200000*0.002*(1-$T56*(7*R$5-3*$F56)/(4*$F56))))-fcd_bx*(1-MIN(1,MAX(0,$T56*(7*R$5-3*$F56)/(4*$F56)))^2)</f>
        <v/>
      </c>
      <c r="S56">
        <f>MAX(-fyd_bx,MIN(fyd_bx,200000*0.002*(1-$T56*(7*S$5-3*$F56)/(4*$F56))))-fcd_bx*(1-MIN(1,MAX(0,$T56*(7*S$5-3*$F56)/(4*$F56)))^2)</f>
        <v/>
      </c>
      <c r="T56">
        <f>MIN(1,2-(($C56+$D56)/2))</f>
        <v/>
      </c>
    </row>
    <row r="57">
      <c r="B57" s="52" t="n">
        <v>48</v>
      </c>
      <c r="C57" s="53">
        <f>IF($G56&lt;bx_N,($C56+$D56)/2,$C56)</f>
        <v/>
      </c>
      <c r="D57" s="53">
        <f>IF($G56&lt;bx_N,$D56,($C56+$D56)/2)</f>
        <v/>
      </c>
      <c r="E57" s="54">
        <f>IF($T57&gt;=1,$F57,3/7*bx_h+4/7*bx_h/MAX($T57,1E-12))</f>
        <v/>
      </c>
      <c r="F57" s="55">
        <f>bx_h*MIN((($C57+$D57)/2),1)</f>
        <v/>
      </c>
      <c r="G57" s="55">
        <f>(fcd_bx*bx_b*$F57*(3/7+4/7*(1-$T57^2/3))+SUMPRODUCT($J$6:$S$6,$J57:$S57))/1000</f>
        <v/>
      </c>
      <c r="H57" s="55">
        <f>(fcd_bx*bx_b*(3/14*$F57*(bx_h-3/7*$F57)+4/7*$F57*(bx_h/2-3/7*$F57)*(1-$T57^2/3)-16/49*$F57^2*(1/2-$T57^2/4))+SUMPRODUCT($J$6:$S$6,$J57:$S57,$J$7:$S$7))/1E6</f>
        <v/>
      </c>
      <c r="J57">
        <f>MAX(-fyd_bx,MIN(fyd_bx,200000*0.002*(1-$T57*(7*J$5-3*$F57)/(4*$F57))))-fcd_bx*(1-MIN(1,MAX(0,$T57*(7*J$5-3*$F57)/(4*$F57)))^2)</f>
        <v/>
      </c>
      <c r="K57">
        <f>MAX(-fyd_bx,MIN(fyd_bx,200000*0.002*(1-$T57*(7*K$5-3*$F57)/(4*$F57))))-fcd_bx*(1-MIN(1,MAX(0,$T57*(7*K$5-3*$F57)/(4*$F57)))^2)</f>
        <v/>
      </c>
      <c r="L57">
        <f>MAX(-fyd_bx,MIN(fyd_bx,200000*0.002*(1-$T57*(7*L$5-3*$F57)/(4*$F57))))-fcd_bx*(1-MIN(1,MAX(0,$T57*(7*L$5-3*$F57)/(4*$F57)))^2)</f>
        <v/>
      </c>
      <c r="M57">
        <f>MAX(-fyd_bx,MIN(fyd_bx,200000*0.002*(1-$T57*(7*M$5-3*$F57)/(4*$F57))))-fcd_bx*(1-MIN(1,MAX(0,$T57*(7*M$5-3*$F57)/(4*$F57)))^2)</f>
        <v/>
      </c>
      <c r="N57">
        <f>MAX(-fyd_bx,MIN(fyd_bx,200000*0.002*(1-$T57*(7*N$5-3*$F57)/(4*$F57))))-fcd_bx*(1-MIN(1,MAX(0,$T57*(7*N$5-3*$F57)/(4*$F57)))^2)</f>
        <v/>
      </c>
      <c r="O57">
        <f>MAX(-fyd_bx,MIN(fyd_bx,200000*0.002*(1-$T57*(7*O$5-3*$F57)/(4*$F57))))-fcd_bx*(1-MIN(1,MAX(0,$T57*(7*O$5-3*$F57)/(4*$F57)))^2)</f>
        <v/>
      </c>
      <c r="P57">
        <f>MAX(-fyd_bx,MIN(fyd_bx,200000*0.002*(1-$T57*(7*P$5-3*$F57)/(4*$F57))))-fcd_bx*(1-MIN(1,MAX(0,$T57*(7*P$5-3*$F57)/(4*$F57)))^2)</f>
        <v/>
      </c>
      <c r="Q57">
        <f>MAX(-fyd_bx,MIN(fyd_bx,200000*0.002*(1-$T57*(7*Q$5-3*$F57)/(4*$F57))))-fcd_bx*(1-MIN(1,MAX(0,$T57*(7*Q$5-3*$F57)/(4*$F57)))^2)</f>
        <v/>
      </c>
      <c r="R57">
        <f>MAX(-fyd_bx,MIN(fyd_bx,200000*0.002*(1-$T57*(7*R$5-3*$F57)/(4*$F57))))-fcd_bx*(1-MIN(1,MAX(0,$T57*(7*R$5-3*$F57)/(4*$F57)))^2)</f>
        <v/>
      </c>
      <c r="S57">
        <f>MAX(-fyd_bx,MIN(fyd_bx,200000*0.002*(1-$T57*(7*S$5-3*$F57)/(4*$F57))))-fcd_bx*(1-MIN(1,MAX(0,$T57*(7*S$5-3*$F57)/(4*$F57)))^2)</f>
        <v/>
      </c>
      <c r="T57">
        <f>MIN(1,2-(($C57+$D57)/2))</f>
        <v/>
      </c>
    </row>
    <row r="58">
      <c r="B58" s="52" t="n">
        <v>49</v>
      </c>
      <c r="C58" s="53">
        <f>IF($G57&lt;bx_N,($C57+$D57)/2,$C57)</f>
        <v/>
      </c>
      <c r="D58" s="53">
        <f>IF($G57&lt;bx_N,$D57,($C57+$D57)/2)</f>
        <v/>
      </c>
      <c r="E58" s="54">
        <f>IF($T58&gt;=1,$F58,3/7*bx_h+4/7*bx_h/MAX($T58,1E-12))</f>
        <v/>
      </c>
      <c r="F58" s="55">
        <f>bx_h*MIN((($C58+$D58)/2),1)</f>
        <v/>
      </c>
      <c r="G58" s="55">
        <f>(fcd_bx*bx_b*$F58*(3/7+4/7*(1-$T58^2/3))+SUMPRODUCT($J$6:$S$6,$J58:$S58))/1000</f>
        <v/>
      </c>
      <c r="H58" s="55">
        <f>(fcd_bx*bx_b*(3/14*$F58*(bx_h-3/7*$F58)+4/7*$F58*(bx_h/2-3/7*$F58)*(1-$T58^2/3)-16/49*$F58^2*(1/2-$T58^2/4))+SUMPRODUCT($J$6:$S$6,$J58:$S58,$J$7:$S$7))/1E6</f>
        <v/>
      </c>
      <c r="J58">
        <f>MAX(-fyd_bx,MIN(fyd_bx,200000*0.002*(1-$T58*(7*J$5-3*$F58)/(4*$F58))))-fcd_bx*(1-MIN(1,MAX(0,$T58*(7*J$5-3*$F58)/(4*$F58)))^2)</f>
        <v/>
      </c>
      <c r="K58">
        <f>MAX(-fyd_bx,MIN(fyd_bx,200000*0.002*(1-$T58*(7*K$5-3*$F58)/(4*$F58))))-fcd_bx*(1-MIN(1,MAX(0,$T58*(7*K$5-3*$F58)/(4*$F58)))^2)</f>
        <v/>
      </c>
      <c r="L58">
        <f>MAX(-fyd_bx,MIN(fyd_bx,200000*0.002*(1-$T58*(7*L$5-3*$F58)/(4*$F58))))-fcd_bx*(1-MIN(1,MAX(0,$T58*(7*L$5-3*$F58)/(4*$F58)))^2)</f>
        <v/>
      </c>
      <c r="M58">
        <f>MAX(-fyd_bx,MIN(fyd_bx,200000*0.002*(1-$T58*(7*M$5-3*$F58)/(4*$F58))))-fcd_bx*(1-MIN(1,MAX(0,$T58*(7*M$5-3*$F58)/(4*$F58)))^2)</f>
        <v/>
      </c>
      <c r="N58">
        <f>MAX(-fyd_bx,MIN(fyd_bx,200000*0.002*(1-$T58*(7*N$5-3*$F58)/(4*$F58))))-fcd_bx*(1-MIN(1,MAX(0,$T58*(7*N$5-3*$F58)/(4*$F58)))^2)</f>
        <v/>
      </c>
      <c r="O58">
        <f>MAX(-fyd_bx,MIN(fyd_bx,200000*0.002*(1-$T58*(7*O$5-3*$F58)/(4*$F58))))-fcd_bx*(1-MIN(1,MAX(0,$T58*(7*O$5-3*$F58)/(4*$F58)))^2)</f>
        <v/>
      </c>
      <c r="P58">
        <f>MAX(-fyd_bx,MIN(fyd_bx,200000*0.002*(1-$T58*(7*P$5-3*$F58)/(4*$F58))))-fcd_bx*(1-MIN(1,MAX(0,$T58*(7*P$5-3*$F58)/(4*$F58)))^2)</f>
        <v/>
      </c>
      <c r="Q58">
        <f>MAX(-fyd_bx,MIN(fyd_bx,200000*0.002*(1-$T58*(7*Q$5-3*$F58)/(4*$F58))))-fcd_bx*(1-MIN(1,MAX(0,$T58*(7*Q$5-3*$F58)/(4*$F58)))^2)</f>
        <v/>
      </c>
      <c r="R58">
        <f>MAX(-fyd_bx,MIN(fyd_bx,200000*0.002*(1-$T58*(7*R$5-3*$F58)/(4*$F58))))-fcd_bx*(1-MIN(1,MAX(0,$T58*(7*R$5-3*$F58)/(4*$F58)))^2)</f>
        <v/>
      </c>
      <c r="S58">
        <f>MAX(-fyd_bx,MIN(fyd_bx,200000*0.002*(1-$T58*(7*S$5-3*$F58)/(4*$F58))))-fcd_bx*(1-MIN(1,MAX(0,$T58*(7*S$5-3*$F58)/(4*$F58)))^2)</f>
        <v/>
      </c>
      <c r="T58">
        <f>MIN(1,2-(($C58+$D58)/2))</f>
        <v/>
      </c>
    </row>
    <row r="59">
      <c r="B59" s="52" t="n">
        <v>50</v>
      </c>
      <c r="C59" s="53">
        <f>IF($G58&lt;bx_N,($C58+$D58)/2,$C58)</f>
        <v/>
      </c>
      <c r="D59" s="53">
        <f>IF($G58&lt;bx_N,$D58,($C58+$D58)/2)</f>
        <v/>
      </c>
      <c r="E59" s="54">
        <f>IF($T59&gt;=1,$F59,3/7*bx_h+4/7*bx_h/MAX($T59,1E-12))</f>
        <v/>
      </c>
      <c r="F59" s="55">
        <f>bx_h*MIN((($C59+$D59)/2),1)</f>
        <v/>
      </c>
      <c r="G59" s="55">
        <f>(fcd_bx*bx_b*$F59*(3/7+4/7*(1-$T59^2/3))+SUMPRODUCT($J$6:$S$6,$J59:$S59))/1000</f>
        <v/>
      </c>
      <c r="H59" s="55">
        <f>(fcd_bx*bx_b*(3/14*$F59*(bx_h-3/7*$F59)+4/7*$F59*(bx_h/2-3/7*$F59)*(1-$T59^2/3)-16/49*$F59^2*(1/2-$T59^2/4))+SUMPRODUCT($J$6:$S$6,$J59:$S59,$J$7:$S$7))/1E6</f>
        <v/>
      </c>
      <c r="J59">
        <f>MAX(-fyd_bx,MIN(fyd_bx,200000*0.002*(1-$T59*(7*J$5-3*$F59)/(4*$F59))))-fcd_bx*(1-MIN(1,MAX(0,$T59*(7*J$5-3*$F59)/(4*$F59)))^2)</f>
        <v/>
      </c>
      <c r="K59">
        <f>MAX(-fyd_bx,MIN(fyd_bx,200000*0.002*(1-$T59*(7*K$5-3*$F59)/(4*$F59))))-fcd_bx*(1-MIN(1,MAX(0,$T59*(7*K$5-3*$F59)/(4*$F59)))^2)</f>
        <v/>
      </c>
      <c r="L59">
        <f>MAX(-fyd_bx,MIN(fyd_bx,200000*0.002*(1-$T59*(7*L$5-3*$F59)/(4*$F59))))-fcd_bx*(1-MIN(1,MAX(0,$T59*(7*L$5-3*$F59)/(4*$F59)))^2)</f>
        <v/>
      </c>
      <c r="M59">
        <f>MAX(-fyd_bx,MIN(fyd_bx,200000*0.002*(1-$T59*(7*M$5-3*$F59)/(4*$F59))))-fcd_bx*(1-MIN(1,MAX(0,$T59*(7*M$5-3*$F59)/(4*$F59)))^2)</f>
        <v/>
      </c>
      <c r="N59">
        <f>MAX(-fyd_bx,MIN(fyd_bx,200000*0.002*(1-$T59*(7*N$5-3*$F59)/(4*$F59))))-fcd_bx*(1-MIN(1,MAX(0,$T59*(7*N$5-3*$F59)/(4*$F59)))^2)</f>
        <v/>
      </c>
      <c r="O59">
        <f>MAX(-fyd_bx,MIN(fyd_bx,200000*0.002*(1-$T59*(7*O$5-3*$F59)/(4*$F59))))-fcd_bx*(1-MIN(1,MAX(0,$T59*(7*O$5-3*$F59)/(4*$F59)))^2)</f>
        <v/>
      </c>
      <c r="P59">
        <f>MAX(-fyd_bx,MIN(fyd_bx,200000*0.002*(1-$T59*(7*P$5-3*$F59)/(4*$F59))))-fcd_bx*(1-MIN(1,MAX(0,$T59*(7*P$5-3*$F59)/(4*$F59)))^2)</f>
        <v/>
      </c>
      <c r="Q59">
        <f>MAX(-fyd_bx,MIN(fyd_bx,200000*0.002*(1-$T59*(7*Q$5-3*$F59)/(4*$F59))))-fcd_bx*(1-MIN(1,MAX(0,$T59*(7*Q$5-3*$F59)/(4*$F59)))^2)</f>
        <v/>
      </c>
      <c r="R59">
        <f>MAX(-fyd_bx,MIN(fyd_bx,200000*0.002*(1-$T59*(7*R$5-3*$F59)/(4*$F59))))-fcd_bx*(1-MIN(1,MAX(0,$T59*(7*R$5-3*$F59)/(4*$F59)))^2)</f>
        <v/>
      </c>
      <c r="S59">
        <f>MAX(-fyd_bx,MIN(fyd_bx,200000*0.002*(1-$T59*(7*S$5-3*$F59)/(4*$F59))))-fcd_bx*(1-MIN(1,MAX(0,$T59*(7*S$5-3*$F59)/(4*$F59)))^2)</f>
        <v/>
      </c>
      <c r="T59">
        <f>MIN(1,2-(($C59+$D59)/2))</f>
        <v/>
      </c>
    </row>
    <row r="60">
      <c r="B60" s="52" t="n">
        <v>51</v>
      </c>
      <c r="C60" s="53">
        <f>IF($G59&lt;bx_N,($C59+$D59)/2,$C59)</f>
        <v/>
      </c>
      <c r="D60" s="53">
        <f>IF($G59&lt;bx_N,$D59,($C59+$D59)/2)</f>
        <v/>
      </c>
      <c r="E60" s="54">
        <f>IF($T60&gt;=1,$F60,3/7*bx_h+4/7*bx_h/MAX($T60,1E-12))</f>
        <v/>
      </c>
      <c r="F60" s="55">
        <f>bx_h*MIN((($C60+$D60)/2),1)</f>
        <v/>
      </c>
      <c r="G60" s="55">
        <f>(fcd_bx*bx_b*$F60*(3/7+4/7*(1-$T60^2/3))+SUMPRODUCT($J$6:$S$6,$J60:$S60))/1000</f>
        <v/>
      </c>
      <c r="H60" s="55">
        <f>(fcd_bx*bx_b*(3/14*$F60*(bx_h-3/7*$F60)+4/7*$F60*(bx_h/2-3/7*$F60)*(1-$T60^2/3)-16/49*$F60^2*(1/2-$T60^2/4))+SUMPRODUCT($J$6:$S$6,$J60:$S60,$J$7:$S$7))/1E6</f>
        <v/>
      </c>
      <c r="J60">
        <f>MAX(-fyd_bx,MIN(fyd_bx,200000*0.002*(1-$T60*(7*J$5-3*$F60)/(4*$F60))))-fcd_bx*(1-MIN(1,MAX(0,$T60*(7*J$5-3*$F60)/(4*$F60)))^2)</f>
        <v/>
      </c>
      <c r="K60">
        <f>MAX(-fyd_bx,MIN(fyd_bx,200000*0.002*(1-$T60*(7*K$5-3*$F60)/(4*$F60))))-fcd_bx*(1-MIN(1,MAX(0,$T60*(7*K$5-3*$F60)/(4*$F60)))^2)</f>
        <v/>
      </c>
      <c r="L60">
        <f>MAX(-fyd_bx,MIN(fyd_bx,200000*0.002*(1-$T60*(7*L$5-3*$F60)/(4*$F60))))-fcd_bx*(1-MIN(1,MAX(0,$T60*(7*L$5-3*$F60)/(4*$F60)))^2)</f>
        <v/>
      </c>
      <c r="M60">
        <f>MAX(-fyd_bx,MIN(fyd_bx,200000*0.002*(1-$T60*(7*M$5-3*$F60)/(4*$F60))))-fcd_bx*(1-MIN(1,MAX(0,$T60*(7*M$5-3*$F60)/(4*$F60)))^2)</f>
        <v/>
      </c>
      <c r="N60">
        <f>MAX(-fyd_bx,MIN(fyd_bx,200000*0.002*(1-$T60*(7*N$5-3*$F60)/(4*$F60))))-fcd_bx*(1-MIN(1,MAX(0,$T60*(7*N$5-3*$F60)/(4*$F60)))^2)</f>
        <v/>
      </c>
      <c r="O60">
        <f>MAX(-fyd_bx,MIN(fyd_bx,200000*0.002*(1-$T60*(7*O$5-3*$F60)/(4*$F60))))-fcd_bx*(1-MIN(1,MAX(0,$T60*(7*O$5-3*$F60)/(4*$F60)))^2)</f>
        <v/>
      </c>
      <c r="P60">
        <f>MAX(-fyd_bx,MIN(fyd_bx,200000*0.002*(1-$T60*(7*P$5-3*$F60)/(4*$F60))))-fcd_bx*(1-MIN(1,MAX(0,$T60*(7*P$5-3*$F60)/(4*$F60)))^2)</f>
        <v/>
      </c>
      <c r="Q60">
        <f>MAX(-fyd_bx,MIN(fyd_bx,200000*0.002*(1-$T60*(7*Q$5-3*$F60)/(4*$F60))))-fcd_bx*(1-MIN(1,MAX(0,$T60*(7*Q$5-3*$F60)/(4*$F60)))^2)</f>
        <v/>
      </c>
      <c r="R60">
        <f>MAX(-fyd_bx,MIN(fyd_bx,200000*0.002*(1-$T60*(7*R$5-3*$F60)/(4*$F60))))-fcd_bx*(1-MIN(1,MAX(0,$T60*(7*R$5-3*$F60)/(4*$F60)))^2)</f>
        <v/>
      </c>
      <c r="S60">
        <f>MAX(-fyd_bx,MIN(fyd_bx,200000*0.002*(1-$T60*(7*S$5-3*$F60)/(4*$F60))))-fcd_bx*(1-MIN(1,MAX(0,$T60*(7*S$5-3*$F60)/(4*$F60)))^2)</f>
        <v/>
      </c>
      <c r="T60">
        <f>MIN(1,2-(($C60+$D60)/2))</f>
        <v/>
      </c>
    </row>
    <row r="61">
      <c r="B61" s="52" t="n">
        <v>52</v>
      </c>
      <c r="C61" s="53">
        <f>IF($G60&lt;bx_N,($C60+$D60)/2,$C60)</f>
        <v/>
      </c>
      <c r="D61" s="53">
        <f>IF($G60&lt;bx_N,$D60,($C60+$D60)/2)</f>
        <v/>
      </c>
      <c r="E61" s="54">
        <f>IF($T61&gt;=1,$F61,3/7*bx_h+4/7*bx_h/MAX($T61,1E-12))</f>
        <v/>
      </c>
      <c r="F61" s="55">
        <f>bx_h*MIN((($C61+$D61)/2),1)</f>
        <v/>
      </c>
      <c r="G61" s="55">
        <f>(fcd_bx*bx_b*$F61*(3/7+4/7*(1-$T61^2/3))+SUMPRODUCT($J$6:$S$6,$J61:$S61))/1000</f>
        <v/>
      </c>
      <c r="H61" s="55">
        <f>(fcd_bx*bx_b*(3/14*$F61*(bx_h-3/7*$F61)+4/7*$F61*(bx_h/2-3/7*$F61)*(1-$T61^2/3)-16/49*$F61^2*(1/2-$T61^2/4))+SUMPRODUCT($J$6:$S$6,$J61:$S61,$J$7:$S$7))/1E6</f>
        <v/>
      </c>
      <c r="J61">
        <f>MAX(-fyd_bx,MIN(fyd_bx,200000*0.002*(1-$T61*(7*J$5-3*$F61)/(4*$F61))))-fcd_bx*(1-MIN(1,MAX(0,$T61*(7*J$5-3*$F61)/(4*$F61)))^2)</f>
        <v/>
      </c>
      <c r="K61">
        <f>MAX(-fyd_bx,MIN(fyd_bx,200000*0.002*(1-$T61*(7*K$5-3*$F61)/(4*$F61))))-fcd_bx*(1-MIN(1,MAX(0,$T61*(7*K$5-3*$F61)/(4*$F61)))^2)</f>
        <v/>
      </c>
      <c r="L61">
        <f>MAX(-fyd_bx,MIN(fyd_bx,200000*0.002*(1-$T61*(7*L$5-3*$F61)/(4*$F61))))-fcd_bx*(1-MIN(1,MAX(0,$T61*(7*L$5-3*$F61)/(4*$F61)))^2)</f>
        <v/>
      </c>
      <c r="M61">
        <f>MAX(-fyd_bx,MIN(fyd_bx,200000*0.002*(1-$T61*(7*M$5-3*$F61)/(4*$F61))))-fcd_bx*(1-MIN(1,MAX(0,$T61*(7*M$5-3*$F61)/(4*$F61)))^2)</f>
        <v/>
      </c>
      <c r="N61">
        <f>MAX(-fyd_bx,MIN(fyd_bx,200000*0.002*(1-$T61*(7*N$5-3*$F61)/(4*$F61))))-fcd_bx*(1-MIN(1,MAX(0,$T61*(7*N$5-3*$F61)/(4*$F61)))^2)</f>
        <v/>
      </c>
      <c r="O61">
        <f>MAX(-fyd_bx,MIN(fyd_bx,200000*0.002*(1-$T61*(7*O$5-3*$F61)/(4*$F61))))-fcd_bx*(1-MIN(1,MAX(0,$T61*(7*O$5-3*$F61)/(4*$F61)))^2)</f>
        <v/>
      </c>
      <c r="P61">
        <f>MAX(-fyd_bx,MIN(fyd_bx,200000*0.002*(1-$T61*(7*P$5-3*$F61)/(4*$F61))))-fcd_bx*(1-MIN(1,MAX(0,$T61*(7*P$5-3*$F61)/(4*$F61)))^2)</f>
        <v/>
      </c>
      <c r="Q61">
        <f>MAX(-fyd_bx,MIN(fyd_bx,200000*0.002*(1-$T61*(7*Q$5-3*$F61)/(4*$F61))))-fcd_bx*(1-MIN(1,MAX(0,$T61*(7*Q$5-3*$F61)/(4*$F61)))^2)</f>
        <v/>
      </c>
      <c r="R61">
        <f>MAX(-fyd_bx,MIN(fyd_bx,200000*0.002*(1-$T61*(7*R$5-3*$F61)/(4*$F61))))-fcd_bx*(1-MIN(1,MAX(0,$T61*(7*R$5-3*$F61)/(4*$F61)))^2)</f>
        <v/>
      </c>
      <c r="S61">
        <f>MAX(-fyd_bx,MIN(fyd_bx,200000*0.002*(1-$T61*(7*S$5-3*$F61)/(4*$F61))))-fcd_bx*(1-MIN(1,MAX(0,$T61*(7*S$5-3*$F61)/(4*$F61)))^2)</f>
        <v/>
      </c>
      <c r="T61">
        <f>MIN(1,2-(($C61+$D61)/2))</f>
        <v/>
      </c>
    </row>
    <row r="62">
      <c r="B62" s="52" t="n">
        <v>53</v>
      </c>
      <c r="C62" s="53">
        <f>IF($G61&lt;bx_N,($C61+$D61)/2,$C61)</f>
        <v/>
      </c>
      <c r="D62" s="53">
        <f>IF($G61&lt;bx_N,$D61,($C61+$D61)/2)</f>
        <v/>
      </c>
      <c r="E62" s="54">
        <f>IF($T62&gt;=1,$F62,3/7*bx_h+4/7*bx_h/MAX($T62,1E-12))</f>
        <v/>
      </c>
      <c r="F62" s="55">
        <f>bx_h*MIN((($C62+$D62)/2),1)</f>
        <v/>
      </c>
      <c r="G62" s="55">
        <f>(fcd_bx*bx_b*$F62*(3/7+4/7*(1-$T62^2/3))+SUMPRODUCT($J$6:$S$6,$J62:$S62))/1000</f>
        <v/>
      </c>
      <c r="H62" s="55">
        <f>(fcd_bx*bx_b*(3/14*$F62*(bx_h-3/7*$F62)+4/7*$F62*(bx_h/2-3/7*$F62)*(1-$T62^2/3)-16/49*$F62^2*(1/2-$T62^2/4))+SUMPRODUCT($J$6:$S$6,$J62:$S62,$J$7:$S$7))/1E6</f>
        <v/>
      </c>
      <c r="J62">
        <f>MAX(-fyd_bx,MIN(fyd_bx,200000*0.002*(1-$T62*(7*J$5-3*$F62)/(4*$F62))))-fcd_bx*(1-MIN(1,MAX(0,$T62*(7*J$5-3*$F62)/(4*$F62)))^2)</f>
        <v/>
      </c>
      <c r="K62">
        <f>MAX(-fyd_bx,MIN(fyd_bx,200000*0.002*(1-$T62*(7*K$5-3*$F62)/(4*$F62))))-fcd_bx*(1-MIN(1,MAX(0,$T62*(7*K$5-3*$F62)/(4*$F62)))^2)</f>
        <v/>
      </c>
      <c r="L62">
        <f>MAX(-fyd_bx,MIN(fyd_bx,200000*0.002*(1-$T62*(7*L$5-3*$F62)/(4*$F62))))-fcd_bx*(1-MIN(1,MAX(0,$T62*(7*L$5-3*$F62)/(4*$F62)))^2)</f>
        <v/>
      </c>
      <c r="M62">
        <f>MAX(-fyd_bx,MIN(fyd_bx,200000*0.002*(1-$T62*(7*M$5-3*$F62)/(4*$F62))))-fcd_bx*(1-MIN(1,MAX(0,$T62*(7*M$5-3*$F62)/(4*$F62)))^2)</f>
        <v/>
      </c>
      <c r="N62">
        <f>MAX(-fyd_bx,MIN(fyd_bx,200000*0.002*(1-$T62*(7*N$5-3*$F62)/(4*$F62))))-fcd_bx*(1-MIN(1,MAX(0,$T62*(7*N$5-3*$F62)/(4*$F62)))^2)</f>
        <v/>
      </c>
      <c r="O62">
        <f>MAX(-fyd_bx,MIN(fyd_bx,200000*0.002*(1-$T62*(7*O$5-3*$F62)/(4*$F62))))-fcd_bx*(1-MIN(1,MAX(0,$T62*(7*O$5-3*$F62)/(4*$F62)))^2)</f>
        <v/>
      </c>
      <c r="P62">
        <f>MAX(-fyd_bx,MIN(fyd_bx,200000*0.002*(1-$T62*(7*P$5-3*$F62)/(4*$F62))))-fcd_bx*(1-MIN(1,MAX(0,$T62*(7*P$5-3*$F62)/(4*$F62)))^2)</f>
        <v/>
      </c>
      <c r="Q62">
        <f>MAX(-fyd_bx,MIN(fyd_bx,200000*0.002*(1-$T62*(7*Q$5-3*$F62)/(4*$F62))))-fcd_bx*(1-MIN(1,MAX(0,$T62*(7*Q$5-3*$F62)/(4*$F62)))^2)</f>
        <v/>
      </c>
      <c r="R62">
        <f>MAX(-fyd_bx,MIN(fyd_bx,200000*0.002*(1-$T62*(7*R$5-3*$F62)/(4*$F62))))-fcd_bx*(1-MIN(1,MAX(0,$T62*(7*R$5-3*$F62)/(4*$F62)))^2)</f>
        <v/>
      </c>
      <c r="S62">
        <f>MAX(-fyd_bx,MIN(fyd_bx,200000*0.002*(1-$T62*(7*S$5-3*$F62)/(4*$F62))))-fcd_bx*(1-MIN(1,MAX(0,$T62*(7*S$5-3*$F62)/(4*$F62)))^2)</f>
        <v/>
      </c>
      <c r="T62">
        <f>MIN(1,2-(($C62+$D62)/2))</f>
        <v/>
      </c>
    </row>
    <row r="63">
      <c r="B63" s="52" t="n">
        <v>54</v>
      </c>
      <c r="C63" s="53">
        <f>IF($G62&lt;bx_N,($C62+$D62)/2,$C62)</f>
        <v/>
      </c>
      <c r="D63" s="53">
        <f>IF($G62&lt;bx_N,$D62,($C62+$D62)/2)</f>
        <v/>
      </c>
      <c r="E63" s="54">
        <f>IF($T63&gt;=1,$F63,3/7*bx_h+4/7*bx_h/MAX($T63,1E-12))</f>
        <v/>
      </c>
      <c r="F63" s="55">
        <f>bx_h*MIN((($C63+$D63)/2),1)</f>
        <v/>
      </c>
      <c r="G63" s="55">
        <f>(fcd_bx*bx_b*$F63*(3/7+4/7*(1-$T63^2/3))+SUMPRODUCT($J$6:$S$6,$J63:$S63))/1000</f>
        <v/>
      </c>
      <c r="H63" s="55">
        <f>(fcd_bx*bx_b*(3/14*$F63*(bx_h-3/7*$F63)+4/7*$F63*(bx_h/2-3/7*$F63)*(1-$T63^2/3)-16/49*$F63^2*(1/2-$T63^2/4))+SUMPRODUCT($J$6:$S$6,$J63:$S63,$J$7:$S$7))/1E6</f>
        <v/>
      </c>
      <c r="J63">
        <f>MAX(-fyd_bx,MIN(fyd_bx,200000*0.002*(1-$T63*(7*J$5-3*$F63)/(4*$F63))))-fcd_bx*(1-MIN(1,MAX(0,$T63*(7*J$5-3*$F63)/(4*$F63)))^2)</f>
        <v/>
      </c>
      <c r="K63">
        <f>MAX(-fyd_bx,MIN(fyd_bx,200000*0.002*(1-$T63*(7*K$5-3*$F63)/(4*$F63))))-fcd_bx*(1-MIN(1,MAX(0,$T63*(7*K$5-3*$F63)/(4*$F63)))^2)</f>
        <v/>
      </c>
      <c r="L63">
        <f>MAX(-fyd_bx,MIN(fyd_bx,200000*0.002*(1-$T63*(7*L$5-3*$F63)/(4*$F63))))-fcd_bx*(1-MIN(1,MAX(0,$T63*(7*L$5-3*$F63)/(4*$F63)))^2)</f>
        <v/>
      </c>
      <c r="M63">
        <f>MAX(-fyd_bx,MIN(fyd_bx,200000*0.002*(1-$T63*(7*M$5-3*$F63)/(4*$F63))))-fcd_bx*(1-MIN(1,MAX(0,$T63*(7*M$5-3*$F63)/(4*$F63)))^2)</f>
        <v/>
      </c>
      <c r="N63">
        <f>MAX(-fyd_bx,MIN(fyd_bx,200000*0.002*(1-$T63*(7*N$5-3*$F63)/(4*$F63))))-fcd_bx*(1-MIN(1,MAX(0,$T63*(7*N$5-3*$F63)/(4*$F63)))^2)</f>
        <v/>
      </c>
      <c r="O63">
        <f>MAX(-fyd_bx,MIN(fyd_bx,200000*0.002*(1-$T63*(7*O$5-3*$F63)/(4*$F63))))-fcd_bx*(1-MIN(1,MAX(0,$T63*(7*O$5-3*$F63)/(4*$F63)))^2)</f>
        <v/>
      </c>
      <c r="P63">
        <f>MAX(-fyd_bx,MIN(fyd_bx,200000*0.002*(1-$T63*(7*P$5-3*$F63)/(4*$F63))))-fcd_bx*(1-MIN(1,MAX(0,$T63*(7*P$5-3*$F63)/(4*$F63)))^2)</f>
        <v/>
      </c>
      <c r="Q63">
        <f>MAX(-fyd_bx,MIN(fyd_bx,200000*0.002*(1-$T63*(7*Q$5-3*$F63)/(4*$F63))))-fcd_bx*(1-MIN(1,MAX(0,$T63*(7*Q$5-3*$F63)/(4*$F63)))^2)</f>
        <v/>
      </c>
      <c r="R63">
        <f>MAX(-fyd_bx,MIN(fyd_bx,200000*0.002*(1-$T63*(7*R$5-3*$F63)/(4*$F63))))-fcd_bx*(1-MIN(1,MAX(0,$T63*(7*R$5-3*$F63)/(4*$F63)))^2)</f>
        <v/>
      </c>
      <c r="S63">
        <f>MAX(-fyd_bx,MIN(fyd_bx,200000*0.002*(1-$T63*(7*S$5-3*$F63)/(4*$F63))))-fcd_bx*(1-MIN(1,MAX(0,$T63*(7*S$5-3*$F63)/(4*$F63)))^2)</f>
        <v/>
      </c>
      <c r="T63">
        <f>MIN(1,2-(($C63+$D63)/2))</f>
        <v/>
      </c>
    </row>
    <row r="64">
      <c r="B64" s="52" t="n">
        <v>55</v>
      </c>
      <c r="C64" s="53">
        <f>IF($G63&lt;bx_N,($C63+$D63)/2,$C63)</f>
        <v/>
      </c>
      <c r="D64" s="53">
        <f>IF($G63&lt;bx_N,$D63,($C63+$D63)/2)</f>
        <v/>
      </c>
      <c r="E64" s="54">
        <f>IF($T64&gt;=1,$F64,3/7*bx_h+4/7*bx_h/MAX($T64,1E-12))</f>
        <v/>
      </c>
      <c r="F64" s="55">
        <f>bx_h*MIN((($C64+$D64)/2),1)</f>
        <v/>
      </c>
      <c r="G64" s="55">
        <f>(fcd_bx*bx_b*$F64*(3/7+4/7*(1-$T64^2/3))+SUMPRODUCT($J$6:$S$6,$J64:$S64))/1000</f>
        <v/>
      </c>
      <c r="H64" s="55">
        <f>(fcd_bx*bx_b*(3/14*$F64*(bx_h-3/7*$F64)+4/7*$F64*(bx_h/2-3/7*$F64)*(1-$T64^2/3)-16/49*$F64^2*(1/2-$T64^2/4))+SUMPRODUCT($J$6:$S$6,$J64:$S64,$J$7:$S$7))/1E6</f>
        <v/>
      </c>
      <c r="J64">
        <f>MAX(-fyd_bx,MIN(fyd_bx,200000*0.002*(1-$T64*(7*J$5-3*$F64)/(4*$F64))))-fcd_bx*(1-MIN(1,MAX(0,$T64*(7*J$5-3*$F64)/(4*$F64)))^2)</f>
        <v/>
      </c>
      <c r="K64">
        <f>MAX(-fyd_bx,MIN(fyd_bx,200000*0.002*(1-$T64*(7*K$5-3*$F64)/(4*$F64))))-fcd_bx*(1-MIN(1,MAX(0,$T64*(7*K$5-3*$F64)/(4*$F64)))^2)</f>
        <v/>
      </c>
      <c r="L64">
        <f>MAX(-fyd_bx,MIN(fyd_bx,200000*0.002*(1-$T64*(7*L$5-3*$F64)/(4*$F64))))-fcd_bx*(1-MIN(1,MAX(0,$T64*(7*L$5-3*$F64)/(4*$F64)))^2)</f>
        <v/>
      </c>
      <c r="M64">
        <f>MAX(-fyd_bx,MIN(fyd_bx,200000*0.002*(1-$T64*(7*M$5-3*$F64)/(4*$F64))))-fcd_bx*(1-MIN(1,MAX(0,$T64*(7*M$5-3*$F64)/(4*$F64)))^2)</f>
        <v/>
      </c>
      <c r="N64">
        <f>MAX(-fyd_bx,MIN(fyd_bx,200000*0.002*(1-$T64*(7*N$5-3*$F64)/(4*$F64))))-fcd_bx*(1-MIN(1,MAX(0,$T64*(7*N$5-3*$F64)/(4*$F64)))^2)</f>
        <v/>
      </c>
      <c r="O64">
        <f>MAX(-fyd_bx,MIN(fyd_bx,200000*0.002*(1-$T64*(7*O$5-3*$F64)/(4*$F64))))-fcd_bx*(1-MIN(1,MAX(0,$T64*(7*O$5-3*$F64)/(4*$F64)))^2)</f>
        <v/>
      </c>
      <c r="P64">
        <f>MAX(-fyd_bx,MIN(fyd_bx,200000*0.002*(1-$T64*(7*P$5-3*$F64)/(4*$F64))))-fcd_bx*(1-MIN(1,MAX(0,$T64*(7*P$5-3*$F64)/(4*$F64)))^2)</f>
        <v/>
      </c>
      <c r="Q64">
        <f>MAX(-fyd_bx,MIN(fyd_bx,200000*0.002*(1-$T64*(7*Q$5-3*$F64)/(4*$F64))))-fcd_bx*(1-MIN(1,MAX(0,$T64*(7*Q$5-3*$F64)/(4*$F64)))^2)</f>
        <v/>
      </c>
      <c r="R64">
        <f>MAX(-fyd_bx,MIN(fyd_bx,200000*0.002*(1-$T64*(7*R$5-3*$F64)/(4*$F64))))-fcd_bx*(1-MIN(1,MAX(0,$T64*(7*R$5-3*$F64)/(4*$F64)))^2)</f>
        <v/>
      </c>
      <c r="S64">
        <f>MAX(-fyd_bx,MIN(fyd_bx,200000*0.002*(1-$T64*(7*S$5-3*$F64)/(4*$F64))))-fcd_bx*(1-MIN(1,MAX(0,$T64*(7*S$5-3*$F64)/(4*$F64)))^2)</f>
        <v/>
      </c>
      <c r="T64">
        <f>MIN(1,2-(($C64+$D64)/2))</f>
        <v/>
      </c>
    </row>
    <row r="65">
      <c r="B65" s="52" t="n">
        <v>56</v>
      </c>
      <c r="C65" s="53">
        <f>IF($G64&lt;bx_N,($C64+$D64)/2,$C64)</f>
        <v/>
      </c>
      <c r="D65" s="53">
        <f>IF($G64&lt;bx_N,$D64,($C64+$D64)/2)</f>
        <v/>
      </c>
      <c r="E65" s="54">
        <f>IF($T65&gt;=1,$F65,3/7*bx_h+4/7*bx_h/MAX($T65,1E-12))</f>
        <v/>
      </c>
      <c r="F65" s="55">
        <f>bx_h*MIN((($C65+$D65)/2),1)</f>
        <v/>
      </c>
      <c r="G65" s="55">
        <f>(fcd_bx*bx_b*$F65*(3/7+4/7*(1-$T65^2/3))+SUMPRODUCT($J$6:$S$6,$J65:$S65))/1000</f>
        <v/>
      </c>
      <c r="H65" s="55">
        <f>(fcd_bx*bx_b*(3/14*$F65*(bx_h-3/7*$F65)+4/7*$F65*(bx_h/2-3/7*$F65)*(1-$T65^2/3)-16/49*$F65^2*(1/2-$T65^2/4))+SUMPRODUCT($J$6:$S$6,$J65:$S65,$J$7:$S$7))/1E6</f>
        <v/>
      </c>
      <c r="J65">
        <f>MAX(-fyd_bx,MIN(fyd_bx,200000*0.002*(1-$T65*(7*J$5-3*$F65)/(4*$F65))))-fcd_bx*(1-MIN(1,MAX(0,$T65*(7*J$5-3*$F65)/(4*$F65)))^2)</f>
        <v/>
      </c>
      <c r="K65">
        <f>MAX(-fyd_bx,MIN(fyd_bx,200000*0.002*(1-$T65*(7*K$5-3*$F65)/(4*$F65))))-fcd_bx*(1-MIN(1,MAX(0,$T65*(7*K$5-3*$F65)/(4*$F65)))^2)</f>
        <v/>
      </c>
      <c r="L65">
        <f>MAX(-fyd_bx,MIN(fyd_bx,200000*0.002*(1-$T65*(7*L$5-3*$F65)/(4*$F65))))-fcd_bx*(1-MIN(1,MAX(0,$T65*(7*L$5-3*$F65)/(4*$F65)))^2)</f>
        <v/>
      </c>
      <c r="M65">
        <f>MAX(-fyd_bx,MIN(fyd_bx,200000*0.002*(1-$T65*(7*M$5-3*$F65)/(4*$F65))))-fcd_bx*(1-MIN(1,MAX(0,$T65*(7*M$5-3*$F65)/(4*$F65)))^2)</f>
        <v/>
      </c>
      <c r="N65">
        <f>MAX(-fyd_bx,MIN(fyd_bx,200000*0.002*(1-$T65*(7*N$5-3*$F65)/(4*$F65))))-fcd_bx*(1-MIN(1,MAX(0,$T65*(7*N$5-3*$F65)/(4*$F65)))^2)</f>
        <v/>
      </c>
      <c r="O65">
        <f>MAX(-fyd_bx,MIN(fyd_bx,200000*0.002*(1-$T65*(7*O$5-3*$F65)/(4*$F65))))-fcd_bx*(1-MIN(1,MAX(0,$T65*(7*O$5-3*$F65)/(4*$F65)))^2)</f>
        <v/>
      </c>
      <c r="P65">
        <f>MAX(-fyd_bx,MIN(fyd_bx,200000*0.002*(1-$T65*(7*P$5-3*$F65)/(4*$F65))))-fcd_bx*(1-MIN(1,MAX(0,$T65*(7*P$5-3*$F65)/(4*$F65)))^2)</f>
        <v/>
      </c>
      <c r="Q65">
        <f>MAX(-fyd_bx,MIN(fyd_bx,200000*0.002*(1-$T65*(7*Q$5-3*$F65)/(4*$F65))))-fcd_bx*(1-MIN(1,MAX(0,$T65*(7*Q$5-3*$F65)/(4*$F65)))^2)</f>
        <v/>
      </c>
      <c r="R65">
        <f>MAX(-fyd_bx,MIN(fyd_bx,200000*0.002*(1-$T65*(7*R$5-3*$F65)/(4*$F65))))-fcd_bx*(1-MIN(1,MAX(0,$T65*(7*R$5-3*$F65)/(4*$F65)))^2)</f>
        <v/>
      </c>
      <c r="S65">
        <f>MAX(-fyd_bx,MIN(fyd_bx,200000*0.002*(1-$T65*(7*S$5-3*$F65)/(4*$F65))))-fcd_bx*(1-MIN(1,MAX(0,$T65*(7*S$5-3*$F65)/(4*$F65)))^2)</f>
        <v/>
      </c>
      <c r="T65">
        <f>MIN(1,2-(($C65+$D65)/2))</f>
        <v/>
      </c>
    </row>
    <row r="66">
      <c r="B66" s="52" t="n">
        <v>57</v>
      </c>
      <c r="C66" s="53">
        <f>IF($G65&lt;bx_N,($C65+$D65)/2,$C65)</f>
        <v/>
      </c>
      <c r="D66" s="53">
        <f>IF($G65&lt;bx_N,$D65,($C65+$D65)/2)</f>
        <v/>
      </c>
      <c r="E66" s="54">
        <f>IF($T66&gt;=1,$F66,3/7*bx_h+4/7*bx_h/MAX($T66,1E-12))</f>
        <v/>
      </c>
      <c r="F66" s="55">
        <f>bx_h*MIN((($C66+$D66)/2),1)</f>
        <v/>
      </c>
      <c r="G66" s="55">
        <f>(fcd_bx*bx_b*$F66*(3/7+4/7*(1-$T66^2/3))+SUMPRODUCT($J$6:$S$6,$J66:$S66))/1000</f>
        <v/>
      </c>
      <c r="H66" s="55">
        <f>(fcd_bx*bx_b*(3/14*$F66*(bx_h-3/7*$F66)+4/7*$F66*(bx_h/2-3/7*$F66)*(1-$T66^2/3)-16/49*$F66^2*(1/2-$T66^2/4))+SUMPRODUCT($J$6:$S$6,$J66:$S66,$J$7:$S$7))/1E6</f>
        <v/>
      </c>
      <c r="J66">
        <f>MAX(-fyd_bx,MIN(fyd_bx,200000*0.002*(1-$T66*(7*J$5-3*$F66)/(4*$F66))))-fcd_bx*(1-MIN(1,MAX(0,$T66*(7*J$5-3*$F66)/(4*$F66)))^2)</f>
        <v/>
      </c>
      <c r="K66">
        <f>MAX(-fyd_bx,MIN(fyd_bx,200000*0.002*(1-$T66*(7*K$5-3*$F66)/(4*$F66))))-fcd_bx*(1-MIN(1,MAX(0,$T66*(7*K$5-3*$F66)/(4*$F66)))^2)</f>
        <v/>
      </c>
      <c r="L66">
        <f>MAX(-fyd_bx,MIN(fyd_bx,200000*0.002*(1-$T66*(7*L$5-3*$F66)/(4*$F66))))-fcd_bx*(1-MIN(1,MAX(0,$T66*(7*L$5-3*$F66)/(4*$F66)))^2)</f>
        <v/>
      </c>
      <c r="M66">
        <f>MAX(-fyd_bx,MIN(fyd_bx,200000*0.002*(1-$T66*(7*M$5-3*$F66)/(4*$F66))))-fcd_bx*(1-MIN(1,MAX(0,$T66*(7*M$5-3*$F66)/(4*$F66)))^2)</f>
        <v/>
      </c>
      <c r="N66">
        <f>MAX(-fyd_bx,MIN(fyd_bx,200000*0.002*(1-$T66*(7*N$5-3*$F66)/(4*$F66))))-fcd_bx*(1-MIN(1,MAX(0,$T66*(7*N$5-3*$F66)/(4*$F66)))^2)</f>
        <v/>
      </c>
      <c r="O66">
        <f>MAX(-fyd_bx,MIN(fyd_bx,200000*0.002*(1-$T66*(7*O$5-3*$F66)/(4*$F66))))-fcd_bx*(1-MIN(1,MAX(0,$T66*(7*O$5-3*$F66)/(4*$F66)))^2)</f>
        <v/>
      </c>
      <c r="P66">
        <f>MAX(-fyd_bx,MIN(fyd_bx,200000*0.002*(1-$T66*(7*P$5-3*$F66)/(4*$F66))))-fcd_bx*(1-MIN(1,MAX(0,$T66*(7*P$5-3*$F66)/(4*$F66)))^2)</f>
        <v/>
      </c>
      <c r="Q66">
        <f>MAX(-fyd_bx,MIN(fyd_bx,200000*0.002*(1-$T66*(7*Q$5-3*$F66)/(4*$F66))))-fcd_bx*(1-MIN(1,MAX(0,$T66*(7*Q$5-3*$F66)/(4*$F66)))^2)</f>
        <v/>
      </c>
      <c r="R66">
        <f>MAX(-fyd_bx,MIN(fyd_bx,200000*0.002*(1-$T66*(7*R$5-3*$F66)/(4*$F66))))-fcd_bx*(1-MIN(1,MAX(0,$T66*(7*R$5-3*$F66)/(4*$F66)))^2)</f>
        <v/>
      </c>
      <c r="S66">
        <f>MAX(-fyd_bx,MIN(fyd_bx,200000*0.002*(1-$T66*(7*S$5-3*$F66)/(4*$F66))))-fcd_bx*(1-MIN(1,MAX(0,$T66*(7*S$5-3*$F66)/(4*$F66)))^2)</f>
        <v/>
      </c>
      <c r="T66">
        <f>MIN(1,2-(($C66+$D66)/2))</f>
        <v/>
      </c>
    </row>
    <row r="67">
      <c r="B67" s="52" t="n">
        <v>58</v>
      </c>
      <c r="C67" s="53">
        <f>IF($G66&lt;bx_N,($C66+$D66)/2,$C66)</f>
        <v/>
      </c>
      <c r="D67" s="53">
        <f>IF($G66&lt;bx_N,$D66,($C66+$D66)/2)</f>
        <v/>
      </c>
      <c r="E67" s="54">
        <f>IF($T67&gt;=1,$F67,3/7*bx_h+4/7*bx_h/MAX($T67,1E-12))</f>
        <v/>
      </c>
      <c r="F67" s="55">
        <f>bx_h*MIN((($C67+$D67)/2),1)</f>
        <v/>
      </c>
      <c r="G67" s="55">
        <f>(fcd_bx*bx_b*$F67*(3/7+4/7*(1-$T67^2/3))+SUMPRODUCT($J$6:$S$6,$J67:$S67))/1000</f>
        <v/>
      </c>
      <c r="H67" s="55">
        <f>(fcd_bx*bx_b*(3/14*$F67*(bx_h-3/7*$F67)+4/7*$F67*(bx_h/2-3/7*$F67)*(1-$T67^2/3)-16/49*$F67^2*(1/2-$T67^2/4))+SUMPRODUCT($J$6:$S$6,$J67:$S67,$J$7:$S$7))/1E6</f>
        <v/>
      </c>
      <c r="J67">
        <f>MAX(-fyd_bx,MIN(fyd_bx,200000*0.002*(1-$T67*(7*J$5-3*$F67)/(4*$F67))))-fcd_bx*(1-MIN(1,MAX(0,$T67*(7*J$5-3*$F67)/(4*$F67)))^2)</f>
        <v/>
      </c>
      <c r="K67">
        <f>MAX(-fyd_bx,MIN(fyd_bx,200000*0.002*(1-$T67*(7*K$5-3*$F67)/(4*$F67))))-fcd_bx*(1-MIN(1,MAX(0,$T67*(7*K$5-3*$F67)/(4*$F67)))^2)</f>
        <v/>
      </c>
      <c r="L67">
        <f>MAX(-fyd_bx,MIN(fyd_bx,200000*0.002*(1-$T67*(7*L$5-3*$F67)/(4*$F67))))-fcd_bx*(1-MIN(1,MAX(0,$T67*(7*L$5-3*$F67)/(4*$F67)))^2)</f>
        <v/>
      </c>
      <c r="M67">
        <f>MAX(-fyd_bx,MIN(fyd_bx,200000*0.002*(1-$T67*(7*M$5-3*$F67)/(4*$F67))))-fcd_bx*(1-MIN(1,MAX(0,$T67*(7*M$5-3*$F67)/(4*$F67)))^2)</f>
        <v/>
      </c>
      <c r="N67">
        <f>MAX(-fyd_bx,MIN(fyd_bx,200000*0.002*(1-$T67*(7*N$5-3*$F67)/(4*$F67))))-fcd_bx*(1-MIN(1,MAX(0,$T67*(7*N$5-3*$F67)/(4*$F67)))^2)</f>
        <v/>
      </c>
      <c r="O67">
        <f>MAX(-fyd_bx,MIN(fyd_bx,200000*0.002*(1-$T67*(7*O$5-3*$F67)/(4*$F67))))-fcd_bx*(1-MIN(1,MAX(0,$T67*(7*O$5-3*$F67)/(4*$F67)))^2)</f>
        <v/>
      </c>
      <c r="P67">
        <f>MAX(-fyd_bx,MIN(fyd_bx,200000*0.002*(1-$T67*(7*P$5-3*$F67)/(4*$F67))))-fcd_bx*(1-MIN(1,MAX(0,$T67*(7*P$5-3*$F67)/(4*$F67)))^2)</f>
        <v/>
      </c>
      <c r="Q67">
        <f>MAX(-fyd_bx,MIN(fyd_bx,200000*0.002*(1-$T67*(7*Q$5-3*$F67)/(4*$F67))))-fcd_bx*(1-MIN(1,MAX(0,$T67*(7*Q$5-3*$F67)/(4*$F67)))^2)</f>
        <v/>
      </c>
      <c r="R67">
        <f>MAX(-fyd_bx,MIN(fyd_bx,200000*0.002*(1-$T67*(7*R$5-3*$F67)/(4*$F67))))-fcd_bx*(1-MIN(1,MAX(0,$T67*(7*R$5-3*$F67)/(4*$F67)))^2)</f>
        <v/>
      </c>
      <c r="S67">
        <f>MAX(-fyd_bx,MIN(fyd_bx,200000*0.002*(1-$T67*(7*S$5-3*$F67)/(4*$F67))))-fcd_bx*(1-MIN(1,MAX(0,$T67*(7*S$5-3*$F67)/(4*$F67)))^2)</f>
        <v/>
      </c>
      <c r="T67">
        <f>MIN(1,2-(($C67+$D67)/2))</f>
        <v/>
      </c>
    </row>
    <row r="68">
      <c r="B68" s="52" t="n">
        <v>59</v>
      </c>
      <c r="C68" s="53">
        <f>IF($G67&lt;bx_N,($C67+$D67)/2,$C67)</f>
        <v/>
      </c>
      <c r="D68" s="53">
        <f>IF($G67&lt;bx_N,$D67,($C67+$D67)/2)</f>
        <v/>
      </c>
      <c r="E68" s="54">
        <f>IF($T68&gt;=1,$F68,3/7*bx_h+4/7*bx_h/MAX($T68,1E-12))</f>
        <v/>
      </c>
      <c r="F68" s="55">
        <f>bx_h*MIN((($C68+$D68)/2),1)</f>
        <v/>
      </c>
      <c r="G68" s="55">
        <f>(fcd_bx*bx_b*$F68*(3/7+4/7*(1-$T68^2/3))+SUMPRODUCT($J$6:$S$6,$J68:$S68))/1000</f>
        <v/>
      </c>
      <c r="H68" s="55">
        <f>(fcd_bx*bx_b*(3/14*$F68*(bx_h-3/7*$F68)+4/7*$F68*(bx_h/2-3/7*$F68)*(1-$T68^2/3)-16/49*$F68^2*(1/2-$T68^2/4))+SUMPRODUCT($J$6:$S$6,$J68:$S68,$J$7:$S$7))/1E6</f>
        <v/>
      </c>
      <c r="J68">
        <f>MAX(-fyd_bx,MIN(fyd_bx,200000*0.002*(1-$T68*(7*J$5-3*$F68)/(4*$F68))))-fcd_bx*(1-MIN(1,MAX(0,$T68*(7*J$5-3*$F68)/(4*$F68)))^2)</f>
        <v/>
      </c>
      <c r="K68">
        <f>MAX(-fyd_bx,MIN(fyd_bx,200000*0.002*(1-$T68*(7*K$5-3*$F68)/(4*$F68))))-fcd_bx*(1-MIN(1,MAX(0,$T68*(7*K$5-3*$F68)/(4*$F68)))^2)</f>
        <v/>
      </c>
      <c r="L68">
        <f>MAX(-fyd_bx,MIN(fyd_bx,200000*0.002*(1-$T68*(7*L$5-3*$F68)/(4*$F68))))-fcd_bx*(1-MIN(1,MAX(0,$T68*(7*L$5-3*$F68)/(4*$F68)))^2)</f>
        <v/>
      </c>
      <c r="M68">
        <f>MAX(-fyd_bx,MIN(fyd_bx,200000*0.002*(1-$T68*(7*M$5-3*$F68)/(4*$F68))))-fcd_bx*(1-MIN(1,MAX(0,$T68*(7*M$5-3*$F68)/(4*$F68)))^2)</f>
        <v/>
      </c>
      <c r="N68">
        <f>MAX(-fyd_bx,MIN(fyd_bx,200000*0.002*(1-$T68*(7*N$5-3*$F68)/(4*$F68))))-fcd_bx*(1-MIN(1,MAX(0,$T68*(7*N$5-3*$F68)/(4*$F68)))^2)</f>
        <v/>
      </c>
      <c r="O68">
        <f>MAX(-fyd_bx,MIN(fyd_bx,200000*0.002*(1-$T68*(7*O$5-3*$F68)/(4*$F68))))-fcd_bx*(1-MIN(1,MAX(0,$T68*(7*O$5-3*$F68)/(4*$F68)))^2)</f>
        <v/>
      </c>
      <c r="P68">
        <f>MAX(-fyd_bx,MIN(fyd_bx,200000*0.002*(1-$T68*(7*P$5-3*$F68)/(4*$F68))))-fcd_bx*(1-MIN(1,MAX(0,$T68*(7*P$5-3*$F68)/(4*$F68)))^2)</f>
        <v/>
      </c>
      <c r="Q68">
        <f>MAX(-fyd_bx,MIN(fyd_bx,200000*0.002*(1-$T68*(7*Q$5-3*$F68)/(4*$F68))))-fcd_bx*(1-MIN(1,MAX(0,$T68*(7*Q$5-3*$F68)/(4*$F68)))^2)</f>
        <v/>
      </c>
      <c r="R68">
        <f>MAX(-fyd_bx,MIN(fyd_bx,200000*0.002*(1-$T68*(7*R$5-3*$F68)/(4*$F68))))-fcd_bx*(1-MIN(1,MAX(0,$T68*(7*R$5-3*$F68)/(4*$F68)))^2)</f>
        <v/>
      </c>
      <c r="S68">
        <f>MAX(-fyd_bx,MIN(fyd_bx,200000*0.002*(1-$T68*(7*S$5-3*$F68)/(4*$F68))))-fcd_bx*(1-MIN(1,MAX(0,$T68*(7*S$5-3*$F68)/(4*$F68)))^2)</f>
        <v/>
      </c>
      <c r="T68">
        <f>MIN(1,2-(($C68+$D68)/2))</f>
        <v/>
      </c>
    </row>
    <row r="69">
      <c r="B69" s="52" t="n">
        <v>60</v>
      </c>
      <c r="C69" s="53">
        <f>IF($G68&lt;bx_N,($C68+$D68)/2,$C68)</f>
        <v/>
      </c>
      <c r="D69" s="53">
        <f>IF($G68&lt;bx_N,$D68,($C68+$D68)/2)</f>
        <v/>
      </c>
      <c r="E69" s="54">
        <f>IF($T69&gt;=1,$F69,3/7*bx_h+4/7*bx_h/MAX($T69,1E-12))</f>
        <v/>
      </c>
      <c r="F69" s="55">
        <f>bx_h*MIN((($C69+$D69)/2),1)</f>
        <v/>
      </c>
      <c r="G69" s="55">
        <f>(fcd_bx*bx_b*$F69*(3/7+4/7*(1-$T69^2/3))+SUMPRODUCT($J$6:$S$6,$J69:$S69))/1000</f>
        <v/>
      </c>
      <c r="H69" s="55">
        <f>(fcd_bx*bx_b*(3/14*$F69*(bx_h-3/7*$F69)+4/7*$F69*(bx_h/2-3/7*$F69)*(1-$T69^2/3)-16/49*$F69^2*(1/2-$T69^2/4))+SUMPRODUCT($J$6:$S$6,$J69:$S69,$J$7:$S$7))/1E6</f>
        <v/>
      </c>
      <c r="J69">
        <f>MAX(-fyd_bx,MIN(fyd_bx,200000*0.002*(1-$T69*(7*J$5-3*$F69)/(4*$F69))))-fcd_bx*(1-MIN(1,MAX(0,$T69*(7*J$5-3*$F69)/(4*$F69)))^2)</f>
        <v/>
      </c>
      <c r="K69">
        <f>MAX(-fyd_bx,MIN(fyd_bx,200000*0.002*(1-$T69*(7*K$5-3*$F69)/(4*$F69))))-fcd_bx*(1-MIN(1,MAX(0,$T69*(7*K$5-3*$F69)/(4*$F69)))^2)</f>
        <v/>
      </c>
      <c r="L69">
        <f>MAX(-fyd_bx,MIN(fyd_bx,200000*0.002*(1-$T69*(7*L$5-3*$F69)/(4*$F69))))-fcd_bx*(1-MIN(1,MAX(0,$T69*(7*L$5-3*$F69)/(4*$F69)))^2)</f>
        <v/>
      </c>
      <c r="M69">
        <f>MAX(-fyd_bx,MIN(fyd_bx,200000*0.002*(1-$T69*(7*M$5-3*$F69)/(4*$F69))))-fcd_bx*(1-MIN(1,MAX(0,$T69*(7*M$5-3*$F69)/(4*$F69)))^2)</f>
        <v/>
      </c>
      <c r="N69">
        <f>MAX(-fyd_bx,MIN(fyd_bx,200000*0.002*(1-$T69*(7*N$5-3*$F69)/(4*$F69))))-fcd_bx*(1-MIN(1,MAX(0,$T69*(7*N$5-3*$F69)/(4*$F69)))^2)</f>
        <v/>
      </c>
      <c r="O69">
        <f>MAX(-fyd_bx,MIN(fyd_bx,200000*0.002*(1-$T69*(7*O$5-3*$F69)/(4*$F69))))-fcd_bx*(1-MIN(1,MAX(0,$T69*(7*O$5-3*$F69)/(4*$F69)))^2)</f>
        <v/>
      </c>
      <c r="P69">
        <f>MAX(-fyd_bx,MIN(fyd_bx,200000*0.002*(1-$T69*(7*P$5-3*$F69)/(4*$F69))))-fcd_bx*(1-MIN(1,MAX(0,$T69*(7*P$5-3*$F69)/(4*$F69)))^2)</f>
        <v/>
      </c>
      <c r="Q69">
        <f>MAX(-fyd_bx,MIN(fyd_bx,200000*0.002*(1-$T69*(7*Q$5-3*$F69)/(4*$F69))))-fcd_bx*(1-MIN(1,MAX(0,$T69*(7*Q$5-3*$F69)/(4*$F69)))^2)</f>
        <v/>
      </c>
      <c r="R69">
        <f>MAX(-fyd_bx,MIN(fyd_bx,200000*0.002*(1-$T69*(7*R$5-3*$F69)/(4*$F69))))-fcd_bx*(1-MIN(1,MAX(0,$T69*(7*R$5-3*$F69)/(4*$F69)))^2)</f>
        <v/>
      </c>
      <c r="S69">
        <f>MAX(-fyd_bx,MIN(fyd_bx,200000*0.002*(1-$T69*(7*S$5-3*$F69)/(4*$F69))))-fcd_bx*(1-MIN(1,MAX(0,$T69*(7*S$5-3*$F69)/(4*$F69)))^2)</f>
        <v/>
      </c>
      <c r="T69">
        <f>MIN(1,2-(($C69+$D69)/2))</f>
        <v/>
      </c>
    </row>
    <row r="72">
      <c r="B72" s="50" t="inlineStr">
        <is>
          <t>Bending in the plane of b</t>
        </is>
      </c>
      <c r="J72">
        <f>IF(1&lt;=bx_nb,d1_bx+(1-1)*(bx_b-2*d1_bx)/(bx_nb-1),bx_b/2)</f>
        <v/>
      </c>
      <c r="K72">
        <f>IF(2&lt;=bx_nb,d1_bx+(2-1)*(bx_b-2*d1_bx)/(bx_nb-1),bx_b/2)</f>
        <v/>
      </c>
      <c r="L72">
        <f>IF(3&lt;=bx_nb,d1_bx+(3-1)*(bx_b-2*d1_bx)/(bx_nb-1),bx_b/2)</f>
        <v/>
      </c>
      <c r="M72">
        <f>IF(4&lt;=bx_nb,d1_bx+(4-1)*(bx_b-2*d1_bx)/(bx_nb-1),bx_b/2)</f>
        <v/>
      </c>
      <c r="N72">
        <f>IF(5&lt;=bx_nb,d1_bx+(5-1)*(bx_b-2*d1_bx)/(bx_nb-1),bx_b/2)</f>
        <v/>
      </c>
      <c r="O72">
        <f>IF(6&lt;=bx_nb,d1_bx+(6-1)*(bx_b-2*d1_bx)/(bx_nb-1),bx_b/2)</f>
        <v/>
      </c>
      <c r="P72">
        <f>IF(7&lt;=bx_nb,d1_bx+(7-1)*(bx_b-2*d1_bx)/(bx_nb-1),bx_b/2)</f>
        <v/>
      </c>
      <c r="Q72">
        <f>IF(8&lt;=bx_nb,d1_bx+(8-1)*(bx_b-2*d1_bx)/(bx_nb-1),bx_b/2)</f>
        <v/>
      </c>
      <c r="R72">
        <f>IF(9&lt;=bx_nb,d1_bx+(9-1)*(bx_b-2*d1_bx)/(bx_nb-1),bx_b/2)</f>
        <v/>
      </c>
      <c r="S72">
        <f>IF(10&lt;=bx_nb,d1_bx+(10-1)*(bx_b-2*d1_bx)/(bx_nb-1),bx_b/2)</f>
        <v/>
      </c>
    </row>
    <row r="73">
      <c r="J73">
        <f>IF(1&gt;bx_nb,0,IF(OR(1=1,1=bx_nb),bx_nh,2))*PI()*bx_phi^2/4</f>
        <v/>
      </c>
      <c r="K73">
        <f>IF(2&gt;bx_nb,0,IF(OR(2=1,2=bx_nb),bx_nh,2))*PI()*bx_phi^2/4</f>
        <v/>
      </c>
      <c r="L73">
        <f>IF(3&gt;bx_nb,0,IF(OR(3=1,3=bx_nb),bx_nh,2))*PI()*bx_phi^2/4</f>
        <v/>
      </c>
      <c r="M73">
        <f>IF(4&gt;bx_nb,0,IF(OR(4=1,4=bx_nb),bx_nh,2))*PI()*bx_phi^2/4</f>
        <v/>
      </c>
      <c r="N73">
        <f>IF(5&gt;bx_nb,0,IF(OR(5=1,5=bx_nb),bx_nh,2))*PI()*bx_phi^2/4</f>
        <v/>
      </c>
      <c r="O73">
        <f>IF(6&gt;bx_nb,0,IF(OR(6=1,6=bx_nb),bx_nh,2))*PI()*bx_phi^2/4</f>
        <v/>
      </c>
      <c r="P73">
        <f>IF(7&gt;bx_nb,0,IF(OR(7=1,7=bx_nb),bx_nh,2))*PI()*bx_phi^2/4</f>
        <v/>
      </c>
      <c r="Q73">
        <f>IF(8&gt;bx_nb,0,IF(OR(8=1,8=bx_nb),bx_nh,2))*PI()*bx_phi^2/4</f>
        <v/>
      </c>
      <c r="R73">
        <f>IF(9&gt;bx_nb,0,IF(OR(9=1,9=bx_nb),bx_nh,2))*PI()*bx_phi^2/4</f>
        <v/>
      </c>
      <c r="S73">
        <f>IF(10&gt;bx_nb,0,IF(OR(10=1,10=bx_nb),bx_nh,2))*PI()*bx_phi^2/4</f>
        <v/>
      </c>
    </row>
    <row r="74">
      <c r="J74">
        <f>bx_b/2-J72</f>
        <v/>
      </c>
      <c r="K74">
        <f>bx_b/2-K72</f>
        <v/>
      </c>
      <c r="L74">
        <f>bx_b/2-L72</f>
        <v/>
      </c>
      <c r="M74">
        <f>bx_b/2-M72</f>
        <v/>
      </c>
      <c r="N74">
        <f>bx_b/2-N72</f>
        <v/>
      </c>
      <c r="O74">
        <f>bx_b/2-O72</f>
        <v/>
      </c>
      <c r="P74">
        <f>bx_b/2-P72</f>
        <v/>
      </c>
      <c r="Q74">
        <f>bx_b/2-Q72</f>
        <v/>
      </c>
      <c r="R74">
        <f>bx_b/2-R72</f>
        <v/>
      </c>
      <c r="S74">
        <f>bx_b/2-S72</f>
        <v/>
      </c>
    </row>
    <row r="76">
      <c r="B76" s="51" t="inlineStr">
        <is>
          <t>step</t>
        </is>
      </c>
      <c r="C76" s="51" t="inlineStr">
        <is>
          <t>s low</t>
        </is>
      </c>
      <c r="D76" s="51" t="inlineStr">
        <is>
          <t>s high</t>
        </is>
      </c>
      <c r="E76" s="51" t="inlineStr">
        <is>
          <t>x (mm)</t>
        </is>
      </c>
      <c r="F76" s="51" t="inlineStr">
        <is>
          <t>zc (mm)</t>
        </is>
      </c>
      <c r="G76" s="51" t="inlineStr">
        <is>
          <t>N (kN)</t>
        </is>
      </c>
      <c r="H76" s="51" t="inlineStr">
        <is>
          <t>M (kNm)</t>
        </is>
      </c>
    </row>
    <row r="77">
      <c r="B77" s="52" t="n">
        <v>1</v>
      </c>
      <c r="C77" s="53" t="n">
        <v>0</v>
      </c>
      <c r="D77" s="53" t="n">
        <v>2</v>
      </c>
      <c r="E77" s="54">
        <f>IF($T77&gt;=1,$F77,3/7*bx_b+4/7*bx_b/MAX($T77,1E-12))</f>
        <v/>
      </c>
      <c r="F77" s="55">
        <f>bx_b*MIN((($C77+$D77)/2),1)</f>
        <v/>
      </c>
      <c r="G77" s="55">
        <f>(fcd_bx*bx_h*$F77*(3/7+4/7*(1-$T77^2/3))+SUMPRODUCT($J$73:$S$73,$J77:$S77))/1000</f>
        <v/>
      </c>
      <c r="H77" s="55">
        <f>(fcd_bx*bx_h*(3/14*$F77*(bx_b-3/7*$F77)+4/7*$F77*(bx_b/2-3/7*$F77)*(1-$T77^2/3)-16/49*$F77^2*(1/2-$T77^2/4))+SUMPRODUCT($J$73:$S$73,$J77:$S77,$J$74:$S$74))/1E6</f>
        <v/>
      </c>
      <c r="J77">
        <f>MAX(-fyd_bx,MIN(fyd_bx,200000*0.002*(1-$T77*(7*J$72-3*$F77)/(4*$F77))))-fcd_bx*(1-MIN(1,MAX(0,$T77*(7*J$72-3*$F77)/(4*$F77)))^2)</f>
        <v/>
      </c>
      <c r="K77">
        <f>MAX(-fyd_bx,MIN(fyd_bx,200000*0.002*(1-$T77*(7*K$72-3*$F77)/(4*$F77))))-fcd_bx*(1-MIN(1,MAX(0,$T77*(7*K$72-3*$F77)/(4*$F77)))^2)</f>
        <v/>
      </c>
      <c r="L77">
        <f>MAX(-fyd_bx,MIN(fyd_bx,200000*0.002*(1-$T77*(7*L$72-3*$F77)/(4*$F77))))-fcd_bx*(1-MIN(1,MAX(0,$T77*(7*L$72-3*$F77)/(4*$F77)))^2)</f>
        <v/>
      </c>
      <c r="M77">
        <f>MAX(-fyd_bx,MIN(fyd_bx,200000*0.002*(1-$T77*(7*M$72-3*$F77)/(4*$F77))))-fcd_bx*(1-MIN(1,MAX(0,$T77*(7*M$72-3*$F77)/(4*$F77)))^2)</f>
        <v/>
      </c>
      <c r="N77">
        <f>MAX(-fyd_bx,MIN(fyd_bx,200000*0.002*(1-$T77*(7*N$72-3*$F77)/(4*$F77))))-fcd_bx*(1-MIN(1,MAX(0,$T77*(7*N$72-3*$F77)/(4*$F77)))^2)</f>
        <v/>
      </c>
      <c r="O77">
        <f>MAX(-fyd_bx,MIN(fyd_bx,200000*0.002*(1-$T77*(7*O$72-3*$F77)/(4*$F77))))-fcd_bx*(1-MIN(1,MAX(0,$T77*(7*O$72-3*$F77)/(4*$F77)))^2)</f>
        <v/>
      </c>
      <c r="P77">
        <f>MAX(-fyd_bx,MIN(fyd_bx,200000*0.002*(1-$T77*(7*P$72-3*$F77)/(4*$F77))))-fcd_bx*(1-MIN(1,MAX(0,$T77*(7*P$72-3*$F77)/(4*$F77)))^2)</f>
        <v/>
      </c>
      <c r="Q77">
        <f>MAX(-fyd_bx,MIN(fyd_bx,200000*0.002*(1-$T77*(7*Q$72-3*$F77)/(4*$F77))))-fcd_bx*(1-MIN(1,MAX(0,$T77*(7*Q$72-3*$F77)/(4*$F77)))^2)</f>
        <v/>
      </c>
      <c r="R77">
        <f>MAX(-fyd_bx,MIN(fyd_bx,200000*0.002*(1-$T77*(7*R$72-3*$F77)/(4*$F77))))-fcd_bx*(1-MIN(1,MAX(0,$T77*(7*R$72-3*$F77)/(4*$F77)))^2)</f>
        <v/>
      </c>
      <c r="S77">
        <f>MAX(-fyd_bx,MIN(fyd_bx,200000*0.002*(1-$T77*(7*S$72-3*$F77)/(4*$F77))))-fcd_bx*(1-MIN(1,MAX(0,$T77*(7*S$72-3*$F77)/(4*$F77)))^2)</f>
        <v/>
      </c>
      <c r="T77">
        <f>MIN(1,2-(($C77+$D77)/2))</f>
        <v/>
      </c>
    </row>
    <row r="78">
      <c r="B78" s="52" t="n">
        <v>2</v>
      </c>
      <c r="C78" s="53">
        <f>IF($G77&lt;bx_N,($C77+$D77)/2,$C77)</f>
        <v/>
      </c>
      <c r="D78" s="53">
        <f>IF($G77&lt;bx_N,$D77,($C77+$D77)/2)</f>
        <v/>
      </c>
      <c r="E78" s="54">
        <f>IF($T78&gt;=1,$F78,3/7*bx_b+4/7*bx_b/MAX($T78,1E-12))</f>
        <v/>
      </c>
      <c r="F78" s="55">
        <f>bx_b*MIN((($C78+$D78)/2),1)</f>
        <v/>
      </c>
      <c r="G78" s="55">
        <f>(fcd_bx*bx_h*$F78*(3/7+4/7*(1-$T78^2/3))+SUMPRODUCT($J$73:$S$73,$J78:$S78))/1000</f>
        <v/>
      </c>
      <c r="H78" s="55">
        <f>(fcd_bx*bx_h*(3/14*$F78*(bx_b-3/7*$F78)+4/7*$F78*(bx_b/2-3/7*$F78)*(1-$T78^2/3)-16/49*$F78^2*(1/2-$T78^2/4))+SUMPRODUCT($J$73:$S$73,$J78:$S78,$J$74:$S$74))/1E6</f>
        <v/>
      </c>
      <c r="J78">
        <f>MAX(-fyd_bx,MIN(fyd_bx,200000*0.002*(1-$T78*(7*J$72-3*$F78)/(4*$F78))))-fcd_bx*(1-MIN(1,MAX(0,$T78*(7*J$72-3*$F78)/(4*$F78)))^2)</f>
        <v/>
      </c>
      <c r="K78">
        <f>MAX(-fyd_bx,MIN(fyd_bx,200000*0.002*(1-$T78*(7*K$72-3*$F78)/(4*$F78))))-fcd_bx*(1-MIN(1,MAX(0,$T78*(7*K$72-3*$F78)/(4*$F78)))^2)</f>
        <v/>
      </c>
      <c r="L78">
        <f>MAX(-fyd_bx,MIN(fyd_bx,200000*0.002*(1-$T78*(7*L$72-3*$F78)/(4*$F78))))-fcd_bx*(1-MIN(1,MAX(0,$T78*(7*L$72-3*$F78)/(4*$F78)))^2)</f>
        <v/>
      </c>
      <c r="M78">
        <f>MAX(-fyd_bx,MIN(fyd_bx,200000*0.002*(1-$T78*(7*M$72-3*$F78)/(4*$F78))))-fcd_bx*(1-MIN(1,MAX(0,$T78*(7*M$72-3*$F78)/(4*$F78)))^2)</f>
        <v/>
      </c>
      <c r="N78">
        <f>MAX(-fyd_bx,MIN(fyd_bx,200000*0.002*(1-$T78*(7*N$72-3*$F78)/(4*$F78))))-fcd_bx*(1-MIN(1,MAX(0,$T78*(7*N$72-3*$F78)/(4*$F78)))^2)</f>
        <v/>
      </c>
      <c r="O78">
        <f>MAX(-fyd_bx,MIN(fyd_bx,200000*0.002*(1-$T78*(7*O$72-3*$F78)/(4*$F78))))-fcd_bx*(1-MIN(1,MAX(0,$T78*(7*O$72-3*$F78)/(4*$F78)))^2)</f>
        <v/>
      </c>
      <c r="P78">
        <f>MAX(-fyd_bx,MIN(fyd_bx,200000*0.002*(1-$T78*(7*P$72-3*$F78)/(4*$F78))))-fcd_bx*(1-MIN(1,MAX(0,$T78*(7*P$72-3*$F78)/(4*$F78)))^2)</f>
        <v/>
      </c>
      <c r="Q78">
        <f>MAX(-fyd_bx,MIN(fyd_bx,200000*0.002*(1-$T78*(7*Q$72-3*$F78)/(4*$F78))))-fcd_bx*(1-MIN(1,MAX(0,$T78*(7*Q$72-3*$F78)/(4*$F78)))^2)</f>
        <v/>
      </c>
      <c r="R78">
        <f>MAX(-fyd_bx,MIN(fyd_bx,200000*0.002*(1-$T78*(7*R$72-3*$F78)/(4*$F78))))-fcd_bx*(1-MIN(1,MAX(0,$T78*(7*R$72-3*$F78)/(4*$F78)))^2)</f>
        <v/>
      </c>
      <c r="S78">
        <f>MAX(-fyd_bx,MIN(fyd_bx,200000*0.002*(1-$T78*(7*S$72-3*$F78)/(4*$F78))))-fcd_bx*(1-MIN(1,MAX(0,$T78*(7*S$72-3*$F78)/(4*$F78)))^2)</f>
        <v/>
      </c>
      <c r="T78">
        <f>MIN(1,2-(($C78+$D78)/2))</f>
        <v/>
      </c>
    </row>
    <row r="79">
      <c r="B79" s="52" t="n">
        <v>3</v>
      </c>
      <c r="C79" s="53">
        <f>IF($G78&lt;bx_N,($C78+$D78)/2,$C78)</f>
        <v/>
      </c>
      <c r="D79" s="53">
        <f>IF($G78&lt;bx_N,$D78,($C78+$D78)/2)</f>
        <v/>
      </c>
      <c r="E79" s="54">
        <f>IF($T79&gt;=1,$F79,3/7*bx_b+4/7*bx_b/MAX($T79,1E-12))</f>
        <v/>
      </c>
      <c r="F79" s="55">
        <f>bx_b*MIN((($C79+$D79)/2),1)</f>
        <v/>
      </c>
      <c r="G79" s="55">
        <f>(fcd_bx*bx_h*$F79*(3/7+4/7*(1-$T79^2/3))+SUMPRODUCT($J$73:$S$73,$J79:$S79))/1000</f>
        <v/>
      </c>
      <c r="H79" s="55">
        <f>(fcd_bx*bx_h*(3/14*$F79*(bx_b-3/7*$F79)+4/7*$F79*(bx_b/2-3/7*$F79)*(1-$T79^2/3)-16/49*$F79^2*(1/2-$T79^2/4))+SUMPRODUCT($J$73:$S$73,$J79:$S79,$J$74:$S$74))/1E6</f>
        <v/>
      </c>
      <c r="J79">
        <f>MAX(-fyd_bx,MIN(fyd_bx,200000*0.002*(1-$T79*(7*J$72-3*$F79)/(4*$F79))))-fcd_bx*(1-MIN(1,MAX(0,$T79*(7*J$72-3*$F79)/(4*$F79)))^2)</f>
        <v/>
      </c>
      <c r="K79">
        <f>MAX(-fyd_bx,MIN(fyd_bx,200000*0.002*(1-$T79*(7*K$72-3*$F79)/(4*$F79))))-fcd_bx*(1-MIN(1,MAX(0,$T79*(7*K$72-3*$F79)/(4*$F79)))^2)</f>
        <v/>
      </c>
      <c r="L79">
        <f>MAX(-fyd_bx,MIN(fyd_bx,200000*0.002*(1-$T79*(7*L$72-3*$F79)/(4*$F79))))-fcd_bx*(1-MIN(1,MAX(0,$T79*(7*L$72-3*$F79)/(4*$F79)))^2)</f>
        <v/>
      </c>
      <c r="M79">
        <f>MAX(-fyd_bx,MIN(fyd_bx,200000*0.002*(1-$T79*(7*M$72-3*$F79)/(4*$F79))))-fcd_bx*(1-MIN(1,MAX(0,$T79*(7*M$72-3*$F79)/(4*$F79)))^2)</f>
        <v/>
      </c>
      <c r="N79">
        <f>MAX(-fyd_bx,MIN(fyd_bx,200000*0.002*(1-$T79*(7*N$72-3*$F79)/(4*$F79))))-fcd_bx*(1-MIN(1,MAX(0,$T79*(7*N$72-3*$F79)/(4*$F79)))^2)</f>
        <v/>
      </c>
      <c r="O79">
        <f>MAX(-fyd_bx,MIN(fyd_bx,200000*0.002*(1-$T79*(7*O$72-3*$F79)/(4*$F79))))-fcd_bx*(1-MIN(1,MAX(0,$T79*(7*O$72-3*$F79)/(4*$F79)))^2)</f>
        <v/>
      </c>
      <c r="P79">
        <f>MAX(-fyd_bx,MIN(fyd_bx,200000*0.002*(1-$T79*(7*P$72-3*$F79)/(4*$F79))))-fcd_bx*(1-MIN(1,MAX(0,$T79*(7*P$72-3*$F79)/(4*$F79)))^2)</f>
        <v/>
      </c>
      <c r="Q79">
        <f>MAX(-fyd_bx,MIN(fyd_bx,200000*0.002*(1-$T79*(7*Q$72-3*$F79)/(4*$F79))))-fcd_bx*(1-MIN(1,MAX(0,$T79*(7*Q$72-3*$F79)/(4*$F79)))^2)</f>
        <v/>
      </c>
      <c r="R79">
        <f>MAX(-fyd_bx,MIN(fyd_bx,200000*0.002*(1-$T79*(7*R$72-3*$F79)/(4*$F79))))-fcd_bx*(1-MIN(1,MAX(0,$T79*(7*R$72-3*$F79)/(4*$F79)))^2)</f>
        <v/>
      </c>
      <c r="S79">
        <f>MAX(-fyd_bx,MIN(fyd_bx,200000*0.002*(1-$T79*(7*S$72-3*$F79)/(4*$F79))))-fcd_bx*(1-MIN(1,MAX(0,$T79*(7*S$72-3*$F79)/(4*$F79)))^2)</f>
        <v/>
      </c>
      <c r="T79">
        <f>MIN(1,2-(($C79+$D79)/2))</f>
        <v/>
      </c>
    </row>
    <row r="80">
      <c r="B80" s="52" t="n">
        <v>4</v>
      </c>
      <c r="C80" s="53">
        <f>IF($G79&lt;bx_N,($C79+$D79)/2,$C79)</f>
        <v/>
      </c>
      <c r="D80" s="53">
        <f>IF($G79&lt;bx_N,$D79,($C79+$D79)/2)</f>
        <v/>
      </c>
      <c r="E80" s="54">
        <f>IF($T80&gt;=1,$F80,3/7*bx_b+4/7*bx_b/MAX($T80,1E-12))</f>
        <v/>
      </c>
      <c r="F80" s="55">
        <f>bx_b*MIN((($C80+$D80)/2),1)</f>
        <v/>
      </c>
      <c r="G80" s="55">
        <f>(fcd_bx*bx_h*$F80*(3/7+4/7*(1-$T80^2/3))+SUMPRODUCT($J$73:$S$73,$J80:$S80))/1000</f>
        <v/>
      </c>
      <c r="H80" s="55">
        <f>(fcd_bx*bx_h*(3/14*$F80*(bx_b-3/7*$F80)+4/7*$F80*(bx_b/2-3/7*$F80)*(1-$T80^2/3)-16/49*$F80^2*(1/2-$T80^2/4))+SUMPRODUCT($J$73:$S$73,$J80:$S80,$J$74:$S$74))/1E6</f>
        <v/>
      </c>
      <c r="J80">
        <f>MAX(-fyd_bx,MIN(fyd_bx,200000*0.002*(1-$T80*(7*J$72-3*$F80)/(4*$F80))))-fcd_bx*(1-MIN(1,MAX(0,$T80*(7*J$72-3*$F80)/(4*$F80)))^2)</f>
        <v/>
      </c>
      <c r="K80">
        <f>MAX(-fyd_bx,MIN(fyd_bx,200000*0.002*(1-$T80*(7*K$72-3*$F80)/(4*$F80))))-fcd_bx*(1-MIN(1,MAX(0,$T80*(7*K$72-3*$F80)/(4*$F80)))^2)</f>
        <v/>
      </c>
      <c r="L80">
        <f>MAX(-fyd_bx,MIN(fyd_bx,200000*0.002*(1-$T80*(7*L$72-3*$F80)/(4*$F80))))-fcd_bx*(1-MIN(1,MAX(0,$T80*(7*L$72-3*$F80)/(4*$F80)))^2)</f>
        <v/>
      </c>
      <c r="M80">
        <f>MAX(-fyd_bx,MIN(fyd_bx,200000*0.002*(1-$T80*(7*M$72-3*$F80)/(4*$F80))))-fcd_bx*(1-MIN(1,MAX(0,$T80*(7*M$72-3*$F80)/(4*$F80)))^2)</f>
        <v/>
      </c>
      <c r="N80">
        <f>MAX(-fyd_bx,MIN(fyd_bx,200000*0.002*(1-$T80*(7*N$72-3*$F80)/(4*$F80))))-fcd_bx*(1-MIN(1,MAX(0,$T80*(7*N$72-3*$F80)/(4*$F80)))^2)</f>
        <v/>
      </c>
      <c r="O80">
        <f>MAX(-fyd_bx,MIN(fyd_bx,200000*0.002*(1-$T80*(7*O$72-3*$F80)/(4*$F80))))-fcd_bx*(1-MIN(1,MAX(0,$T80*(7*O$72-3*$F80)/(4*$F80)))^2)</f>
        <v/>
      </c>
      <c r="P80">
        <f>MAX(-fyd_bx,MIN(fyd_bx,200000*0.002*(1-$T80*(7*P$72-3*$F80)/(4*$F80))))-fcd_bx*(1-MIN(1,MAX(0,$T80*(7*P$72-3*$F80)/(4*$F80)))^2)</f>
        <v/>
      </c>
      <c r="Q80">
        <f>MAX(-fyd_bx,MIN(fyd_bx,200000*0.002*(1-$T80*(7*Q$72-3*$F80)/(4*$F80))))-fcd_bx*(1-MIN(1,MAX(0,$T80*(7*Q$72-3*$F80)/(4*$F80)))^2)</f>
        <v/>
      </c>
      <c r="R80">
        <f>MAX(-fyd_bx,MIN(fyd_bx,200000*0.002*(1-$T80*(7*R$72-3*$F80)/(4*$F80))))-fcd_bx*(1-MIN(1,MAX(0,$T80*(7*R$72-3*$F80)/(4*$F80)))^2)</f>
        <v/>
      </c>
      <c r="S80">
        <f>MAX(-fyd_bx,MIN(fyd_bx,200000*0.002*(1-$T80*(7*S$72-3*$F80)/(4*$F80))))-fcd_bx*(1-MIN(1,MAX(0,$T80*(7*S$72-3*$F80)/(4*$F80)))^2)</f>
        <v/>
      </c>
      <c r="T80">
        <f>MIN(1,2-(($C80+$D80)/2))</f>
        <v/>
      </c>
    </row>
    <row r="81">
      <c r="B81" s="52" t="n">
        <v>5</v>
      </c>
      <c r="C81" s="53">
        <f>IF($G80&lt;bx_N,($C80+$D80)/2,$C80)</f>
        <v/>
      </c>
      <c r="D81" s="53">
        <f>IF($G80&lt;bx_N,$D80,($C80+$D80)/2)</f>
        <v/>
      </c>
      <c r="E81" s="54">
        <f>IF($T81&gt;=1,$F81,3/7*bx_b+4/7*bx_b/MAX($T81,1E-12))</f>
        <v/>
      </c>
      <c r="F81" s="55">
        <f>bx_b*MIN((($C81+$D81)/2),1)</f>
        <v/>
      </c>
      <c r="G81" s="55">
        <f>(fcd_bx*bx_h*$F81*(3/7+4/7*(1-$T81^2/3))+SUMPRODUCT($J$73:$S$73,$J81:$S81))/1000</f>
        <v/>
      </c>
      <c r="H81" s="55">
        <f>(fcd_bx*bx_h*(3/14*$F81*(bx_b-3/7*$F81)+4/7*$F81*(bx_b/2-3/7*$F81)*(1-$T81^2/3)-16/49*$F81^2*(1/2-$T81^2/4))+SUMPRODUCT($J$73:$S$73,$J81:$S81,$J$74:$S$74))/1E6</f>
        <v/>
      </c>
      <c r="J81">
        <f>MAX(-fyd_bx,MIN(fyd_bx,200000*0.002*(1-$T81*(7*J$72-3*$F81)/(4*$F81))))-fcd_bx*(1-MIN(1,MAX(0,$T81*(7*J$72-3*$F81)/(4*$F81)))^2)</f>
        <v/>
      </c>
      <c r="K81">
        <f>MAX(-fyd_bx,MIN(fyd_bx,200000*0.002*(1-$T81*(7*K$72-3*$F81)/(4*$F81))))-fcd_bx*(1-MIN(1,MAX(0,$T81*(7*K$72-3*$F81)/(4*$F81)))^2)</f>
        <v/>
      </c>
      <c r="L81">
        <f>MAX(-fyd_bx,MIN(fyd_bx,200000*0.002*(1-$T81*(7*L$72-3*$F81)/(4*$F81))))-fcd_bx*(1-MIN(1,MAX(0,$T81*(7*L$72-3*$F81)/(4*$F81)))^2)</f>
        <v/>
      </c>
      <c r="M81">
        <f>MAX(-fyd_bx,MIN(fyd_bx,200000*0.002*(1-$T81*(7*M$72-3*$F81)/(4*$F81))))-fcd_bx*(1-MIN(1,MAX(0,$T81*(7*M$72-3*$F81)/(4*$F81)))^2)</f>
        <v/>
      </c>
      <c r="N81">
        <f>MAX(-fyd_bx,MIN(fyd_bx,200000*0.002*(1-$T81*(7*N$72-3*$F81)/(4*$F81))))-fcd_bx*(1-MIN(1,MAX(0,$T81*(7*N$72-3*$F81)/(4*$F81)))^2)</f>
        <v/>
      </c>
      <c r="O81">
        <f>MAX(-fyd_bx,MIN(fyd_bx,200000*0.002*(1-$T81*(7*O$72-3*$F81)/(4*$F81))))-fcd_bx*(1-MIN(1,MAX(0,$T81*(7*O$72-3*$F81)/(4*$F81)))^2)</f>
        <v/>
      </c>
      <c r="P81">
        <f>MAX(-fyd_bx,MIN(fyd_bx,200000*0.002*(1-$T81*(7*P$72-3*$F81)/(4*$F81))))-fcd_bx*(1-MIN(1,MAX(0,$T81*(7*P$72-3*$F81)/(4*$F81)))^2)</f>
        <v/>
      </c>
      <c r="Q81">
        <f>MAX(-fyd_bx,MIN(fyd_bx,200000*0.002*(1-$T81*(7*Q$72-3*$F81)/(4*$F81))))-fcd_bx*(1-MIN(1,MAX(0,$T81*(7*Q$72-3*$F81)/(4*$F81)))^2)</f>
        <v/>
      </c>
      <c r="R81">
        <f>MAX(-fyd_bx,MIN(fyd_bx,200000*0.002*(1-$T81*(7*R$72-3*$F81)/(4*$F81))))-fcd_bx*(1-MIN(1,MAX(0,$T81*(7*R$72-3*$F81)/(4*$F81)))^2)</f>
        <v/>
      </c>
      <c r="S81">
        <f>MAX(-fyd_bx,MIN(fyd_bx,200000*0.002*(1-$T81*(7*S$72-3*$F81)/(4*$F81))))-fcd_bx*(1-MIN(1,MAX(0,$T81*(7*S$72-3*$F81)/(4*$F81)))^2)</f>
        <v/>
      </c>
      <c r="T81">
        <f>MIN(1,2-(($C81+$D81)/2))</f>
        <v/>
      </c>
    </row>
    <row r="82">
      <c r="B82" s="52" t="n">
        <v>6</v>
      </c>
      <c r="C82" s="53">
        <f>IF($G81&lt;bx_N,($C81+$D81)/2,$C81)</f>
        <v/>
      </c>
      <c r="D82" s="53">
        <f>IF($G81&lt;bx_N,$D81,($C81+$D81)/2)</f>
        <v/>
      </c>
      <c r="E82" s="54">
        <f>IF($T82&gt;=1,$F82,3/7*bx_b+4/7*bx_b/MAX($T82,1E-12))</f>
        <v/>
      </c>
      <c r="F82" s="55">
        <f>bx_b*MIN((($C82+$D82)/2),1)</f>
        <v/>
      </c>
      <c r="G82" s="55">
        <f>(fcd_bx*bx_h*$F82*(3/7+4/7*(1-$T82^2/3))+SUMPRODUCT($J$73:$S$73,$J82:$S82))/1000</f>
        <v/>
      </c>
      <c r="H82" s="55">
        <f>(fcd_bx*bx_h*(3/14*$F82*(bx_b-3/7*$F82)+4/7*$F82*(bx_b/2-3/7*$F82)*(1-$T82^2/3)-16/49*$F82^2*(1/2-$T82^2/4))+SUMPRODUCT($J$73:$S$73,$J82:$S82,$J$74:$S$74))/1E6</f>
        <v/>
      </c>
      <c r="J82">
        <f>MAX(-fyd_bx,MIN(fyd_bx,200000*0.002*(1-$T82*(7*J$72-3*$F82)/(4*$F82))))-fcd_bx*(1-MIN(1,MAX(0,$T82*(7*J$72-3*$F82)/(4*$F82)))^2)</f>
        <v/>
      </c>
      <c r="K82">
        <f>MAX(-fyd_bx,MIN(fyd_bx,200000*0.002*(1-$T82*(7*K$72-3*$F82)/(4*$F82))))-fcd_bx*(1-MIN(1,MAX(0,$T82*(7*K$72-3*$F82)/(4*$F82)))^2)</f>
        <v/>
      </c>
      <c r="L82">
        <f>MAX(-fyd_bx,MIN(fyd_bx,200000*0.002*(1-$T82*(7*L$72-3*$F82)/(4*$F82))))-fcd_bx*(1-MIN(1,MAX(0,$T82*(7*L$72-3*$F82)/(4*$F82)))^2)</f>
        <v/>
      </c>
      <c r="M82">
        <f>MAX(-fyd_bx,MIN(fyd_bx,200000*0.002*(1-$T82*(7*M$72-3*$F82)/(4*$F82))))-fcd_bx*(1-MIN(1,MAX(0,$T82*(7*M$72-3*$F82)/(4*$F82)))^2)</f>
        <v/>
      </c>
      <c r="N82">
        <f>MAX(-fyd_bx,MIN(fyd_bx,200000*0.002*(1-$T82*(7*N$72-3*$F82)/(4*$F82))))-fcd_bx*(1-MIN(1,MAX(0,$T82*(7*N$72-3*$F82)/(4*$F82)))^2)</f>
        <v/>
      </c>
      <c r="O82">
        <f>MAX(-fyd_bx,MIN(fyd_bx,200000*0.002*(1-$T82*(7*O$72-3*$F82)/(4*$F82))))-fcd_bx*(1-MIN(1,MAX(0,$T82*(7*O$72-3*$F82)/(4*$F82)))^2)</f>
        <v/>
      </c>
      <c r="P82">
        <f>MAX(-fyd_bx,MIN(fyd_bx,200000*0.002*(1-$T82*(7*P$72-3*$F82)/(4*$F82))))-fcd_bx*(1-MIN(1,MAX(0,$T82*(7*P$72-3*$F82)/(4*$F82)))^2)</f>
        <v/>
      </c>
      <c r="Q82">
        <f>MAX(-fyd_bx,MIN(fyd_bx,200000*0.002*(1-$T82*(7*Q$72-3*$F82)/(4*$F82))))-fcd_bx*(1-MIN(1,MAX(0,$T82*(7*Q$72-3*$F82)/(4*$F82)))^2)</f>
        <v/>
      </c>
      <c r="R82">
        <f>MAX(-fyd_bx,MIN(fyd_bx,200000*0.002*(1-$T82*(7*R$72-3*$F82)/(4*$F82))))-fcd_bx*(1-MIN(1,MAX(0,$T82*(7*R$72-3*$F82)/(4*$F82)))^2)</f>
        <v/>
      </c>
      <c r="S82">
        <f>MAX(-fyd_bx,MIN(fyd_bx,200000*0.002*(1-$T82*(7*S$72-3*$F82)/(4*$F82))))-fcd_bx*(1-MIN(1,MAX(0,$T82*(7*S$72-3*$F82)/(4*$F82)))^2)</f>
        <v/>
      </c>
      <c r="T82">
        <f>MIN(1,2-(($C82+$D82)/2))</f>
        <v/>
      </c>
    </row>
    <row r="83">
      <c r="B83" s="52" t="n">
        <v>7</v>
      </c>
      <c r="C83" s="53">
        <f>IF($G82&lt;bx_N,($C82+$D82)/2,$C82)</f>
        <v/>
      </c>
      <c r="D83" s="53">
        <f>IF($G82&lt;bx_N,$D82,($C82+$D82)/2)</f>
        <v/>
      </c>
      <c r="E83" s="54">
        <f>IF($T83&gt;=1,$F83,3/7*bx_b+4/7*bx_b/MAX($T83,1E-12))</f>
        <v/>
      </c>
      <c r="F83" s="55">
        <f>bx_b*MIN((($C83+$D83)/2),1)</f>
        <v/>
      </c>
      <c r="G83" s="55">
        <f>(fcd_bx*bx_h*$F83*(3/7+4/7*(1-$T83^2/3))+SUMPRODUCT($J$73:$S$73,$J83:$S83))/1000</f>
        <v/>
      </c>
      <c r="H83" s="55">
        <f>(fcd_bx*bx_h*(3/14*$F83*(bx_b-3/7*$F83)+4/7*$F83*(bx_b/2-3/7*$F83)*(1-$T83^2/3)-16/49*$F83^2*(1/2-$T83^2/4))+SUMPRODUCT($J$73:$S$73,$J83:$S83,$J$74:$S$74))/1E6</f>
        <v/>
      </c>
      <c r="J83">
        <f>MAX(-fyd_bx,MIN(fyd_bx,200000*0.002*(1-$T83*(7*J$72-3*$F83)/(4*$F83))))-fcd_bx*(1-MIN(1,MAX(0,$T83*(7*J$72-3*$F83)/(4*$F83)))^2)</f>
        <v/>
      </c>
      <c r="K83">
        <f>MAX(-fyd_bx,MIN(fyd_bx,200000*0.002*(1-$T83*(7*K$72-3*$F83)/(4*$F83))))-fcd_bx*(1-MIN(1,MAX(0,$T83*(7*K$72-3*$F83)/(4*$F83)))^2)</f>
        <v/>
      </c>
      <c r="L83">
        <f>MAX(-fyd_bx,MIN(fyd_bx,200000*0.002*(1-$T83*(7*L$72-3*$F83)/(4*$F83))))-fcd_bx*(1-MIN(1,MAX(0,$T83*(7*L$72-3*$F83)/(4*$F83)))^2)</f>
        <v/>
      </c>
      <c r="M83">
        <f>MAX(-fyd_bx,MIN(fyd_bx,200000*0.002*(1-$T83*(7*M$72-3*$F83)/(4*$F83))))-fcd_bx*(1-MIN(1,MAX(0,$T83*(7*M$72-3*$F83)/(4*$F83)))^2)</f>
        <v/>
      </c>
      <c r="N83">
        <f>MAX(-fyd_bx,MIN(fyd_bx,200000*0.002*(1-$T83*(7*N$72-3*$F83)/(4*$F83))))-fcd_bx*(1-MIN(1,MAX(0,$T83*(7*N$72-3*$F83)/(4*$F83)))^2)</f>
        <v/>
      </c>
      <c r="O83">
        <f>MAX(-fyd_bx,MIN(fyd_bx,200000*0.002*(1-$T83*(7*O$72-3*$F83)/(4*$F83))))-fcd_bx*(1-MIN(1,MAX(0,$T83*(7*O$72-3*$F83)/(4*$F83)))^2)</f>
        <v/>
      </c>
      <c r="P83">
        <f>MAX(-fyd_bx,MIN(fyd_bx,200000*0.002*(1-$T83*(7*P$72-3*$F83)/(4*$F83))))-fcd_bx*(1-MIN(1,MAX(0,$T83*(7*P$72-3*$F83)/(4*$F83)))^2)</f>
        <v/>
      </c>
      <c r="Q83">
        <f>MAX(-fyd_bx,MIN(fyd_bx,200000*0.002*(1-$T83*(7*Q$72-3*$F83)/(4*$F83))))-fcd_bx*(1-MIN(1,MAX(0,$T83*(7*Q$72-3*$F83)/(4*$F83)))^2)</f>
        <v/>
      </c>
      <c r="R83">
        <f>MAX(-fyd_bx,MIN(fyd_bx,200000*0.002*(1-$T83*(7*R$72-3*$F83)/(4*$F83))))-fcd_bx*(1-MIN(1,MAX(0,$T83*(7*R$72-3*$F83)/(4*$F83)))^2)</f>
        <v/>
      </c>
      <c r="S83">
        <f>MAX(-fyd_bx,MIN(fyd_bx,200000*0.002*(1-$T83*(7*S$72-3*$F83)/(4*$F83))))-fcd_bx*(1-MIN(1,MAX(0,$T83*(7*S$72-3*$F83)/(4*$F83)))^2)</f>
        <v/>
      </c>
      <c r="T83">
        <f>MIN(1,2-(($C83+$D83)/2))</f>
        <v/>
      </c>
    </row>
    <row r="84">
      <c r="B84" s="52" t="n">
        <v>8</v>
      </c>
      <c r="C84" s="53">
        <f>IF($G83&lt;bx_N,($C83+$D83)/2,$C83)</f>
        <v/>
      </c>
      <c r="D84" s="53">
        <f>IF($G83&lt;bx_N,$D83,($C83+$D83)/2)</f>
        <v/>
      </c>
      <c r="E84" s="54">
        <f>IF($T84&gt;=1,$F84,3/7*bx_b+4/7*bx_b/MAX($T84,1E-12))</f>
        <v/>
      </c>
      <c r="F84" s="55">
        <f>bx_b*MIN((($C84+$D84)/2),1)</f>
        <v/>
      </c>
      <c r="G84" s="55">
        <f>(fcd_bx*bx_h*$F84*(3/7+4/7*(1-$T84^2/3))+SUMPRODUCT($J$73:$S$73,$J84:$S84))/1000</f>
        <v/>
      </c>
      <c r="H84" s="55">
        <f>(fcd_bx*bx_h*(3/14*$F84*(bx_b-3/7*$F84)+4/7*$F84*(bx_b/2-3/7*$F84)*(1-$T84^2/3)-16/49*$F84^2*(1/2-$T84^2/4))+SUMPRODUCT($J$73:$S$73,$J84:$S84,$J$74:$S$74))/1E6</f>
        <v/>
      </c>
      <c r="J84">
        <f>MAX(-fyd_bx,MIN(fyd_bx,200000*0.002*(1-$T84*(7*J$72-3*$F84)/(4*$F84))))-fcd_bx*(1-MIN(1,MAX(0,$T84*(7*J$72-3*$F84)/(4*$F84)))^2)</f>
        <v/>
      </c>
      <c r="K84">
        <f>MAX(-fyd_bx,MIN(fyd_bx,200000*0.002*(1-$T84*(7*K$72-3*$F84)/(4*$F84))))-fcd_bx*(1-MIN(1,MAX(0,$T84*(7*K$72-3*$F84)/(4*$F84)))^2)</f>
        <v/>
      </c>
      <c r="L84">
        <f>MAX(-fyd_bx,MIN(fyd_bx,200000*0.002*(1-$T84*(7*L$72-3*$F84)/(4*$F84))))-fcd_bx*(1-MIN(1,MAX(0,$T84*(7*L$72-3*$F84)/(4*$F84)))^2)</f>
        <v/>
      </c>
      <c r="M84">
        <f>MAX(-fyd_bx,MIN(fyd_bx,200000*0.002*(1-$T84*(7*M$72-3*$F84)/(4*$F84))))-fcd_bx*(1-MIN(1,MAX(0,$T84*(7*M$72-3*$F84)/(4*$F84)))^2)</f>
        <v/>
      </c>
      <c r="N84">
        <f>MAX(-fyd_bx,MIN(fyd_bx,200000*0.002*(1-$T84*(7*N$72-3*$F84)/(4*$F84))))-fcd_bx*(1-MIN(1,MAX(0,$T84*(7*N$72-3*$F84)/(4*$F84)))^2)</f>
        <v/>
      </c>
      <c r="O84">
        <f>MAX(-fyd_bx,MIN(fyd_bx,200000*0.002*(1-$T84*(7*O$72-3*$F84)/(4*$F84))))-fcd_bx*(1-MIN(1,MAX(0,$T84*(7*O$72-3*$F84)/(4*$F84)))^2)</f>
        <v/>
      </c>
      <c r="P84">
        <f>MAX(-fyd_bx,MIN(fyd_bx,200000*0.002*(1-$T84*(7*P$72-3*$F84)/(4*$F84))))-fcd_bx*(1-MIN(1,MAX(0,$T84*(7*P$72-3*$F84)/(4*$F84)))^2)</f>
        <v/>
      </c>
      <c r="Q84">
        <f>MAX(-fyd_bx,MIN(fyd_bx,200000*0.002*(1-$T84*(7*Q$72-3*$F84)/(4*$F84))))-fcd_bx*(1-MIN(1,MAX(0,$T84*(7*Q$72-3*$F84)/(4*$F84)))^2)</f>
        <v/>
      </c>
      <c r="R84">
        <f>MAX(-fyd_bx,MIN(fyd_bx,200000*0.002*(1-$T84*(7*R$72-3*$F84)/(4*$F84))))-fcd_bx*(1-MIN(1,MAX(0,$T84*(7*R$72-3*$F84)/(4*$F84)))^2)</f>
        <v/>
      </c>
      <c r="S84">
        <f>MAX(-fyd_bx,MIN(fyd_bx,200000*0.002*(1-$T84*(7*S$72-3*$F84)/(4*$F84))))-fcd_bx*(1-MIN(1,MAX(0,$T84*(7*S$72-3*$F84)/(4*$F84)))^2)</f>
        <v/>
      </c>
      <c r="T84">
        <f>MIN(1,2-(($C84+$D84)/2))</f>
        <v/>
      </c>
    </row>
    <row r="85">
      <c r="B85" s="52" t="n">
        <v>9</v>
      </c>
      <c r="C85" s="53">
        <f>IF($G84&lt;bx_N,($C84+$D84)/2,$C84)</f>
        <v/>
      </c>
      <c r="D85" s="53">
        <f>IF($G84&lt;bx_N,$D84,($C84+$D84)/2)</f>
        <v/>
      </c>
      <c r="E85" s="54">
        <f>IF($T85&gt;=1,$F85,3/7*bx_b+4/7*bx_b/MAX($T85,1E-12))</f>
        <v/>
      </c>
      <c r="F85" s="55">
        <f>bx_b*MIN((($C85+$D85)/2),1)</f>
        <v/>
      </c>
      <c r="G85" s="55">
        <f>(fcd_bx*bx_h*$F85*(3/7+4/7*(1-$T85^2/3))+SUMPRODUCT($J$73:$S$73,$J85:$S85))/1000</f>
        <v/>
      </c>
      <c r="H85" s="55">
        <f>(fcd_bx*bx_h*(3/14*$F85*(bx_b-3/7*$F85)+4/7*$F85*(bx_b/2-3/7*$F85)*(1-$T85^2/3)-16/49*$F85^2*(1/2-$T85^2/4))+SUMPRODUCT($J$73:$S$73,$J85:$S85,$J$74:$S$74))/1E6</f>
        <v/>
      </c>
      <c r="J85">
        <f>MAX(-fyd_bx,MIN(fyd_bx,200000*0.002*(1-$T85*(7*J$72-3*$F85)/(4*$F85))))-fcd_bx*(1-MIN(1,MAX(0,$T85*(7*J$72-3*$F85)/(4*$F85)))^2)</f>
        <v/>
      </c>
      <c r="K85">
        <f>MAX(-fyd_bx,MIN(fyd_bx,200000*0.002*(1-$T85*(7*K$72-3*$F85)/(4*$F85))))-fcd_bx*(1-MIN(1,MAX(0,$T85*(7*K$72-3*$F85)/(4*$F85)))^2)</f>
        <v/>
      </c>
      <c r="L85">
        <f>MAX(-fyd_bx,MIN(fyd_bx,200000*0.002*(1-$T85*(7*L$72-3*$F85)/(4*$F85))))-fcd_bx*(1-MIN(1,MAX(0,$T85*(7*L$72-3*$F85)/(4*$F85)))^2)</f>
        <v/>
      </c>
      <c r="M85">
        <f>MAX(-fyd_bx,MIN(fyd_bx,200000*0.002*(1-$T85*(7*M$72-3*$F85)/(4*$F85))))-fcd_bx*(1-MIN(1,MAX(0,$T85*(7*M$72-3*$F85)/(4*$F85)))^2)</f>
        <v/>
      </c>
      <c r="N85">
        <f>MAX(-fyd_bx,MIN(fyd_bx,200000*0.002*(1-$T85*(7*N$72-3*$F85)/(4*$F85))))-fcd_bx*(1-MIN(1,MAX(0,$T85*(7*N$72-3*$F85)/(4*$F85)))^2)</f>
        <v/>
      </c>
      <c r="O85">
        <f>MAX(-fyd_bx,MIN(fyd_bx,200000*0.002*(1-$T85*(7*O$72-3*$F85)/(4*$F85))))-fcd_bx*(1-MIN(1,MAX(0,$T85*(7*O$72-3*$F85)/(4*$F85)))^2)</f>
        <v/>
      </c>
      <c r="P85">
        <f>MAX(-fyd_bx,MIN(fyd_bx,200000*0.002*(1-$T85*(7*P$72-3*$F85)/(4*$F85))))-fcd_bx*(1-MIN(1,MAX(0,$T85*(7*P$72-3*$F85)/(4*$F85)))^2)</f>
        <v/>
      </c>
      <c r="Q85">
        <f>MAX(-fyd_bx,MIN(fyd_bx,200000*0.002*(1-$T85*(7*Q$72-3*$F85)/(4*$F85))))-fcd_bx*(1-MIN(1,MAX(0,$T85*(7*Q$72-3*$F85)/(4*$F85)))^2)</f>
        <v/>
      </c>
      <c r="R85">
        <f>MAX(-fyd_bx,MIN(fyd_bx,200000*0.002*(1-$T85*(7*R$72-3*$F85)/(4*$F85))))-fcd_bx*(1-MIN(1,MAX(0,$T85*(7*R$72-3*$F85)/(4*$F85)))^2)</f>
        <v/>
      </c>
      <c r="S85">
        <f>MAX(-fyd_bx,MIN(fyd_bx,200000*0.002*(1-$T85*(7*S$72-3*$F85)/(4*$F85))))-fcd_bx*(1-MIN(1,MAX(0,$T85*(7*S$72-3*$F85)/(4*$F85)))^2)</f>
        <v/>
      </c>
      <c r="T85">
        <f>MIN(1,2-(($C85+$D85)/2))</f>
        <v/>
      </c>
    </row>
    <row r="86">
      <c r="B86" s="52" t="n">
        <v>10</v>
      </c>
      <c r="C86" s="53">
        <f>IF($G85&lt;bx_N,($C85+$D85)/2,$C85)</f>
        <v/>
      </c>
      <c r="D86" s="53">
        <f>IF($G85&lt;bx_N,$D85,($C85+$D85)/2)</f>
        <v/>
      </c>
      <c r="E86" s="54">
        <f>IF($T86&gt;=1,$F86,3/7*bx_b+4/7*bx_b/MAX($T86,1E-12))</f>
        <v/>
      </c>
      <c r="F86" s="55">
        <f>bx_b*MIN((($C86+$D86)/2),1)</f>
        <v/>
      </c>
      <c r="G86" s="55">
        <f>(fcd_bx*bx_h*$F86*(3/7+4/7*(1-$T86^2/3))+SUMPRODUCT($J$73:$S$73,$J86:$S86))/1000</f>
        <v/>
      </c>
      <c r="H86" s="55">
        <f>(fcd_bx*bx_h*(3/14*$F86*(bx_b-3/7*$F86)+4/7*$F86*(bx_b/2-3/7*$F86)*(1-$T86^2/3)-16/49*$F86^2*(1/2-$T86^2/4))+SUMPRODUCT($J$73:$S$73,$J86:$S86,$J$74:$S$74))/1E6</f>
        <v/>
      </c>
      <c r="J86">
        <f>MAX(-fyd_bx,MIN(fyd_bx,200000*0.002*(1-$T86*(7*J$72-3*$F86)/(4*$F86))))-fcd_bx*(1-MIN(1,MAX(0,$T86*(7*J$72-3*$F86)/(4*$F86)))^2)</f>
        <v/>
      </c>
      <c r="K86">
        <f>MAX(-fyd_bx,MIN(fyd_bx,200000*0.002*(1-$T86*(7*K$72-3*$F86)/(4*$F86))))-fcd_bx*(1-MIN(1,MAX(0,$T86*(7*K$72-3*$F86)/(4*$F86)))^2)</f>
        <v/>
      </c>
      <c r="L86">
        <f>MAX(-fyd_bx,MIN(fyd_bx,200000*0.002*(1-$T86*(7*L$72-3*$F86)/(4*$F86))))-fcd_bx*(1-MIN(1,MAX(0,$T86*(7*L$72-3*$F86)/(4*$F86)))^2)</f>
        <v/>
      </c>
      <c r="M86">
        <f>MAX(-fyd_bx,MIN(fyd_bx,200000*0.002*(1-$T86*(7*M$72-3*$F86)/(4*$F86))))-fcd_bx*(1-MIN(1,MAX(0,$T86*(7*M$72-3*$F86)/(4*$F86)))^2)</f>
        <v/>
      </c>
      <c r="N86">
        <f>MAX(-fyd_bx,MIN(fyd_bx,200000*0.002*(1-$T86*(7*N$72-3*$F86)/(4*$F86))))-fcd_bx*(1-MIN(1,MAX(0,$T86*(7*N$72-3*$F86)/(4*$F86)))^2)</f>
        <v/>
      </c>
      <c r="O86">
        <f>MAX(-fyd_bx,MIN(fyd_bx,200000*0.002*(1-$T86*(7*O$72-3*$F86)/(4*$F86))))-fcd_bx*(1-MIN(1,MAX(0,$T86*(7*O$72-3*$F86)/(4*$F86)))^2)</f>
        <v/>
      </c>
      <c r="P86">
        <f>MAX(-fyd_bx,MIN(fyd_bx,200000*0.002*(1-$T86*(7*P$72-3*$F86)/(4*$F86))))-fcd_bx*(1-MIN(1,MAX(0,$T86*(7*P$72-3*$F86)/(4*$F86)))^2)</f>
        <v/>
      </c>
      <c r="Q86">
        <f>MAX(-fyd_bx,MIN(fyd_bx,200000*0.002*(1-$T86*(7*Q$72-3*$F86)/(4*$F86))))-fcd_bx*(1-MIN(1,MAX(0,$T86*(7*Q$72-3*$F86)/(4*$F86)))^2)</f>
        <v/>
      </c>
      <c r="R86">
        <f>MAX(-fyd_bx,MIN(fyd_bx,200000*0.002*(1-$T86*(7*R$72-3*$F86)/(4*$F86))))-fcd_bx*(1-MIN(1,MAX(0,$T86*(7*R$72-3*$F86)/(4*$F86)))^2)</f>
        <v/>
      </c>
      <c r="S86">
        <f>MAX(-fyd_bx,MIN(fyd_bx,200000*0.002*(1-$T86*(7*S$72-3*$F86)/(4*$F86))))-fcd_bx*(1-MIN(1,MAX(0,$T86*(7*S$72-3*$F86)/(4*$F86)))^2)</f>
        <v/>
      </c>
      <c r="T86">
        <f>MIN(1,2-(($C86+$D86)/2))</f>
        <v/>
      </c>
    </row>
    <row r="87">
      <c r="B87" s="52" t="n">
        <v>11</v>
      </c>
      <c r="C87" s="53">
        <f>IF($G86&lt;bx_N,($C86+$D86)/2,$C86)</f>
        <v/>
      </c>
      <c r="D87" s="53">
        <f>IF($G86&lt;bx_N,$D86,($C86+$D86)/2)</f>
        <v/>
      </c>
      <c r="E87" s="54">
        <f>IF($T87&gt;=1,$F87,3/7*bx_b+4/7*bx_b/MAX($T87,1E-12))</f>
        <v/>
      </c>
      <c r="F87" s="55">
        <f>bx_b*MIN((($C87+$D87)/2),1)</f>
        <v/>
      </c>
      <c r="G87" s="55">
        <f>(fcd_bx*bx_h*$F87*(3/7+4/7*(1-$T87^2/3))+SUMPRODUCT($J$73:$S$73,$J87:$S87))/1000</f>
        <v/>
      </c>
      <c r="H87" s="55">
        <f>(fcd_bx*bx_h*(3/14*$F87*(bx_b-3/7*$F87)+4/7*$F87*(bx_b/2-3/7*$F87)*(1-$T87^2/3)-16/49*$F87^2*(1/2-$T87^2/4))+SUMPRODUCT($J$73:$S$73,$J87:$S87,$J$74:$S$74))/1E6</f>
        <v/>
      </c>
      <c r="J87">
        <f>MAX(-fyd_bx,MIN(fyd_bx,200000*0.002*(1-$T87*(7*J$72-3*$F87)/(4*$F87))))-fcd_bx*(1-MIN(1,MAX(0,$T87*(7*J$72-3*$F87)/(4*$F87)))^2)</f>
        <v/>
      </c>
      <c r="K87">
        <f>MAX(-fyd_bx,MIN(fyd_bx,200000*0.002*(1-$T87*(7*K$72-3*$F87)/(4*$F87))))-fcd_bx*(1-MIN(1,MAX(0,$T87*(7*K$72-3*$F87)/(4*$F87)))^2)</f>
        <v/>
      </c>
      <c r="L87">
        <f>MAX(-fyd_bx,MIN(fyd_bx,200000*0.002*(1-$T87*(7*L$72-3*$F87)/(4*$F87))))-fcd_bx*(1-MIN(1,MAX(0,$T87*(7*L$72-3*$F87)/(4*$F87)))^2)</f>
        <v/>
      </c>
      <c r="M87">
        <f>MAX(-fyd_bx,MIN(fyd_bx,200000*0.002*(1-$T87*(7*M$72-3*$F87)/(4*$F87))))-fcd_bx*(1-MIN(1,MAX(0,$T87*(7*M$72-3*$F87)/(4*$F87)))^2)</f>
        <v/>
      </c>
      <c r="N87">
        <f>MAX(-fyd_bx,MIN(fyd_bx,200000*0.002*(1-$T87*(7*N$72-3*$F87)/(4*$F87))))-fcd_bx*(1-MIN(1,MAX(0,$T87*(7*N$72-3*$F87)/(4*$F87)))^2)</f>
        <v/>
      </c>
      <c r="O87">
        <f>MAX(-fyd_bx,MIN(fyd_bx,200000*0.002*(1-$T87*(7*O$72-3*$F87)/(4*$F87))))-fcd_bx*(1-MIN(1,MAX(0,$T87*(7*O$72-3*$F87)/(4*$F87)))^2)</f>
        <v/>
      </c>
      <c r="P87">
        <f>MAX(-fyd_bx,MIN(fyd_bx,200000*0.002*(1-$T87*(7*P$72-3*$F87)/(4*$F87))))-fcd_bx*(1-MIN(1,MAX(0,$T87*(7*P$72-3*$F87)/(4*$F87)))^2)</f>
        <v/>
      </c>
      <c r="Q87">
        <f>MAX(-fyd_bx,MIN(fyd_bx,200000*0.002*(1-$T87*(7*Q$72-3*$F87)/(4*$F87))))-fcd_bx*(1-MIN(1,MAX(0,$T87*(7*Q$72-3*$F87)/(4*$F87)))^2)</f>
        <v/>
      </c>
      <c r="R87">
        <f>MAX(-fyd_bx,MIN(fyd_bx,200000*0.002*(1-$T87*(7*R$72-3*$F87)/(4*$F87))))-fcd_bx*(1-MIN(1,MAX(0,$T87*(7*R$72-3*$F87)/(4*$F87)))^2)</f>
        <v/>
      </c>
      <c r="S87">
        <f>MAX(-fyd_bx,MIN(fyd_bx,200000*0.002*(1-$T87*(7*S$72-3*$F87)/(4*$F87))))-fcd_bx*(1-MIN(1,MAX(0,$T87*(7*S$72-3*$F87)/(4*$F87)))^2)</f>
        <v/>
      </c>
      <c r="T87">
        <f>MIN(1,2-(($C87+$D87)/2))</f>
        <v/>
      </c>
    </row>
    <row r="88">
      <c r="B88" s="52" t="n">
        <v>12</v>
      </c>
      <c r="C88" s="53">
        <f>IF($G87&lt;bx_N,($C87+$D87)/2,$C87)</f>
        <v/>
      </c>
      <c r="D88" s="53">
        <f>IF($G87&lt;bx_N,$D87,($C87+$D87)/2)</f>
        <v/>
      </c>
      <c r="E88" s="54">
        <f>IF($T88&gt;=1,$F88,3/7*bx_b+4/7*bx_b/MAX($T88,1E-12))</f>
        <v/>
      </c>
      <c r="F88" s="55">
        <f>bx_b*MIN((($C88+$D88)/2),1)</f>
        <v/>
      </c>
      <c r="G88" s="55">
        <f>(fcd_bx*bx_h*$F88*(3/7+4/7*(1-$T88^2/3))+SUMPRODUCT($J$73:$S$73,$J88:$S88))/1000</f>
        <v/>
      </c>
      <c r="H88" s="55">
        <f>(fcd_bx*bx_h*(3/14*$F88*(bx_b-3/7*$F88)+4/7*$F88*(bx_b/2-3/7*$F88)*(1-$T88^2/3)-16/49*$F88^2*(1/2-$T88^2/4))+SUMPRODUCT($J$73:$S$73,$J88:$S88,$J$74:$S$74))/1E6</f>
        <v/>
      </c>
      <c r="J88">
        <f>MAX(-fyd_bx,MIN(fyd_bx,200000*0.002*(1-$T88*(7*J$72-3*$F88)/(4*$F88))))-fcd_bx*(1-MIN(1,MAX(0,$T88*(7*J$72-3*$F88)/(4*$F88)))^2)</f>
        <v/>
      </c>
      <c r="K88">
        <f>MAX(-fyd_bx,MIN(fyd_bx,200000*0.002*(1-$T88*(7*K$72-3*$F88)/(4*$F88))))-fcd_bx*(1-MIN(1,MAX(0,$T88*(7*K$72-3*$F88)/(4*$F88)))^2)</f>
        <v/>
      </c>
      <c r="L88">
        <f>MAX(-fyd_bx,MIN(fyd_bx,200000*0.002*(1-$T88*(7*L$72-3*$F88)/(4*$F88))))-fcd_bx*(1-MIN(1,MAX(0,$T88*(7*L$72-3*$F88)/(4*$F88)))^2)</f>
        <v/>
      </c>
      <c r="M88">
        <f>MAX(-fyd_bx,MIN(fyd_bx,200000*0.002*(1-$T88*(7*M$72-3*$F88)/(4*$F88))))-fcd_bx*(1-MIN(1,MAX(0,$T88*(7*M$72-3*$F88)/(4*$F88)))^2)</f>
        <v/>
      </c>
      <c r="N88">
        <f>MAX(-fyd_bx,MIN(fyd_bx,200000*0.002*(1-$T88*(7*N$72-3*$F88)/(4*$F88))))-fcd_bx*(1-MIN(1,MAX(0,$T88*(7*N$72-3*$F88)/(4*$F88)))^2)</f>
        <v/>
      </c>
      <c r="O88">
        <f>MAX(-fyd_bx,MIN(fyd_bx,200000*0.002*(1-$T88*(7*O$72-3*$F88)/(4*$F88))))-fcd_bx*(1-MIN(1,MAX(0,$T88*(7*O$72-3*$F88)/(4*$F88)))^2)</f>
        <v/>
      </c>
      <c r="P88">
        <f>MAX(-fyd_bx,MIN(fyd_bx,200000*0.002*(1-$T88*(7*P$72-3*$F88)/(4*$F88))))-fcd_bx*(1-MIN(1,MAX(0,$T88*(7*P$72-3*$F88)/(4*$F88)))^2)</f>
        <v/>
      </c>
      <c r="Q88">
        <f>MAX(-fyd_bx,MIN(fyd_bx,200000*0.002*(1-$T88*(7*Q$72-3*$F88)/(4*$F88))))-fcd_bx*(1-MIN(1,MAX(0,$T88*(7*Q$72-3*$F88)/(4*$F88)))^2)</f>
        <v/>
      </c>
      <c r="R88">
        <f>MAX(-fyd_bx,MIN(fyd_bx,200000*0.002*(1-$T88*(7*R$72-3*$F88)/(4*$F88))))-fcd_bx*(1-MIN(1,MAX(0,$T88*(7*R$72-3*$F88)/(4*$F88)))^2)</f>
        <v/>
      </c>
      <c r="S88">
        <f>MAX(-fyd_bx,MIN(fyd_bx,200000*0.002*(1-$T88*(7*S$72-3*$F88)/(4*$F88))))-fcd_bx*(1-MIN(1,MAX(0,$T88*(7*S$72-3*$F88)/(4*$F88)))^2)</f>
        <v/>
      </c>
      <c r="T88">
        <f>MIN(1,2-(($C88+$D88)/2))</f>
        <v/>
      </c>
    </row>
    <row r="89">
      <c r="B89" s="52" t="n">
        <v>13</v>
      </c>
      <c r="C89" s="53">
        <f>IF($G88&lt;bx_N,($C88+$D88)/2,$C88)</f>
        <v/>
      </c>
      <c r="D89" s="53">
        <f>IF($G88&lt;bx_N,$D88,($C88+$D88)/2)</f>
        <v/>
      </c>
      <c r="E89" s="54">
        <f>IF($T89&gt;=1,$F89,3/7*bx_b+4/7*bx_b/MAX($T89,1E-12))</f>
        <v/>
      </c>
      <c r="F89" s="55">
        <f>bx_b*MIN((($C89+$D89)/2),1)</f>
        <v/>
      </c>
      <c r="G89" s="55">
        <f>(fcd_bx*bx_h*$F89*(3/7+4/7*(1-$T89^2/3))+SUMPRODUCT($J$73:$S$73,$J89:$S89))/1000</f>
        <v/>
      </c>
      <c r="H89" s="55">
        <f>(fcd_bx*bx_h*(3/14*$F89*(bx_b-3/7*$F89)+4/7*$F89*(bx_b/2-3/7*$F89)*(1-$T89^2/3)-16/49*$F89^2*(1/2-$T89^2/4))+SUMPRODUCT($J$73:$S$73,$J89:$S89,$J$74:$S$74))/1E6</f>
        <v/>
      </c>
      <c r="J89">
        <f>MAX(-fyd_bx,MIN(fyd_bx,200000*0.002*(1-$T89*(7*J$72-3*$F89)/(4*$F89))))-fcd_bx*(1-MIN(1,MAX(0,$T89*(7*J$72-3*$F89)/(4*$F89)))^2)</f>
        <v/>
      </c>
      <c r="K89">
        <f>MAX(-fyd_bx,MIN(fyd_bx,200000*0.002*(1-$T89*(7*K$72-3*$F89)/(4*$F89))))-fcd_bx*(1-MIN(1,MAX(0,$T89*(7*K$72-3*$F89)/(4*$F89)))^2)</f>
        <v/>
      </c>
      <c r="L89">
        <f>MAX(-fyd_bx,MIN(fyd_bx,200000*0.002*(1-$T89*(7*L$72-3*$F89)/(4*$F89))))-fcd_bx*(1-MIN(1,MAX(0,$T89*(7*L$72-3*$F89)/(4*$F89)))^2)</f>
        <v/>
      </c>
      <c r="M89">
        <f>MAX(-fyd_bx,MIN(fyd_bx,200000*0.002*(1-$T89*(7*M$72-3*$F89)/(4*$F89))))-fcd_bx*(1-MIN(1,MAX(0,$T89*(7*M$72-3*$F89)/(4*$F89)))^2)</f>
        <v/>
      </c>
      <c r="N89">
        <f>MAX(-fyd_bx,MIN(fyd_bx,200000*0.002*(1-$T89*(7*N$72-3*$F89)/(4*$F89))))-fcd_bx*(1-MIN(1,MAX(0,$T89*(7*N$72-3*$F89)/(4*$F89)))^2)</f>
        <v/>
      </c>
      <c r="O89">
        <f>MAX(-fyd_bx,MIN(fyd_bx,200000*0.002*(1-$T89*(7*O$72-3*$F89)/(4*$F89))))-fcd_bx*(1-MIN(1,MAX(0,$T89*(7*O$72-3*$F89)/(4*$F89)))^2)</f>
        <v/>
      </c>
      <c r="P89">
        <f>MAX(-fyd_bx,MIN(fyd_bx,200000*0.002*(1-$T89*(7*P$72-3*$F89)/(4*$F89))))-fcd_bx*(1-MIN(1,MAX(0,$T89*(7*P$72-3*$F89)/(4*$F89)))^2)</f>
        <v/>
      </c>
      <c r="Q89">
        <f>MAX(-fyd_bx,MIN(fyd_bx,200000*0.002*(1-$T89*(7*Q$72-3*$F89)/(4*$F89))))-fcd_bx*(1-MIN(1,MAX(0,$T89*(7*Q$72-3*$F89)/(4*$F89)))^2)</f>
        <v/>
      </c>
      <c r="R89">
        <f>MAX(-fyd_bx,MIN(fyd_bx,200000*0.002*(1-$T89*(7*R$72-3*$F89)/(4*$F89))))-fcd_bx*(1-MIN(1,MAX(0,$T89*(7*R$72-3*$F89)/(4*$F89)))^2)</f>
        <v/>
      </c>
      <c r="S89">
        <f>MAX(-fyd_bx,MIN(fyd_bx,200000*0.002*(1-$T89*(7*S$72-3*$F89)/(4*$F89))))-fcd_bx*(1-MIN(1,MAX(0,$T89*(7*S$72-3*$F89)/(4*$F89)))^2)</f>
        <v/>
      </c>
      <c r="T89">
        <f>MIN(1,2-(($C89+$D89)/2))</f>
        <v/>
      </c>
    </row>
    <row r="90">
      <c r="B90" s="52" t="n">
        <v>14</v>
      </c>
      <c r="C90" s="53">
        <f>IF($G89&lt;bx_N,($C89+$D89)/2,$C89)</f>
        <v/>
      </c>
      <c r="D90" s="53">
        <f>IF($G89&lt;bx_N,$D89,($C89+$D89)/2)</f>
        <v/>
      </c>
      <c r="E90" s="54">
        <f>IF($T90&gt;=1,$F90,3/7*bx_b+4/7*bx_b/MAX($T90,1E-12))</f>
        <v/>
      </c>
      <c r="F90" s="55">
        <f>bx_b*MIN((($C90+$D90)/2),1)</f>
        <v/>
      </c>
      <c r="G90" s="55">
        <f>(fcd_bx*bx_h*$F90*(3/7+4/7*(1-$T90^2/3))+SUMPRODUCT($J$73:$S$73,$J90:$S90))/1000</f>
        <v/>
      </c>
      <c r="H90" s="55">
        <f>(fcd_bx*bx_h*(3/14*$F90*(bx_b-3/7*$F90)+4/7*$F90*(bx_b/2-3/7*$F90)*(1-$T90^2/3)-16/49*$F90^2*(1/2-$T90^2/4))+SUMPRODUCT($J$73:$S$73,$J90:$S90,$J$74:$S$74))/1E6</f>
        <v/>
      </c>
      <c r="J90">
        <f>MAX(-fyd_bx,MIN(fyd_bx,200000*0.002*(1-$T90*(7*J$72-3*$F90)/(4*$F90))))-fcd_bx*(1-MIN(1,MAX(0,$T90*(7*J$72-3*$F90)/(4*$F90)))^2)</f>
        <v/>
      </c>
      <c r="K90">
        <f>MAX(-fyd_bx,MIN(fyd_bx,200000*0.002*(1-$T90*(7*K$72-3*$F90)/(4*$F90))))-fcd_bx*(1-MIN(1,MAX(0,$T90*(7*K$72-3*$F90)/(4*$F90)))^2)</f>
        <v/>
      </c>
      <c r="L90">
        <f>MAX(-fyd_bx,MIN(fyd_bx,200000*0.002*(1-$T90*(7*L$72-3*$F90)/(4*$F90))))-fcd_bx*(1-MIN(1,MAX(0,$T90*(7*L$72-3*$F90)/(4*$F90)))^2)</f>
        <v/>
      </c>
      <c r="M90">
        <f>MAX(-fyd_bx,MIN(fyd_bx,200000*0.002*(1-$T90*(7*M$72-3*$F90)/(4*$F90))))-fcd_bx*(1-MIN(1,MAX(0,$T90*(7*M$72-3*$F90)/(4*$F90)))^2)</f>
        <v/>
      </c>
      <c r="N90">
        <f>MAX(-fyd_bx,MIN(fyd_bx,200000*0.002*(1-$T90*(7*N$72-3*$F90)/(4*$F90))))-fcd_bx*(1-MIN(1,MAX(0,$T90*(7*N$72-3*$F90)/(4*$F90)))^2)</f>
        <v/>
      </c>
      <c r="O90">
        <f>MAX(-fyd_bx,MIN(fyd_bx,200000*0.002*(1-$T90*(7*O$72-3*$F90)/(4*$F90))))-fcd_bx*(1-MIN(1,MAX(0,$T90*(7*O$72-3*$F90)/(4*$F90)))^2)</f>
        <v/>
      </c>
      <c r="P90">
        <f>MAX(-fyd_bx,MIN(fyd_bx,200000*0.002*(1-$T90*(7*P$72-3*$F90)/(4*$F90))))-fcd_bx*(1-MIN(1,MAX(0,$T90*(7*P$72-3*$F90)/(4*$F90)))^2)</f>
        <v/>
      </c>
      <c r="Q90">
        <f>MAX(-fyd_bx,MIN(fyd_bx,200000*0.002*(1-$T90*(7*Q$72-3*$F90)/(4*$F90))))-fcd_bx*(1-MIN(1,MAX(0,$T90*(7*Q$72-3*$F90)/(4*$F90)))^2)</f>
        <v/>
      </c>
      <c r="R90">
        <f>MAX(-fyd_bx,MIN(fyd_bx,200000*0.002*(1-$T90*(7*R$72-3*$F90)/(4*$F90))))-fcd_bx*(1-MIN(1,MAX(0,$T90*(7*R$72-3*$F90)/(4*$F90)))^2)</f>
        <v/>
      </c>
      <c r="S90">
        <f>MAX(-fyd_bx,MIN(fyd_bx,200000*0.002*(1-$T90*(7*S$72-3*$F90)/(4*$F90))))-fcd_bx*(1-MIN(1,MAX(0,$T90*(7*S$72-3*$F90)/(4*$F90)))^2)</f>
        <v/>
      </c>
      <c r="T90">
        <f>MIN(1,2-(($C90+$D90)/2))</f>
        <v/>
      </c>
    </row>
    <row r="91">
      <c r="B91" s="52" t="n">
        <v>15</v>
      </c>
      <c r="C91" s="53">
        <f>IF($G90&lt;bx_N,($C90+$D90)/2,$C90)</f>
        <v/>
      </c>
      <c r="D91" s="53">
        <f>IF($G90&lt;bx_N,$D90,($C90+$D90)/2)</f>
        <v/>
      </c>
      <c r="E91" s="54">
        <f>IF($T91&gt;=1,$F91,3/7*bx_b+4/7*bx_b/MAX($T91,1E-12))</f>
        <v/>
      </c>
      <c r="F91" s="55">
        <f>bx_b*MIN((($C91+$D91)/2),1)</f>
        <v/>
      </c>
      <c r="G91" s="55">
        <f>(fcd_bx*bx_h*$F91*(3/7+4/7*(1-$T91^2/3))+SUMPRODUCT($J$73:$S$73,$J91:$S91))/1000</f>
        <v/>
      </c>
      <c r="H91" s="55">
        <f>(fcd_bx*bx_h*(3/14*$F91*(bx_b-3/7*$F91)+4/7*$F91*(bx_b/2-3/7*$F91)*(1-$T91^2/3)-16/49*$F91^2*(1/2-$T91^2/4))+SUMPRODUCT($J$73:$S$73,$J91:$S91,$J$74:$S$74))/1E6</f>
        <v/>
      </c>
      <c r="J91">
        <f>MAX(-fyd_bx,MIN(fyd_bx,200000*0.002*(1-$T91*(7*J$72-3*$F91)/(4*$F91))))-fcd_bx*(1-MIN(1,MAX(0,$T91*(7*J$72-3*$F91)/(4*$F91)))^2)</f>
        <v/>
      </c>
      <c r="K91">
        <f>MAX(-fyd_bx,MIN(fyd_bx,200000*0.002*(1-$T91*(7*K$72-3*$F91)/(4*$F91))))-fcd_bx*(1-MIN(1,MAX(0,$T91*(7*K$72-3*$F91)/(4*$F91)))^2)</f>
        <v/>
      </c>
      <c r="L91">
        <f>MAX(-fyd_bx,MIN(fyd_bx,200000*0.002*(1-$T91*(7*L$72-3*$F91)/(4*$F91))))-fcd_bx*(1-MIN(1,MAX(0,$T91*(7*L$72-3*$F91)/(4*$F91)))^2)</f>
        <v/>
      </c>
      <c r="M91">
        <f>MAX(-fyd_bx,MIN(fyd_bx,200000*0.002*(1-$T91*(7*M$72-3*$F91)/(4*$F91))))-fcd_bx*(1-MIN(1,MAX(0,$T91*(7*M$72-3*$F91)/(4*$F91)))^2)</f>
        <v/>
      </c>
      <c r="N91">
        <f>MAX(-fyd_bx,MIN(fyd_bx,200000*0.002*(1-$T91*(7*N$72-3*$F91)/(4*$F91))))-fcd_bx*(1-MIN(1,MAX(0,$T91*(7*N$72-3*$F91)/(4*$F91)))^2)</f>
        <v/>
      </c>
      <c r="O91">
        <f>MAX(-fyd_bx,MIN(fyd_bx,200000*0.002*(1-$T91*(7*O$72-3*$F91)/(4*$F91))))-fcd_bx*(1-MIN(1,MAX(0,$T91*(7*O$72-3*$F91)/(4*$F91)))^2)</f>
        <v/>
      </c>
      <c r="P91">
        <f>MAX(-fyd_bx,MIN(fyd_bx,200000*0.002*(1-$T91*(7*P$72-3*$F91)/(4*$F91))))-fcd_bx*(1-MIN(1,MAX(0,$T91*(7*P$72-3*$F91)/(4*$F91)))^2)</f>
        <v/>
      </c>
      <c r="Q91">
        <f>MAX(-fyd_bx,MIN(fyd_bx,200000*0.002*(1-$T91*(7*Q$72-3*$F91)/(4*$F91))))-fcd_bx*(1-MIN(1,MAX(0,$T91*(7*Q$72-3*$F91)/(4*$F91)))^2)</f>
        <v/>
      </c>
      <c r="R91">
        <f>MAX(-fyd_bx,MIN(fyd_bx,200000*0.002*(1-$T91*(7*R$72-3*$F91)/(4*$F91))))-fcd_bx*(1-MIN(1,MAX(0,$T91*(7*R$72-3*$F91)/(4*$F91)))^2)</f>
        <v/>
      </c>
      <c r="S91">
        <f>MAX(-fyd_bx,MIN(fyd_bx,200000*0.002*(1-$T91*(7*S$72-3*$F91)/(4*$F91))))-fcd_bx*(1-MIN(1,MAX(0,$T91*(7*S$72-3*$F91)/(4*$F91)))^2)</f>
        <v/>
      </c>
      <c r="T91">
        <f>MIN(1,2-(($C91+$D91)/2))</f>
        <v/>
      </c>
    </row>
    <row r="92">
      <c r="B92" s="52" t="n">
        <v>16</v>
      </c>
      <c r="C92" s="53">
        <f>IF($G91&lt;bx_N,($C91+$D91)/2,$C91)</f>
        <v/>
      </c>
      <c r="D92" s="53">
        <f>IF($G91&lt;bx_N,$D91,($C91+$D91)/2)</f>
        <v/>
      </c>
      <c r="E92" s="54">
        <f>IF($T92&gt;=1,$F92,3/7*bx_b+4/7*bx_b/MAX($T92,1E-12))</f>
        <v/>
      </c>
      <c r="F92" s="55">
        <f>bx_b*MIN((($C92+$D92)/2),1)</f>
        <v/>
      </c>
      <c r="G92" s="55">
        <f>(fcd_bx*bx_h*$F92*(3/7+4/7*(1-$T92^2/3))+SUMPRODUCT($J$73:$S$73,$J92:$S92))/1000</f>
        <v/>
      </c>
      <c r="H92" s="55">
        <f>(fcd_bx*bx_h*(3/14*$F92*(bx_b-3/7*$F92)+4/7*$F92*(bx_b/2-3/7*$F92)*(1-$T92^2/3)-16/49*$F92^2*(1/2-$T92^2/4))+SUMPRODUCT($J$73:$S$73,$J92:$S92,$J$74:$S$74))/1E6</f>
        <v/>
      </c>
      <c r="J92">
        <f>MAX(-fyd_bx,MIN(fyd_bx,200000*0.002*(1-$T92*(7*J$72-3*$F92)/(4*$F92))))-fcd_bx*(1-MIN(1,MAX(0,$T92*(7*J$72-3*$F92)/(4*$F92)))^2)</f>
        <v/>
      </c>
      <c r="K92">
        <f>MAX(-fyd_bx,MIN(fyd_bx,200000*0.002*(1-$T92*(7*K$72-3*$F92)/(4*$F92))))-fcd_bx*(1-MIN(1,MAX(0,$T92*(7*K$72-3*$F92)/(4*$F92)))^2)</f>
        <v/>
      </c>
      <c r="L92">
        <f>MAX(-fyd_bx,MIN(fyd_bx,200000*0.002*(1-$T92*(7*L$72-3*$F92)/(4*$F92))))-fcd_bx*(1-MIN(1,MAX(0,$T92*(7*L$72-3*$F92)/(4*$F92)))^2)</f>
        <v/>
      </c>
      <c r="M92">
        <f>MAX(-fyd_bx,MIN(fyd_bx,200000*0.002*(1-$T92*(7*M$72-3*$F92)/(4*$F92))))-fcd_bx*(1-MIN(1,MAX(0,$T92*(7*M$72-3*$F92)/(4*$F92)))^2)</f>
        <v/>
      </c>
      <c r="N92">
        <f>MAX(-fyd_bx,MIN(fyd_bx,200000*0.002*(1-$T92*(7*N$72-3*$F92)/(4*$F92))))-fcd_bx*(1-MIN(1,MAX(0,$T92*(7*N$72-3*$F92)/(4*$F92)))^2)</f>
        <v/>
      </c>
      <c r="O92">
        <f>MAX(-fyd_bx,MIN(fyd_bx,200000*0.002*(1-$T92*(7*O$72-3*$F92)/(4*$F92))))-fcd_bx*(1-MIN(1,MAX(0,$T92*(7*O$72-3*$F92)/(4*$F92)))^2)</f>
        <v/>
      </c>
      <c r="P92">
        <f>MAX(-fyd_bx,MIN(fyd_bx,200000*0.002*(1-$T92*(7*P$72-3*$F92)/(4*$F92))))-fcd_bx*(1-MIN(1,MAX(0,$T92*(7*P$72-3*$F92)/(4*$F92)))^2)</f>
        <v/>
      </c>
      <c r="Q92">
        <f>MAX(-fyd_bx,MIN(fyd_bx,200000*0.002*(1-$T92*(7*Q$72-3*$F92)/(4*$F92))))-fcd_bx*(1-MIN(1,MAX(0,$T92*(7*Q$72-3*$F92)/(4*$F92)))^2)</f>
        <v/>
      </c>
      <c r="R92">
        <f>MAX(-fyd_bx,MIN(fyd_bx,200000*0.002*(1-$T92*(7*R$72-3*$F92)/(4*$F92))))-fcd_bx*(1-MIN(1,MAX(0,$T92*(7*R$72-3*$F92)/(4*$F92)))^2)</f>
        <v/>
      </c>
      <c r="S92">
        <f>MAX(-fyd_bx,MIN(fyd_bx,200000*0.002*(1-$T92*(7*S$72-3*$F92)/(4*$F92))))-fcd_bx*(1-MIN(1,MAX(0,$T92*(7*S$72-3*$F92)/(4*$F92)))^2)</f>
        <v/>
      </c>
      <c r="T92">
        <f>MIN(1,2-(($C92+$D92)/2))</f>
        <v/>
      </c>
    </row>
    <row r="93">
      <c r="B93" s="52" t="n">
        <v>17</v>
      </c>
      <c r="C93" s="53">
        <f>IF($G92&lt;bx_N,($C92+$D92)/2,$C92)</f>
        <v/>
      </c>
      <c r="D93" s="53">
        <f>IF($G92&lt;bx_N,$D92,($C92+$D92)/2)</f>
        <v/>
      </c>
      <c r="E93" s="54">
        <f>IF($T93&gt;=1,$F93,3/7*bx_b+4/7*bx_b/MAX($T93,1E-12))</f>
        <v/>
      </c>
      <c r="F93" s="55">
        <f>bx_b*MIN((($C93+$D93)/2),1)</f>
        <v/>
      </c>
      <c r="G93" s="55">
        <f>(fcd_bx*bx_h*$F93*(3/7+4/7*(1-$T93^2/3))+SUMPRODUCT($J$73:$S$73,$J93:$S93))/1000</f>
        <v/>
      </c>
      <c r="H93" s="55">
        <f>(fcd_bx*bx_h*(3/14*$F93*(bx_b-3/7*$F93)+4/7*$F93*(bx_b/2-3/7*$F93)*(1-$T93^2/3)-16/49*$F93^2*(1/2-$T93^2/4))+SUMPRODUCT($J$73:$S$73,$J93:$S93,$J$74:$S$74))/1E6</f>
        <v/>
      </c>
      <c r="J93">
        <f>MAX(-fyd_bx,MIN(fyd_bx,200000*0.002*(1-$T93*(7*J$72-3*$F93)/(4*$F93))))-fcd_bx*(1-MIN(1,MAX(0,$T93*(7*J$72-3*$F93)/(4*$F93)))^2)</f>
        <v/>
      </c>
      <c r="K93">
        <f>MAX(-fyd_bx,MIN(fyd_bx,200000*0.002*(1-$T93*(7*K$72-3*$F93)/(4*$F93))))-fcd_bx*(1-MIN(1,MAX(0,$T93*(7*K$72-3*$F93)/(4*$F93)))^2)</f>
        <v/>
      </c>
      <c r="L93">
        <f>MAX(-fyd_bx,MIN(fyd_bx,200000*0.002*(1-$T93*(7*L$72-3*$F93)/(4*$F93))))-fcd_bx*(1-MIN(1,MAX(0,$T93*(7*L$72-3*$F93)/(4*$F93)))^2)</f>
        <v/>
      </c>
      <c r="M93">
        <f>MAX(-fyd_bx,MIN(fyd_bx,200000*0.002*(1-$T93*(7*M$72-3*$F93)/(4*$F93))))-fcd_bx*(1-MIN(1,MAX(0,$T93*(7*M$72-3*$F93)/(4*$F93)))^2)</f>
        <v/>
      </c>
      <c r="N93">
        <f>MAX(-fyd_bx,MIN(fyd_bx,200000*0.002*(1-$T93*(7*N$72-3*$F93)/(4*$F93))))-fcd_bx*(1-MIN(1,MAX(0,$T93*(7*N$72-3*$F93)/(4*$F93)))^2)</f>
        <v/>
      </c>
      <c r="O93">
        <f>MAX(-fyd_bx,MIN(fyd_bx,200000*0.002*(1-$T93*(7*O$72-3*$F93)/(4*$F93))))-fcd_bx*(1-MIN(1,MAX(0,$T93*(7*O$72-3*$F93)/(4*$F93)))^2)</f>
        <v/>
      </c>
      <c r="P93">
        <f>MAX(-fyd_bx,MIN(fyd_bx,200000*0.002*(1-$T93*(7*P$72-3*$F93)/(4*$F93))))-fcd_bx*(1-MIN(1,MAX(0,$T93*(7*P$72-3*$F93)/(4*$F93)))^2)</f>
        <v/>
      </c>
      <c r="Q93">
        <f>MAX(-fyd_bx,MIN(fyd_bx,200000*0.002*(1-$T93*(7*Q$72-3*$F93)/(4*$F93))))-fcd_bx*(1-MIN(1,MAX(0,$T93*(7*Q$72-3*$F93)/(4*$F93)))^2)</f>
        <v/>
      </c>
      <c r="R93">
        <f>MAX(-fyd_bx,MIN(fyd_bx,200000*0.002*(1-$T93*(7*R$72-3*$F93)/(4*$F93))))-fcd_bx*(1-MIN(1,MAX(0,$T93*(7*R$72-3*$F93)/(4*$F93)))^2)</f>
        <v/>
      </c>
      <c r="S93">
        <f>MAX(-fyd_bx,MIN(fyd_bx,200000*0.002*(1-$T93*(7*S$72-3*$F93)/(4*$F93))))-fcd_bx*(1-MIN(1,MAX(0,$T93*(7*S$72-3*$F93)/(4*$F93)))^2)</f>
        <v/>
      </c>
      <c r="T93">
        <f>MIN(1,2-(($C93+$D93)/2))</f>
        <v/>
      </c>
    </row>
    <row r="94">
      <c r="B94" s="52" t="n">
        <v>18</v>
      </c>
      <c r="C94" s="53">
        <f>IF($G93&lt;bx_N,($C93+$D93)/2,$C93)</f>
        <v/>
      </c>
      <c r="D94" s="53">
        <f>IF($G93&lt;bx_N,$D93,($C93+$D93)/2)</f>
        <v/>
      </c>
      <c r="E94" s="54">
        <f>IF($T94&gt;=1,$F94,3/7*bx_b+4/7*bx_b/MAX($T94,1E-12))</f>
        <v/>
      </c>
      <c r="F94" s="55">
        <f>bx_b*MIN((($C94+$D94)/2),1)</f>
        <v/>
      </c>
      <c r="G94" s="55">
        <f>(fcd_bx*bx_h*$F94*(3/7+4/7*(1-$T94^2/3))+SUMPRODUCT($J$73:$S$73,$J94:$S94))/1000</f>
        <v/>
      </c>
      <c r="H94" s="55">
        <f>(fcd_bx*bx_h*(3/14*$F94*(bx_b-3/7*$F94)+4/7*$F94*(bx_b/2-3/7*$F94)*(1-$T94^2/3)-16/49*$F94^2*(1/2-$T94^2/4))+SUMPRODUCT($J$73:$S$73,$J94:$S94,$J$74:$S$74))/1E6</f>
        <v/>
      </c>
      <c r="J94">
        <f>MAX(-fyd_bx,MIN(fyd_bx,200000*0.002*(1-$T94*(7*J$72-3*$F94)/(4*$F94))))-fcd_bx*(1-MIN(1,MAX(0,$T94*(7*J$72-3*$F94)/(4*$F94)))^2)</f>
        <v/>
      </c>
      <c r="K94">
        <f>MAX(-fyd_bx,MIN(fyd_bx,200000*0.002*(1-$T94*(7*K$72-3*$F94)/(4*$F94))))-fcd_bx*(1-MIN(1,MAX(0,$T94*(7*K$72-3*$F94)/(4*$F94)))^2)</f>
        <v/>
      </c>
      <c r="L94">
        <f>MAX(-fyd_bx,MIN(fyd_bx,200000*0.002*(1-$T94*(7*L$72-3*$F94)/(4*$F94))))-fcd_bx*(1-MIN(1,MAX(0,$T94*(7*L$72-3*$F94)/(4*$F94)))^2)</f>
        <v/>
      </c>
      <c r="M94">
        <f>MAX(-fyd_bx,MIN(fyd_bx,200000*0.002*(1-$T94*(7*M$72-3*$F94)/(4*$F94))))-fcd_bx*(1-MIN(1,MAX(0,$T94*(7*M$72-3*$F94)/(4*$F94)))^2)</f>
        <v/>
      </c>
      <c r="N94">
        <f>MAX(-fyd_bx,MIN(fyd_bx,200000*0.002*(1-$T94*(7*N$72-3*$F94)/(4*$F94))))-fcd_bx*(1-MIN(1,MAX(0,$T94*(7*N$72-3*$F94)/(4*$F94)))^2)</f>
        <v/>
      </c>
      <c r="O94">
        <f>MAX(-fyd_bx,MIN(fyd_bx,200000*0.002*(1-$T94*(7*O$72-3*$F94)/(4*$F94))))-fcd_bx*(1-MIN(1,MAX(0,$T94*(7*O$72-3*$F94)/(4*$F94)))^2)</f>
        <v/>
      </c>
      <c r="P94">
        <f>MAX(-fyd_bx,MIN(fyd_bx,200000*0.002*(1-$T94*(7*P$72-3*$F94)/(4*$F94))))-fcd_bx*(1-MIN(1,MAX(0,$T94*(7*P$72-3*$F94)/(4*$F94)))^2)</f>
        <v/>
      </c>
      <c r="Q94">
        <f>MAX(-fyd_bx,MIN(fyd_bx,200000*0.002*(1-$T94*(7*Q$72-3*$F94)/(4*$F94))))-fcd_bx*(1-MIN(1,MAX(0,$T94*(7*Q$72-3*$F94)/(4*$F94)))^2)</f>
        <v/>
      </c>
      <c r="R94">
        <f>MAX(-fyd_bx,MIN(fyd_bx,200000*0.002*(1-$T94*(7*R$72-3*$F94)/(4*$F94))))-fcd_bx*(1-MIN(1,MAX(0,$T94*(7*R$72-3*$F94)/(4*$F94)))^2)</f>
        <v/>
      </c>
      <c r="S94">
        <f>MAX(-fyd_bx,MIN(fyd_bx,200000*0.002*(1-$T94*(7*S$72-3*$F94)/(4*$F94))))-fcd_bx*(1-MIN(1,MAX(0,$T94*(7*S$72-3*$F94)/(4*$F94)))^2)</f>
        <v/>
      </c>
      <c r="T94">
        <f>MIN(1,2-(($C94+$D94)/2))</f>
        <v/>
      </c>
    </row>
    <row r="95">
      <c r="B95" s="52" t="n">
        <v>19</v>
      </c>
      <c r="C95" s="53">
        <f>IF($G94&lt;bx_N,($C94+$D94)/2,$C94)</f>
        <v/>
      </c>
      <c r="D95" s="53">
        <f>IF($G94&lt;bx_N,$D94,($C94+$D94)/2)</f>
        <v/>
      </c>
      <c r="E95" s="54">
        <f>IF($T95&gt;=1,$F95,3/7*bx_b+4/7*bx_b/MAX($T95,1E-12))</f>
        <v/>
      </c>
      <c r="F95" s="55">
        <f>bx_b*MIN((($C95+$D95)/2),1)</f>
        <v/>
      </c>
      <c r="G95" s="55">
        <f>(fcd_bx*bx_h*$F95*(3/7+4/7*(1-$T95^2/3))+SUMPRODUCT($J$73:$S$73,$J95:$S95))/1000</f>
        <v/>
      </c>
      <c r="H95" s="55">
        <f>(fcd_bx*bx_h*(3/14*$F95*(bx_b-3/7*$F95)+4/7*$F95*(bx_b/2-3/7*$F95)*(1-$T95^2/3)-16/49*$F95^2*(1/2-$T95^2/4))+SUMPRODUCT($J$73:$S$73,$J95:$S95,$J$74:$S$74))/1E6</f>
        <v/>
      </c>
      <c r="J95">
        <f>MAX(-fyd_bx,MIN(fyd_bx,200000*0.002*(1-$T95*(7*J$72-3*$F95)/(4*$F95))))-fcd_bx*(1-MIN(1,MAX(0,$T95*(7*J$72-3*$F95)/(4*$F95)))^2)</f>
        <v/>
      </c>
      <c r="K95">
        <f>MAX(-fyd_bx,MIN(fyd_bx,200000*0.002*(1-$T95*(7*K$72-3*$F95)/(4*$F95))))-fcd_bx*(1-MIN(1,MAX(0,$T95*(7*K$72-3*$F95)/(4*$F95)))^2)</f>
        <v/>
      </c>
      <c r="L95">
        <f>MAX(-fyd_bx,MIN(fyd_bx,200000*0.002*(1-$T95*(7*L$72-3*$F95)/(4*$F95))))-fcd_bx*(1-MIN(1,MAX(0,$T95*(7*L$72-3*$F95)/(4*$F95)))^2)</f>
        <v/>
      </c>
      <c r="M95">
        <f>MAX(-fyd_bx,MIN(fyd_bx,200000*0.002*(1-$T95*(7*M$72-3*$F95)/(4*$F95))))-fcd_bx*(1-MIN(1,MAX(0,$T95*(7*M$72-3*$F95)/(4*$F95)))^2)</f>
        <v/>
      </c>
      <c r="N95">
        <f>MAX(-fyd_bx,MIN(fyd_bx,200000*0.002*(1-$T95*(7*N$72-3*$F95)/(4*$F95))))-fcd_bx*(1-MIN(1,MAX(0,$T95*(7*N$72-3*$F95)/(4*$F95)))^2)</f>
        <v/>
      </c>
      <c r="O95">
        <f>MAX(-fyd_bx,MIN(fyd_bx,200000*0.002*(1-$T95*(7*O$72-3*$F95)/(4*$F95))))-fcd_bx*(1-MIN(1,MAX(0,$T95*(7*O$72-3*$F95)/(4*$F95)))^2)</f>
        <v/>
      </c>
      <c r="P95">
        <f>MAX(-fyd_bx,MIN(fyd_bx,200000*0.002*(1-$T95*(7*P$72-3*$F95)/(4*$F95))))-fcd_bx*(1-MIN(1,MAX(0,$T95*(7*P$72-3*$F95)/(4*$F95)))^2)</f>
        <v/>
      </c>
      <c r="Q95">
        <f>MAX(-fyd_bx,MIN(fyd_bx,200000*0.002*(1-$T95*(7*Q$72-3*$F95)/(4*$F95))))-fcd_bx*(1-MIN(1,MAX(0,$T95*(7*Q$72-3*$F95)/(4*$F95)))^2)</f>
        <v/>
      </c>
      <c r="R95">
        <f>MAX(-fyd_bx,MIN(fyd_bx,200000*0.002*(1-$T95*(7*R$72-3*$F95)/(4*$F95))))-fcd_bx*(1-MIN(1,MAX(0,$T95*(7*R$72-3*$F95)/(4*$F95)))^2)</f>
        <v/>
      </c>
      <c r="S95">
        <f>MAX(-fyd_bx,MIN(fyd_bx,200000*0.002*(1-$T95*(7*S$72-3*$F95)/(4*$F95))))-fcd_bx*(1-MIN(1,MAX(0,$T95*(7*S$72-3*$F95)/(4*$F95)))^2)</f>
        <v/>
      </c>
      <c r="T95">
        <f>MIN(1,2-(($C95+$D95)/2))</f>
        <v/>
      </c>
    </row>
    <row r="96">
      <c r="B96" s="52" t="n">
        <v>20</v>
      </c>
      <c r="C96" s="53">
        <f>IF($G95&lt;bx_N,($C95+$D95)/2,$C95)</f>
        <v/>
      </c>
      <c r="D96" s="53">
        <f>IF($G95&lt;bx_N,$D95,($C95+$D95)/2)</f>
        <v/>
      </c>
      <c r="E96" s="54">
        <f>IF($T96&gt;=1,$F96,3/7*bx_b+4/7*bx_b/MAX($T96,1E-12))</f>
        <v/>
      </c>
      <c r="F96" s="55">
        <f>bx_b*MIN((($C96+$D96)/2),1)</f>
        <v/>
      </c>
      <c r="G96" s="55">
        <f>(fcd_bx*bx_h*$F96*(3/7+4/7*(1-$T96^2/3))+SUMPRODUCT($J$73:$S$73,$J96:$S96))/1000</f>
        <v/>
      </c>
      <c r="H96" s="55">
        <f>(fcd_bx*bx_h*(3/14*$F96*(bx_b-3/7*$F96)+4/7*$F96*(bx_b/2-3/7*$F96)*(1-$T96^2/3)-16/49*$F96^2*(1/2-$T96^2/4))+SUMPRODUCT($J$73:$S$73,$J96:$S96,$J$74:$S$74))/1E6</f>
        <v/>
      </c>
      <c r="J96">
        <f>MAX(-fyd_bx,MIN(fyd_bx,200000*0.002*(1-$T96*(7*J$72-3*$F96)/(4*$F96))))-fcd_bx*(1-MIN(1,MAX(0,$T96*(7*J$72-3*$F96)/(4*$F96)))^2)</f>
        <v/>
      </c>
      <c r="K96">
        <f>MAX(-fyd_bx,MIN(fyd_bx,200000*0.002*(1-$T96*(7*K$72-3*$F96)/(4*$F96))))-fcd_bx*(1-MIN(1,MAX(0,$T96*(7*K$72-3*$F96)/(4*$F96)))^2)</f>
        <v/>
      </c>
      <c r="L96">
        <f>MAX(-fyd_bx,MIN(fyd_bx,200000*0.002*(1-$T96*(7*L$72-3*$F96)/(4*$F96))))-fcd_bx*(1-MIN(1,MAX(0,$T96*(7*L$72-3*$F96)/(4*$F96)))^2)</f>
        <v/>
      </c>
      <c r="M96">
        <f>MAX(-fyd_bx,MIN(fyd_bx,200000*0.002*(1-$T96*(7*M$72-3*$F96)/(4*$F96))))-fcd_bx*(1-MIN(1,MAX(0,$T96*(7*M$72-3*$F96)/(4*$F96)))^2)</f>
        <v/>
      </c>
      <c r="N96">
        <f>MAX(-fyd_bx,MIN(fyd_bx,200000*0.002*(1-$T96*(7*N$72-3*$F96)/(4*$F96))))-fcd_bx*(1-MIN(1,MAX(0,$T96*(7*N$72-3*$F96)/(4*$F96)))^2)</f>
        <v/>
      </c>
      <c r="O96">
        <f>MAX(-fyd_bx,MIN(fyd_bx,200000*0.002*(1-$T96*(7*O$72-3*$F96)/(4*$F96))))-fcd_bx*(1-MIN(1,MAX(0,$T96*(7*O$72-3*$F96)/(4*$F96)))^2)</f>
        <v/>
      </c>
      <c r="P96">
        <f>MAX(-fyd_bx,MIN(fyd_bx,200000*0.002*(1-$T96*(7*P$72-3*$F96)/(4*$F96))))-fcd_bx*(1-MIN(1,MAX(0,$T96*(7*P$72-3*$F96)/(4*$F96)))^2)</f>
        <v/>
      </c>
      <c r="Q96">
        <f>MAX(-fyd_bx,MIN(fyd_bx,200000*0.002*(1-$T96*(7*Q$72-3*$F96)/(4*$F96))))-fcd_bx*(1-MIN(1,MAX(0,$T96*(7*Q$72-3*$F96)/(4*$F96)))^2)</f>
        <v/>
      </c>
      <c r="R96">
        <f>MAX(-fyd_bx,MIN(fyd_bx,200000*0.002*(1-$T96*(7*R$72-3*$F96)/(4*$F96))))-fcd_bx*(1-MIN(1,MAX(0,$T96*(7*R$72-3*$F96)/(4*$F96)))^2)</f>
        <v/>
      </c>
      <c r="S96">
        <f>MAX(-fyd_bx,MIN(fyd_bx,200000*0.002*(1-$T96*(7*S$72-3*$F96)/(4*$F96))))-fcd_bx*(1-MIN(1,MAX(0,$T96*(7*S$72-3*$F96)/(4*$F96)))^2)</f>
        <v/>
      </c>
      <c r="T96">
        <f>MIN(1,2-(($C96+$D96)/2))</f>
        <v/>
      </c>
    </row>
    <row r="97">
      <c r="B97" s="52" t="n">
        <v>21</v>
      </c>
      <c r="C97" s="53">
        <f>IF($G96&lt;bx_N,($C96+$D96)/2,$C96)</f>
        <v/>
      </c>
      <c r="D97" s="53">
        <f>IF($G96&lt;bx_N,$D96,($C96+$D96)/2)</f>
        <v/>
      </c>
      <c r="E97" s="54">
        <f>IF($T97&gt;=1,$F97,3/7*bx_b+4/7*bx_b/MAX($T97,1E-12))</f>
        <v/>
      </c>
      <c r="F97" s="55">
        <f>bx_b*MIN((($C97+$D97)/2),1)</f>
        <v/>
      </c>
      <c r="G97" s="55">
        <f>(fcd_bx*bx_h*$F97*(3/7+4/7*(1-$T97^2/3))+SUMPRODUCT($J$73:$S$73,$J97:$S97))/1000</f>
        <v/>
      </c>
      <c r="H97" s="55">
        <f>(fcd_bx*bx_h*(3/14*$F97*(bx_b-3/7*$F97)+4/7*$F97*(bx_b/2-3/7*$F97)*(1-$T97^2/3)-16/49*$F97^2*(1/2-$T97^2/4))+SUMPRODUCT($J$73:$S$73,$J97:$S97,$J$74:$S$74))/1E6</f>
        <v/>
      </c>
      <c r="J97">
        <f>MAX(-fyd_bx,MIN(fyd_bx,200000*0.002*(1-$T97*(7*J$72-3*$F97)/(4*$F97))))-fcd_bx*(1-MIN(1,MAX(0,$T97*(7*J$72-3*$F97)/(4*$F97)))^2)</f>
        <v/>
      </c>
      <c r="K97">
        <f>MAX(-fyd_bx,MIN(fyd_bx,200000*0.002*(1-$T97*(7*K$72-3*$F97)/(4*$F97))))-fcd_bx*(1-MIN(1,MAX(0,$T97*(7*K$72-3*$F97)/(4*$F97)))^2)</f>
        <v/>
      </c>
      <c r="L97">
        <f>MAX(-fyd_bx,MIN(fyd_bx,200000*0.002*(1-$T97*(7*L$72-3*$F97)/(4*$F97))))-fcd_bx*(1-MIN(1,MAX(0,$T97*(7*L$72-3*$F97)/(4*$F97)))^2)</f>
        <v/>
      </c>
      <c r="M97">
        <f>MAX(-fyd_bx,MIN(fyd_bx,200000*0.002*(1-$T97*(7*M$72-3*$F97)/(4*$F97))))-fcd_bx*(1-MIN(1,MAX(0,$T97*(7*M$72-3*$F97)/(4*$F97)))^2)</f>
        <v/>
      </c>
      <c r="N97">
        <f>MAX(-fyd_bx,MIN(fyd_bx,200000*0.002*(1-$T97*(7*N$72-3*$F97)/(4*$F97))))-fcd_bx*(1-MIN(1,MAX(0,$T97*(7*N$72-3*$F97)/(4*$F97)))^2)</f>
        <v/>
      </c>
      <c r="O97">
        <f>MAX(-fyd_bx,MIN(fyd_bx,200000*0.002*(1-$T97*(7*O$72-3*$F97)/(4*$F97))))-fcd_bx*(1-MIN(1,MAX(0,$T97*(7*O$72-3*$F97)/(4*$F97)))^2)</f>
        <v/>
      </c>
      <c r="P97">
        <f>MAX(-fyd_bx,MIN(fyd_bx,200000*0.002*(1-$T97*(7*P$72-3*$F97)/(4*$F97))))-fcd_bx*(1-MIN(1,MAX(0,$T97*(7*P$72-3*$F97)/(4*$F97)))^2)</f>
        <v/>
      </c>
      <c r="Q97">
        <f>MAX(-fyd_bx,MIN(fyd_bx,200000*0.002*(1-$T97*(7*Q$72-3*$F97)/(4*$F97))))-fcd_bx*(1-MIN(1,MAX(0,$T97*(7*Q$72-3*$F97)/(4*$F97)))^2)</f>
        <v/>
      </c>
      <c r="R97">
        <f>MAX(-fyd_bx,MIN(fyd_bx,200000*0.002*(1-$T97*(7*R$72-3*$F97)/(4*$F97))))-fcd_bx*(1-MIN(1,MAX(0,$T97*(7*R$72-3*$F97)/(4*$F97)))^2)</f>
        <v/>
      </c>
      <c r="S97">
        <f>MAX(-fyd_bx,MIN(fyd_bx,200000*0.002*(1-$T97*(7*S$72-3*$F97)/(4*$F97))))-fcd_bx*(1-MIN(1,MAX(0,$T97*(7*S$72-3*$F97)/(4*$F97)))^2)</f>
        <v/>
      </c>
      <c r="T97">
        <f>MIN(1,2-(($C97+$D97)/2))</f>
        <v/>
      </c>
    </row>
    <row r="98">
      <c r="B98" s="52" t="n">
        <v>22</v>
      </c>
      <c r="C98" s="53">
        <f>IF($G97&lt;bx_N,($C97+$D97)/2,$C97)</f>
        <v/>
      </c>
      <c r="D98" s="53">
        <f>IF($G97&lt;bx_N,$D97,($C97+$D97)/2)</f>
        <v/>
      </c>
      <c r="E98" s="54">
        <f>IF($T98&gt;=1,$F98,3/7*bx_b+4/7*bx_b/MAX($T98,1E-12))</f>
        <v/>
      </c>
      <c r="F98" s="55">
        <f>bx_b*MIN((($C98+$D98)/2),1)</f>
        <v/>
      </c>
      <c r="G98" s="55">
        <f>(fcd_bx*bx_h*$F98*(3/7+4/7*(1-$T98^2/3))+SUMPRODUCT($J$73:$S$73,$J98:$S98))/1000</f>
        <v/>
      </c>
      <c r="H98" s="55">
        <f>(fcd_bx*bx_h*(3/14*$F98*(bx_b-3/7*$F98)+4/7*$F98*(bx_b/2-3/7*$F98)*(1-$T98^2/3)-16/49*$F98^2*(1/2-$T98^2/4))+SUMPRODUCT($J$73:$S$73,$J98:$S98,$J$74:$S$74))/1E6</f>
        <v/>
      </c>
      <c r="J98">
        <f>MAX(-fyd_bx,MIN(fyd_bx,200000*0.002*(1-$T98*(7*J$72-3*$F98)/(4*$F98))))-fcd_bx*(1-MIN(1,MAX(0,$T98*(7*J$72-3*$F98)/(4*$F98)))^2)</f>
        <v/>
      </c>
      <c r="K98">
        <f>MAX(-fyd_bx,MIN(fyd_bx,200000*0.002*(1-$T98*(7*K$72-3*$F98)/(4*$F98))))-fcd_bx*(1-MIN(1,MAX(0,$T98*(7*K$72-3*$F98)/(4*$F98)))^2)</f>
        <v/>
      </c>
      <c r="L98">
        <f>MAX(-fyd_bx,MIN(fyd_bx,200000*0.002*(1-$T98*(7*L$72-3*$F98)/(4*$F98))))-fcd_bx*(1-MIN(1,MAX(0,$T98*(7*L$72-3*$F98)/(4*$F98)))^2)</f>
        <v/>
      </c>
      <c r="M98">
        <f>MAX(-fyd_bx,MIN(fyd_bx,200000*0.002*(1-$T98*(7*M$72-3*$F98)/(4*$F98))))-fcd_bx*(1-MIN(1,MAX(0,$T98*(7*M$72-3*$F98)/(4*$F98)))^2)</f>
        <v/>
      </c>
      <c r="N98">
        <f>MAX(-fyd_bx,MIN(fyd_bx,200000*0.002*(1-$T98*(7*N$72-3*$F98)/(4*$F98))))-fcd_bx*(1-MIN(1,MAX(0,$T98*(7*N$72-3*$F98)/(4*$F98)))^2)</f>
        <v/>
      </c>
      <c r="O98">
        <f>MAX(-fyd_bx,MIN(fyd_bx,200000*0.002*(1-$T98*(7*O$72-3*$F98)/(4*$F98))))-fcd_bx*(1-MIN(1,MAX(0,$T98*(7*O$72-3*$F98)/(4*$F98)))^2)</f>
        <v/>
      </c>
      <c r="P98">
        <f>MAX(-fyd_bx,MIN(fyd_bx,200000*0.002*(1-$T98*(7*P$72-3*$F98)/(4*$F98))))-fcd_bx*(1-MIN(1,MAX(0,$T98*(7*P$72-3*$F98)/(4*$F98)))^2)</f>
        <v/>
      </c>
      <c r="Q98">
        <f>MAX(-fyd_bx,MIN(fyd_bx,200000*0.002*(1-$T98*(7*Q$72-3*$F98)/(4*$F98))))-fcd_bx*(1-MIN(1,MAX(0,$T98*(7*Q$72-3*$F98)/(4*$F98)))^2)</f>
        <v/>
      </c>
      <c r="R98">
        <f>MAX(-fyd_bx,MIN(fyd_bx,200000*0.002*(1-$T98*(7*R$72-3*$F98)/(4*$F98))))-fcd_bx*(1-MIN(1,MAX(0,$T98*(7*R$72-3*$F98)/(4*$F98)))^2)</f>
        <v/>
      </c>
      <c r="S98">
        <f>MAX(-fyd_bx,MIN(fyd_bx,200000*0.002*(1-$T98*(7*S$72-3*$F98)/(4*$F98))))-fcd_bx*(1-MIN(1,MAX(0,$T98*(7*S$72-3*$F98)/(4*$F98)))^2)</f>
        <v/>
      </c>
      <c r="T98">
        <f>MIN(1,2-(($C98+$D98)/2))</f>
        <v/>
      </c>
    </row>
    <row r="99">
      <c r="B99" s="52" t="n">
        <v>23</v>
      </c>
      <c r="C99" s="53">
        <f>IF($G98&lt;bx_N,($C98+$D98)/2,$C98)</f>
        <v/>
      </c>
      <c r="D99" s="53">
        <f>IF($G98&lt;bx_N,$D98,($C98+$D98)/2)</f>
        <v/>
      </c>
      <c r="E99" s="54">
        <f>IF($T99&gt;=1,$F99,3/7*bx_b+4/7*bx_b/MAX($T99,1E-12))</f>
        <v/>
      </c>
      <c r="F99" s="55">
        <f>bx_b*MIN((($C99+$D99)/2),1)</f>
        <v/>
      </c>
      <c r="G99" s="55">
        <f>(fcd_bx*bx_h*$F99*(3/7+4/7*(1-$T99^2/3))+SUMPRODUCT($J$73:$S$73,$J99:$S99))/1000</f>
        <v/>
      </c>
      <c r="H99" s="55">
        <f>(fcd_bx*bx_h*(3/14*$F99*(bx_b-3/7*$F99)+4/7*$F99*(bx_b/2-3/7*$F99)*(1-$T99^2/3)-16/49*$F99^2*(1/2-$T99^2/4))+SUMPRODUCT($J$73:$S$73,$J99:$S99,$J$74:$S$74))/1E6</f>
        <v/>
      </c>
      <c r="J99">
        <f>MAX(-fyd_bx,MIN(fyd_bx,200000*0.002*(1-$T99*(7*J$72-3*$F99)/(4*$F99))))-fcd_bx*(1-MIN(1,MAX(0,$T99*(7*J$72-3*$F99)/(4*$F99)))^2)</f>
        <v/>
      </c>
      <c r="K99">
        <f>MAX(-fyd_bx,MIN(fyd_bx,200000*0.002*(1-$T99*(7*K$72-3*$F99)/(4*$F99))))-fcd_bx*(1-MIN(1,MAX(0,$T99*(7*K$72-3*$F99)/(4*$F99)))^2)</f>
        <v/>
      </c>
      <c r="L99">
        <f>MAX(-fyd_bx,MIN(fyd_bx,200000*0.002*(1-$T99*(7*L$72-3*$F99)/(4*$F99))))-fcd_bx*(1-MIN(1,MAX(0,$T99*(7*L$72-3*$F99)/(4*$F99)))^2)</f>
        <v/>
      </c>
      <c r="M99">
        <f>MAX(-fyd_bx,MIN(fyd_bx,200000*0.002*(1-$T99*(7*M$72-3*$F99)/(4*$F99))))-fcd_bx*(1-MIN(1,MAX(0,$T99*(7*M$72-3*$F99)/(4*$F99)))^2)</f>
        <v/>
      </c>
      <c r="N99">
        <f>MAX(-fyd_bx,MIN(fyd_bx,200000*0.002*(1-$T99*(7*N$72-3*$F99)/(4*$F99))))-fcd_bx*(1-MIN(1,MAX(0,$T99*(7*N$72-3*$F99)/(4*$F99)))^2)</f>
        <v/>
      </c>
      <c r="O99">
        <f>MAX(-fyd_bx,MIN(fyd_bx,200000*0.002*(1-$T99*(7*O$72-3*$F99)/(4*$F99))))-fcd_bx*(1-MIN(1,MAX(0,$T99*(7*O$72-3*$F99)/(4*$F99)))^2)</f>
        <v/>
      </c>
      <c r="P99">
        <f>MAX(-fyd_bx,MIN(fyd_bx,200000*0.002*(1-$T99*(7*P$72-3*$F99)/(4*$F99))))-fcd_bx*(1-MIN(1,MAX(0,$T99*(7*P$72-3*$F99)/(4*$F99)))^2)</f>
        <v/>
      </c>
      <c r="Q99">
        <f>MAX(-fyd_bx,MIN(fyd_bx,200000*0.002*(1-$T99*(7*Q$72-3*$F99)/(4*$F99))))-fcd_bx*(1-MIN(1,MAX(0,$T99*(7*Q$72-3*$F99)/(4*$F99)))^2)</f>
        <v/>
      </c>
      <c r="R99">
        <f>MAX(-fyd_bx,MIN(fyd_bx,200000*0.002*(1-$T99*(7*R$72-3*$F99)/(4*$F99))))-fcd_bx*(1-MIN(1,MAX(0,$T99*(7*R$72-3*$F99)/(4*$F99)))^2)</f>
        <v/>
      </c>
      <c r="S99">
        <f>MAX(-fyd_bx,MIN(fyd_bx,200000*0.002*(1-$T99*(7*S$72-3*$F99)/(4*$F99))))-fcd_bx*(1-MIN(1,MAX(0,$T99*(7*S$72-3*$F99)/(4*$F99)))^2)</f>
        <v/>
      </c>
      <c r="T99">
        <f>MIN(1,2-(($C99+$D99)/2))</f>
        <v/>
      </c>
    </row>
    <row r="100">
      <c r="B100" s="52" t="n">
        <v>24</v>
      </c>
      <c r="C100" s="53">
        <f>IF($G99&lt;bx_N,($C99+$D99)/2,$C99)</f>
        <v/>
      </c>
      <c r="D100" s="53">
        <f>IF($G99&lt;bx_N,$D99,($C99+$D99)/2)</f>
        <v/>
      </c>
      <c r="E100" s="54">
        <f>IF($T100&gt;=1,$F100,3/7*bx_b+4/7*bx_b/MAX($T100,1E-12))</f>
        <v/>
      </c>
      <c r="F100" s="55">
        <f>bx_b*MIN((($C100+$D100)/2),1)</f>
        <v/>
      </c>
      <c r="G100" s="55">
        <f>(fcd_bx*bx_h*$F100*(3/7+4/7*(1-$T100^2/3))+SUMPRODUCT($J$73:$S$73,$J100:$S100))/1000</f>
        <v/>
      </c>
      <c r="H100" s="55">
        <f>(fcd_bx*bx_h*(3/14*$F100*(bx_b-3/7*$F100)+4/7*$F100*(bx_b/2-3/7*$F100)*(1-$T100^2/3)-16/49*$F100^2*(1/2-$T100^2/4))+SUMPRODUCT($J$73:$S$73,$J100:$S100,$J$74:$S$74))/1E6</f>
        <v/>
      </c>
      <c r="J100">
        <f>MAX(-fyd_bx,MIN(fyd_bx,200000*0.002*(1-$T100*(7*J$72-3*$F100)/(4*$F100))))-fcd_bx*(1-MIN(1,MAX(0,$T100*(7*J$72-3*$F100)/(4*$F100)))^2)</f>
        <v/>
      </c>
      <c r="K100">
        <f>MAX(-fyd_bx,MIN(fyd_bx,200000*0.002*(1-$T100*(7*K$72-3*$F100)/(4*$F100))))-fcd_bx*(1-MIN(1,MAX(0,$T100*(7*K$72-3*$F100)/(4*$F100)))^2)</f>
        <v/>
      </c>
      <c r="L100">
        <f>MAX(-fyd_bx,MIN(fyd_bx,200000*0.002*(1-$T100*(7*L$72-3*$F100)/(4*$F100))))-fcd_bx*(1-MIN(1,MAX(0,$T100*(7*L$72-3*$F100)/(4*$F100)))^2)</f>
        <v/>
      </c>
      <c r="M100">
        <f>MAX(-fyd_bx,MIN(fyd_bx,200000*0.002*(1-$T100*(7*M$72-3*$F100)/(4*$F100))))-fcd_bx*(1-MIN(1,MAX(0,$T100*(7*M$72-3*$F100)/(4*$F100)))^2)</f>
        <v/>
      </c>
      <c r="N100">
        <f>MAX(-fyd_bx,MIN(fyd_bx,200000*0.002*(1-$T100*(7*N$72-3*$F100)/(4*$F100))))-fcd_bx*(1-MIN(1,MAX(0,$T100*(7*N$72-3*$F100)/(4*$F100)))^2)</f>
        <v/>
      </c>
      <c r="O100">
        <f>MAX(-fyd_bx,MIN(fyd_bx,200000*0.002*(1-$T100*(7*O$72-3*$F100)/(4*$F100))))-fcd_bx*(1-MIN(1,MAX(0,$T100*(7*O$72-3*$F100)/(4*$F100)))^2)</f>
        <v/>
      </c>
      <c r="P100">
        <f>MAX(-fyd_bx,MIN(fyd_bx,200000*0.002*(1-$T100*(7*P$72-3*$F100)/(4*$F100))))-fcd_bx*(1-MIN(1,MAX(0,$T100*(7*P$72-3*$F100)/(4*$F100)))^2)</f>
        <v/>
      </c>
      <c r="Q100">
        <f>MAX(-fyd_bx,MIN(fyd_bx,200000*0.002*(1-$T100*(7*Q$72-3*$F100)/(4*$F100))))-fcd_bx*(1-MIN(1,MAX(0,$T100*(7*Q$72-3*$F100)/(4*$F100)))^2)</f>
        <v/>
      </c>
      <c r="R100">
        <f>MAX(-fyd_bx,MIN(fyd_bx,200000*0.002*(1-$T100*(7*R$72-3*$F100)/(4*$F100))))-fcd_bx*(1-MIN(1,MAX(0,$T100*(7*R$72-3*$F100)/(4*$F100)))^2)</f>
        <v/>
      </c>
      <c r="S100">
        <f>MAX(-fyd_bx,MIN(fyd_bx,200000*0.002*(1-$T100*(7*S$72-3*$F100)/(4*$F100))))-fcd_bx*(1-MIN(1,MAX(0,$T100*(7*S$72-3*$F100)/(4*$F100)))^2)</f>
        <v/>
      </c>
      <c r="T100">
        <f>MIN(1,2-(($C100+$D100)/2))</f>
        <v/>
      </c>
    </row>
    <row r="101">
      <c r="B101" s="52" t="n">
        <v>25</v>
      </c>
      <c r="C101" s="53">
        <f>IF($G100&lt;bx_N,($C100+$D100)/2,$C100)</f>
        <v/>
      </c>
      <c r="D101" s="53">
        <f>IF($G100&lt;bx_N,$D100,($C100+$D100)/2)</f>
        <v/>
      </c>
      <c r="E101" s="54">
        <f>IF($T101&gt;=1,$F101,3/7*bx_b+4/7*bx_b/MAX($T101,1E-12))</f>
        <v/>
      </c>
      <c r="F101" s="55">
        <f>bx_b*MIN((($C101+$D101)/2),1)</f>
        <v/>
      </c>
      <c r="G101" s="55">
        <f>(fcd_bx*bx_h*$F101*(3/7+4/7*(1-$T101^2/3))+SUMPRODUCT($J$73:$S$73,$J101:$S101))/1000</f>
        <v/>
      </c>
      <c r="H101" s="55">
        <f>(fcd_bx*bx_h*(3/14*$F101*(bx_b-3/7*$F101)+4/7*$F101*(bx_b/2-3/7*$F101)*(1-$T101^2/3)-16/49*$F101^2*(1/2-$T101^2/4))+SUMPRODUCT($J$73:$S$73,$J101:$S101,$J$74:$S$74))/1E6</f>
        <v/>
      </c>
      <c r="J101">
        <f>MAX(-fyd_bx,MIN(fyd_bx,200000*0.002*(1-$T101*(7*J$72-3*$F101)/(4*$F101))))-fcd_bx*(1-MIN(1,MAX(0,$T101*(7*J$72-3*$F101)/(4*$F101)))^2)</f>
        <v/>
      </c>
      <c r="K101">
        <f>MAX(-fyd_bx,MIN(fyd_bx,200000*0.002*(1-$T101*(7*K$72-3*$F101)/(4*$F101))))-fcd_bx*(1-MIN(1,MAX(0,$T101*(7*K$72-3*$F101)/(4*$F101)))^2)</f>
        <v/>
      </c>
      <c r="L101">
        <f>MAX(-fyd_bx,MIN(fyd_bx,200000*0.002*(1-$T101*(7*L$72-3*$F101)/(4*$F101))))-fcd_bx*(1-MIN(1,MAX(0,$T101*(7*L$72-3*$F101)/(4*$F101)))^2)</f>
        <v/>
      </c>
      <c r="M101">
        <f>MAX(-fyd_bx,MIN(fyd_bx,200000*0.002*(1-$T101*(7*M$72-3*$F101)/(4*$F101))))-fcd_bx*(1-MIN(1,MAX(0,$T101*(7*M$72-3*$F101)/(4*$F101)))^2)</f>
        <v/>
      </c>
      <c r="N101">
        <f>MAX(-fyd_bx,MIN(fyd_bx,200000*0.002*(1-$T101*(7*N$72-3*$F101)/(4*$F101))))-fcd_bx*(1-MIN(1,MAX(0,$T101*(7*N$72-3*$F101)/(4*$F101)))^2)</f>
        <v/>
      </c>
      <c r="O101">
        <f>MAX(-fyd_bx,MIN(fyd_bx,200000*0.002*(1-$T101*(7*O$72-3*$F101)/(4*$F101))))-fcd_bx*(1-MIN(1,MAX(0,$T101*(7*O$72-3*$F101)/(4*$F101)))^2)</f>
        <v/>
      </c>
      <c r="P101">
        <f>MAX(-fyd_bx,MIN(fyd_bx,200000*0.002*(1-$T101*(7*P$72-3*$F101)/(4*$F101))))-fcd_bx*(1-MIN(1,MAX(0,$T101*(7*P$72-3*$F101)/(4*$F101)))^2)</f>
        <v/>
      </c>
      <c r="Q101">
        <f>MAX(-fyd_bx,MIN(fyd_bx,200000*0.002*(1-$T101*(7*Q$72-3*$F101)/(4*$F101))))-fcd_bx*(1-MIN(1,MAX(0,$T101*(7*Q$72-3*$F101)/(4*$F101)))^2)</f>
        <v/>
      </c>
      <c r="R101">
        <f>MAX(-fyd_bx,MIN(fyd_bx,200000*0.002*(1-$T101*(7*R$72-3*$F101)/(4*$F101))))-fcd_bx*(1-MIN(1,MAX(0,$T101*(7*R$72-3*$F101)/(4*$F101)))^2)</f>
        <v/>
      </c>
      <c r="S101">
        <f>MAX(-fyd_bx,MIN(fyd_bx,200000*0.002*(1-$T101*(7*S$72-3*$F101)/(4*$F101))))-fcd_bx*(1-MIN(1,MAX(0,$T101*(7*S$72-3*$F101)/(4*$F101)))^2)</f>
        <v/>
      </c>
      <c r="T101">
        <f>MIN(1,2-(($C101+$D101)/2))</f>
        <v/>
      </c>
    </row>
    <row r="102">
      <c r="B102" s="52" t="n">
        <v>26</v>
      </c>
      <c r="C102" s="53">
        <f>IF($G101&lt;bx_N,($C101+$D101)/2,$C101)</f>
        <v/>
      </c>
      <c r="D102" s="53">
        <f>IF($G101&lt;bx_N,$D101,($C101+$D101)/2)</f>
        <v/>
      </c>
      <c r="E102" s="54">
        <f>IF($T102&gt;=1,$F102,3/7*bx_b+4/7*bx_b/MAX($T102,1E-12))</f>
        <v/>
      </c>
      <c r="F102" s="55">
        <f>bx_b*MIN((($C102+$D102)/2),1)</f>
        <v/>
      </c>
      <c r="G102" s="55">
        <f>(fcd_bx*bx_h*$F102*(3/7+4/7*(1-$T102^2/3))+SUMPRODUCT($J$73:$S$73,$J102:$S102))/1000</f>
        <v/>
      </c>
      <c r="H102" s="55">
        <f>(fcd_bx*bx_h*(3/14*$F102*(bx_b-3/7*$F102)+4/7*$F102*(bx_b/2-3/7*$F102)*(1-$T102^2/3)-16/49*$F102^2*(1/2-$T102^2/4))+SUMPRODUCT($J$73:$S$73,$J102:$S102,$J$74:$S$74))/1E6</f>
        <v/>
      </c>
      <c r="J102">
        <f>MAX(-fyd_bx,MIN(fyd_bx,200000*0.002*(1-$T102*(7*J$72-3*$F102)/(4*$F102))))-fcd_bx*(1-MIN(1,MAX(0,$T102*(7*J$72-3*$F102)/(4*$F102)))^2)</f>
        <v/>
      </c>
      <c r="K102">
        <f>MAX(-fyd_bx,MIN(fyd_bx,200000*0.002*(1-$T102*(7*K$72-3*$F102)/(4*$F102))))-fcd_bx*(1-MIN(1,MAX(0,$T102*(7*K$72-3*$F102)/(4*$F102)))^2)</f>
        <v/>
      </c>
      <c r="L102">
        <f>MAX(-fyd_bx,MIN(fyd_bx,200000*0.002*(1-$T102*(7*L$72-3*$F102)/(4*$F102))))-fcd_bx*(1-MIN(1,MAX(0,$T102*(7*L$72-3*$F102)/(4*$F102)))^2)</f>
        <v/>
      </c>
      <c r="M102">
        <f>MAX(-fyd_bx,MIN(fyd_bx,200000*0.002*(1-$T102*(7*M$72-3*$F102)/(4*$F102))))-fcd_bx*(1-MIN(1,MAX(0,$T102*(7*M$72-3*$F102)/(4*$F102)))^2)</f>
        <v/>
      </c>
      <c r="N102">
        <f>MAX(-fyd_bx,MIN(fyd_bx,200000*0.002*(1-$T102*(7*N$72-3*$F102)/(4*$F102))))-fcd_bx*(1-MIN(1,MAX(0,$T102*(7*N$72-3*$F102)/(4*$F102)))^2)</f>
        <v/>
      </c>
      <c r="O102">
        <f>MAX(-fyd_bx,MIN(fyd_bx,200000*0.002*(1-$T102*(7*O$72-3*$F102)/(4*$F102))))-fcd_bx*(1-MIN(1,MAX(0,$T102*(7*O$72-3*$F102)/(4*$F102)))^2)</f>
        <v/>
      </c>
      <c r="P102">
        <f>MAX(-fyd_bx,MIN(fyd_bx,200000*0.002*(1-$T102*(7*P$72-3*$F102)/(4*$F102))))-fcd_bx*(1-MIN(1,MAX(0,$T102*(7*P$72-3*$F102)/(4*$F102)))^2)</f>
        <v/>
      </c>
      <c r="Q102">
        <f>MAX(-fyd_bx,MIN(fyd_bx,200000*0.002*(1-$T102*(7*Q$72-3*$F102)/(4*$F102))))-fcd_bx*(1-MIN(1,MAX(0,$T102*(7*Q$72-3*$F102)/(4*$F102)))^2)</f>
        <v/>
      </c>
      <c r="R102">
        <f>MAX(-fyd_bx,MIN(fyd_bx,200000*0.002*(1-$T102*(7*R$72-3*$F102)/(4*$F102))))-fcd_bx*(1-MIN(1,MAX(0,$T102*(7*R$72-3*$F102)/(4*$F102)))^2)</f>
        <v/>
      </c>
      <c r="S102">
        <f>MAX(-fyd_bx,MIN(fyd_bx,200000*0.002*(1-$T102*(7*S$72-3*$F102)/(4*$F102))))-fcd_bx*(1-MIN(1,MAX(0,$T102*(7*S$72-3*$F102)/(4*$F102)))^2)</f>
        <v/>
      </c>
      <c r="T102">
        <f>MIN(1,2-(($C102+$D102)/2))</f>
        <v/>
      </c>
    </row>
    <row r="103">
      <c r="B103" s="52" t="n">
        <v>27</v>
      </c>
      <c r="C103" s="53">
        <f>IF($G102&lt;bx_N,($C102+$D102)/2,$C102)</f>
        <v/>
      </c>
      <c r="D103" s="53">
        <f>IF($G102&lt;bx_N,$D102,($C102+$D102)/2)</f>
        <v/>
      </c>
      <c r="E103" s="54">
        <f>IF($T103&gt;=1,$F103,3/7*bx_b+4/7*bx_b/MAX($T103,1E-12))</f>
        <v/>
      </c>
      <c r="F103" s="55">
        <f>bx_b*MIN((($C103+$D103)/2),1)</f>
        <v/>
      </c>
      <c r="G103" s="55">
        <f>(fcd_bx*bx_h*$F103*(3/7+4/7*(1-$T103^2/3))+SUMPRODUCT($J$73:$S$73,$J103:$S103))/1000</f>
        <v/>
      </c>
      <c r="H103" s="55">
        <f>(fcd_bx*bx_h*(3/14*$F103*(bx_b-3/7*$F103)+4/7*$F103*(bx_b/2-3/7*$F103)*(1-$T103^2/3)-16/49*$F103^2*(1/2-$T103^2/4))+SUMPRODUCT($J$73:$S$73,$J103:$S103,$J$74:$S$74))/1E6</f>
        <v/>
      </c>
      <c r="J103">
        <f>MAX(-fyd_bx,MIN(fyd_bx,200000*0.002*(1-$T103*(7*J$72-3*$F103)/(4*$F103))))-fcd_bx*(1-MIN(1,MAX(0,$T103*(7*J$72-3*$F103)/(4*$F103)))^2)</f>
        <v/>
      </c>
      <c r="K103">
        <f>MAX(-fyd_bx,MIN(fyd_bx,200000*0.002*(1-$T103*(7*K$72-3*$F103)/(4*$F103))))-fcd_bx*(1-MIN(1,MAX(0,$T103*(7*K$72-3*$F103)/(4*$F103)))^2)</f>
        <v/>
      </c>
      <c r="L103">
        <f>MAX(-fyd_bx,MIN(fyd_bx,200000*0.002*(1-$T103*(7*L$72-3*$F103)/(4*$F103))))-fcd_bx*(1-MIN(1,MAX(0,$T103*(7*L$72-3*$F103)/(4*$F103)))^2)</f>
        <v/>
      </c>
      <c r="M103">
        <f>MAX(-fyd_bx,MIN(fyd_bx,200000*0.002*(1-$T103*(7*M$72-3*$F103)/(4*$F103))))-fcd_bx*(1-MIN(1,MAX(0,$T103*(7*M$72-3*$F103)/(4*$F103)))^2)</f>
        <v/>
      </c>
      <c r="N103">
        <f>MAX(-fyd_bx,MIN(fyd_bx,200000*0.002*(1-$T103*(7*N$72-3*$F103)/(4*$F103))))-fcd_bx*(1-MIN(1,MAX(0,$T103*(7*N$72-3*$F103)/(4*$F103)))^2)</f>
        <v/>
      </c>
      <c r="O103">
        <f>MAX(-fyd_bx,MIN(fyd_bx,200000*0.002*(1-$T103*(7*O$72-3*$F103)/(4*$F103))))-fcd_bx*(1-MIN(1,MAX(0,$T103*(7*O$72-3*$F103)/(4*$F103)))^2)</f>
        <v/>
      </c>
      <c r="P103">
        <f>MAX(-fyd_bx,MIN(fyd_bx,200000*0.002*(1-$T103*(7*P$72-3*$F103)/(4*$F103))))-fcd_bx*(1-MIN(1,MAX(0,$T103*(7*P$72-3*$F103)/(4*$F103)))^2)</f>
        <v/>
      </c>
      <c r="Q103">
        <f>MAX(-fyd_bx,MIN(fyd_bx,200000*0.002*(1-$T103*(7*Q$72-3*$F103)/(4*$F103))))-fcd_bx*(1-MIN(1,MAX(0,$T103*(7*Q$72-3*$F103)/(4*$F103)))^2)</f>
        <v/>
      </c>
      <c r="R103">
        <f>MAX(-fyd_bx,MIN(fyd_bx,200000*0.002*(1-$T103*(7*R$72-3*$F103)/(4*$F103))))-fcd_bx*(1-MIN(1,MAX(0,$T103*(7*R$72-3*$F103)/(4*$F103)))^2)</f>
        <v/>
      </c>
      <c r="S103">
        <f>MAX(-fyd_bx,MIN(fyd_bx,200000*0.002*(1-$T103*(7*S$72-3*$F103)/(4*$F103))))-fcd_bx*(1-MIN(1,MAX(0,$T103*(7*S$72-3*$F103)/(4*$F103)))^2)</f>
        <v/>
      </c>
      <c r="T103">
        <f>MIN(1,2-(($C103+$D103)/2))</f>
        <v/>
      </c>
    </row>
    <row r="104">
      <c r="B104" s="52" t="n">
        <v>28</v>
      </c>
      <c r="C104" s="53">
        <f>IF($G103&lt;bx_N,($C103+$D103)/2,$C103)</f>
        <v/>
      </c>
      <c r="D104" s="53">
        <f>IF($G103&lt;bx_N,$D103,($C103+$D103)/2)</f>
        <v/>
      </c>
      <c r="E104" s="54">
        <f>IF($T104&gt;=1,$F104,3/7*bx_b+4/7*bx_b/MAX($T104,1E-12))</f>
        <v/>
      </c>
      <c r="F104" s="55">
        <f>bx_b*MIN((($C104+$D104)/2),1)</f>
        <v/>
      </c>
      <c r="G104" s="55">
        <f>(fcd_bx*bx_h*$F104*(3/7+4/7*(1-$T104^2/3))+SUMPRODUCT($J$73:$S$73,$J104:$S104))/1000</f>
        <v/>
      </c>
      <c r="H104" s="55">
        <f>(fcd_bx*bx_h*(3/14*$F104*(bx_b-3/7*$F104)+4/7*$F104*(bx_b/2-3/7*$F104)*(1-$T104^2/3)-16/49*$F104^2*(1/2-$T104^2/4))+SUMPRODUCT($J$73:$S$73,$J104:$S104,$J$74:$S$74))/1E6</f>
        <v/>
      </c>
      <c r="J104">
        <f>MAX(-fyd_bx,MIN(fyd_bx,200000*0.002*(1-$T104*(7*J$72-3*$F104)/(4*$F104))))-fcd_bx*(1-MIN(1,MAX(0,$T104*(7*J$72-3*$F104)/(4*$F104)))^2)</f>
        <v/>
      </c>
      <c r="K104">
        <f>MAX(-fyd_bx,MIN(fyd_bx,200000*0.002*(1-$T104*(7*K$72-3*$F104)/(4*$F104))))-fcd_bx*(1-MIN(1,MAX(0,$T104*(7*K$72-3*$F104)/(4*$F104)))^2)</f>
        <v/>
      </c>
      <c r="L104">
        <f>MAX(-fyd_bx,MIN(fyd_bx,200000*0.002*(1-$T104*(7*L$72-3*$F104)/(4*$F104))))-fcd_bx*(1-MIN(1,MAX(0,$T104*(7*L$72-3*$F104)/(4*$F104)))^2)</f>
        <v/>
      </c>
      <c r="M104">
        <f>MAX(-fyd_bx,MIN(fyd_bx,200000*0.002*(1-$T104*(7*M$72-3*$F104)/(4*$F104))))-fcd_bx*(1-MIN(1,MAX(0,$T104*(7*M$72-3*$F104)/(4*$F104)))^2)</f>
        <v/>
      </c>
      <c r="N104">
        <f>MAX(-fyd_bx,MIN(fyd_bx,200000*0.002*(1-$T104*(7*N$72-3*$F104)/(4*$F104))))-fcd_bx*(1-MIN(1,MAX(0,$T104*(7*N$72-3*$F104)/(4*$F104)))^2)</f>
        <v/>
      </c>
      <c r="O104">
        <f>MAX(-fyd_bx,MIN(fyd_bx,200000*0.002*(1-$T104*(7*O$72-3*$F104)/(4*$F104))))-fcd_bx*(1-MIN(1,MAX(0,$T104*(7*O$72-3*$F104)/(4*$F104)))^2)</f>
        <v/>
      </c>
      <c r="P104">
        <f>MAX(-fyd_bx,MIN(fyd_bx,200000*0.002*(1-$T104*(7*P$72-3*$F104)/(4*$F104))))-fcd_bx*(1-MIN(1,MAX(0,$T104*(7*P$72-3*$F104)/(4*$F104)))^2)</f>
        <v/>
      </c>
      <c r="Q104">
        <f>MAX(-fyd_bx,MIN(fyd_bx,200000*0.002*(1-$T104*(7*Q$72-3*$F104)/(4*$F104))))-fcd_bx*(1-MIN(1,MAX(0,$T104*(7*Q$72-3*$F104)/(4*$F104)))^2)</f>
        <v/>
      </c>
      <c r="R104">
        <f>MAX(-fyd_bx,MIN(fyd_bx,200000*0.002*(1-$T104*(7*R$72-3*$F104)/(4*$F104))))-fcd_bx*(1-MIN(1,MAX(0,$T104*(7*R$72-3*$F104)/(4*$F104)))^2)</f>
        <v/>
      </c>
      <c r="S104">
        <f>MAX(-fyd_bx,MIN(fyd_bx,200000*0.002*(1-$T104*(7*S$72-3*$F104)/(4*$F104))))-fcd_bx*(1-MIN(1,MAX(0,$T104*(7*S$72-3*$F104)/(4*$F104)))^2)</f>
        <v/>
      </c>
      <c r="T104">
        <f>MIN(1,2-(($C104+$D104)/2))</f>
        <v/>
      </c>
    </row>
    <row r="105">
      <c r="B105" s="52" t="n">
        <v>29</v>
      </c>
      <c r="C105" s="53">
        <f>IF($G104&lt;bx_N,($C104+$D104)/2,$C104)</f>
        <v/>
      </c>
      <c r="D105" s="53">
        <f>IF($G104&lt;bx_N,$D104,($C104+$D104)/2)</f>
        <v/>
      </c>
      <c r="E105" s="54">
        <f>IF($T105&gt;=1,$F105,3/7*bx_b+4/7*bx_b/MAX($T105,1E-12))</f>
        <v/>
      </c>
      <c r="F105" s="55">
        <f>bx_b*MIN((($C105+$D105)/2),1)</f>
        <v/>
      </c>
      <c r="G105" s="55">
        <f>(fcd_bx*bx_h*$F105*(3/7+4/7*(1-$T105^2/3))+SUMPRODUCT($J$73:$S$73,$J105:$S105))/1000</f>
        <v/>
      </c>
      <c r="H105" s="55">
        <f>(fcd_bx*bx_h*(3/14*$F105*(bx_b-3/7*$F105)+4/7*$F105*(bx_b/2-3/7*$F105)*(1-$T105^2/3)-16/49*$F105^2*(1/2-$T105^2/4))+SUMPRODUCT($J$73:$S$73,$J105:$S105,$J$74:$S$74))/1E6</f>
        <v/>
      </c>
      <c r="J105">
        <f>MAX(-fyd_bx,MIN(fyd_bx,200000*0.002*(1-$T105*(7*J$72-3*$F105)/(4*$F105))))-fcd_bx*(1-MIN(1,MAX(0,$T105*(7*J$72-3*$F105)/(4*$F105)))^2)</f>
        <v/>
      </c>
      <c r="K105">
        <f>MAX(-fyd_bx,MIN(fyd_bx,200000*0.002*(1-$T105*(7*K$72-3*$F105)/(4*$F105))))-fcd_bx*(1-MIN(1,MAX(0,$T105*(7*K$72-3*$F105)/(4*$F105)))^2)</f>
        <v/>
      </c>
      <c r="L105">
        <f>MAX(-fyd_bx,MIN(fyd_bx,200000*0.002*(1-$T105*(7*L$72-3*$F105)/(4*$F105))))-fcd_bx*(1-MIN(1,MAX(0,$T105*(7*L$72-3*$F105)/(4*$F105)))^2)</f>
        <v/>
      </c>
      <c r="M105">
        <f>MAX(-fyd_bx,MIN(fyd_bx,200000*0.002*(1-$T105*(7*M$72-3*$F105)/(4*$F105))))-fcd_bx*(1-MIN(1,MAX(0,$T105*(7*M$72-3*$F105)/(4*$F105)))^2)</f>
        <v/>
      </c>
      <c r="N105">
        <f>MAX(-fyd_bx,MIN(fyd_bx,200000*0.002*(1-$T105*(7*N$72-3*$F105)/(4*$F105))))-fcd_bx*(1-MIN(1,MAX(0,$T105*(7*N$72-3*$F105)/(4*$F105)))^2)</f>
        <v/>
      </c>
      <c r="O105">
        <f>MAX(-fyd_bx,MIN(fyd_bx,200000*0.002*(1-$T105*(7*O$72-3*$F105)/(4*$F105))))-fcd_bx*(1-MIN(1,MAX(0,$T105*(7*O$72-3*$F105)/(4*$F105)))^2)</f>
        <v/>
      </c>
      <c r="P105">
        <f>MAX(-fyd_bx,MIN(fyd_bx,200000*0.002*(1-$T105*(7*P$72-3*$F105)/(4*$F105))))-fcd_bx*(1-MIN(1,MAX(0,$T105*(7*P$72-3*$F105)/(4*$F105)))^2)</f>
        <v/>
      </c>
      <c r="Q105">
        <f>MAX(-fyd_bx,MIN(fyd_bx,200000*0.002*(1-$T105*(7*Q$72-3*$F105)/(4*$F105))))-fcd_bx*(1-MIN(1,MAX(0,$T105*(7*Q$72-3*$F105)/(4*$F105)))^2)</f>
        <v/>
      </c>
      <c r="R105">
        <f>MAX(-fyd_bx,MIN(fyd_bx,200000*0.002*(1-$T105*(7*R$72-3*$F105)/(4*$F105))))-fcd_bx*(1-MIN(1,MAX(0,$T105*(7*R$72-3*$F105)/(4*$F105)))^2)</f>
        <v/>
      </c>
      <c r="S105">
        <f>MAX(-fyd_bx,MIN(fyd_bx,200000*0.002*(1-$T105*(7*S$72-3*$F105)/(4*$F105))))-fcd_bx*(1-MIN(1,MAX(0,$T105*(7*S$72-3*$F105)/(4*$F105)))^2)</f>
        <v/>
      </c>
      <c r="T105">
        <f>MIN(1,2-(($C105+$D105)/2))</f>
        <v/>
      </c>
    </row>
    <row r="106">
      <c r="B106" s="52" t="n">
        <v>30</v>
      </c>
      <c r="C106" s="53">
        <f>IF($G105&lt;bx_N,($C105+$D105)/2,$C105)</f>
        <v/>
      </c>
      <c r="D106" s="53">
        <f>IF($G105&lt;bx_N,$D105,($C105+$D105)/2)</f>
        <v/>
      </c>
      <c r="E106" s="54">
        <f>IF($T106&gt;=1,$F106,3/7*bx_b+4/7*bx_b/MAX($T106,1E-12))</f>
        <v/>
      </c>
      <c r="F106" s="55">
        <f>bx_b*MIN((($C106+$D106)/2),1)</f>
        <v/>
      </c>
      <c r="G106" s="55">
        <f>(fcd_bx*bx_h*$F106*(3/7+4/7*(1-$T106^2/3))+SUMPRODUCT($J$73:$S$73,$J106:$S106))/1000</f>
        <v/>
      </c>
      <c r="H106" s="55">
        <f>(fcd_bx*bx_h*(3/14*$F106*(bx_b-3/7*$F106)+4/7*$F106*(bx_b/2-3/7*$F106)*(1-$T106^2/3)-16/49*$F106^2*(1/2-$T106^2/4))+SUMPRODUCT($J$73:$S$73,$J106:$S106,$J$74:$S$74))/1E6</f>
        <v/>
      </c>
      <c r="J106">
        <f>MAX(-fyd_bx,MIN(fyd_bx,200000*0.002*(1-$T106*(7*J$72-3*$F106)/(4*$F106))))-fcd_bx*(1-MIN(1,MAX(0,$T106*(7*J$72-3*$F106)/(4*$F106)))^2)</f>
        <v/>
      </c>
      <c r="K106">
        <f>MAX(-fyd_bx,MIN(fyd_bx,200000*0.002*(1-$T106*(7*K$72-3*$F106)/(4*$F106))))-fcd_bx*(1-MIN(1,MAX(0,$T106*(7*K$72-3*$F106)/(4*$F106)))^2)</f>
        <v/>
      </c>
      <c r="L106">
        <f>MAX(-fyd_bx,MIN(fyd_bx,200000*0.002*(1-$T106*(7*L$72-3*$F106)/(4*$F106))))-fcd_bx*(1-MIN(1,MAX(0,$T106*(7*L$72-3*$F106)/(4*$F106)))^2)</f>
        <v/>
      </c>
      <c r="M106">
        <f>MAX(-fyd_bx,MIN(fyd_bx,200000*0.002*(1-$T106*(7*M$72-3*$F106)/(4*$F106))))-fcd_bx*(1-MIN(1,MAX(0,$T106*(7*M$72-3*$F106)/(4*$F106)))^2)</f>
        <v/>
      </c>
      <c r="N106">
        <f>MAX(-fyd_bx,MIN(fyd_bx,200000*0.002*(1-$T106*(7*N$72-3*$F106)/(4*$F106))))-fcd_bx*(1-MIN(1,MAX(0,$T106*(7*N$72-3*$F106)/(4*$F106)))^2)</f>
        <v/>
      </c>
      <c r="O106">
        <f>MAX(-fyd_bx,MIN(fyd_bx,200000*0.002*(1-$T106*(7*O$72-3*$F106)/(4*$F106))))-fcd_bx*(1-MIN(1,MAX(0,$T106*(7*O$72-3*$F106)/(4*$F106)))^2)</f>
        <v/>
      </c>
      <c r="P106">
        <f>MAX(-fyd_bx,MIN(fyd_bx,200000*0.002*(1-$T106*(7*P$72-3*$F106)/(4*$F106))))-fcd_bx*(1-MIN(1,MAX(0,$T106*(7*P$72-3*$F106)/(4*$F106)))^2)</f>
        <v/>
      </c>
      <c r="Q106">
        <f>MAX(-fyd_bx,MIN(fyd_bx,200000*0.002*(1-$T106*(7*Q$72-3*$F106)/(4*$F106))))-fcd_bx*(1-MIN(1,MAX(0,$T106*(7*Q$72-3*$F106)/(4*$F106)))^2)</f>
        <v/>
      </c>
      <c r="R106">
        <f>MAX(-fyd_bx,MIN(fyd_bx,200000*0.002*(1-$T106*(7*R$72-3*$F106)/(4*$F106))))-fcd_bx*(1-MIN(1,MAX(0,$T106*(7*R$72-3*$F106)/(4*$F106)))^2)</f>
        <v/>
      </c>
      <c r="S106">
        <f>MAX(-fyd_bx,MIN(fyd_bx,200000*0.002*(1-$T106*(7*S$72-3*$F106)/(4*$F106))))-fcd_bx*(1-MIN(1,MAX(0,$T106*(7*S$72-3*$F106)/(4*$F106)))^2)</f>
        <v/>
      </c>
      <c r="T106">
        <f>MIN(1,2-(($C106+$D106)/2))</f>
        <v/>
      </c>
    </row>
    <row r="107">
      <c r="B107" s="52" t="n">
        <v>31</v>
      </c>
      <c r="C107" s="53">
        <f>IF($G106&lt;bx_N,($C106+$D106)/2,$C106)</f>
        <v/>
      </c>
      <c r="D107" s="53">
        <f>IF($G106&lt;bx_N,$D106,($C106+$D106)/2)</f>
        <v/>
      </c>
      <c r="E107" s="54">
        <f>IF($T107&gt;=1,$F107,3/7*bx_b+4/7*bx_b/MAX($T107,1E-12))</f>
        <v/>
      </c>
      <c r="F107" s="55">
        <f>bx_b*MIN((($C107+$D107)/2),1)</f>
        <v/>
      </c>
      <c r="G107" s="55">
        <f>(fcd_bx*bx_h*$F107*(3/7+4/7*(1-$T107^2/3))+SUMPRODUCT($J$73:$S$73,$J107:$S107))/1000</f>
        <v/>
      </c>
      <c r="H107" s="55">
        <f>(fcd_bx*bx_h*(3/14*$F107*(bx_b-3/7*$F107)+4/7*$F107*(bx_b/2-3/7*$F107)*(1-$T107^2/3)-16/49*$F107^2*(1/2-$T107^2/4))+SUMPRODUCT($J$73:$S$73,$J107:$S107,$J$74:$S$74))/1E6</f>
        <v/>
      </c>
      <c r="J107">
        <f>MAX(-fyd_bx,MIN(fyd_bx,200000*0.002*(1-$T107*(7*J$72-3*$F107)/(4*$F107))))-fcd_bx*(1-MIN(1,MAX(0,$T107*(7*J$72-3*$F107)/(4*$F107)))^2)</f>
        <v/>
      </c>
      <c r="K107">
        <f>MAX(-fyd_bx,MIN(fyd_bx,200000*0.002*(1-$T107*(7*K$72-3*$F107)/(4*$F107))))-fcd_bx*(1-MIN(1,MAX(0,$T107*(7*K$72-3*$F107)/(4*$F107)))^2)</f>
        <v/>
      </c>
      <c r="L107">
        <f>MAX(-fyd_bx,MIN(fyd_bx,200000*0.002*(1-$T107*(7*L$72-3*$F107)/(4*$F107))))-fcd_bx*(1-MIN(1,MAX(0,$T107*(7*L$72-3*$F107)/(4*$F107)))^2)</f>
        <v/>
      </c>
      <c r="M107">
        <f>MAX(-fyd_bx,MIN(fyd_bx,200000*0.002*(1-$T107*(7*M$72-3*$F107)/(4*$F107))))-fcd_bx*(1-MIN(1,MAX(0,$T107*(7*M$72-3*$F107)/(4*$F107)))^2)</f>
        <v/>
      </c>
      <c r="N107">
        <f>MAX(-fyd_bx,MIN(fyd_bx,200000*0.002*(1-$T107*(7*N$72-3*$F107)/(4*$F107))))-fcd_bx*(1-MIN(1,MAX(0,$T107*(7*N$72-3*$F107)/(4*$F107)))^2)</f>
        <v/>
      </c>
      <c r="O107">
        <f>MAX(-fyd_bx,MIN(fyd_bx,200000*0.002*(1-$T107*(7*O$72-3*$F107)/(4*$F107))))-fcd_bx*(1-MIN(1,MAX(0,$T107*(7*O$72-3*$F107)/(4*$F107)))^2)</f>
        <v/>
      </c>
      <c r="P107">
        <f>MAX(-fyd_bx,MIN(fyd_bx,200000*0.002*(1-$T107*(7*P$72-3*$F107)/(4*$F107))))-fcd_bx*(1-MIN(1,MAX(0,$T107*(7*P$72-3*$F107)/(4*$F107)))^2)</f>
        <v/>
      </c>
      <c r="Q107">
        <f>MAX(-fyd_bx,MIN(fyd_bx,200000*0.002*(1-$T107*(7*Q$72-3*$F107)/(4*$F107))))-fcd_bx*(1-MIN(1,MAX(0,$T107*(7*Q$72-3*$F107)/(4*$F107)))^2)</f>
        <v/>
      </c>
      <c r="R107">
        <f>MAX(-fyd_bx,MIN(fyd_bx,200000*0.002*(1-$T107*(7*R$72-3*$F107)/(4*$F107))))-fcd_bx*(1-MIN(1,MAX(0,$T107*(7*R$72-3*$F107)/(4*$F107)))^2)</f>
        <v/>
      </c>
      <c r="S107">
        <f>MAX(-fyd_bx,MIN(fyd_bx,200000*0.002*(1-$T107*(7*S$72-3*$F107)/(4*$F107))))-fcd_bx*(1-MIN(1,MAX(0,$T107*(7*S$72-3*$F107)/(4*$F107)))^2)</f>
        <v/>
      </c>
      <c r="T107">
        <f>MIN(1,2-(($C107+$D107)/2))</f>
        <v/>
      </c>
    </row>
    <row r="108">
      <c r="B108" s="52" t="n">
        <v>32</v>
      </c>
      <c r="C108" s="53">
        <f>IF($G107&lt;bx_N,($C107+$D107)/2,$C107)</f>
        <v/>
      </c>
      <c r="D108" s="53">
        <f>IF($G107&lt;bx_N,$D107,($C107+$D107)/2)</f>
        <v/>
      </c>
      <c r="E108" s="54">
        <f>IF($T108&gt;=1,$F108,3/7*bx_b+4/7*bx_b/MAX($T108,1E-12))</f>
        <v/>
      </c>
      <c r="F108" s="55">
        <f>bx_b*MIN((($C108+$D108)/2),1)</f>
        <v/>
      </c>
      <c r="G108" s="55">
        <f>(fcd_bx*bx_h*$F108*(3/7+4/7*(1-$T108^2/3))+SUMPRODUCT($J$73:$S$73,$J108:$S108))/1000</f>
        <v/>
      </c>
      <c r="H108" s="55">
        <f>(fcd_bx*bx_h*(3/14*$F108*(bx_b-3/7*$F108)+4/7*$F108*(bx_b/2-3/7*$F108)*(1-$T108^2/3)-16/49*$F108^2*(1/2-$T108^2/4))+SUMPRODUCT($J$73:$S$73,$J108:$S108,$J$74:$S$74))/1E6</f>
        <v/>
      </c>
      <c r="J108">
        <f>MAX(-fyd_bx,MIN(fyd_bx,200000*0.002*(1-$T108*(7*J$72-3*$F108)/(4*$F108))))-fcd_bx*(1-MIN(1,MAX(0,$T108*(7*J$72-3*$F108)/(4*$F108)))^2)</f>
        <v/>
      </c>
      <c r="K108">
        <f>MAX(-fyd_bx,MIN(fyd_bx,200000*0.002*(1-$T108*(7*K$72-3*$F108)/(4*$F108))))-fcd_bx*(1-MIN(1,MAX(0,$T108*(7*K$72-3*$F108)/(4*$F108)))^2)</f>
        <v/>
      </c>
      <c r="L108">
        <f>MAX(-fyd_bx,MIN(fyd_bx,200000*0.002*(1-$T108*(7*L$72-3*$F108)/(4*$F108))))-fcd_bx*(1-MIN(1,MAX(0,$T108*(7*L$72-3*$F108)/(4*$F108)))^2)</f>
        <v/>
      </c>
      <c r="M108">
        <f>MAX(-fyd_bx,MIN(fyd_bx,200000*0.002*(1-$T108*(7*M$72-3*$F108)/(4*$F108))))-fcd_bx*(1-MIN(1,MAX(0,$T108*(7*M$72-3*$F108)/(4*$F108)))^2)</f>
        <v/>
      </c>
      <c r="N108">
        <f>MAX(-fyd_bx,MIN(fyd_bx,200000*0.002*(1-$T108*(7*N$72-3*$F108)/(4*$F108))))-fcd_bx*(1-MIN(1,MAX(0,$T108*(7*N$72-3*$F108)/(4*$F108)))^2)</f>
        <v/>
      </c>
      <c r="O108">
        <f>MAX(-fyd_bx,MIN(fyd_bx,200000*0.002*(1-$T108*(7*O$72-3*$F108)/(4*$F108))))-fcd_bx*(1-MIN(1,MAX(0,$T108*(7*O$72-3*$F108)/(4*$F108)))^2)</f>
        <v/>
      </c>
      <c r="P108">
        <f>MAX(-fyd_bx,MIN(fyd_bx,200000*0.002*(1-$T108*(7*P$72-3*$F108)/(4*$F108))))-fcd_bx*(1-MIN(1,MAX(0,$T108*(7*P$72-3*$F108)/(4*$F108)))^2)</f>
        <v/>
      </c>
      <c r="Q108">
        <f>MAX(-fyd_bx,MIN(fyd_bx,200000*0.002*(1-$T108*(7*Q$72-3*$F108)/(4*$F108))))-fcd_bx*(1-MIN(1,MAX(0,$T108*(7*Q$72-3*$F108)/(4*$F108)))^2)</f>
        <v/>
      </c>
      <c r="R108">
        <f>MAX(-fyd_bx,MIN(fyd_bx,200000*0.002*(1-$T108*(7*R$72-3*$F108)/(4*$F108))))-fcd_bx*(1-MIN(1,MAX(0,$T108*(7*R$72-3*$F108)/(4*$F108)))^2)</f>
        <v/>
      </c>
      <c r="S108">
        <f>MAX(-fyd_bx,MIN(fyd_bx,200000*0.002*(1-$T108*(7*S$72-3*$F108)/(4*$F108))))-fcd_bx*(1-MIN(1,MAX(0,$T108*(7*S$72-3*$F108)/(4*$F108)))^2)</f>
        <v/>
      </c>
      <c r="T108">
        <f>MIN(1,2-(($C108+$D108)/2))</f>
        <v/>
      </c>
    </row>
    <row r="109">
      <c r="B109" s="52" t="n">
        <v>33</v>
      </c>
      <c r="C109" s="53">
        <f>IF($G108&lt;bx_N,($C108+$D108)/2,$C108)</f>
        <v/>
      </c>
      <c r="D109" s="53">
        <f>IF($G108&lt;bx_N,$D108,($C108+$D108)/2)</f>
        <v/>
      </c>
      <c r="E109" s="54">
        <f>IF($T109&gt;=1,$F109,3/7*bx_b+4/7*bx_b/MAX($T109,1E-12))</f>
        <v/>
      </c>
      <c r="F109" s="55">
        <f>bx_b*MIN((($C109+$D109)/2),1)</f>
        <v/>
      </c>
      <c r="G109" s="55">
        <f>(fcd_bx*bx_h*$F109*(3/7+4/7*(1-$T109^2/3))+SUMPRODUCT($J$73:$S$73,$J109:$S109))/1000</f>
        <v/>
      </c>
      <c r="H109" s="55">
        <f>(fcd_bx*bx_h*(3/14*$F109*(bx_b-3/7*$F109)+4/7*$F109*(bx_b/2-3/7*$F109)*(1-$T109^2/3)-16/49*$F109^2*(1/2-$T109^2/4))+SUMPRODUCT($J$73:$S$73,$J109:$S109,$J$74:$S$74))/1E6</f>
        <v/>
      </c>
      <c r="J109">
        <f>MAX(-fyd_bx,MIN(fyd_bx,200000*0.002*(1-$T109*(7*J$72-3*$F109)/(4*$F109))))-fcd_bx*(1-MIN(1,MAX(0,$T109*(7*J$72-3*$F109)/(4*$F109)))^2)</f>
        <v/>
      </c>
      <c r="K109">
        <f>MAX(-fyd_bx,MIN(fyd_bx,200000*0.002*(1-$T109*(7*K$72-3*$F109)/(4*$F109))))-fcd_bx*(1-MIN(1,MAX(0,$T109*(7*K$72-3*$F109)/(4*$F109)))^2)</f>
        <v/>
      </c>
      <c r="L109">
        <f>MAX(-fyd_bx,MIN(fyd_bx,200000*0.002*(1-$T109*(7*L$72-3*$F109)/(4*$F109))))-fcd_bx*(1-MIN(1,MAX(0,$T109*(7*L$72-3*$F109)/(4*$F109)))^2)</f>
        <v/>
      </c>
      <c r="M109">
        <f>MAX(-fyd_bx,MIN(fyd_bx,200000*0.002*(1-$T109*(7*M$72-3*$F109)/(4*$F109))))-fcd_bx*(1-MIN(1,MAX(0,$T109*(7*M$72-3*$F109)/(4*$F109)))^2)</f>
        <v/>
      </c>
      <c r="N109">
        <f>MAX(-fyd_bx,MIN(fyd_bx,200000*0.002*(1-$T109*(7*N$72-3*$F109)/(4*$F109))))-fcd_bx*(1-MIN(1,MAX(0,$T109*(7*N$72-3*$F109)/(4*$F109)))^2)</f>
        <v/>
      </c>
      <c r="O109">
        <f>MAX(-fyd_bx,MIN(fyd_bx,200000*0.002*(1-$T109*(7*O$72-3*$F109)/(4*$F109))))-fcd_bx*(1-MIN(1,MAX(0,$T109*(7*O$72-3*$F109)/(4*$F109)))^2)</f>
        <v/>
      </c>
      <c r="P109">
        <f>MAX(-fyd_bx,MIN(fyd_bx,200000*0.002*(1-$T109*(7*P$72-3*$F109)/(4*$F109))))-fcd_bx*(1-MIN(1,MAX(0,$T109*(7*P$72-3*$F109)/(4*$F109)))^2)</f>
        <v/>
      </c>
      <c r="Q109">
        <f>MAX(-fyd_bx,MIN(fyd_bx,200000*0.002*(1-$T109*(7*Q$72-3*$F109)/(4*$F109))))-fcd_bx*(1-MIN(1,MAX(0,$T109*(7*Q$72-3*$F109)/(4*$F109)))^2)</f>
        <v/>
      </c>
      <c r="R109">
        <f>MAX(-fyd_bx,MIN(fyd_bx,200000*0.002*(1-$T109*(7*R$72-3*$F109)/(4*$F109))))-fcd_bx*(1-MIN(1,MAX(0,$T109*(7*R$72-3*$F109)/(4*$F109)))^2)</f>
        <v/>
      </c>
      <c r="S109">
        <f>MAX(-fyd_bx,MIN(fyd_bx,200000*0.002*(1-$T109*(7*S$72-3*$F109)/(4*$F109))))-fcd_bx*(1-MIN(1,MAX(0,$T109*(7*S$72-3*$F109)/(4*$F109)))^2)</f>
        <v/>
      </c>
      <c r="T109">
        <f>MIN(1,2-(($C109+$D109)/2))</f>
        <v/>
      </c>
    </row>
    <row r="110">
      <c r="B110" s="52" t="n">
        <v>34</v>
      </c>
      <c r="C110" s="53">
        <f>IF($G109&lt;bx_N,($C109+$D109)/2,$C109)</f>
        <v/>
      </c>
      <c r="D110" s="53">
        <f>IF($G109&lt;bx_N,$D109,($C109+$D109)/2)</f>
        <v/>
      </c>
      <c r="E110" s="54">
        <f>IF($T110&gt;=1,$F110,3/7*bx_b+4/7*bx_b/MAX($T110,1E-12))</f>
        <v/>
      </c>
      <c r="F110" s="55">
        <f>bx_b*MIN((($C110+$D110)/2),1)</f>
        <v/>
      </c>
      <c r="G110" s="55">
        <f>(fcd_bx*bx_h*$F110*(3/7+4/7*(1-$T110^2/3))+SUMPRODUCT($J$73:$S$73,$J110:$S110))/1000</f>
        <v/>
      </c>
      <c r="H110" s="55">
        <f>(fcd_bx*bx_h*(3/14*$F110*(bx_b-3/7*$F110)+4/7*$F110*(bx_b/2-3/7*$F110)*(1-$T110^2/3)-16/49*$F110^2*(1/2-$T110^2/4))+SUMPRODUCT($J$73:$S$73,$J110:$S110,$J$74:$S$74))/1E6</f>
        <v/>
      </c>
      <c r="J110">
        <f>MAX(-fyd_bx,MIN(fyd_bx,200000*0.002*(1-$T110*(7*J$72-3*$F110)/(4*$F110))))-fcd_bx*(1-MIN(1,MAX(0,$T110*(7*J$72-3*$F110)/(4*$F110)))^2)</f>
        <v/>
      </c>
      <c r="K110">
        <f>MAX(-fyd_bx,MIN(fyd_bx,200000*0.002*(1-$T110*(7*K$72-3*$F110)/(4*$F110))))-fcd_bx*(1-MIN(1,MAX(0,$T110*(7*K$72-3*$F110)/(4*$F110)))^2)</f>
        <v/>
      </c>
      <c r="L110">
        <f>MAX(-fyd_bx,MIN(fyd_bx,200000*0.002*(1-$T110*(7*L$72-3*$F110)/(4*$F110))))-fcd_bx*(1-MIN(1,MAX(0,$T110*(7*L$72-3*$F110)/(4*$F110)))^2)</f>
        <v/>
      </c>
      <c r="M110">
        <f>MAX(-fyd_bx,MIN(fyd_bx,200000*0.002*(1-$T110*(7*M$72-3*$F110)/(4*$F110))))-fcd_bx*(1-MIN(1,MAX(0,$T110*(7*M$72-3*$F110)/(4*$F110)))^2)</f>
        <v/>
      </c>
      <c r="N110">
        <f>MAX(-fyd_bx,MIN(fyd_bx,200000*0.002*(1-$T110*(7*N$72-3*$F110)/(4*$F110))))-fcd_bx*(1-MIN(1,MAX(0,$T110*(7*N$72-3*$F110)/(4*$F110)))^2)</f>
        <v/>
      </c>
      <c r="O110">
        <f>MAX(-fyd_bx,MIN(fyd_bx,200000*0.002*(1-$T110*(7*O$72-3*$F110)/(4*$F110))))-fcd_bx*(1-MIN(1,MAX(0,$T110*(7*O$72-3*$F110)/(4*$F110)))^2)</f>
        <v/>
      </c>
      <c r="P110">
        <f>MAX(-fyd_bx,MIN(fyd_bx,200000*0.002*(1-$T110*(7*P$72-3*$F110)/(4*$F110))))-fcd_bx*(1-MIN(1,MAX(0,$T110*(7*P$72-3*$F110)/(4*$F110)))^2)</f>
        <v/>
      </c>
      <c r="Q110">
        <f>MAX(-fyd_bx,MIN(fyd_bx,200000*0.002*(1-$T110*(7*Q$72-3*$F110)/(4*$F110))))-fcd_bx*(1-MIN(1,MAX(0,$T110*(7*Q$72-3*$F110)/(4*$F110)))^2)</f>
        <v/>
      </c>
      <c r="R110">
        <f>MAX(-fyd_bx,MIN(fyd_bx,200000*0.002*(1-$T110*(7*R$72-3*$F110)/(4*$F110))))-fcd_bx*(1-MIN(1,MAX(0,$T110*(7*R$72-3*$F110)/(4*$F110)))^2)</f>
        <v/>
      </c>
      <c r="S110">
        <f>MAX(-fyd_bx,MIN(fyd_bx,200000*0.002*(1-$T110*(7*S$72-3*$F110)/(4*$F110))))-fcd_bx*(1-MIN(1,MAX(0,$T110*(7*S$72-3*$F110)/(4*$F110)))^2)</f>
        <v/>
      </c>
      <c r="T110">
        <f>MIN(1,2-(($C110+$D110)/2))</f>
        <v/>
      </c>
    </row>
    <row r="111">
      <c r="B111" s="52" t="n">
        <v>35</v>
      </c>
      <c r="C111" s="53">
        <f>IF($G110&lt;bx_N,($C110+$D110)/2,$C110)</f>
        <v/>
      </c>
      <c r="D111" s="53">
        <f>IF($G110&lt;bx_N,$D110,($C110+$D110)/2)</f>
        <v/>
      </c>
      <c r="E111" s="54">
        <f>IF($T111&gt;=1,$F111,3/7*bx_b+4/7*bx_b/MAX($T111,1E-12))</f>
        <v/>
      </c>
      <c r="F111" s="55">
        <f>bx_b*MIN((($C111+$D111)/2),1)</f>
        <v/>
      </c>
      <c r="G111" s="55">
        <f>(fcd_bx*bx_h*$F111*(3/7+4/7*(1-$T111^2/3))+SUMPRODUCT($J$73:$S$73,$J111:$S111))/1000</f>
        <v/>
      </c>
      <c r="H111" s="55">
        <f>(fcd_bx*bx_h*(3/14*$F111*(bx_b-3/7*$F111)+4/7*$F111*(bx_b/2-3/7*$F111)*(1-$T111^2/3)-16/49*$F111^2*(1/2-$T111^2/4))+SUMPRODUCT($J$73:$S$73,$J111:$S111,$J$74:$S$74))/1E6</f>
        <v/>
      </c>
      <c r="J111">
        <f>MAX(-fyd_bx,MIN(fyd_bx,200000*0.002*(1-$T111*(7*J$72-3*$F111)/(4*$F111))))-fcd_bx*(1-MIN(1,MAX(0,$T111*(7*J$72-3*$F111)/(4*$F111)))^2)</f>
        <v/>
      </c>
      <c r="K111">
        <f>MAX(-fyd_bx,MIN(fyd_bx,200000*0.002*(1-$T111*(7*K$72-3*$F111)/(4*$F111))))-fcd_bx*(1-MIN(1,MAX(0,$T111*(7*K$72-3*$F111)/(4*$F111)))^2)</f>
        <v/>
      </c>
      <c r="L111">
        <f>MAX(-fyd_bx,MIN(fyd_bx,200000*0.002*(1-$T111*(7*L$72-3*$F111)/(4*$F111))))-fcd_bx*(1-MIN(1,MAX(0,$T111*(7*L$72-3*$F111)/(4*$F111)))^2)</f>
        <v/>
      </c>
      <c r="M111">
        <f>MAX(-fyd_bx,MIN(fyd_bx,200000*0.002*(1-$T111*(7*M$72-3*$F111)/(4*$F111))))-fcd_bx*(1-MIN(1,MAX(0,$T111*(7*M$72-3*$F111)/(4*$F111)))^2)</f>
        <v/>
      </c>
      <c r="N111">
        <f>MAX(-fyd_bx,MIN(fyd_bx,200000*0.002*(1-$T111*(7*N$72-3*$F111)/(4*$F111))))-fcd_bx*(1-MIN(1,MAX(0,$T111*(7*N$72-3*$F111)/(4*$F111)))^2)</f>
        <v/>
      </c>
      <c r="O111">
        <f>MAX(-fyd_bx,MIN(fyd_bx,200000*0.002*(1-$T111*(7*O$72-3*$F111)/(4*$F111))))-fcd_bx*(1-MIN(1,MAX(0,$T111*(7*O$72-3*$F111)/(4*$F111)))^2)</f>
        <v/>
      </c>
      <c r="P111">
        <f>MAX(-fyd_bx,MIN(fyd_bx,200000*0.002*(1-$T111*(7*P$72-3*$F111)/(4*$F111))))-fcd_bx*(1-MIN(1,MAX(0,$T111*(7*P$72-3*$F111)/(4*$F111)))^2)</f>
        <v/>
      </c>
      <c r="Q111">
        <f>MAX(-fyd_bx,MIN(fyd_bx,200000*0.002*(1-$T111*(7*Q$72-3*$F111)/(4*$F111))))-fcd_bx*(1-MIN(1,MAX(0,$T111*(7*Q$72-3*$F111)/(4*$F111)))^2)</f>
        <v/>
      </c>
      <c r="R111">
        <f>MAX(-fyd_bx,MIN(fyd_bx,200000*0.002*(1-$T111*(7*R$72-3*$F111)/(4*$F111))))-fcd_bx*(1-MIN(1,MAX(0,$T111*(7*R$72-3*$F111)/(4*$F111)))^2)</f>
        <v/>
      </c>
      <c r="S111">
        <f>MAX(-fyd_bx,MIN(fyd_bx,200000*0.002*(1-$T111*(7*S$72-3*$F111)/(4*$F111))))-fcd_bx*(1-MIN(1,MAX(0,$T111*(7*S$72-3*$F111)/(4*$F111)))^2)</f>
        <v/>
      </c>
      <c r="T111">
        <f>MIN(1,2-(($C111+$D111)/2))</f>
        <v/>
      </c>
    </row>
    <row r="112">
      <c r="B112" s="52" t="n">
        <v>36</v>
      </c>
      <c r="C112" s="53">
        <f>IF($G111&lt;bx_N,($C111+$D111)/2,$C111)</f>
        <v/>
      </c>
      <c r="D112" s="53">
        <f>IF($G111&lt;bx_N,$D111,($C111+$D111)/2)</f>
        <v/>
      </c>
      <c r="E112" s="54">
        <f>IF($T112&gt;=1,$F112,3/7*bx_b+4/7*bx_b/MAX($T112,1E-12))</f>
        <v/>
      </c>
      <c r="F112" s="55">
        <f>bx_b*MIN((($C112+$D112)/2),1)</f>
        <v/>
      </c>
      <c r="G112" s="55">
        <f>(fcd_bx*bx_h*$F112*(3/7+4/7*(1-$T112^2/3))+SUMPRODUCT($J$73:$S$73,$J112:$S112))/1000</f>
        <v/>
      </c>
      <c r="H112" s="55">
        <f>(fcd_bx*bx_h*(3/14*$F112*(bx_b-3/7*$F112)+4/7*$F112*(bx_b/2-3/7*$F112)*(1-$T112^2/3)-16/49*$F112^2*(1/2-$T112^2/4))+SUMPRODUCT($J$73:$S$73,$J112:$S112,$J$74:$S$74))/1E6</f>
        <v/>
      </c>
      <c r="J112">
        <f>MAX(-fyd_bx,MIN(fyd_bx,200000*0.002*(1-$T112*(7*J$72-3*$F112)/(4*$F112))))-fcd_bx*(1-MIN(1,MAX(0,$T112*(7*J$72-3*$F112)/(4*$F112)))^2)</f>
        <v/>
      </c>
      <c r="K112">
        <f>MAX(-fyd_bx,MIN(fyd_bx,200000*0.002*(1-$T112*(7*K$72-3*$F112)/(4*$F112))))-fcd_bx*(1-MIN(1,MAX(0,$T112*(7*K$72-3*$F112)/(4*$F112)))^2)</f>
        <v/>
      </c>
      <c r="L112">
        <f>MAX(-fyd_bx,MIN(fyd_bx,200000*0.002*(1-$T112*(7*L$72-3*$F112)/(4*$F112))))-fcd_bx*(1-MIN(1,MAX(0,$T112*(7*L$72-3*$F112)/(4*$F112)))^2)</f>
        <v/>
      </c>
      <c r="M112">
        <f>MAX(-fyd_bx,MIN(fyd_bx,200000*0.002*(1-$T112*(7*M$72-3*$F112)/(4*$F112))))-fcd_bx*(1-MIN(1,MAX(0,$T112*(7*M$72-3*$F112)/(4*$F112)))^2)</f>
        <v/>
      </c>
      <c r="N112">
        <f>MAX(-fyd_bx,MIN(fyd_bx,200000*0.002*(1-$T112*(7*N$72-3*$F112)/(4*$F112))))-fcd_bx*(1-MIN(1,MAX(0,$T112*(7*N$72-3*$F112)/(4*$F112)))^2)</f>
        <v/>
      </c>
      <c r="O112">
        <f>MAX(-fyd_bx,MIN(fyd_bx,200000*0.002*(1-$T112*(7*O$72-3*$F112)/(4*$F112))))-fcd_bx*(1-MIN(1,MAX(0,$T112*(7*O$72-3*$F112)/(4*$F112)))^2)</f>
        <v/>
      </c>
      <c r="P112">
        <f>MAX(-fyd_bx,MIN(fyd_bx,200000*0.002*(1-$T112*(7*P$72-3*$F112)/(4*$F112))))-fcd_bx*(1-MIN(1,MAX(0,$T112*(7*P$72-3*$F112)/(4*$F112)))^2)</f>
        <v/>
      </c>
      <c r="Q112">
        <f>MAX(-fyd_bx,MIN(fyd_bx,200000*0.002*(1-$T112*(7*Q$72-3*$F112)/(4*$F112))))-fcd_bx*(1-MIN(1,MAX(0,$T112*(7*Q$72-3*$F112)/(4*$F112)))^2)</f>
        <v/>
      </c>
      <c r="R112">
        <f>MAX(-fyd_bx,MIN(fyd_bx,200000*0.002*(1-$T112*(7*R$72-3*$F112)/(4*$F112))))-fcd_bx*(1-MIN(1,MAX(0,$T112*(7*R$72-3*$F112)/(4*$F112)))^2)</f>
        <v/>
      </c>
      <c r="S112">
        <f>MAX(-fyd_bx,MIN(fyd_bx,200000*0.002*(1-$T112*(7*S$72-3*$F112)/(4*$F112))))-fcd_bx*(1-MIN(1,MAX(0,$T112*(7*S$72-3*$F112)/(4*$F112)))^2)</f>
        <v/>
      </c>
      <c r="T112">
        <f>MIN(1,2-(($C112+$D112)/2))</f>
        <v/>
      </c>
    </row>
    <row r="113">
      <c r="B113" s="52" t="n">
        <v>37</v>
      </c>
      <c r="C113" s="53">
        <f>IF($G112&lt;bx_N,($C112+$D112)/2,$C112)</f>
        <v/>
      </c>
      <c r="D113" s="53">
        <f>IF($G112&lt;bx_N,$D112,($C112+$D112)/2)</f>
        <v/>
      </c>
      <c r="E113" s="54">
        <f>IF($T113&gt;=1,$F113,3/7*bx_b+4/7*bx_b/MAX($T113,1E-12))</f>
        <v/>
      </c>
      <c r="F113" s="55">
        <f>bx_b*MIN((($C113+$D113)/2),1)</f>
        <v/>
      </c>
      <c r="G113" s="55">
        <f>(fcd_bx*bx_h*$F113*(3/7+4/7*(1-$T113^2/3))+SUMPRODUCT($J$73:$S$73,$J113:$S113))/1000</f>
        <v/>
      </c>
      <c r="H113" s="55">
        <f>(fcd_bx*bx_h*(3/14*$F113*(bx_b-3/7*$F113)+4/7*$F113*(bx_b/2-3/7*$F113)*(1-$T113^2/3)-16/49*$F113^2*(1/2-$T113^2/4))+SUMPRODUCT($J$73:$S$73,$J113:$S113,$J$74:$S$74))/1E6</f>
        <v/>
      </c>
      <c r="J113">
        <f>MAX(-fyd_bx,MIN(fyd_bx,200000*0.002*(1-$T113*(7*J$72-3*$F113)/(4*$F113))))-fcd_bx*(1-MIN(1,MAX(0,$T113*(7*J$72-3*$F113)/(4*$F113)))^2)</f>
        <v/>
      </c>
      <c r="K113">
        <f>MAX(-fyd_bx,MIN(fyd_bx,200000*0.002*(1-$T113*(7*K$72-3*$F113)/(4*$F113))))-fcd_bx*(1-MIN(1,MAX(0,$T113*(7*K$72-3*$F113)/(4*$F113)))^2)</f>
        <v/>
      </c>
      <c r="L113">
        <f>MAX(-fyd_bx,MIN(fyd_bx,200000*0.002*(1-$T113*(7*L$72-3*$F113)/(4*$F113))))-fcd_bx*(1-MIN(1,MAX(0,$T113*(7*L$72-3*$F113)/(4*$F113)))^2)</f>
        <v/>
      </c>
      <c r="M113">
        <f>MAX(-fyd_bx,MIN(fyd_bx,200000*0.002*(1-$T113*(7*M$72-3*$F113)/(4*$F113))))-fcd_bx*(1-MIN(1,MAX(0,$T113*(7*M$72-3*$F113)/(4*$F113)))^2)</f>
        <v/>
      </c>
      <c r="N113">
        <f>MAX(-fyd_bx,MIN(fyd_bx,200000*0.002*(1-$T113*(7*N$72-3*$F113)/(4*$F113))))-fcd_bx*(1-MIN(1,MAX(0,$T113*(7*N$72-3*$F113)/(4*$F113)))^2)</f>
        <v/>
      </c>
      <c r="O113">
        <f>MAX(-fyd_bx,MIN(fyd_bx,200000*0.002*(1-$T113*(7*O$72-3*$F113)/(4*$F113))))-fcd_bx*(1-MIN(1,MAX(0,$T113*(7*O$72-3*$F113)/(4*$F113)))^2)</f>
        <v/>
      </c>
      <c r="P113">
        <f>MAX(-fyd_bx,MIN(fyd_bx,200000*0.002*(1-$T113*(7*P$72-3*$F113)/(4*$F113))))-fcd_bx*(1-MIN(1,MAX(0,$T113*(7*P$72-3*$F113)/(4*$F113)))^2)</f>
        <v/>
      </c>
      <c r="Q113">
        <f>MAX(-fyd_bx,MIN(fyd_bx,200000*0.002*(1-$T113*(7*Q$72-3*$F113)/(4*$F113))))-fcd_bx*(1-MIN(1,MAX(0,$T113*(7*Q$72-3*$F113)/(4*$F113)))^2)</f>
        <v/>
      </c>
      <c r="R113">
        <f>MAX(-fyd_bx,MIN(fyd_bx,200000*0.002*(1-$T113*(7*R$72-3*$F113)/(4*$F113))))-fcd_bx*(1-MIN(1,MAX(0,$T113*(7*R$72-3*$F113)/(4*$F113)))^2)</f>
        <v/>
      </c>
      <c r="S113">
        <f>MAX(-fyd_bx,MIN(fyd_bx,200000*0.002*(1-$T113*(7*S$72-3*$F113)/(4*$F113))))-fcd_bx*(1-MIN(1,MAX(0,$T113*(7*S$72-3*$F113)/(4*$F113)))^2)</f>
        <v/>
      </c>
      <c r="T113">
        <f>MIN(1,2-(($C113+$D113)/2))</f>
        <v/>
      </c>
    </row>
    <row r="114">
      <c r="B114" s="52" t="n">
        <v>38</v>
      </c>
      <c r="C114" s="53">
        <f>IF($G113&lt;bx_N,($C113+$D113)/2,$C113)</f>
        <v/>
      </c>
      <c r="D114" s="53">
        <f>IF($G113&lt;bx_N,$D113,($C113+$D113)/2)</f>
        <v/>
      </c>
      <c r="E114" s="54">
        <f>IF($T114&gt;=1,$F114,3/7*bx_b+4/7*bx_b/MAX($T114,1E-12))</f>
        <v/>
      </c>
      <c r="F114" s="55">
        <f>bx_b*MIN((($C114+$D114)/2),1)</f>
        <v/>
      </c>
      <c r="G114" s="55">
        <f>(fcd_bx*bx_h*$F114*(3/7+4/7*(1-$T114^2/3))+SUMPRODUCT($J$73:$S$73,$J114:$S114))/1000</f>
        <v/>
      </c>
      <c r="H114" s="55">
        <f>(fcd_bx*bx_h*(3/14*$F114*(bx_b-3/7*$F114)+4/7*$F114*(bx_b/2-3/7*$F114)*(1-$T114^2/3)-16/49*$F114^2*(1/2-$T114^2/4))+SUMPRODUCT($J$73:$S$73,$J114:$S114,$J$74:$S$74))/1E6</f>
        <v/>
      </c>
      <c r="J114">
        <f>MAX(-fyd_bx,MIN(fyd_bx,200000*0.002*(1-$T114*(7*J$72-3*$F114)/(4*$F114))))-fcd_bx*(1-MIN(1,MAX(0,$T114*(7*J$72-3*$F114)/(4*$F114)))^2)</f>
        <v/>
      </c>
      <c r="K114">
        <f>MAX(-fyd_bx,MIN(fyd_bx,200000*0.002*(1-$T114*(7*K$72-3*$F114)/(4*$F114))))-fcd_bx*(1-MIN(1,MAX(0,$T114*(7*K$72-3*$F114)/(4*$F114)))^2)</f>
        <v/>
      </c>
      <c r="L114">
        <f>MAX(-fyd_bx,MIN(fyd_bx,200000*0.002*(1-$T114*(7*L$72-3*$F114)/(4*$F114))))-fcd_bx*(1-MIN(1,MAX(0,$T114*(7*L$72-3*$F114)/(4*$F114)))^2)</f>
        <v/>
      </c>
      <c r="M114">
        <f>MAX(-fyd_bx,MIN(fyd_bx,200000*0.002*(1-$T114*(7*M$72-3*$F114)/(4*$F114))))-fcd_bx*(1-MIN(1,MAX(0,$T114*(7*M$72-3*$F114)/(4*$F114)))^2)</f>
        <v/>
      </c>
      <c r="N114">
        <f>MAX(-fyd_bx,MIN(fyd_bx,200000*0.002*(1-$T114*(7*N$72-3*$F114)/(4*$F114))))-fcd_bx*(1-MIN(1,MAX(0,$T114*(7*N$72-3*$F114)/(4*$F114)))^2)</f>
        <v/>
      </c>
      <c r="O114">
        <f>MAX(-fyd_bx,MIN(fyd_bx,200000*0.002*(1-$T114*(7*O$72-3*$F114)/(4*$F114))))-fcd_bx*(1-MIN(1,MAX(0,$T114*(7*O$72-3*$F114)/(4*$F114)))^2)</f>
        <v/>
      </c>
      <c r="P114">
        <f>MAX(-fyd_bx,MIN(fyd_bx,200000*0.002*(1-$T114*(7*P$72-3*$F114)/(4*$F114))))-fcd_bx*(1-MIN(1,MAX(0,$T114*(7*P$72-3*$F114)/(4*$F114)))^2)</f>
        <v/>
      </c>
      <c r="Q114">
        <f>MAX(-fyd_bx,MIN(fyd_bx,200000*0.002*(1-$T114*(7*Q$72-3*$F114)/(4*$F114))))-fcd_bx*(1-MIN(1,MAX(0,$T114*(7*Q$72-3*$F114)/(4*$F114)))^2)</f>
        <v/>
      </c>
      <c r="R114">
        <f>MAX(-fyd_bx,MIN(fyd_bx,200000*0.002*(1-$T114*(7*R$72-3*$F114)/(4*$F114))))-fcd_bx*(1-MIN(1,MAX(0,$T114*(7*R$72-3*$F114)/(4*$F114)))^2)</f>
        <v/>
      </c>
      <c r="S114">
        <f>MAX(-fyd_bx,MIN(fyd_bx,200000*0.002*(1-$T114*(7*S$72-3*$F114)/(4*$F114))))-fcd_bx*(1-MIN(1,MAX(0,$T114*(7*S$72-3*$F114)/(4*$F114)))^2)</f>
        <v/>
      </c>
      <c r="T114">
        <f>MIN(1,2-(($C114+$D114)/2))</f>
        <v/>
      </c>
    </row>
    <row r="115">
      <c r="B115" s="52" t="n">
        <v>39</v>
      </c>
      <c r="C115" s="53">
        <f>IF($G114&lt;bx_N,($C114+$D114)/2,$C114)</f>
        <v/>
      </c>
      <c r="D115" s="53">
        <f>IF($G114&lt;bx_N,$D114,($C114+$D114)/2)</f>
        <v/>
      </c>
      <c r="E115" s="54">
        <f>IF($T115&gt;=1,$F115,3/7*bx_b+4/7*bx_b/MAX($T115,1E-12))</f>
        <v/>
      </c>
      <c r="F115" s="55">
        <f>bx_b*MIN((($C115+$D115)/2),1)</f>
        <v/>
      </c>
      <c r="G115" s="55">
        <f>(fcd_bx*bx_h*$F115*(3/7+4/7*(1-$T115^2/3))+SUMPRODUCT($J$73:$S$73,$J115:$S115))/1000</f>
        <v/>
      </c>
      <c r="H115" s="55">
        <f>(fcd_bx*bx_h*(3/14*$F115*(bx_b-3/7*$F115)+4/7*$F115*(bx_b/2-3/7*$F115)*(1-$T115^2/3)-16/49*$F115^2*(1/2-$T115^2/4))+SUMPRODUCT($J$73:$S$73,$J115:$S115,$J$74:$S$74))/1E6</f>
        <v/>
      </c>
      <c r="J115">
        <f>MAX(-fyd_bx,MIN(fyd_bx,200000*0.002*(1-$T115*(7*J$72-3*$F115)/(4*$F115))))-fcd_bx*(1-MIN(1,MAX(0,$T115*(7*J$72-3*$F115)/(4*$F115)))^2)</f>
        <v/>
      </c>
      <c r="K115">
        <f>MAX(-fyd_bx,MIN(fyd_bx,200000*0.002*(1-$T115*(7*K$72-3*$F115)/(4*$F115))))-fcd_bx*(1-MIN(1,MAX(0,$T115*(7*K$72-3*$F115)/(4*$F115)))^2)</f>
        <v/>
      </c>
      <c r="L115">
        <f>MAX(-fyd_bx,MIN(fyd_bx,200000*0.002*(1-$T115*(7*L$72-3*$F115)/(4*$F115))))-fcd_bx*(1-MIN(1,MAX(0,$T115*(7*L$72-3*$F115)/(4*$F115)))^2)</f>
        <v/>
      </c>
      <c r="M115">
        <f>MAX(-fyd_bx,MIN(fyd_bx,200000*0.002*(1-$T115*(7*M$72-3*$F115)/(4*$F115))))-fcd_bx*(1-MIN(1,MAX(0,$T115*(7*M$72-3*$F115)/(4*$F115)))^2)</f>
        <v/>
      </c>
      <c r="N115">
        <f>MAX(-fyd_bx,MIN(fyd_bx,200000*0.002*(1-$T115*(7*N$72-3*$F115)/(4*$F115))))-fcd_bx*(1-MIN(1,MAX(0,$T115*(7*N$72-3*$F115)/(4*$F115)))^2)</f>
        <v/>
      </c>
      <c r="O115">
        <f>MAX(-fyd_bx,MIN(fyd_bx,200000*0.002*(1-$T115*(7*O$72-3*$F115)/(4*$F115))))-fcd_bx*(1-MIN(1,MAX(0,$T115*(7*O$72-3*$F115)/(4*$F115)))^2)</f>
        <v/>
      </c>
      <c r="P115">
        <f>MAX(-fyd_bx,MIN(fyd_bx,200000*0.002*(1-$T115*(7*P$72-3*$F115)/(4*$F115))))-fcd_bx*(1-MIN(1,MAX(0,$T115*(7*P$72-3*$F115)/(4*$F115)))^2)</f>
        <v/>
      </c>
      <c r="Q115">
        <f>MAX(-fyd_bx,MIN(fyd_bx,200000*0.002*(1-$T115*(7*Q$72-3*$F115)/(4*$F115))))-fcd_bx*(1-MIN(1,MAX(0,$T115*(7*Q$72-3*$F115)/(4*$F115)))^2)</f>
        <v/>
      </c>
      <c r="R115">
        <f>MAX(-fyd_bx,MIN(fyd_bx,200000*0.002*(1-$T115*(7*R$72-3*$F115)/(4*$F115))))-fcd_bx*(1-MIN(1,MAX(0,$T115*(7*R$72-3*$F115)/(4*$F115)))^2)</f>
        <v/>
      </c>
      <c r="S115">
        <f>MAX(-fyd_bx,MIN(fyd_bx,200000*0.002*(1-$T115*(7*S$72-3*$F115)/(4*$F115))))-fcd_bx*(1-MIN(1,MAX(0,$T115*(7*S$72-3*$F115)/(4*$F115)))^2)</f>
        <v/>
      </c>
      <c r="T115">
        <f>MIN(1,2-(($C115+$D115)/2))</f>
        <v/>
      </c>
    </row>
    <row r="116">
      <c r="B116" s="52" t="n">
        <v>40</v>
      </c>
      <c r="C116" s="53">
        <f>IF($G115&lt;bx_N,($C115+$D115)/2,$C115)</f>
        <v/>
      </c>
      <c r="D116" s="53">
        <f>IF($G115&lt;bx_N,$D115,($C115+$D115)/2)</f>
        <v/>
      </c>
      <c r="E116" s="54">
        <f>IF($T116&gt;=1,$F116,3/7*bx_b+4/7*bx_b/MAX($T116,1E-12))</f>
        <v/>
      </c>
      <c r="F116" s="55">
        <f>bx_b*MIN((($C116+$D116)/2),1)</f>
        <v/>
      </c>
      <c r="G116" s="55">
        <f>(fcd_bx*bx_h*$F116*(3/7+4/7*(1-$T116^2/3))+SUMPRODUCT($J$73:$S$73,$J116:$S116))/1000</f>
        <v/>
      </c>
      <c r="H116" s="55">
        <f>(fcd_bx*bx_h*(3/14*$F116*(bx_b-3/7*$F116)+4/7*$F116*(bx_b/2-3/7*$F116)*(1-$T116^2/3)-16/49*$F116^2*(1/2-$T116^2/4))+SUMPRODUCT($J$73:$S$73,$J116:$S116,$J$74:$S$74))/1E6</f>
        <v/>
      </c>
      <c r="J116">
        <f>MAX(-fyd_bx,MIN(fyd_bx,200000*0.002*(1-$T116*(7*J$72-3*$F116)/(4*$F116))))-fcd_bx*(1-MIN(1,MAX(0,$T116*(7*J$72-3*$F116)/(4*$F116)))^2)</f>
        <v/>
      </c>
      <c r="K116">
        <f>MAX(-fyd_bx,MIN(fyd_bx,200000*0.002*(1-$T116*(7*K$72-3*$F116)/(4*$F116))))-fcd_bx*(1-MIN(1,MAX(0,$T116*(7*K$72-3*$F116)/(4*$F116)))^2)</f>
        <v/>
      </c>
      <c r="L116">
        <f>MAX(-fyd_bx,MIN(fyd_bx,200000*0.002*(1-$T116*(7*L$72-3*$F116)/(4*$F116))))-fcd_bx*(1-MIN(1,MAX(0,$T116*(7*L$72-3*$F116)/(4*$F116)))^2)</f>
        <v/>
      </c>
      <c r="M116">
        <f>MAX(-fyd_bx,MIN(fyd_bx,200000*0.002*(1-$T116*(7*M$72-3*$F116)/(4*$F116))))-fcd_bx*(1-MIN(1,MAX(0,$T116*(7*M$72-3*$F116)/(4*$F116)))^2)</f>
        <v/>
      </c>
      <c r="N116">
        <f>MAX(-fyd_bx,MIN(fyd_bx,200000*0.002*(1-$T116*(7*N$72-3*$F116)/(4*$F116))))-fcd_bx*(1-MIN(1,MAX(0,$T116*(7*N$72-3*$F116)/(4*$F116)))^2)</f>
        <v/>
      </c>
      <c r="O116">
        <f>MAX(-fyd_bx,MIN(fyd_bx,200000*0.002*(1-$T116*(7*O$72-3*$F116)/(4*$F116))))-fcd_bx*(1-MIN(1,MAX(0,$T116*(7*O$72-3*$F116)/(4*$F116)))^2)</f>
        <v/>
      </c>
      <c r="P116">
        <f>MAX(-fyd_bx,MIN(fyd_bx,200000*0.002*(1-$T116*(7*P$72-3*$F116)/(4*$F116))))-fcd_bx*(1-MIN(1,MAX(0,$T116*(7*P$72-3*$F116)/(4*$F116)))^2)</f>
        <v/>
      </c>
      <c r="Q116">
        <f>MAX(-fyd_bx,MIN(fyd_bx,200000*0.002*(1-$T116*(7*Q$72-3*$F116)/(4*$F116))))-fcd_bx*(1-MIN(1,MAX(0,$T116*(7*Q$72-3*$F116)/(4*$F116)))^2)</f>
        <v/>
      </c>
      <c r="R116">
        <f>MAX(-fyd_bx,MIN(fyd_bx,200000*0.002*(1-$T116*(7*R$72-3*$F116)/(4*$F116))))-fcd_bx*(1-MIN(1,MAX(0,$T116*(7*R$72-3*$F116)/(4*$F116)))^2)</f>
        <v/>
      </c>
      <c r="S116">
        <f>MAX(-fyd_bx,MIN(fyd_bx,200000*0.002*(1-$T116*(7*S$72-3*$F116)/(4*$F116))))-fcd_bx*(1-MIN(1,MAX(0,$T116*(7*S$72-3*$F116)/(4*$F116)))^2)</f>
        <v/>
      </c>
      <c r="T116">
        <f>MIN(1,2-(($C116+$D116)/2))</f>
        <v/>
      </c>
    </row>
    <row r="117">
      <c r="B117" s="52" t="n">
        <v>41</v>
      </c>
      <c r="C117" s="53">
        <f>IF($G116&lt;bx_N,($C116+$D116)/2,$C116)</f>
        <v/>
      </c>
      <c r="D117" s="53">
        <f>IF($G116&lt;bx_N,$D116,($C116+$D116)/2)</f>
        <v/>
      </c>
      <c r="E117" s="54">
        <f>IF($T117&gt;=1,$F117,3/7*bx_b+4/7*bx_b/MAX($T117,1E-12))</f>
        <v/>
      </c>
      <c r="F117" s="55">
        <f>bx_b*MIN((($C117+$D117)/2),1)</f>
        <v/>
      </c>
      <c r="G117" s="55">
        <f>(fcd_bx*bx_h*$F117*(3/7+4/7*(1-$T117^2/3))+SUMPRODUCT($J$73:$S$73,$J117:$S117))/1000</f>
        <v/>
      </c>
      <c r="H117" s="55">
        <f>(fcd_bx*bx_h*(3/14*$F117*(bx_b-3/7*$F117)+4/7*$F117*(bx_b/2-3/7*$F117)*(1-$T117^2/3)-16/49*$F117^2*(1/2-$T117^2/4))+SUMPRODUCT($J$73:$S$73,$J117:$S117,$J$74:$S$74))/1E6</f>
        <v/>
      </c>
      <c r="J117">
        <f>MAX(-fyd_bx,MIN(fyd_bx,200000*0.002*(1-$T117*(7*J$72-3*$F117)/(4*$F117))))-fcd_bx*(1-MIN(1,MAX(0,$T117*(7*J$72-3*$F117)/(4*$F117)))^2)</f>
        <v/>
      </c>
      <c r="K117">
        <f>MAX(-fyd_bx,MIN(fyd_bx,200000*0.002*(1-$T117*(7*K$72-3*$F117)/(4*$F117))))-fcd_bx*(1-MIN(1,MAX(0,$T117*(7*K$72-3*$F117)/(4*$F117)))^2)</f>
        <v/>
      </c>
      <c r="L117">
        <f>MAX(-fyd_bx,MIN(fyd_bx,200000*0.002*(1-$T117*(7*L$72-3*$F117)/(4*$F117))))-fcd_bx*(1-MIN(1,MAX(0,$T117*(7*L$72-3*$F117)/(4*$F117)))^2)</f>
        <v/>
      </c>
      <c r="M117">
        <f>MAX(-fyd_bx,MIN(fyd_bx,200000*0.002*(1-$T117*(7*M$72-3*$F117)/(4*$F117))))-fcd_bx*(1-MIN(1,MAX(0,$T117*(7*M$72-3*$F117)/(4*$F117)))^2)</f>
        <v/>
      </c>
      <c r="N117">
        <f>MAX(-fyd_bx,MIN(fyd_bx,200000*0.002*(1-$T117*(7*N$72-3*$F117)/(4*$F117))))-fcd_bx*(1-MIN(1,MAX(0,$T117*(7*N$72-3*$F117)/(4*$F117)))^2)</f>
        <v/>
      </c>
      <c r="O117">
        <f>MAX(-fyd_bx,MIN(fyd_bx,200000*0.002*(1-$T117*(7*O$72-3*$F117)/(4*$F117))))-fcd_bx*(1-MIN(1,MAX(0,$T117*(7*O$72-3*$F117)/(4*$F117)))^2)</f>
        <v/>
      </c>
      <c r="P117">
        <f>MAX(-fyd_bx,MIN(fyd_bx,200000*0.002*(1-$T117*(7*P$72-3*$F117)/(4*$F117))))-fcd_bx*(1-MIN(1,MAX(0,$T117*(7*P$72-3*$F117)/(4*$F117)))^2)</f>
        <v/>
      </c>
      <c r="Q117">
        <f>MAX(-fyd_bx,MIN(fyd_bx,200000*0.002*(1-$T117*(7*Q$72-3*$F117)/(4*$F117))))-fcd_bx*(1-MIN(1,MAX(0,$T117*(7*Q$72-3*$F117)/(4*$F117)))^2)</f>
        <v/>
      </c>
      <c r="R117">
        <f>MAX(-fyd_bx,MIN(fyd_bx,200000*0.002*(1-$T117*(7*R$72-3*$F117)/(4*$F117))))-fcd_bx*(1-MIN(1,MAX(0,$T117*(7*R$72-3*$F117)/(4*$F117)))^2)</f>
        <v/>
      </c>
      <c r="S117">
        <f>MAX(-fyd_bx,MIN(fyd_bx,200000*0.002*(1-$T117*(7*S$72-3*$F117)/(4*$F117))))-fcd_bx*(1-MIN(1,MAX(0,$T117*(7*S$72-3*$F117)/(4*$F117)))^2)</f>
        <v/>
      </c>
      <c r="T117">
        <f>MIN(1,2-(($C117+$D117)/2))</f>
        <v/>
      </c>
    </row>
    <row r="118">
      <c r="B118" s="52" t="n">
        <v>42</v>
      </c>
      <c r="C118" s="53">
        <f>IF($G117&lt;bx_N,($C117+$D117)/2,$C117)</f>
        <v/>
      </c>
      <c r="D118" s="53">
        <f>IF($G117&lt;bx_N,$D117,($C117+$D117)/2)</f>
        <v/>
      </c>
      <c r="E118" s="54">
        <f>IF($T118&gt;=1,$F118,3/7*bx_b+4/7*bx_b/MAX($T118,1E-12))</f>
        <v/>
      </c>
      <c r="F118" s="55">
        <f>bx_b*MIN((($C118+$D118)/2),1)</f>
        <v/>
      </c>
      <c r="G118" s="55">
        <f>(fcd_bx*bx_h*$F118*(3/7+4/7*(1-$T118^2/3))+SUMPRODUCT($J$73:$S$73,$J118:$S118))/1000</f>
        <v/>
      </c>
      <c r="H118" s="55">
        <f>(fcd_bx*bx_h*(3/14*$F118*(bx_b-3/7*$F118)+4/7*$F118*(bx_b/2-3/7*$F118)*(1-$T118^2/3)-16/49*$F118^2*(1/2-$T118^2/4))+SUMPRODUCT($J$73:$S$73,$J118:$S118,$J$74:$S$74))/1E6</f>
        <v/>
      </c>
      <c r="J118">
        <f>MAX(-fyd_bx,MIN(fyd_bx,200000*0.002*(1-$T118*(7*J$72-3*$F118)/(4*$F118))))-fcd_bx*(1-MIN(1,MAX(0,$T118*(7*J$72-3*$F118)/(4*$F118)))^2)</f>
        <v/>
      </c>
      <c r="K118">
        <f>MAX(-fyd_bx,MIN(fyd_bx,200000*0.002*(1-$T118*(7*K$72-3*$F118)/(4*$F118))))-fcd_bx*(1-MIN(1,MAX(0,$T118*(7*K$72-3*$F118)/(4*$F118)))^2)</f>
        <v/>
      </c>
      <c r="L118">
        <f>MAX(-fyd_bx,MIN(fyd_bx,200000*0.002*(1-$T118*(7*L$72-3*$F118)/(4*$F118))))-fcd_bx*(1-MIN(1,MAX(0,$T118*(7*L$72-3*$F118)/(4*$F118)))^2)</f>
        <v/>
      </c>
      <c r="M118">
        <f>MAX(-fyd_bx,MIN(fyd_bx,200000*0.002*(1-$T118*(7*M$72-3*$F118)/(4*$F118))))-fcd_bx*(1-MIN(1,MAX(0,$T118*(7*M$72-3*$F118)/(4*$F118)))^2)</f>
        <v/>
      </c>
      <c r="N118">
        <f>MAX(-fyd_bx,MIN(fyd_bx,200000*0.002*(1-$T118*(7*N$72-3*$F118)/(4*$F118))))-fcd_bx*(1-MIN(1,MAX(0,$T118*(7*N$72-3*$F118)/(4*$F118)))^2)</f>
        <v/>
      </c>
      <c r="O118">
        <f>MAX(-fyd_bx,MIN(fyd_bx,200000*0.002*(1-$T118*(7*O$72-3*$F118)/(4*$F118))))-fcd_bx*(1-MIN(1,MAX(0,$T118*(7*O$72-3*$F118)/(4*$F118)))^2)</f>
        <v/>
      </c>
      <c r="P118">
        <f>MAX(-fyd_bx,MIN(fyd_bx,200000*0.002*(1-$T118*(7*P$72-3*$F118)/(4*$F118))))-fcd_bx*(1-MIN(1,MAX(0,$T118*(7*P$72-3*$F118)/(4*$F118)))^2)</f>
        <v/>
      </c>
      <c r="Q118">
        <f>MAX(-fyd_bx,MIN(fyd_bx,200000*0.002*(1-$T118*(7*Q$72-3*$F118)/(4*$F118))))-fcd_bx*(1-MIN(1,MAX(0,$T118*(7*Q$72-3*$F118)/(4*$F118)))^2)</f>
        <v/>
      </c>
      <c r="R118">
        <f>MAX(-fyd_bx,MIN(fyd_bx,200000*0.002*(1-$T118*(7*R$72-3*$F118)/(4*$F118))))-fcd_bx*(1-MIN(1,MAX(0,$T118*(7*R$72-3*$F118)/(4*$F118)))^2)</f>
        <v/>
      </c>
      <c r="S118">
        <f>MAX(-fyd_bx,MIN(fyd_bx,200000*0.002*(1-$T118*(7*S$72-3*$F118)/(4*$F118))))-fcd_bx*(1-MIN(1,MAX(0,$T118*(7*S$72-3*$F118)/(4*$F118)))^2)</f>
        <v/>
      </c>
      <c r="T118">
        <f>MIN(1,2-(($C118+$D118)/2))</f>
        <v/>
      </c>
    </row>
    <row r="119">
      <c r="B119" s="52" t="n">
        <v>43</v>
      </c>
      <c r="C119" s="53">
        <f>IF($G118&lt;bx_N,($C118+$D118)/2,$C118)</f>
        <v/>
      </c>
      <c r="D119" s="53">
        <f>IF($G118&lt;bx_N,$D118,($C118+$D118)/2)</f>
        <v/>
      </c>
      <c r="E119" s="54">
        <f>IF($T119&gt;=1,$F119,3/7*bx_b+4/7*bx_b/MAX($T119,1E-12))</f>
        <v/>
      </c>
      <c r="F119" s="55">
        <f>bx_b*MIN((($C119+$D119)/2),1)</f>
        <v/>
      </c>
      <c r="G119" s="55">
        <f>(fcd_bx*bx_h*$F119*(3/7+4/7*(1-$T119^2/3))+SUMPRODUCT($J$73:$S$73,$J119:$S119))/1000</f>
        <v/>
      </c>
      <c r="H119" s="55">
        <f>(fcd_bx*bx_h*(3/14*$F119*(bx_b-3/7*$F119)+4/7*$F119*(bx_b/2-3/7*$F119)*(1-$T119^2/3)-16/49*$F119^2*(1/2-$T119^2/4))+SUMPRODUCT($J$73:$S$73,$J119:$S119,$J$74:$S$74))/1E6</f>
        <v/>
      </c>
      <c r="J119">
        <f>MAX(-fyd_bx,MIN(fyd_bx,200000*0.002*(1-$T119*(7*J$72-3*$F119)/(4*$F119))))-fcd_bx*(1-MIN(1,MAX(0,$T119*(7*J$72-3*$F119)/(4*$F119)))^2)</f>
        <v/>
      </c>
      <c r="K119">
        <f>MAX(-fyd_bx,MIN(fyd_bx,200000*0.002*(1-$T119*(7*K$72-3*$F119)/(4*$F119))))-fcd_bx*(1-MIN(1,MAX(0,$T119*(7*K$72-3*$F119)/(4*$F119)))^2)</f>
        <v/>
      </c>
      <c r="L119">
        <f>MAX(-fyd_bx,MIN(fyd_bx,200000*0.002*(1-$T119*(7*L$72-3*$F119)/(4*$F119))))-fcd_bx*(1-MIN(1,MAX(0,$T119*(7*L$72-3*$F119)/(4*$F119)))^2)</f>
        <v/>
      </c>
      <c r="M119">
        <f>MAX(-fyd_bx,MIN(fyd_bx,200000*0.002*(1-$T119*(7*M$72-3*$F119)/(4*$F119))))-fcd_bx*(1-MIN(1,MAX(0,$T119*(7*M$72-3*$F119)/(4*$F119)))^2)</f>
        <v/>
      </c>
      <c r="N119">
        <f>MAX(-fyd_bx,MIN(fyd_bx,200000*0.002*(1-$T119*(7*N$72-3*$F119)/(4*$F119))))-fcd_bx*(1-MIN(1,MAX(0,$T119*(7*N$72-3*$F119)/(4*$F119)))^2)</f>
        <v/>
      </c>
      <c r="O119">
        <f>MAX(-fyd_bx,MIN(fyd_bx,200000*0.002*(1-$T119*(7*O$72-3*$F119)/(4*$F119))))-fcd_bx*(1-MIN(1,MAX(0,$T119*(7*O$72-3*$F119)/(4*$F119)))^2)</f>
        <v/>
      </c>
      <c r="P119">
        <f>MAX(-fyd_bx,MIN(fyd_bx,200000*0.002*(1-$T119*(7*P$72-3*$F119)/(4*$F119))))-fcd_bx*(1-MIN(1,MAX(0,$T119*(7*P$72-3*$F119)/(4*$F119)))^2)</f>
        <v/>
      </c>
      <c r="Q119">
        <f>MAX(-fyd_bx,MIN(fyd_bx,200000*0.002*(1-$T119*(7*Q$72-3*$F119)/(4*$F119))))-fcd_bx*(1-MIN(1,MAX(0,$T119*(7*Q$72-3*$F119)/(4*$F119)))^2)</f>
        <v/>
      </c>
      <c r="R119">
        <f>MAX(-fyd_bx,MIN(fyd_bx,200000*0.002*(1-$T119*(7*R$72-3*$F119)/(4*$F119))))-fcd_bx*(1-MIN(1,MAX(0,$T119*(7*R$72-3*$F119)/(4*$F119)))^2)</f>
        <v/>
      </c>
      <c r="S119">
        <f>MAX(-fyd_bx,MIN(fyd_bx,200000*0.002*(1-$T119*(7*S$72-3*$F119)/(4*$F119))))-fcd_bx*(1-MIN(1,MAX(0,$T119*(7*S$72-3*$F119)/(4*$F119)))^2)</f>
        <v/>
      </c>
      <c r="T119">
        <f>MIN(1,2-(($C119+$D119)/2))</f>
        <v/>
      </c>
    </row>
    <row r="120">
      <c r="B120" s="52" t="n">
        <v>44</v>
      </c>
      <c r="C120" s="53">
        <f>IF($G119&lt;bx_N,($C119+$D119)/2,$C119)</f>
        <v/>
      </c>
      <c r="D120" s="53">
        <f>IF($G119&lt;bx_N,$D119,($C119+$D119)/2)</f>
        <v/>
      </c>
      <c r="E120" s="54">
        <f>IF($T120&gt;=1,$F120,3/7*bx_b+4/7*bx_b/MAX($T120,1E-12))</f>
        <v/>
      </c>
      <c r="F120" s="55">
        <f>bx_b*MIN((($C120+$D120)/2),1)</f>
        <v/>
      </c>
      <c r="G120" s="55">
        <f>(fcd_bx*bx_h*$F120*(3/7+4/7*(1-$T120^2/3))+SUMPRODUCT($J$73:$S$73,$J120:$S120))/1000</f>
        <v/>
      </c>
      <c r="H120" s="55">
        <f>(fcd_bx*bx_h*(3/14*$F120*(bx_b-3/7*$F120)+4/7*$F120*(bx_b/2-3/7*$F120)*(1-$T120^2/3)-16/49*$F120^2*(1/2-$T120^2/4))+SUMPRODUCT($J$73:$S$73,$J120:$S120,$J$74:$S$74))/1E6</f>
        <v/>
      </c>
      <c r="J120">
        <f>MAX(-fyd_bx,MIN(fyd_bx,200000*0.002*(1-$T120*(7*J$72-3*$F120)/(4*$F120))))-fcd_bx*(1-MIN(1,MAX(0,$T120*(7*J$72-3*$F120)/(4*$F120)))^2)</f>
        <v/>
      </c>
      <c r="K120">
        <f>MAX(-fyd_bx,MIN(fyd_bx,200000*0.002*(1-$T120*(7*K$72-3*$F120)/(4*$F120))))-fcd_bx*(1-MIN(1,MAX(0,$T120*(7*K$72-3*$F120)/(4*$F120)))^2)</f>
        <v/>
      </c>
      <c r="L120">
        <f>MAX(-fyd_bx,MIN(fyd_bx,200000*0.002*(1-$T120*(7*L$72-3*$F120)/(4*$F120))))-fcd_bx*(1-MIN(1,MAX(0,$T120*(7*L$72-3*$F120)/(4*$F120)))^2)</f>
        <v/>
      </c>
      <c r="M120">
        <f>MAX(-fyd_bx,MIN(fyd_bx,200000*0.002*(1-$T120*(7*M$72-3*$F120)/(4*$F120))))-fcd_bx*(1-MIN(1,MAX(0,$T120*(7*M$72-3*$F120)/(4*$F120)))^2)</f>
        <v/>
      </c>
      <c r="N120">
        <f>MAX(-fyd_bx,MIN(fyd_bx,200000*0.002*(1-$T120*(7*N$72-3*$F120)/(4*$F120))))-fcd_bx*(1-MIN(1,MAX(0,$T120*(7*N$72-3*$F120)/(4*$F120)))^2)</f>
        <v/>
      </c>
      <c r="O120">
        <f>MAX(-fyd_bx,MIN(fyd_bx,200000*0.002*(1-$T120*(7*O$72-3*$F120)/(4*$F120))))-fcd_bx*(1-MIN(1,MAX(0,$T120*(7*O$72-3*$F120)/(4*$F120)))^2)</f>
        <v/>
      </c>
      <c r="P120">
        <f>MAX(-fyd_bx,MIN(fyd_bx,200000*0.002*(1-$T120*(7*P$72-3*$F120)/(4*$F120))))-fcd_bx*(1-MIN(1,MAX(0,$T120*(7*P$72-3*$F120)/(4*$F120)))^2)</f>
        <v/>
      </c>
      <c r="Q120">
        <f>MAX(-fyd_bx,MIN(fyd_bx,200000*0.002*(1-$T120*(7*Q$72-3*$F120)/(4*$F120))))-fcd_bx*(1-MIN(1,MAX(0,$T120*(7*Q$72-3*$F120)/(4*$F120)))^2)</f>
        <v/>
      </c>
      <c r="R120">
        <f>MAX(-fyd_bx,MIN(fyd_bx,200000*0.002*(1-$T120*(7*R$72-3*$F120)/(4*$F120))))-fcd_bx*(1-MIN(1,MAX(0,$T120*(7*R$72-3*$F120)/(4*$F120)))^2)</f>
        <v/>
      </c>
      <c r="S120">
        <f>MAX(-fyd_bx,MIN(fyd_bx,200000*0.002*(1-$T120*(7*S$72-3*$F120)/(4*$F120))))-fcd_bx*(1-MIN(1,MAX(0,$T120*(7*S$72-3*$F120)/(4*$F120)))^2)</f>
        <v/>
      </c>
      <c r="T120">
        <f>MIN(1,2-(($C120+$D120)/2))</f>
        <v/>
      </c>
    </row>
    <row r="121">
      <c r="B121" s="52" t="n">
        <v>45</v>
      </c>
      <c r="C121" s="53">
        <f>IF($G120&lt;bx_N,($C120+$D120)/2,$C120)</f>
        <v/>
      </c>
      <c r="D121" s="53">
        <f>IF($G120&lt;bx_N,$D120,($C120+$D120)/2)</f>
        <v/>
      </c>
      <c r="E121" s="54">
        <f>IF($T121&gt;=1,$F121,3/7*bx_b+4/7*bx_b/MAX($T121,1E-12))</f>
        <v/>
      </c>
      <c r="F121" s="55">
        <f>bx_b*MIN((($C121+$D121)/2),1)</f>
        <v/>
      </c>
      <c r="G121" s="55">
        <f>(fcd_bx*bx_h*$F121*(3/7+4/7*(1-$T121^2/3))+SUMPRODUCT($J$73:$S$73,$J121:$S121))/1000</f>
        <v/>
      </c>
      <c r="H121" s="55">
        <f>(fcd_bx*bx_h*(3/14*$F121*(bx_b-3/7*$F121)+4/7*$F121*(bx_b/2-3/7*$F121)*(1-$T121^2/3)-16/49*$F121^2*(1/2-$T121^2/4))+SUMPRODUCT($J$73:$S$73,$J121:$S121,$J$74:$S$74))/1E6</f>
        <v/>
      </c>
      <c r="J121">
        <f>MAX(-fyd_bx,MIN(fyd_bx,200000*0.002*(1-$T121*(7*J$72-3*$F121)/(4*$F121))))-fcd_bx*(1-MIN(1,MAX(0,$T121*(7*J$72-3*$F121)/(4*$F121)))^2)</f>
        <v/>
      </c>
      <c r="K121">
        <f>MAX(-fyd_bx,MIN(fyd_bx,200000*0.002*(1-$T121*(7*K$72-3*$F121)/(4*$F121))))-fcd_bx*(1-MIN(1,MAX(0,$T121*(7*K$72-3*$F121)/(4*$F121)))^2)</f>
        <v/>
      </c>
      <c r="L121">
        <f>MAX(-fyd_bx,MIN(fyd_bx,200000*0.002*(1-$T121*(7*L$72-3*$F121)/(4*$F121))))-fcd_bx*(1-MIN(1,MAX(0,$T121*(7*L$72-3*$F121)/(4*$F121)))^2)</f>
        <v/>
      </c>
      <c r="M121">
        <f>MAX(-fyd_bx,MIN(fyd_bx,200000*0.002*(1-$T121*(7*M$72-3*$F121)/(4*$F121))))-fcd_bx*(1-MIN(1,MAX(0,$T121*(7*M$72-3*$F121)/(4*$F121)))^2)</f>
        <v/>
      </c>
      <c r="N121">
        <f>MAX(-fyd_bx,MIN(fyd_bx,200000*0.002*(1-$T121*(7*N$72-3*$F121)/(4*$F121))))-fcd_bx*(1-MIN(1,MAX(0,$T121*(7*N$72-3*$F121)/(4*$F121)))^2)</f>
        <v/>
      </c>
      <c r="O121">
        <f>MAX(-fyd_bx,MIN(fyd_bx,200000*0.002*(1-$T121*(7*O$72-3*$F121)/(4*$F121))))-fcd_bx*(1-MIN(1,MAX(0,$T121*(7*O$72-3*$F121)/(4*$F121)))^2)</f>
        <v/>
      </c>
      <c r="P121">
        <f>MAX(-fyd_bx,MIN(fyd_bx,200000*0.002*(1-$T121*(7*P$72-3*$F121)/(4*$F121))))-fcd_bx*(1-MIN(1,MAX(0,$T121*(7*P$72-3*$F121)/(4*$F121)))^2)</f>
        <v/>
      </c>
      <c r="Q121">
        <f>MAX(-fyd_bx,MIN(fyd_bx,200000*0.002*(1-$T121*(7*Q$72-3*$F121)/(4*$F121))))-fcd_bx*(1-MIN(1,MAX(0,$T121*(7*Q$72-3*$F121)/(4*$F121)))^2)</f>
        <v/>
      </c>
      <c r="R121">
        <f>MAX(-fyd_bx,MIN(fyd_bx,200000*0.002*(1-$T121*(7*R$72-3*$F121)/(4*$F121))))-fcd_bx*(1-MIN(1,MAX(0,$T121*(7*R$72-3*$F121)/(4*$F121)))^2)</f>
        <v/>
      </c>
      <c r="S121">
        <f>MAX(-fyd_bx,MIN(fyd_bx,200000*0.002*(1-$T121*(7*S$72-3*$F121)/(4*$F121))))-fcd_bx*(1-MIN(1,MAX(0,$T121*(7*S$72-3*$F121)/(4*$F121)))^2)</f>
        <v/>
      </c>
      <c r="T121">
        <f>MIN(1,2-(($C121+$D121)/2))</f>
        <v/>
      </c>
    </row>
    <row r="122">
      <c r="B122" s="52" t="n">
        <v>46</v>
      </c>
      <c r="C122" s="53">
        <f>IF($G121&lt;bx_N,($C121+$D121)/2,$C121)</f>
        <v/>
      </c>
      <c r="D122" s="53">
        <f>IF($G121&lt;bx_N,$D121,($C121+$D121)/2)</f>
        <v/>
      </c>
      <c r="E122" s="54">
        <f>IF($T122&gt;=1,$F122,3/7*bx_b+4/7*bx_b/MAX($T122,1E-12))</f>
        <v/>
      </c>
      <c r="F122" s="55">
        <f>bx_b*MIN((($C122+$D122)/2),1)</f>
        <v/>
      </c>
      <c r="G122" s="55">
        <f>(fcd_bx*bx_h*$F122*(3/7+4/7*(1-$T122^2/3))+SUMPRODUCT($J$73:$S$73,$J122:$S122))/1000</f>
        <v/>
      </c>
      <c r="H122" s="55">
        <f>(fcd_bx*bx_h*(3/14*$F122*(bx_b-3/7*$F122)+4/7*$F122*(bx_b/2-3/7*$F122)*(1-$T122^2/3)-16/49*$F122^2*(1/2-$T122^2/4))+SUMPRODUCT($J$73:$S$73,$J122:$S122,$J$74:$S$74))/1E6</f>
        <v/>
      </c>
      <c r="J122">
        <f>MAX(-fyd_bx,MIN(fyd_bx,200000*0.002*(1-$T122*(7*J$72-3*$F122)/(4*$F122))))-fcd_bx*(1-MIN(1,MAX(0,$T122*(7*J$72-3*$F122)/(4*$F122)))^2)</f>
        <v/>
      </c>
      <c r="K122">
        <f>MAX(-fyd_bx,MIN(fyd_bx,200000*0.002*(1-$T122*(7*K$72-3*$F122)/(4*$F122))))-fcd_bx*(1-MIN(1,MAX(0,$T122*(7*K$72-3*$F122)/(4*$F122)))^2)</f>
        <v/>
      </c>
      <c r="L122">
        <f>MAX(-fyd_bx,MIN(fyd_bx,200000*0.002*(1-$T122*(7*L$72-3*$F122)/(4*$F122))))-fcd_bx*(1-MIN(1,MAX(0,$T122*(7*L$72-3*$F122)/(4*$F122)))^2)</f>
        <v/>
      </c>
      <c r="M122">
        <f>MAX(-fyd_bx,MIN(fyd_bx,200000*0.002*(1-$T122*(7*M$72-3*$F122)/(4*$F122))))-fcd_bx*(1-MIN(1,MAX(0,$T122*(7*M$72-3*$F122)/(4*$F122)))^2)</f>
        <v/>
      </c>
      <c r="N122">
        <f>MAX(-fyd_bx,MIN(fyd_bx,200000*0.002*(1-$T122*(7*N$72-3*$F122)/(4*$F122))))-fcd_bx*(1-MIN(1,MAX(0,$T122*(7*N$72-3*$F122)/(4*$F122)))^2)</f>
        <v/>
      </c>
      <c r="O122">
        <f>MAX(-fyd_bx,MIN(fyd_bx,200000*0.002*(1-$T122*(7*O$72-3*$F122)/(4*$F122))))-fcd_bx*(1-MIN(1,MAX(0,$T122*(7*O$72-3*$F122)/(4*$F122)))^2)</f>
        <v/>
      </c>
      <c r="P122">
        <f>MAX(-fyd_bx,MIN(fyd_bx,200000*0.002*(1-$T122*(7*P$72-3*$F122)/(4*$F122))))-fcd_bx*(1-MIN(1,MAX(0,$T122*(7*P$72-3*$F122)/(4*$F122)))^2)</f>
        <v/>
      </c>
      <c r="Q122">
        <f>MAX(-fyd_bx,MIN(fyd_bx,200000*0.002*(1-$T122*(7*Q$72-3*$F122)/(4*$F122))))-fcd_bx*(1-MIN(1,MAX(0,$T122*(7*Q$72-3*$F122)/(4*$F122)))^2)</f>
        <v/>
      </c>
      <c r="R122">
        <f>MAX(-fyd_bx,MIN(fyd_bx,200000*0.002*(1-$T122*(7*R$72-3*$F122)/(4*$F122))))-fcd_bx*(1-MIN(1,MAX(0,$T122*(7*R$72-3*$F122)/(4*$F122)))^2)</f>
        <v/>
      </c>
      <c r="S122">
        <f>MAX(-fyd_bx,MIN(fyd_bx,200000*0.002*(1-$T122*(7*S$72-3*$F122)/(4*$F122))))-fcd_bx*(1-MIN(1,MAX(0,$T122*(7*S$72-3*$F122)/(4*$F122)))^2)</f>
        <v/>
      </c>
      <c r="T122">
        <f>MIN(1,2-(($C122+$D122)/2))</f>
        <v/>
      </c>
    </row>
    <row r="123">
      <c r="B123" s="52" t="n">
        <v>47</v>
      </c>
      <c r="C123" s="53">
        <f>IF($G122&lt;bx_N,($C122+$D122)/2,$C122)</f>
        <v/>
      </c>
      <c r="D123" s="53">
        <f>IF($G122&lt;bx_N,$D122,($C122+$D122)/2)</f>
        <v/>
      </c>
      <c r="E123" s="54">
        <f>IF($T123&gt;=1,$F123,3/7*bx_b+4/7*bx_b/MAX($T123,1E-12))</f>
        <v/>
      </c>
      <c r="F123" s="55">
        <f>bx_b*MIN((($C123+$D123)/2),1)</f>
        <v/>
      </c>
      <c r="G123" s="55">
        <f>(fcd_bx*bx_h*$F123*(3/7+4/7*(1-$T123^2/3))+SUMPRODUCT($J$73:$S$73,$J123:$S123))/1000</f>
        <v/>
      </c>
      <c r="H123" s="55">
        <f>(fcd_bx*bx_h*(3/14*$F123*(bx_b-3/7*$F123)+4/7*$F123*(bx_b/2-3/7*$F123)*(1-$T123^2/3)-16/49*$F123^2*(1/2-$T123^2/4))+SUMPRODUCT($J$73:$S$73,$J123:$S123,$J$74:$S$74))/1E6</f>
        <v/>
      </c>
      <c r="J123">
        <f>MAX(-fyd_bx,MIN(fyd_bx,200000*0.002*(1-$T123*(7*J$72-3*$F123)/(4*$F123))))-fcd_bx*(1-MIN(1,MAX(0,$T123*(7*J$72-3*$F123)/(4*$F123)))^2)</f>
        <v/>
      </c>
      <c r="K123">
        <f>MAX(-fyd_bx,MIN(fyd_bx,200000*0.002*(1-$T123*(7*K$72-3*$F123)/(4*$F123))))-fcd_bx*(1-MIN(1,MAX(0,$T123*(7*K$72-3*$F123)/(4*$F123)))^2)</f>
        <v/>
      </c>
      <c r="L123">
        <f>MAX(-fyd_bx,MIN(fyd_bx,200000*0.002*(1-$T123*(7*L$72-3*$F123)/(4*$F123))))-fcd_bx*(1-MIN(1,MAX(0,$T123*(7*L$72-3*$F123)/(4*$F123)))^2)</f>
        <v/>
      </c>
      <c r="M123">
        <f>MAX(-fyd_bx,MIN(fyd_bx,200000*0.002*(1-$T123*(7*M$72-3*$F123)/(4*$F123))))-fcd_bx*(1-MIN(1,MAX(0,$T123*(7*M$72-3*$F123)/(4*$F123)))^2)</f>
        <v/>
      </c>
      <c r="N123">
        <f>MAX(-fyd_bx,MIN(fyd_bx,200000*0.002*(1-$T123*(7*N$72-3*$F123)/(4*$F123))))-fcd_bx*(1-MIN(1,MAX(0,$T123*(7*N$72-3*$F123)/(4*$F123)))^2)</f>
        <v/>
      </c>
      <c r="O123">
        <f>MAX(-fyd_bx,MIN(fyd_bx,200000*0.002*(1-$T123*(7*O$72-3*$F123)/(4*$F123))))-fcd_bx*(1-MIN(1,MAX(0,$T123*(7*O$72-3*$F123)/(4*$F123)))^2)</f>
        <v/>
      </c>
      <c r="P123">
        <f>MAX(-fyd_bx,MIN(fyd_bx,200000*0.002*(1-$T123*(7*P$72-3*$F123)/(4*$F123))))-fcd_bx*(1-MIN(1,MAX(0,$T123*(7*P$72-3*$F123)/(4*$F123)))^2)</f>
        <v/>
      </c>
      <c r="Q123">
        <f>MAX(-fyd_bx,MIN(fyd_bx,200000*0.002*(1-$T123*(7*Q$72-3*$F123)/(4*$F123))))-fcd_bx*(1-MIN(1,MAX(0,$T123*(7*Q$72-3*$F123)/(4*$F123)))^2)</f>
        <v/>
      </c>
      <c r="R123">
        <f>MAX(-fyd_bx,MIN(fyd_bx,200000*0.002*(1-$T123*(7*R$72-3*$F123)/(4*$F123))))-fcd_bx*(1-MIN(1,MAX(0,$T123*(7*R$72-3*$F123)/(4*$F123)))^2)</f>
        <v/>
      </c>
      <c r="S123">
        <f>MAX(-fyd_bx,MIN(fyd_bx,200000*0.002*(1-$T123*(7*S$72-3*$F123)/(4*$F123))))-fcd_bx*(1-MIN(1,MAX(0,$T123*(7*S$72-3*$F123)/(4*$F123)))^2)</f>
        <v/>
      </c>
      <c r="T123">
        <f>MIN(1,2-(($C123+$D123)/2))</f>
        <v/>
      </c>
    </row>
    <row r="124">
      <c r="B124" s="52" t="n">
        <v>48</v>
      </c>
      <c r="C124" s="53">
        <f>IF($G123&lt;bx_N,($C123+$D123)/2,$C123)</f>
        <v/>
      </c>
      <c r="D124" s="53">
        <f>IF($G123&lt;bx_N,$D123,($C123+$D123)/2)</f>
        <v/>
      </c>
      <c r="E124" s="54">
        <f>IF($T124&gt;=1,$F124,3/7*bx_b+4/7*bx_b/MAX($T124,1E-12))</f>
        <v/>
      </c>
      <c r="F124" s="55">
        <f>bx_b*MIN((($C124+$D124)/2),1)</f>
        <v/>
      </c>
      <c r="G124" s="55">
        <f>(fcd_bx*bx_h*$F124*(3/7+4/7*(1-$T124^2/3))+SUMPRODUCT($J$73:$S$73,$J124:$S124))/1000</f>
        <v/>
      </c>
      <c r="H124" s="55">
        <f>(fcd_bx*bx_h*(3/14*$F124*(bx_b-3/7*$F124)+4/7*$F124*(bx_b/2-3/7*$F124)*(1-$T124^2/3)-16/49*$F124^2*(1/2-$T124^2/4))+SUMPRODUCT($J$73:$S$73,$J124:$S124,$J$74:$S$74))/1E6</f>
        <v/>
      </c>
      <c r="J124">
        <f>MAX(-fyd_bx,MIN(fyd_bx,200000*0.002*(1-$T124*(7*J$72-3*$F124)/(4*$F124))))-fcd_bx*(1-MIN(1,MAX(0,$T124*(7*J$72-3*$F124)/(4*$F124)))^2)</f>
        <v/>
      </c>
      <c r="K124">
        <f>MAX(-fyd_bx,MIN(fyd_bx,200000*0.002*(1-$T124*(7*K$72-3*$F124)/(4*$F124))))-fcd_bx*(1-MIN(1,MAX(0,$T124*(7*K$72-3*$F124)/(4*$F124)))^2)</f>
        <v/>
      </c>
      <c r="L124">
        <f>MAX(-fyd_bx,MIN(fyd_bx,200000*0.002*(1-$T124*(7*L$72-3*$F124)/(4*$F124))))-fcd_bx*(1-MIN(1,MAX(0,$T124*(7*L$72-3*$F124)/(4*$F124)))^2)</f>
        <v/>
      </c>
      <c r="M124">
        <f>MAX(-fyd_bx,MIN(fyd_bx,200000*0.002*(1-$T124*(7*M$72-3*$F124)/(4*$F124))))-fcd_bx*(1-MIN(1,MAX(0,$T124*(7*M$72-3*$F124)/(4*$F124)))^2)</f>
        <v/>
      </c>
      <c r="N124">
        <f>MAX(-fyd_bx,MIN(fyd_bx,200000*0.002*(1-$T124*(7*N$72-3*$F124)/(4*$F124))))-fcd_bx*(1-MIN(1,MAX(0,$T124*(7*N$72-3*$F124)/(4*$F124)))^2)</f>
        <v/>
      </c>
      <c r="O124">
        <f>MAX(-fyd_bx,MIN(fyd_bx,200000*0.002*(1-$T124*(7*O$72-3*$F124)/(4*$F124))))-fcd_bx*(1-MIN(1,MAX(0,$T124*(7*O$72-3*$F124)/(4*$F124)))^2)</f>
        <v/>
      </c>
      <c r="P124">
        <f>MAX(-fyd_bx,MIN(fyd_bx,200000*0.002*(1-$T124*(7*P$72-3*$F124)/(4*$F124))))-fcd_bx*(1-MIN(1,MAX(0,$T124*(7*P$72-3*$F124)/(4*$F124)))^2)</f>
        <v/>
      </c>
      <c r="Q124">
        <f>MAX(-fyd_bx,MIN(fyd_bx,200000*0.002*(1-$T124*(7*Q$72-3*$F124)/(4*$F124))))-fcd_bx*(1-MIN(1,MAX(0,$T124*(7*Q$72-3*$F124)/(4*$F124)))^2)</f>
        <v/>
      </c>
      <c r="R124">
        <f>MAX(-fyd_bx,MIN(fyd_bx,200000*0.002*(1-$T124*(7*R$72-3*$F124)/(4*$F124))))-fcd_bx*(1-MIN(1,MAX(0,$T124*(7*R$72-3*$F124)/(4*$F124)))^2)</f>
        <v/>
      </c>
      <c r="S124">
        <f>MAX(-fyd_bx,MIN(fyd_bx,200000*0.002*(1-$T124*(7*S$72-3*$F124)/(4*$F124))))-fcd_bx*(1-MIN(1,MAX(0,$T124*(7*S$72-3*$F124)/(4*$F124)))^2)</f>
        <v/>
      </c>
      <c r="T124">
        <f>MIN(1,2-(($C124+$D124)/2))</f>
        <v/>
      </c>
    </row>
    <row r="125">
      <c r="B125" s="52" t="n">
        <v>49</v>
      </c>
      <c r="C125" s="53">
        <f>IF($G124&lt;bx_N,($C124+$D124)/2,$C124)</f>
        <v/>
      </c>
      <c r="D125" s="53">
        <f>IF($G124&lt;bx_N,$D124,($C124+$D124)/2)</f>
        <v/>
      </c>
      <c r="E125" s="54">
        <f>IF($T125&gt;=1,$F125,3/7*bx_b+4/7*bx_b/MAX($T125,1E-12))</f>
        <v/>
      </c>
      <c r="F125" s="55">
        <f>bx_b*MIN((($C125+$D125)/2),1)</f>
        <v/>
      </c>
      <c r="G125" s="55">
        <f>(fcd_bx*bx_h*$F125*(3/7+4/7*(1-$T125^2/3))+SUMPRODUCT($J$73:$S$73,$J125:$S125))/1000</f>
        <v/>
      </c>
      <c r="H125" s="55">
        <f>(fcd_bx*bx_h*(3/14*$F125*(bx_b-3/7*$F125)+4/7*$F125*(bx_b/2-3/7*$F125)*(1-$T125^2/3)-16/49*$F125^2*(1/2-$T125^2/4))+SUMPRODUCT($J$73:$S$73,$J125:$S125,$J$74:$S$74))/1E6</f>
        <v/>
      </c>
      <c r="J125">
        <f>MAX(-fyd_bx,MIN(fyd_bx,200000*0.002*(1-$T125*(7*J$72-3*$F125)/(4*$F125))))-fcd_bx*(1-MIN(1,MAX(0,$T125*(7*J$72-3*$F125)/(4*$F125)))^2)</f>
        <v/>
      </c>
      <c r="K125">
        <f>MAX(-fyd_bx,MIN(fyd_bx,200000*0.002*(1-$T125*(7*K$72-3*$F125)/(4*$F125))))-fcd_bx*(1-MIN(1,MAX(0,$T125*(7*K$72-3*$F125)/(4*$F125)))^2)</f>
        <v/>
      </c>
      <c r="L125">
        <f>MAX(-fyd_bx,MIN(fyd_bx,200000*0.002*(1-$T125*(7*L$72-3*$F125)/(4*$F125))))-fcd_bx*(1-MIN(1,MAX(0,$T125*(7*L$72-3*$F125)/(4*$F125)))^2)</f>
        <v/>
      </c>
      <c r="M125">
        <f>MAX(-fyd_bx,MIN(fyd_bx,200000*0.002*(1-$T125*(7*M$72-3*$F125)/(4*$F125))))-fcd_bx*(1-MIN(1,MAX(0,$T125*(7*M$72-3*$F125)/(4*$F125)))^2)</f>
        <v/>
      </c>
      <c r="N125">
        <f>MAX(-fyd_bx,MIN(fyd_bx,200000*0.002*(1-$T125*(7*N$72-3*$F125)/(4*$F125))))-fcd_bx*(1-MIN(1,MAX(0,$T125*(7*N$72-3*$F125)/(4*$F125)))^2)</f>
        <v/>
      </c>
      <c r="O125">
        <f>MAX(-fyd_bx,MIN(fyd_bx,200000*0.002*(1-$T125*(7*O$72-3*$F125)/(4*$F125))))-fcd_bx*(1-MIN(1,MAX(0,$T125*(7*O$72-3*$F125)/(4*$F125)))^2)</f>
        <v/>
      </c>
      <c r="P125">
        <f>MAX(-fyd_bx,MIN(fyd_bx,200000*0.002*(1-$T125*(7*P$72-3*$F125)/(4*$F125))))-fcd_bx*(1-MIN(1,MAX(0,$T125*(7*P$72-3*$F125)/(4*$F125)))^2)</f>
        <v/>
      </c>
      <c r="Q125">
        <f>MAX(-fyd_bx,MIN(fyd_bx,200000*0.002*(1-$T125*(7*Q$72-3*$F125)/(4*$F125))))-fcd_bx*(1-MIN(1,MAX(0,$T125*(7*Q$72-3*$F125)/(4*$F125)))^2)</f>
        <v/>
      </c>
      <c r="R125">
        <f>MAX(-fyd_bx,MIN(fyd_bx,200000*0.002*(1-$T125*(7*R$72-3*$F125)/(4*$F125))))-fcd_bx*(1-MIN(1,MAX(0,$T125*(7*R$72-3*$F125)/(4*$F125)))^2)</f>
        <v/>
      </c>
      <c r="S125">
        <f>MAX(-fyd_bx,MIN(fyd_bx,200000*0.002*(1-$T125*(7*S$72-3*$F125)/(4*$F125))))-fcd_bx*(1-MIN(1,MAX(0,$T125*(7*S$72-3*$F125)/(4*$F125)))^2)</f>
        <v/>
      </c>
      <c r="T125">
        <f>MIN(1,2-(($C125+$D125)/2))</f>
        <v/>
      </c>
    </row>
    <row r="126">
      <c r="B126" s="52" t="n">
        <v>50</v>
      </c>
      <c r="C126" s="53">
        <f>IF($G125&lt;bx_N,($C125+$D125)/2,$C125)</f>
        <v/>
      </c>
      <c r="D126" s="53">
        <f>IF($G125&lt;bx_N,$D125,($C125+$D125)/2)</f>
        <v/>
      </c>
      <c r="E126" s="54">
        <f>IF($T126&gt;=1,$F126,3/7*bx_b+4/7*bx_b/MAX($T126,1E-12))</f>
        <v/>
      </c>
      <c r="F126" s="55">
        <f>bx_b*MIN((($C126+$D126)/2),1)</f>
        <v/>
      </c>
      <c r="G126" s="55">
        <f>(fcd_bx*bx_h*$F126*(3/7+4/7*(1-$T126^2/3))+SUMPRODUCT($J$73:$S$73,$J126:$S126))/1000</f>
        <v/>
      </c>
      <c r="H126" s="55">
        <f>(fcd_bx*bx_h*(3/14*$F126*(bx_b-3/7*$F126)+4/7*$F126*(bx_b/2-3/7*$F126)*(1-$T126^2/3)-16/49*$F126^2*(1/2-$T126^2/4))+SUMPRODUCT($J$73:$S$73,$J126:$S126,$J$74:$S$74))/1E6</f>
        <v/>
      </c>
      <c r="J126">
        <f>MAX(-fyd_bx,MIN(fyd_bx,200000*0.002*(1-$T126*(7*J$72-3*$F126)/(4*$F126))))-fcd_bx*(1-MIN(1,MAX(0,$T126*(7*J$72-3*$F126)/(4*$F126)))^2)</f>
        <v/>
      </c>
      <c r="K126">
        <f>MAX(-fyd_bx,MIN(fyd_bx,200000*0.002*(1-$T126*(7*K$72-3*$F126)/(4*$F126))))-fcd_bx*(1-MIN(1,MAX(0,$T126*(7*K$72-3*$F126)/(4*$F126)))^2)</f>
        <v/>
      </c>
      <c r="L126">
        <f>MAX(-fyd_bx,MIN(fyd_bx,200000*0.002*(1-$T126*(7*L$72-3*$F126)/(4*$F126))))-fcd_bx*(1-MIN(1,MAX(0,$T126*(7*L$72-3*$F126)/(4*$F126)))^2)</f>
        <v/>
      </c>
      <c r="M126">
        <f>MAX(-fyd_bx,MIN(fyd_bx,200000*0.002*(1-$T126*(7*M$72-3*$F126)/(4*$F126))))-fcd_bx*(1-MIN(1,MAX(0,$T126*(7*M$72-3*$F126)/(4*$F126)))^2)</f>
        <v/>
      </c>
      <c r="N126">
        <f>MAX(-fyd_bx,MIN(fyd_bx,200000*0.002*(1-$T126*(7*N$72-3*$F126)/(4*$F126))))-fcd_bx*(1-MIN(1,MAX(0,$T126*(7*N$72-3*$F126)/(4*$F126)))^2)</f>
        <v/>
      </c>
      <c r="O126">
        <f>MAX(-fyd_bx,MIN(fyd_bx,200000*0.002*(1-$T126*(7*O$72-3*$F126)/(4*$F126))))-fcd_bx*(1-MIN(1,MAX(0,$T126*(7*O$72-3*$F126)/(4*$F126)))^2)</f>
        <v/>
      </c>
      <c r="P126">
        <f>MAX(-fyd_bx,MIN(fyd_bx,200000*0.002*(1-$T126*(7*P$72-3*$F126)/(4*$F126))))-fcd_bx*(1-MIN(1,MAX(0,$T126*(7*P$72-3*$F126)/(4*$F126)))^2)</f>
        <v/>
      </c>
      <c r="Q126">
        <f>MAX(-fyd_bx,MIN(fyd_bx,200000*0.002*(1-$T126*(7*Q$72-3*$F126)/(4*$F126))))-fcd_bx*(1-MIN(1,MAX(0,$T126*(7*Q$72-3*$F126)/(4*$F126)))^2)</f>
        <v/>
      </c>
      <c r="R126">
        <f>MAX(-fyd_bx,MIN(fyd_bx,200000*0.002*(1-$T126*(7*R$72-3*$F126)/(4*$F126))))-fcd_bx*(1-MIN(1,MAX(0,$T126*(7*R$72-3*$F126)/(4*$F126)))^2)</f>
        <v/>
      </c>
      <c r="S126">
        <f>MAX(-fyd_bx,MIN(fyd_bx,200000*0.002*(1-$T126*(7*S$72-3*$F126)/(4*$F126))))-fcd_bx*(1-MIN(1,MAX(0,$T126*(7*S$72-3*$F126)/(4*$F126)))^2)</f>
        <v/>
      </c>
      <c r="T126">
        <f>MIN(1,2-(($C126+$D126)/2))</f>
        <v/>
      </c>
    </row>
    <row r="127">
      <c r="B127" s="52" t="n">
        <v>51</v>
      </c>
      <c r="C127" s="53">
        <f>IF($G126&lt;bx_N,($C126+$D126)/2,$C126)</f>
        <v/>
      </c>
      <c r="D127" s="53">
        <f>IF($G126&lt;bx_N,$D126,($C126+$D126)/2)</f>
        <v/>
      </c>
      <c r="E127" s="54">
        <f>IF($T127&gt;=1,$F127,3/7*bx_b+4/7*bx_b/MAX($T127,1E-12))</f>
        <v/>
      </c>
      <c r="F127" s="55">
        <f>bx_b*MIN((($C127+$D127)/2),1)</f>
        <v/>
      </c>
      <c r="G127" s="55">
        <f>(fcd_bx*bx_h*$F127*(3/7+4/7*(1-$T127^2/3))+SUMPRODUCT($J$73:$S$73,$J127:$S127))/1000</f>
        <v/>
      </c>
      <c r="H127" s="55">
        <f>(fcd_bx*bx_h*(3/14*$F127*(bx_b-3/7*$F127)+4/7*$F127*(bx_b/2-3/7*$F127)*(1-$T127^2/3)-16/49*$F127^2*(1/2-$T127^2/4))+SUMPRODUCT($J$73:$S$73,$J127:$S127,$J$74:$S$74))/1E6</f>
        <v/>
      </c>
      <c r="J127">
        <f>MAX(-fyd_bx,MIN(fyd_bx,200000*0.002*(1-$T127*(7*J$72-3*$F127)/(4*$F127))))-fcd_bx*(1-MIN(1,MAX(0,$T127*(7*J$72-3*$F127)/(4*$F127)))^2)</f>
        <v/>
      </c>
      <c r="K127">
        <f>MAX(-fyd_bx,MIN(fyd_bx,200000*0.002*(1-$T127*(7*K$72-3*$F127)/(4*$F127))))-fcd_bx*(1-MIN(1,MAX(0,$T127*(7*K$72-3*$F127)/(4*$F127)))^2)</f>
        <v/>
      </c>
      <c r="L127">
        <f>MAX(-fyd_bx,MIN(fyd_bx,200000*0.002*(1-$T127*(7*L$72-3*$F127)/(4*$F127))))-fcd_bx*(1-MIN(1,MAX(0,$T127*(7*L$72-3*$F127)/(4*$F127)))^2)</f>
        <v/>
      </c>
      <c r="M127">
        <f>MAX(-fyd_bx,MIN(fyd_bx,200000*0.002*(1-$T127*(7*M$72-3*$F127)/(4*$F127))))-fcd_bx*(1-MIN(1,MAX(0,$T127*(7*M$72-3*$F127)/(4*$F127)))^2)</f>
        <v/>
      </c>
      <c r="N127">
        <f>MAX(-fyd_bx,MIN(fyd_bx,200000*0.002*(1-$T127*(7*N$72-3*$F127)/(4*$F127))))-fcd_bx*(1-MIN(1,MAX(0,$T127*(7*N$72-3*$F127)/(4*$F127)))^2)</f>
        <v/>
      </c>
      <c r="O127">
        <f>MAX(-fyd_bx,MIN(fyd_bx,200000*0.002*(1-$T127*(7*O$72-3*$F127)/(4*$F127))))-fcd_bx*(1-MIN(1,MAX(0,$T127*(7*O$72-3*$F127)/(4*$F127)))^2)</f>
        <v/>
      </c>
      <c r="P127">
        <f>MAX(-fyd_bx,MIN(fyd_bx,200000*0.002*(1-$T127*(7*P$72-3*$F127)/(4*$F127))))-fcd_bx*(1-MIN(1,MAX(0,$T127*(7*P$72-3*$F127)/(4*$F127)))^2)</f>
        <v/>
      </c>
      <c r="Q127">
        <f>MAX(-fyd_bx,MIN(fyd_bx,200000*0.002*(1-$T127*(7*Q$72-3*$F127)/(4*$F127))))-fcd_bx*(1-MIN(1,MAX(0,$T127*(7*Q$72-3*$F127)/(4*$F127)))^2)</f>
        <v/>
      </c>
      <c r="R127">
        <f>MAX(-fyd_bx,MIN(fyd_bx,200000*0.002*(1-$T127*(7*R$72-3*$F127)/(4*$F127))))-fcd_bx*(1-MIN(1,MAX(0,$T127*(7*R$72-3*$F127)/(4*$F127)))^2)</f>
        <v/>
      </c>
      <c r="S127">
        <f>MAX(-fyd_bx,MIN(fyd_bx,200000*0.002*(1-$T127*(7*S$72-3*$F127)/(4*$F127))))-fcd_bx*(1-MIN(1,MAX(0,$T127*(7*S$72-3*$F127)/(4*$F127)))^2)</f>
        <v/>
      </c>
      <c r="T127">
        <f>MIN(1,2-(($C127+$D127)/2))</f>
        <v/>
      </c>
    </row>
    <row r="128">
      <c r="B128" s="52" t="n">
        <v>52</v>
      </c>
      <c r="C128" s="53">
        <f>IF($G127&lt;bx_N,($C127+$D127)/2,$C127)</f>
        <v/>
      </c>
      <c r="D128" s="53">
        <f>IF($G127&lt;bx_N,$D127,($C127+$D127)/2)</f>
        <v/>
      </c>
      <c r="E128" s="54">
        <f>IF($T128&gt;=1,$F128,3/7*bx_b+4/7*bx_b/MAX($T128,1E-12))</f>
        <v/>
      </c>
      <c r="F128" s="55">
        <f>bx_b*MIN((($C128+$D128)/2),1)</f>
        <v/>
      </c>
      <c r="G128" s="55">
        <f>(fcd_bx*bx_h*$F128*(3/7+4/7*(1-$T128^2/3))+SUMPRODUCT($J$73:$S$73,$J128:$S128))/1000</f>
        <v/>
      </c>
      <c r="H128" s="55">
        <f>(fcd_bx*bx_h*(3/14*$F128*(bx_b-3/7*$F128)+4/7*$F128*(bx_b/2-3/7*$F128)*(1-$T128^2/3)-16/49*$F128^2*(1/2-$T128^2/4))+SUMPRODUCT($J$73:$S$73,$J128:$S128,$J$74:$S$74))/1E6</f>
        <v/>
      </c>
      <c r="J128">
        <f>MAX(-fyd_bx,MIN(fyd_bx,200000*0.002*(1-$T128*(7*J$72-3*$F128)/(4*$F128))))-fcd_bx*(1-MIN(1,MAX(0,$T128*(7*J$72-3*$F128)/(4*$F128)))^2)</f>
        <v/>
      </c>
      <c r="K128">
        <f>MAX(-fyd_bx,MIN(fyd_bx,200000*0.002*(1-$T128*(7*K$72-3*$F128)/(4*$F128))))-fcd_bx*(1-MIN(1,MAX(0,$T128*(7*K$72-3*$F128)/(4*$F128)))^2)</f>
        <v/>
      </c>
      <c r="L128">
        <f>MAX(-fyd_bx,MIN(fyd_bx,200000*0.002*(1-$T128*(7*L$72-3*$F128)/(4*$F128))))-fcd_bx*(1-MIN(1,MAX(0,$T128*(7*L$72-3*$F128)/(4*$F128)))^2)</f>
        <v/>
      </c>
      <c r="M128">
        <f>MAX(-fyd_bx,MIN(fyd_bx,200000*0.002*(1-$T128*(7*M$72-3*$F128)/(4*$F128))))-fcd_bx*(1-MIN(1,MAX(0,$T128*(7*M$72-3*$F128)/(4*$F128)))^2)</f>
        <v/>
      </c>
      <c r="N128">
        <f>MAX(-fyd_bx,MIN(fyd_bx,200000*0.002*(1-$T128*(7*N$72-3*$F128)/(4*$F128))))-fcd_bx*(1-MIN(1,MAX(0,$T128*(7*N$72-3*$F128)/(4*$F128)))^2)</f>
        <v/>
      </c>
      <c r="O128">
        <f>MAX(-fyd_bx,MIN(fyd_bx,200000*0.002*(1-$T128*(7*O$72-3*$F128)/(4*$F128))))-fcd_bx*(1-MIN(1,MAX(0,$T128*(7*O$72-3*$F128)/(4*$F128)))^2)</f>
        <v/>
      </c>
      <c r="P128">
        <f>MAX(-fyd_bx,MIN(fyd_bx,200000*0.002*(1-$T128*(7*P$72-3*$F128)/(4*$F128))))-fcd_bx*(1-MIN(1,MAX(0,$T128*(7*P$72-3*$F128)/(4*$F128)))^2)</f>
        <v/>
      </c>
      <c r="Q128">
        <f>MAX(-fyd_bx,MIN(fyd_bx,200000*0.002*(1-$T128*(7*Q$72-3*$F128)/(4*$F128))))-fcd_bx*(1-MIN(1,MAX(0,$T128*(7*Q$72-3*$F128)/(4*$F128)))^2)</f>
        <v/>
      </c>
      <c r="R128">
        <f>MAX(-fyd_bx,MIN(fyd_bx,200000*0.002*(1-$T128*(7*R$72-3*$F128)/(4*$F128))))-fcd_bx*(1-MIN(1,MAX(0,$T128*(7*R$72-3*$F128)/(4*$F128)))^2)</f>
        <v/>
      </c>
      <c r="S128">
        <f>MAX(-fyd_bx,MIN(fyd_bx,200000*0.002*(1-$T128*(7*S$72-3*$F128)/(4*$F128))))-fcd_bx*(1-MIN(1,MAX(0,$T128*(7*S$72-3*$F128)/(4*$F128)))^2)</f>
        <v/>
      </c>
      <c r="T128">
        <f>MIN(1,2-(($C128+$D128)/2))</f>
        <v/>
      </c>
    </row>
    <row r="129">
      <c r="B129" s="52" t="n">
        <v>53</v>
      </c>
      <c r="C129" s="53">
        <f>IF($G128&lt;bx_N,($C128+$D128)/2,$C128)</f>
        <v/>
      </c>
      <c r="D129" s="53">
        <f>IF($G128&lt;bx_N,$D128,($C128+$D128)/2)</f>
        <v/>
      </c>
      <c r="E129" s="54">
        <f>IF($T129&gt;=1,$F129,3/7*bx_b+4/7*bx_b/MAX($T129,1E-12))</f>
        <v/>
      </c>
      <c r="F129" s="55">
        <f>bx_b*MIN((($C129+$D129)/2),1)</f>
        <v/>
      </c>
      <c r="G129" s="55">
        <f>(fcd_bx*bx_h*$F129*(3/7+4/7*(1-$T129^2/3))+SUMPRODUCT($J$73:$S$73,$J129:$S129))/1000</f>
        <v/>
      </c>
      <c r="H129" s="55">
        <f>(fcd_bx*bx_h*(3/14*$F129*(bx_b-3/7*$F129)+4/7*$F129*(bx_b/2-3/7*$F129)*(1-$T129^2/3)-16/49*$F129^2*(1/2-$T129^2/4))+SUMPRODUCT($J$73:$S$73,$J129:$S129,$J$74:$S$74))/1E6</f>
        <v/>
      </c>
      <c r="J129">
        <f>MAX(-fyd_bx,MIN(fyd_bx,200000*0.002*(1-$T129*(7*J$72-3*$F129)/(4*$F129))))-fcd_bx*(1-MIN(1,MAX(0,$T129*(7*J$72-3*$F129)/(4*$F129)))^2)</f>
        <v/>
      </c>
      <c r="K129">
        <f>MAX(-fyd_bx,MIN(fyd_bx,200000*0.002*(1-$T129*(7*K$72-3*$F129)/(4*$F129))))-fcd_bx*(1-MIN(1,MAX(0,$T129*(7*K$72-3*$F129)/(4*$F129)))^2)</f>
        <v/>
      </c>
      <c r="L129">
        <f>MAX(-fyd_bx,MIN(fyd_bx,200000*0.002*(1-$T129*(7*L$72-3*$F129)/(4*$F129))))-fcd_bx*(1-MIN(1,MAX(0,$T129*(7*L$72-3*$F129)/(4*$F129)))^2)</f>
        <v/>
      </c>
      <c r="M129">
        <f>MAX(-fyd_bx,MIN(fyd_bx,200000*0.002*(1-$T129*(7*M$72-3*$F129)/(4*$F129))))-fcd_bx*(1-MIN(1,MAX(0,$T129*(7*M$72-3*$F129)/(4*$F129)))^2)</f>
        <v/>
      </c>
      <c r="N129">
        <f>MAX(-fyd_bx,MIN(fyd_bx,200000*0.002*(1-$T129*(7*N$72-3*$F129)/(4*$F129))))-fcd_bx*(1-MIN(1,MAX(0,$T129*(7*N$72-3*$F129)/(4*$F129)))^2)</f>
        <v/>
      </c>
      <c r="O129">
        <f>MAX(-fyd_bx,MIN(fyd_bx,200000*0.002*(1-$T129*(7*O$72-3*$F129)/(4*$F129))))-fcd_bx*(1-MIN(1,MAX(0,$T129*(7*O$72-3*$F129)/(4*$F129)))^2)</f>
        <v/>
      </c>
      <c r="P129">
        <f>MAX(-fyd_bx,MIN(fyd_bx,200000*0.002*(1-$T129*(7*P$72-3*$F129)/(4*$F129))))-fcd_bx*(1-MIN(1,MAX(0,$T129*(7*P$72-3*$F129)/(4*$F129)))^2)</f>
        <v/>
      </c>
      <c r="Q129">
        <f>MAX(-fyd_bx,MIN(fyd_bx,200000*0.002*(1-$T129*(7*Q$72-3*$F129)/(4*$F129))))-fcd_bx*(1-MIN(1,MAX(0,$T129*(7*Q$72-3*$F129)/(4*$F129)))^2)</f>
        <v/>
      </c>
      <c r="R129">
        <f>MAX(-fyd_bx,MIN(fyd_bx,200000*0.002*(1-$T129*(7*R$72-3*$F129)/(4*$F129))))-fcd_bx*(1-MIN(1,MAX(0,$T129*(7*R$72-3*$F129)/(4*$F129)))^2)</f>
        <v/>
      </c>
      <c r="S129">
        <f>MAX(-fyd_bx,MIN(fyd_bx,200000*0.002*(1-$T129*(7*S$72-3*$F129)/(4*$F129))))-fcd_bx*(1-MIN(1,MAX(0,$T129*(7*S$72-3*$F129)/(4*$F129)))^2)</f>
        <v/>
      </c>
      <c r="T129">
        <f>MIN(1,2-(($C129+$D129)/2))</f>
        <v/>
      </c>
    </row>
    <row r="130">
      <c r="B130" s="52" t="n">
        <v>54</v>
      </c>
      <c r="C130" s="53">
        <f>IF($G129&lt;bx_N,($C129+$D129)/2,$C129)</f>
        <v/>
      </c>
      <c r="D130" s="53">
        <f>IF($G129&lt;bx_N,$D129,($C129+$D129)/2)</f>
        <v/>
      </c>
      <c r="E130" s="54">
        <f>IF($T130&gt;=1,$F130,3/7*bx_b+4/7*bx_b/MAX($T130,1E-12))</f>
        <v/>
      </c>
      <c r="F130" s="55">
        <f>bx_b*MIN((($C130+$D130)/2),1)</f>
        <v/>
      </c>
      <c r="G130" s="55">
        <f>(fcd_bx*bx_h*$F130*(3/7+4/7*(1-$T130^2/3))+SUMPRODUCT($J$73:$S$73,$J130:$S130))/1000</f>
        <v/>
      </c>
      <c r="H130" s="55">
        <f>(fcd_bx*bx_h*(3/14*$F130*(bx_b-3/7*$F130)+4/7*$F130*(bx_b/2-3/7*$F130)*(1-$T130^2/3)-16/49*$F130^2*(1/2-$T130^2/4))+SUMPRODUCT($J$73:$S$73,$J130:$S130,$J$74:$S$74))/1E6</f>
        <v/>
      </c>
      <c r="J130">
        <f>MAX(-fyd_bx,MIN(fyd_bx,200000*0.002*(1-$T130*(7*J$72-3*$F130)/(4*$F130))))-fcd_bx*(1-MIN(1,MAX(0,$T130*(7*J$72-3*$F130)/(4*$F130)))^2)</f>
        <v/>
      </c>
      <c r="K130">
        <f>MAX(-fyd_bx,MIN(fyd_bx,200000*0.002*(1-$T130*(7*K$72-3*$F130)/(4*$F130))))-fcd_bx*(1-MIN(1,MAX(0,$T130*(7*K$72-3*$F130)/(4*$F130)))^2)</f>
        <v/>
      </c>
      <c r="L130">
        <f>MAX(-fyd_bx,MIN(fyd_bx,200000*0.002*(1-$T130*(7*L$72-3*$F130)/(4*$F130))))-fcd_bx*(1-MIN(1,MAX(0,$T130*(7*L$72-3*$F130)/(4*$F130)))^2)</f>
        <v/>
      </c>
      <c r="M130">
        <f>MAX(-fyd_bx,MIN(fyd_bx,200000*0.002*(1-$T130*(7*M$72-3*$F130)/(4*$F130))))-fcd_bx*(1-MIN(1,MAX(0,$T130*(7*M$72-3*$F130)/(4*$F130)))^2)</f>
        <v/>
      </c>
      <c r="N130">
        <f>MAX(-fyd_bx,MIN(fyd_bx,200000*0.002*(1-$T130*(7*N$72-3*$F130)/(4*$F130))))-fcd_bx*(1-MIN(1,MAX(0,$T130*(7*N$72-3*$F130)/(4*$F130)))^2)</f>
        <v/>
      </c>
      <c r="O130">
        <f>MAX(-fyd_bx,MIN(fyd_bx,200000*0.002*(1-$T130*(7*O$72-3*$F130)/(4*$F130))))-fcd_bx*(1-MIN(1,MAX(0,$T130*(7*O$72-3*$F130)/(4*$F130)))^2)</f>
        <v/>
      </c>
      <c r="P130">
        <f>MAX(-fyd_bx,MIN(fyd_bx,200000*0.002*(1-$T130*(7*P$72-3*$F130)/(4*$F130))))-fcd_bx*(1-MIN(1,MAX(0,$T130*(7*P$72-3*$F130)/(4*$F130)))^2)</f>
        <v/>
      </c>
      <c r="Q130">
        <f>MAX(-fyd_bx,MIN(fyd_bx,200000*0.002*(1-$T130*(7*Q$72-3*$F130)/(4*$F130))))-fcd_bx*(1-MIN(1,MAX(0,$T130*(7*Q$72-3*$F130)/(4*$F130)))^2)</f>
        <v/>
      </c>
      <c r="R130">
        <f>MAX(-fyd_bx,MIN(fyd_bx,200000*0.002*(1-$T130*(7*R$72-3*$F130)/(4*$F130))))-fcd_bx*(1-MIN(1,MAX(0,$T130*(7*R$72-3*$F130)/(4*$F130)))^2)</f>
        <v/>
      </c>
      <c r="S130">
        <f>MAX(-fyd_bx,MIN(fyd_bx,200000*0.002*(1-$T130*(7*S$72-3*$F130)/(4*$F130))))-fcd_bx*(1-MIN(1,MAX(0,$T130*(7*S$72-3*$F130)/(4*$F130)))^2)</f>
        <v/>
      </c>
      <c r="T130">
        <f>MIN(1,2-(($C130+$D130)/2))</f>
        <v/>
      </c>
    </row>
    <row r="131">
      <c r="B131" s="52" t="n">
        <v>55</v>
      </c>
      <c r="C131" s="53">
        <f>IF($G130&lt;bx_N,($C130+$D130)/2,$C130)</f>
        <v/>
      </c>
      <c r="D131" s="53">
        <f>IF($G130&lt;bx_N,$D130,($C130+$D130)/2)</f>
        <v/>
      </c>
      <c r="E131" s="54">
        <f>IF($T131&gt;=1,$F131,3/7*bx_b+4/7*bx_b/MAX($T131,1E-12))</f>
        <v/>
      </c>
      <c r="F131" s="55">
        <f>bx_b*MIN((($C131+$D131)/2),1)</f>
        <v/>
      </c>
      <c r="G131" s="55">
        <f>(fcd_bx*bx_h*$F131*(3/7+4/7*(1-$T131^2/3))+SUMPRODUCT($J$73:$S$73,$J131:$S131))/1000</f>
        <v/>
      </c>
      <c r="H131" s="55">
        <f>(fcd_bx*bx_h*(3/14*$F131*(bx_b-3/7*$F131)+4/7*$F131*(bx_b/2-3/7*$F131)*(1-$T131^2/3)-16/49*$F131^2*(1/2-$T131^2/4))+SUMPRODUCT($J$73:$S$73,$J131:$S131,$J$74:$S$74))/1E6</f>
        <v/>
      </c>
      <c r="J131">
        <f>MAX(-fyd_bx,MIN(fyd_bx,200000*0.002*(1-$T131*(7*J$72-3*$F131)/(4*$F131))))-fcd_bx*(1-MIN(1,MAX(0,$T131*(7*J$72-3*$F131)/(4*$F131)))^2)</f>
        <v/>
      </c>
      <c r="K131">
        <f>MAX(-fyd_bx,MIN(fyd_bx,200000*0.002*(1-$T131*(7*K$72-3*$F131)/(4*$F131))))-fcd_bx*(1-MIN(1,MAX(0,$T131*(7*K$72-3*$F131)/(4*$F131)))^2)</f>
        <v/>
      </c>
      <c r="L131">
        <f>MAX(-fyd_bx,MIN(fyd_bx,200000*0.002*(1-$T131*(7*L$72-3*$F131)/(4*$F131))))-fcd_bx*(1-MIN(1,MAX(0,$T131*(7*L$72-3*$F131)/(4*$F131)))^2)</f>
        <v/>
      </c>
      <c r="M131">
        <f>MAX(-fyd_bx,MIN(fyd_bx,200000*0.002*(1-$T131*(7*M$72-3*$F131)/(4*$F131))))-fcd_bx*(1-MIN(1,MAX(0,$T131*(7*M$72-3*$F131)/(4*$F131)))^2)</f>
        <v/>
      </c>
      <c r="N131">
        <f>MAX(-fyd_bx,MIN(fyd_bx,200000*0.002*(1-$T131*(7*N$72-3*$F131)/(4*$F131))))-fcd_bx*(1-MIN(1,MAX(0,$T131*(7*N$72-3*$F131)/(4*$F131)))^2)</f>
        <v/>
      </c>
      <c r="O131">
        <f>MAX(-fyd_bx,MIN(fyd_bx,200000*0.002*(1-$T131*(7*O$72-3*$F131)/(4*$F131))))-fcd_bx*(1-MIN(1,MAX(0,$T131*(7*O$72-3*$F131)/(4*$F131)))^2)</f>
        <v/>
      </c>
      <c r="P131">
        <f>MAX(-fyd_bx,MIN(fyd_bx,200000*0.002*(1-$T131*(7*P$72-3*$F131)/(4*$F131))))-fcd_bx*(1-MIN(1,MAX(0,$T131*(7*P$72-3*$F131)/(4*$F131)))^2)</f>
        <v/>
      </c>
      <c r="Q131">
        <f>MAX(-fyd_bx,MIN(fyd_bx,200000*0.002*(1-$T131*(7*Q$72-3*$F131)/(4*$F131))))-fcd_bx*(1-MIN(1,MAX(0,$T131*(7*Q$72-3*$F131)/(4*$F131)))^2)</f>
        <v/>
      </c>
      <c r="R131">
        <f>MAX(-fyd_bx,MIN(fyd_bx,200000*0.002*(1-$T131*(7*R$72-3*$F131)/(4*$F131))))-fcd_bx*(1-MIN(1,MAX(0,$T131*(7*R$72-3*$F131)/(4*$F131)))^2)</f>
        <v/>
      </c>
      <c r="S131">
        <f>MAX(-fyd_bx,MIN(fyd_bx,200000*0.002*(1-$T131*(7*S$72-3*$F131)/(4*$F131))))-fcd_bx*(1-MIN(1,MAX(0,$T131*(7*S$72-3*$F131)/(4*$F131)))^2)</f>
        <v/>
      </c>
      <c r="T131">
        <f>MIN(1,2-(($C131+$D131)/2))</f>
        <v/>
      </c>
    </row>
    <row r="132">
      <c r="B132" s="52" t="n">
        <v>56</v>
      </c>
      <c r="C132" s="53">
        <f>IF($G131&lt;bx_N,($C131+$D131)/2,$C131)</f>
        <v/>
      </c>
      <c r="D132" s="53">
        <f>IF($G131&lt;bx_N,$D131,($C131+$D131)/2)</f>
        <v/>
      </c>
      <c r="E132" s="54">
        <f>IF($T132&gt;=1,$F132,3/7*bx_b+4/7*bx_b/MAX($T132,1E-12))</f>
        <v/>
      </c>
      <c r="F132" s="55">
        <f>bx_b*MIN((($C132+$D132)/2),1)</f>
        <v/>
      </c>
      <c r="G132" s="55">
        <f>(fcd_bx*bx_h*$F132*(3/7+4/7*(1-$T132^2/3))+SUMPRODUCT($J$73:$S$73,$J132:$S132))/1000</f>
        <v/>
      </c>
      <c r="H132" s="55">
        <f>(fcd_bx*bx_h*(3/14*$F132*(bx_b-3/7*$F132)+4/7*$F132*(bx_b/2-3/7*$F132)*(1-$T132^2/3)-16/49*$F132^2*(1/2-$T132^2/4))+SUMPRODUCT($J$73:$S$73,$J132:$S132,$J$74:$S$74))/1E6</f>
        <v/>
      </c>
      <c r="J132">
        <f>MAX(-fyd_bx,MIN(fyd_bx,200000*0.002*(1-$T132*(7*J$72-3*$F132)/(4*$F132))))-fcd_bx*(1-MIN(1,MAX(0,$T132*(7*J$72-3*$F132)/(4*$F132)))^2)</f>
        <v/>
      </c>
      <c r="K132">
        <f>MAX(-fyd_bx,MIN(fyd_bx,200000*0.002*(1-$T132*(7*K$72-3*$F132)/(4*$F132))))-fcd_bx*(1-MIN(1,MAX(0,$T132*(7*K$72-3*$F132)/(4*$F132)))^2)</f>
        <v/>
      </c>
      <c r="L132">
        <f>MAX(-fyd_bx,MIN(fyd_bx,200000*0.002*(1-$T132*(7*L$72-3*$F132)/(4*$F132))))-fcd_bx*(1-MIN(1,MAX(0,$T132*(7*L$72-3*$F132)/(4*$F132)))^2)</f>
        <v/>
      </c>
      <c r="M132">
        <f>MAX(-fyd_bx,MIN(fyd_bx,200000*0.002*(1-$T132*(7*M$72-3*$F132)/(4*$F132))))-fcd_bx*(1-MIN(1,MAX(0,$T132*(7*M$72-3*$F132)/(4*$F132)))^2)</f>
        <v/>
      </c>
      <c r="N132">
        <f>MAX(-fyd_bx,MIN(fyd_bx,200000*0.002*(1-$T132*(7*N$72-3*$F132)/(4*$F132))))-fcd_bx*(1-MIN(1,MAX(0,$T132*(7*N$72-3*$F132)/(4*$F132)))^2)</f>
        <v/>
      </c>
      <c r="O132">
        <f>MAX(-fyd_bx,MIN(fyd_bx,200000*0.002*(1-$T132*(7*O$72-3*$F132)/(4*$F132))))-fcd_bx*(1-MIN(1,MAX(0,$T132*(7*O$72-3*$F132)/(4*$F132)))^2)</f>
        <v/>
      </c>
      <c r="P132">
        <f>MAX(-fyd_bx,MIN(fyd_bx,200000*0.002*(1-$T132*(7*P$72-3*$F132)/(4*$F132))))-fcd_bx*(1-MIN(1,MAX(0,$T132*(7*P$72-3*$F132)/(4*$F132)))^2)</f>
        <v/>
      </c>
      <c r="Q132">
        <f>MAX(-fyd_bx,MIN(fyd_bx,200000*0.002*(1-$T132*(7*Q$72-3*$F132)/(4*$F132))))-fcd_bx*(1-MIN(1,MAX(0,$T132*(7*Q$72-3*$F132)/(4*$F132)))^2)</f>
        <v/>
      </c>
      <c r="R132">
        <f>MAX(-fyd_bx,MIN(fyd_bx,200000*0.002*(1-$T132*(7*R$72-3*$F132)/(4*$F132))))-fcd_bx*(1-MIN(1,MAX(0,$T132*(7*R$72-3*$F132)/(4*$F132)))^2)</f>
        <v/>
      </c>
      <c r="S132">
        <f>MAX(-fyd_bx,MIN(fyd_bx,200000*0.002*(1-$T132*(7*S$72-3*$F132)/(4*$F132))))-fcd_bx*(1-MIN(1,MAX(0,$T132*(7*S$72-3*$F132)/(4*$F132)))^2)</f>
        <v/>
      </c>
      <c r="T132">
        <f>MIN(1,2-(($C132+$D132)/2))</f>
        <v/>
      </c>
    </row>
    <row r="133">
      <c r="B133" s="52" t="n">
        <v>57</v>
      </c>
      <c r="C133" s="53">
        <f>IF($G132&lt;bx_N,($C132+$D132)/2,$C132)</f>
        <v/>
      </c>
      <c r="D133" s="53">
        <f>IF($G132&lt;bx_N,$D132,($C132+$D132)/2)</f>
        <v/>
      </c>
      <c r="E133" s="54">
        <f>IF($T133&gt;=1,$F133,3/7*bx_b+4/7*bx_b/MAX($T133,1E-12))</f>
        <v/>
      </c>
      <c r="F133" s="55">
        <f>bx_b*MIN((($C133+$D133)/2),1)</f>
        <v/>
      </c>
      <c r="G133" s="55">
        <f>(fcd_bx*bx_h*$F133*(3/7+4/7*(1-$T133^2/3))+SUMPRODUCT($J$73:$S$73,$J133:$S133))/1000</f>
        <v/>
      </c>
      <c r="H133" s="55">
        <f>(fcd_bx*bx_h*(3/14*$F133*(bx_b-3/7*$F133)+4/7*$F133*(bx_b/2-3/7*$F133)*(1-$T133^2/3)-16/49*$F133^2*(1/2-$T133^2/4))+SUMPRODUCT($J$73:$S$73,$J133:$S133,$J$74:$S$74))/1E6</f>
        <v/>
      </c>
      <c r="J133">
        <f>MAX(-fyd_bx,MIN(fyd_bx,200000*0.002*(1-$T133*(7*J$72-3*$F133)/(4*$F133))))-fcd_bx*(1-MIN(1,MAX(0,$T133*(7*J$72-3*$F133)/(4*$F133)))^2)</f>
        <v/>
      </c>
      <c r="K133">
        <f>MAX(-fyd_bx,MIN(fyd_bx,200000*0.002*(1-$T133*(7*K$72-3*$F133)/(4*$F133))))-fcd_bx*(1-MIN(1,MAX(0,$T133*(7*K$72-3*$F133)/(4*$F133)))^2)</f>
        <v/>
      </c>
      <c r="L133">
        <f>MAX(-fyd_bx,MIN(fyd_bx,200000*0.002*(1-$T133*(7*L$72-3*$F133)/(4*$F133))))-fcd_bx*(1-MIN(1,MAX(0,$T133*(7*L$72-3*$F133)/(4*$F133)))^2)</f>
        <v/>
      </c>
      <c r="M133">
        <f>MAX(-fyd_bx,MIN(fyd_bx,200000*0.002*(1-$T133*(7*M$72-3*$F133)/(4*$F133))))-fcd_bx*(1-MIN(1,MAX(0,$T133*(7*M$72-3*$F133)/(4*$F133)))^2)</f>
        <v/>
      </c>
      <c r="N133">
        <f>MAX(-fyd_bx,MIN(fyd_bx,200000*0.002*(1-$T133*(7*N$72-3*$F133)/(4*$F133))))-fcd_bx*(1-MIN(1,MAX(0,$T133*(7*N$72-3*$F133)/(4*$F133)))^2)</f>
        <v/>
      </c>
      <c r="O133">
        <f>MAX(-fyd_bx,MIN(fyd_bx,200000*0.002*(1-$T133*(7*O$72-3*$F133)/(4*$F133))))-fcd_bx*(1-MIN(1,MAX(0,$T133*(7*O$72-3*$F133)/(4*$F133)))^2)</f>
        <v/>
      </c>
      <c r="P133">
        <f>MAX(-fyd_bx,MIN(fyd_bx,200000*0.002*(1-$T133*(7*P$72-3*$F133)/(4*$F133))))-fcd_bx*(1-MIN(1,MAX(0,$T133*(7*P$72-3*$F133)/(4*$F133)))^2)</f>
        <v/>
      </c>
      <c r="Q133">
        <f>MAX(-fyd_bx,MIN(fyd_bx,200000*0.002*(1-$T133*(7*Q$72-3*$F133)/(4*$F133))))-fcd_bx*(1-MIN(1,MAX(0,$T133*(7*Q$72-3*$F133)/(4*$F133)))^2)</f>
        <v/>
      </c>
      <c r="R133">
        <f>MAX(-fyd_bx,MIN(fyd_bx,200000*0.002*(1-$T133*(7*R$72-3*$F133)/(4*$F133))))-fcd_bx*(1-MIN(1,MAX(0,$T133*(7*R$72-3*$F133)/(4*$F133)))^2)</f>
        <v/>
      </c>
      <c r="S133">
        <f>MAX(-fyd_bx,MIN(fyd_bx,200000*0.002*(1-$T133*(7*S$72-3*$F133)/(4*$F133))))-fcd_bx*(1-MIN(1,MAX(0,$T133*(7*S$72-3*$F133)/(4*$F133)))^2)</f>
        <v/>
      </c>
      <c r="T133">
        <f>MIN(1,2-(($C133+$D133)/2))</f>
        <v/>
      </c>
    </row>
    <row r="134">
      <c r="B134" s="52" t="n">
        <v>58</v>
      </c>
      <c r="C134" s="53">
        <f>IF($G133&lt;bx_N,($C133+$D133)/2,$C133)</f>
        <v/>
      </c>
      <c r="D134" s="53">
        <f>IF($G133&lt;bx_N,$D133,($C133+$D133)/2)</f>
        <v/>
      </c>
      <c r="E134" s="54">
        <f>IF($T134&gt;=1,$F134,3/7*bx_b+4/7*bx_b/MAX($T134,1E-12))</f>
        <v/>
      </c>
      <c r="F134" s="55">
        <f>bx_b*MIN((($C134+$D134)/2),1)</f>
        <v/>
      </c>
      <c r="G134" s="55">
        <f>(fcd_bx*bx_h*$F134*(3/7+4/7*(1-$T134^2/3))+SUMPRODUCT($J$73:$S$73,$J134:$S134))/1000</f>
        <v/>
      </c>
      <c r="H134" s="55">
        <f>(fcd_bx*bx_h*(3/14*$F134*(bx_b-3/7*$F134)+4/7*$F134*(bx_b/2-3/7*$F134)*(1-$T134^2/3)-16/49*$F134^2*(1/2-$T134^2/4))+SUMPRODUCT($J$73:$S$73,$J134:$S134,$J$74:$S$74))/1E6</f>
        <v/>
      </c>
      <c r="J134">
        <f>MAX(-fyd_bx,MIN(fyd_bx,200000*0.002*(1-$T134*(7*J$72-3*$F134)/(4*$F134))))-fcd_bx*(1-MIN(1,MAX(0,$T134*(7*J$72-3*$F134)/(4*$F134)))^2)</f>
        <v/>
      </c>
      <c r="K134">
        <f>MAX(-fyd_bx,MIN(fyd_bx,200000*0.002*(1-$T134*(7*K$72-3*$F134)/(4*$F134))))-fcd_bx*(1-MIN(1,MAX(0,$T134*(7*K$72-3*$F134)/(4*$F134)))^2)</f>
        <v/>
      </c>
      <c r="L134">
        <f>MAX(-fyd_bx,MIN(fyd_bx,200000*0.002*(1-$T134*(7*L$72-3*$F134)/(4*$F134))))-fcd_bx*(1-MIN(1,MAX(0,$T134*(7*L$72-3*$F134)/(4*$F134)))^2)</f>
        <v/>
      </c>
      <c r="M134">
        <f>MAX(-fyd_bx,MIN(fyd_bx,200000*0.002*(1-$T134*(7*M$72-3*$F134)/(4*$F134))))-fcd_bx*(1-MIN(1,MAX(0,$T134*(7*M$72-3*$F134)/(4*$F134)))^2)</f>
        <v/>
      </c>
      <c r="N134">
        <f>MAX(-fyd_bx,MIN(fyd_bx,200000*0.002*(1-$T134*(7*N$72-3*$F134)/(4*$F134))))-fcd_bx*(1-MIN(1,MAX(0,$T134*(7*N$72-3*$F134)/(4*$F134)))^2)</f>
        <v/>
      </c>
      <c r="O134">
        <f>MAX(-fyd_bx,MIN(fyd_bx,200000*0.002*(1-$T134*(7*O$72-3*$F134)/(4*$F134))))-fcd_bx*(1-MIN(1,MAX(0,$T134*(7*O$72-3*$F134)/(4*$F134)))^2)</f>
        <v/>
      </c>
      <c r="P134">
        <f>MAX(-fyd_bx,MIN(fyd_bx,200000*0.002*(1-$T134*(7*P$72-3*$F134)/(4*$F134))))-fcd_bx*(1-MIN(1,MAX(0,$T134*(7*P$72-3*$F134)/(4*$F134)))^2)</f>
        <v/>
      </c>
      <c r="Q134">
        <f>MAX(-fyd_bx,MIN(fyd_bx,200000*0.002*(1-$T134*(7*Q$72-3*$F134)/(4*$F134))))-fcd_bx*(1-MIN(1,MAX(0,$T134*(7*Q$72-3*$F134)/(4*$F134)))^2)</f>
        <v/>
      </c>
      <c r="R134">
        <f>MAX(-fyd_bx,MIN(fyd_bx,200000*0.002*(1-$T134*(7*R$72-3*$F134)/(4*$F134))))-fcd_bx*(1-MIN(1,MAX(0,$T134*(7*R$72-3*$F134)/(4*$F134)))^2)</f>
        <v/>
      </c>
      <c r="S134">
        <f>MAX(-fyd_bx,MIN(fyd_bx,200000*0.002*(1-$T134*(7*S$72-3*$F134)/(4*$F134))))-fcd_bx*(1-MIN(1,MAX(0,$T134*(7*S$72-3*$F134)/(4*$F134)))^2)</f>
        <v/>
      </c>
      <c r="T134">
        <f>MIN(1,2-(($C134+$D134)/2))</f>
        <v/>
      </c>
    </row>
    <row r="135">
      <c r="B135" s="52" t="n">
        <v>59</v>
      </c>
      <c r="C135" s="53">
        <f>IF($G134&lt;bx_N,($C134+$D134)/2,$C134)</f>
        <v/>
      </c>
      <c r="D135" s="53">
        <f>IF($G134&lt;bx_N,$D134,($C134+$D134)/2)</f>
        <v/>
      </c>
      <c r="E135" s="54">
        <f>IF($T135&gt;=1,$F135,3/7*bx_b+4/7*bx_b/MAX($T135,1E-12))</f>
        <v/>
      </c>
      <c r="F135" s="55">
        <f>bx_b*MIN((($C135+$D135)/2),1)</f>
        <v/>
      </c>
      <c r="G135" s="55">
        <f>(fcd_bx*bx_h*$F135*(3/7+4/7*(1-$T135^2/3))+SUMPRODUCT($J$73:$S$73,$J135:$S135))/1000</f>
        <v/>
      </c>
      <c r="H135" s="55">
        <f>(fcd_bx*bx_h*(3/14*$F135*(bx_b-3/7*$F135)+4/7*$F135*(bx_b/2-3/7*$F135)*(1-$T135^2/3)-16/49*$F135^2*(1/2-$T135^2/4))+SUMPRODUCT($J$73:$S$73,$J135:$S135,$J$74:$S$74))/1E6</f>
        <v/>
      </c>
      <c r="J135">
        <f>MAX(-fyd_bx,MIN(fyd_bx,200000*0.002*(1-$T135*(7*J$72-3*$F135)/(4*$F135))))-fcd_bx*(1-MIN(1,MAX(0,$T135*(7*J$72-3*$F135)/(4*$F135)))^2)</f>
        <v/>
      </c>
      <c r="K135">
        <f>MAX(-fyd_bx,MIN(fyd_bx,200000*0.002*(1-$T135*(7*K$72-3*$F135)/(4*$F135))))-fcd_bx*(1-MIN(1,MAX(0,$T135*(7*K$72-3*$F135)/(4*$F135)))^2)</f>
        <v/>
      </c>
      <c r="L135">
        <f>MAX(-fyd_bx,MIN(fyd_bx,200000*0.002*(1-$T135*(7*L$72-3*$F135)/(4*$F135))))-fcd_bx*(1-MIN(1,MAX(0,$T135*(7*L$72-3*$F135)/(4*$F135)))^2)</f>
        <v/>
      </c>
      <c r="M135">
        <f>MAX(-fyd_bx,MIN(fyd_bx,200000*0.002*(1-$T135*(7*M$72-3*$F135)/(4*$F135))))-fcd_bx*(1-MIN(1,MAX(0,$T135*(7*M$72-3*$F135)/(4*$F135)))^2)</f>
        <v/>
      </c>
      <c r="N135">
        <f>MAX(-fyd_bx,MIN(fyd_bx,200000*0.002*(1-$T135*(7*N$72-3*$F135)/(4*$F135))))-fcd_bx*(1-MIN(1,MAX(0,$T135*(7*N$72-3*$F135)/(4*$F135)))^2)</f>
        <v/>
      </c>
      <c r="O135">
        <f>MAX(-fyd_bx,MIN(fyd_bx,200000*0.002*(1-$T135*(7*O$72-3*$F135)/(4*$F135))))-fcd_bx*(1-MIN(1,MAX(0,$T135*(7*O$72-3*$F135)/(4*$F135)))^2)</f>
        <v/>
      </c>
      <c r="P135">
        <f>MAX(-fyd_bx,MIN(fyd_bx,200000*0.002*(1-$T135*(7*P$72-3*$F135)/(4*$F135))))-fcd_bx*(1-MIN(1,MAX(0,$T135*(7*P$72-3*$F135)/(4*$F135)))^2)</f>
        <v/>
      </c>
      <c r="Q135">
        <f>MAX(-fyd_bx,MIN(fyd_bx,200000*0.002*(1-$T135*(7*Q$72-3*$F135)/(4*$F135))))-fcd_bx*(1-MIN(1,MAX(0,$T135*(7*Q$72-3*$F135)/(4*$F135)))^2)</f>
        <v/>
      </c>
      <c r="R135">
        <f>MAX(-fyd_bx,MIN(fyd_bx,200000*0.002*(1-$T135*(7*R$72-3*$F135)/(4*$F135))))-fcd_bx*(1-MIN(1,MAX(0,$T135*(7*R$72-3*$F135)/(4*$F135)))^2)</f>
        <v/>
      </c>
      <c r="S135">
        <f>MAX(-fyd_bx,MIN(fyd_bx,200000*0.002*(1-$T135*(7*S$72-3*$F135)/(4*$F135))))-fcd_bx*(1-MIN(1,MAX(0,$T135*(7*S$72-3*$F135)/(4*$F135)))^2)</f>
        <v/>
      </c>
      <c r="T135">
        <f>MIN(1,2-(($C135+$D135)/2))</f>
        <v/>
      </c>
    </row>
    <row r="136">
      <c r="B136" s="52" t="n">
        <v>60</v>
      </c>
      <c r="C136" s="53">
        <f>IF($G135&lt;bx_N,($C135+$D135)/2,$C135)</f>
        <v/>
      </c>
      <c r="D136" s="53">
        <f>IF($G135&lt;bx_N,$D135,($C135+$D135)/2)</f>
        <v/>
      </c>
      <c r="E136" s="54">
        <f>IF($T136&gt;=1,$F136,3/7*bx_b+4/7*bx_b/MAX($T136,1E-12))</f>
        <v/>
      </c>
      <c r="F136" s="55">
        <f>bx_b*MIN((($C136+$D136)/2),1)</f>
        <v/>
      </c>
      <c r="G136" s="55">
        <f>(fcd_bx*bx_h*$F136*(3/7+4/7*(1-$T136^2/3))+SUMPRODUCT($J$73:$S$73,$J136:$S136))/1000</f>
        <v/>
      </c>
      <c r="H136" s="55">
        <f>(fcd_bx*bx_h*(3/14*$F136*(bx_b-3/7*$F136)+4/7*$F136*(bx_b/2-3/7*$F136)*(1-$T136^2/3)-16/49*$F136^2*(1/2-$T136^2/4))+SUMPRODUCT($J$73:$S$73,$J136:$S136,$J$74:$S$74))/1E6</f>
        <v/>
      </c>
      <c r="J136">
        <f>MAX(-fyd_bx,MIN(fyd_bx,200000*0.002*(1-$T136*(7*J$72-3*$F136)/(4*$F136))))-fcd_bx*(1-MIN(1,MAX(0,$T136*(7*J$72-3*$F136)/(4*$F136)))^2)</f>
        <v/>
      </c>
      <c r="K136">
        <f>MAX(-fyd_bx,MIN(fyd_bx,200000*0.002*(1-$T136*(7*K$72-3*$F136)/(4*$F136))))-fcd_bx*(1-MIN(1,MAX(0,$T136*(7*K$72-3*$F136)/(4*$F136)))^2)</f>
        <v/>
      </c>
      <c r="L136">
        <f>MAX(-fyd_bx,MIN(fyd_bx,200000*0.002*(1-$T136*(7*L$72-3*$F136)/(4*$F136))))-fcd_bx*(1-MIN(1,MAX(0,$T136*(7*L$72-3*$F136)/(4*$F136)))^2)</f>
        <v/>
      </c>
      <c r="M136">
        <f>MAX(-fyd_bx,MIN(fyd_bx,200000*0.002*(1-$T136*(7*M$72-3*$F136)/(4*$F136))))-fcd_bx*(1-MIN(1,MAX(0,$T136*(7*M$72-3*$F136)/(4*$F136)))^2)</f>
        <v/>
      </c>
      <c r="N136">
        <f>MAX(-fyd_bx,MIN(fyd_bx,200000*0.002*(1-$T136*(7*N$72-3*$F136)/(4*$F136))))-fcd_bx*(1-MIN(1,MAX(0,$T136*(7*N$72-3*$F136)/(4*$F136)))^2)</f>
        <v/>
      </c>
      <c r="O136">
        <f>MAX(-fyd_bx,MIN(fyd_bx,200000*0.002*(1-$T136*(7*O$72-3*$F136)/(4*$F136))))-fcd_bx*(1-MIN(1,MAX(0,$T136*(7*O$72-3*$F136)/(4*$F136)))^2)</f>
        <v/>
      </c>
      <c r="P136">
        <f>MAX(-fyd_bx,MIN(fyd_bx,200000*0.002*(1-$T136*(7*P$72-3*$F136)/(4*$F136))))-fcd_bx*(1-MIN(1,MAX(0,$T136*(7*P$72-3*$F136)/(4*$F136)))^2)</f>
        <v/>
      </c>
      <c r="Q136">
        <f>MAX(-fyd_bx,MIN(fyd_bx,200000*0.002*(1-$T136*(7*Q$72-3*$F136)/(4*$F136))))-fcd_bx*(1-MIN(1,MAX(0,$T136*(7*Q$72-3*$F136)/(4*$F136)))^2)</f>
        <v/>
      </c>
      <c r="R136">
        <f>MAX(-fyd_bx,MIN(fyd_bx,200000*0.002*(1-$T136*(7*R$72-3*$F136)/(4*$F136))))-fcd_bx*(1-MIN(1,MAX(0,$T136*(7*R$72-3*$F136)/(4*$F136)))^2)</f>
        <v/>
      </c>
      <c r="S136">
        <f>MAX(-fyd_bx,MIN(fyd_bx,200000*0.002*(1-$T136*(7*S$72-3*$F136)/(4*$F136))))-fcd_bx*(1-MIN(1,MAX(0,$T136*(7*S$72-3*$F136)/(4*$F136)))^2)</f>
        <v/>
      </c>
      <c r="T136">
        <f>MIN(1,2-(($C136+$D136)/2))</f>
        <v/>
      </c>
    </row>
  </sheetData>
  <sheetProtection selectLockedCells="0" selectUnlockedCells="0" sheet="1" objects="1" insertRows="1" insertHyperlinks="1" autoFilter="1" scenarios="0" formatColumns="1" deleteColumns="1" insertColumns="1" pivotTables="1" deleteRows="1" formatCells="1" formatRows="1" sort="1" password="AA0A"/>
  <mergeCells count="1">
    <mergeCell ref="B3:H3"/>
  </mergeCell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&amp;K8A8A8ANAE-RC-042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7" t="inlineStr">
        <is>
          <t>Parameter</t>
        </is>
      </c>
      <c r="C5" s="57" t="inlineStr">
        <is>
          <t>Clause</t>
        </is>
      </c>
      <c r="D5" s="57" t="inlineStr">
        <is>
          <t>UK NA</t>
        </is>
      </c>
      <c r="E5" s="57" t="inlineStr">
        <is>
          <t>PL NA</t>
        </is>
      </c>
      <c r="F5" s="57" t="inlineStr">
        <is>
          <t>Notes</t>
        </is>
      </c>
    </row>
    <row r="6">
      <c r="B6" s="58" t="inlineStr">
        <is>
          <t>Partial factor, concrete  γc</t>
        </is>
      </c>
      <c r="C6" s="59" t="inlineStr">
        <is>
          <t>2.4.2.4(1)</t>
        </is>
      </c>
      <c r="D6" s="60" t="n">
        <v>1.5</v>
      </c>
      <c r="E6" s="60" t="n">
        <v>1.4</v>
      </c>
      <c r="F6" s="59" t="inlineStr">
        <is>
          <t>Persistent &amp; transient. UK NA: recommended; PL: NA.2, Table NA.2</t>
        </is>
      </c>
    </row>
    <row r="7">
      <c r="B7" s="58" t="inlineStr">
        <is>
          <t>Partial factor, reinforcement  γs</t>
        </is>
      </c>
      <c r="C7" s="59" t="inlineStr">
        <is>
          <t>2.4.2.4(1)</t>
        </is>
      </c>
      <c r="D7" s="60" t="n">
        <v>1.15</v>
      </c>
      <c r="E7" s="60" t="n">
        <v>1.15</v>
      </c>
      <c r="F7" s="59" t="inlineStr">
        <is>
          <t>UK NA: recommended; PL: NA.2, Table NA.2</t>
        </is>
      </c>
    </row>
    <row r="8">
      <c r="B8" s="58" t="inlineStr">
        <is>
          <t>αcc  (compression in flexure / axial)</t>
        </is>
      </c>
      <c r="C8" s="59" t="inlineStr">
        <is>
          <t>3.1.6(1)</t>
        </is>
      </c>
      <c r="D8" s="60" t="n">
        <v>0.85</v>
      </c>
      <c r="E8" s="60" t="n">
        <v>1</v>
      </c>
      <c r="F8" s="59" t="inlineStr">
        <is>
          <t>UK NA: 0.85; PL: recommended (NA.9)</t>
        </is>
      </c>
    </row>
    <row r="9">
      <c r="B9" s="58" t="inlineStr">
        <is>
          <t>αcc,pl  (plain concrete, compression)</t>
        </is>
      </c>
      <c r="C9" s="59" t="inlineStr">
        <is>
          <t>12.3.1(1)</t>
        </is>
      </c>
      <c r="D9" s="60" t="n">
        <v>0.6</v>
      </c>
      <c r="E9" s="60" t="n">
        <v>0.8</v>
      </c>
      <c r="F9" s="59" t="inlineStr">
        <is>
          <t>UK NA Table NA.1: 0.6; PL: recommended (NA.9)</t>
        </is>
      </c>
    </row>
    <row r="10">
      <c r="B10" s="58" t="inlineStr">
        <is>
          <t>αcc  (shear and punching)</t>
        </is>
      </c>
      <c r="C10" s="59" t="inlineStr">
        <is>
          <t>3.1.6(1)</t>
        </is>
      </c>
      <c r="D10" s="60" t="n">
        <v>1</v>
      </c>
      <c r="E10" s="60" t="n">
        <v>1</v>
      </c>
      <c r="F10" s="59" t="inlineStr">
        <is>
          <t>UK NA: 1.0 for other phenomena; PL: recommended (NA.9)</t>
        </is>
      </c>
    </row>
    <row r="11">
      <c r="B11" s="58" t="inlineStr">
        <is>
          <t>αct  (design tensile strength)</t>
        </is>
      </c>
      <c r="C11" s="59" t="inlineStr">
        <is>
          <t>3.1.6(2)</t>
        </is>
      </c>
      <c r="D11" s="60" t="n">
        <v>1</v>
      </c>
      <c r="E11" s="60" t="n">
        <v>1</v>
      </c>
      <c r="F11" s="59" t="inlineStr">
        <is>
          <t>Recommended value in both annexes</t>
        </is>
      </c>
    </row>
    <row r="12">
      <c r="B12" s="58" t="inlineStr">
        <is>
          <t>CRd,c numerator  (CRd,c = value / γc)</t>
        </is>
      </c>
      <c r="C12" s="59" t="inlineStr">
        <is>
          <t>6.2.2(1), 6.4.4(1)</t>
        </is>
      </c>
      <c r="D12" s="60" t="n">
        <v>0.18</v>
      </c>
      <c r="E12" s="60" t="n">
        <v>0.18</v>
      </c>
      <c r="F12" s="59" t="inlineStr">
        <is>
          <t>Recommended value in both annexes</t>
        </is>
      </c>
    </row>
    <row r="13">
      <c r="B13" s="58" t="inlineStr">
        <is>
          <t>k1  (axial stress term, punching)</t>
        </is>
      </c>
      <c r="C13" s="59" t="inlineStr">
        <is>
          <t>6.4.4(1)</t>
        </is>
      </c>
      <c r="D13" s="60" t="n">
        <v>0.1</v>
      </c>
      <c r="E13" s="60" t="n">
        <v>0.1</v>
      </c>
      <c r="F13" s="59" t="inlineStr">
        <is>
          <t>Recommended value in both annexes</t>
        </is>
      </c>
    </row>
    <row r="14">
      <c r="B14" s="58" t="inlineStr">
        <is>
          <t>vRd,max factor  (vRd,max = factor · ν · fcd)</t>
        </is>
      </c>
      <c r="C14" s="59" t="inlineStr">
        <is>
          <t>6.4.5(3)</t>
        </is>
      </c>
      <c r="D14" s="60" t="n">
        <v>0.5</v>
      </c>
      <c r="E14" s="60" t="n">
        <v>0.4</v>
      </c>
      <c r="F14" s="59" t="inlineStr">
        <is>
          <t>UK NA: 0.5 ν fcd; PL: recommended value (NA.9), 0.4 ν fcd since EN 1992-1-1 AC:2010 (PN-EN 1992-1-1:2008/AC:2011)</t>
        </is>
      </c>
    </row>
    <row r="15">
      <c r="B15" s="58" t="inlineStr">
        <is>
          <t>kmax  (vEd ≤ kmax · vRd,c at u1)</t>
        </is>
      </c>
      <c r="C15" s="59" t="inlineStr">
        <is>
          <t>6.4.5</t>
        </is>
      </c>
      <c r="D15" s="60" t="n">
        <v>2</v>
      </c>
      <c r="E15" s="60" t="n">
        <v>1.5</v>
      </c>
      <c r="F15" s="59" t="inlineStr">
        <is>
          <t>UK NA 6.4.5(3): 2 vRd,c. PL: no limit in PN-EN 1992-1-1:2008; 1.5 (A1:2014 recommendation) applied conservatively</t>
        </is>
      </c>
    </row>
    <row r="16">
      <c r="B16" s="58" t="inlineStr">
        <is>
          <t>φlarge  (large bar threshold, mm)</t>
        </is>
      </c>
      <c r="C16" s="59" t="inlineStr">
        <is>
          <t>8.8(1)</t>
        </is>
      </c>
      <c r="D16" s="60" t="n">
        <v>40</v>
      </c>
      <c r="E16" s="60" t="n">
        <v>32</v>
      </c>
      <c r="F16" s="59" t="inlineStr">
        <is>
          <t>UK NA: 40 mm; PL: 32 mm recommended (NA.9)</t>
        </is>
      </c>
    </row>
    <row r="17">
      <c r="B17" s="58" t="inlineStr">
        <is>
          <t>cot θ upper limit  (variable strut)</t>
        </is>
      </c>
      <c r="C17" s="59" t="inlineStr">
        <is>
          <t>6.2.3(2)</t>
        </is>
      </c>
      <c r="D17" s="60" t="n">
        <v>2.5</v>
      </c>
      <c r="E17" s="60" t="n">
        <v>2</v>
      </c>
      <c r="F17" s="59" t="inlineStr">
        <is>
          <t>UK NA: 2.5 (1.25 with axial tension); PL: NA.4, 1 ≤ cot θ ≤ 2.0</t>
        </is>
      </c>
    </row>
    <row r="18">
      <c r="B18" s="58" t="inlineStr">
        <is>
          <t>k1  (x/d limit, δ ≥ k1 + k2 xu/d)</t>
        </is>
      </c>
      <c r="C18" s="59" t="inlineStr">
        <is>
          <t>5.5(4)</t>
        </is>
      </c>
      <c r="D18" s="60" t="n">
        <v>0.4</v>
      </c>
      <c r="E18" s="60" t="n">
        <v>0.44</v>
      </c>
      <c r="F18" s="59" t="inlineStr">
        <is>
          <t>UK NA for fyk ≤ 500 MPa; PL: recommended (NA.9)</t>
        </is>
      </c>
    </row>
    <row r="19">
      <c r="B19" s="58" t="inlineStr">
        <is>
          <t>k2  (x/d limit, εcu2 = 0.0035)</t>
        </is>
      </c>
      <c r="C19" s="59" t="inlineStr">
        <is>
          <t>5.5(4)</t>
        </is>
      </c>
      <c r="D19" s="60" t="n">
        <v>1</v>
      </c>
      <c r="E19" s="60" t="n">
        <v>1.25</v>
      </c>
      <c r="F19" s="59" t="inlineStr">
        <is>
          <t>UK NA: 0.6 + 0.0014/εcu2; PL: 1.25(0.6 + 0.0014/εcu2)</t>
        </is>
      </c>
    </row>
    <row r="20">
      <c r="B20" s="58" t="inlineStr">
        <is>
          <t>Upper limit on the (310/σs) factor  (0 = none)</t>
        </is>
      </c>
      <c r="C20" s="59" t="inlineStr">
        <is>
          <t>7.4.2(2)</t>
        </is>
      </c>
      <c r="D20" s="60" t="n">
        <v>1.5</v>
      </c>
      <c r="E20" s="60" t="n">
        <v>0</v>
      </c>
      <c r="F20" s="59" t="inlineStr">
        <is>
          <t>UK NA Table NA.5 Note 5: (310/σs) or (500/fyk)(As,prov/As,req) ≤ 1.5; PL: none</t>
        </is>
      </c>
    </row>
    <row r="21">
      <c r="B21" s="58" t="inlineStr">
        <is>
          <t>L/d not to exceed 40 K  (1 = applies)</t>
        </is>
      </c>
      <c r="C21" s="59" t="inlineStr">
        <is>
          <t>7.4.2(2)</t>
        </is>
      </c>
      <c r="D21" s="60" t="n">
        <v>1</v>
      </c>
      <c r="E21" s="60" t="n">
        <v>0</v>
      </c>
      <c r="F21" s="59" t="inlineStr">
        <is>
          <t>UK NA Table NA.5 Note 6; not in EN text</t>
        </is>
      </c>
    </row>
    <row r="22">
      <c r="B22" s="58" t="inlineStr">
        <is>
          <t>φmin  (longitudinal bars in columns, mm)</t>
        </is>
      </c>
      <c r="C22" s="59" t="inlineStr">
        <is>
          <t>9.5.2(1)</t>
        </is>
      </c>
      <c r="D22" s="60" t="n">
        <v>12</v>
      </c>
      <c r="E22" s="60" t="n">
        <v>6</v>
      </c>
      <c r="F22" s="59" t="inlineStr">
        <is>
          <t>UK NA: 12 mm; PL: NA.6, 6 mm</t>
        </is>
      </c>
    </row>
    <row r="23">
      <c r="B23" s="58" t="inlineStr">
        <is>
          <t>k3  (crack spacing)</t>
        </is>
      </c>
      <c r="C23" s="59" t="inlineStr">
        <is>
          <t>7.3.4(3)</t>
        </is>
      </c>
      <c r="D23" s="60" t="n">
        <v>3.4</v>
      </c>
      <c r="E23" s="60" t="n">
        <v>3.4</v>
      </c>
      <c r="F23" s="59" t="inlineStr">
        <is>
          <t>Recommended value in both annexes</t>
        </is>
      </c>
    </row>
    <row r="24">
      <c r="B24" s="58" t="inlineStr">
        <is>
          <t>k4  (crack spacing)</t>
        </is>
      </c>
      <c r="C24" s="59" t="inlineStr">
        <is>
          <t>7.3.4(3)</t>
        </is>
      </c>
      <c r="D24" s="60" t="n">
        <v>0.425</v>
      </c>
      <c r="E24" s="60" t="n">
        <v>0.425</v>
      </c>
      <c r="F24" s="59" t="inlineStr">
        <is>
          <t>Recommended value in both annexes</t>
        </is>
      </c>
    </row>
    <row r="25">
      <c r="B25" s="58" t="inlineStr">
        <is>
          <t>k1  (concrete stress, characteristic; XD, XF, XS)</t>
        </is>
      </c>
      <c r="C25" s="59" t="inlineStr">
        <is>
          <t>7.2(2)</t>
        </is>
      </c>
      <c r="D25" s="60" t="n">
        <v>0.6</v>
      </c>
      <c r="E25" s="60" t="n">
        <v>1</v>
      </c>
      <c r="F25" s="59" t="inlineStr">
        <is>
          <t>UK NA: recommended; PL: NA.5, k1 = 1.0</t>
        </is>
      </c>
    </row>
    <row r="26">
      <c r="B26" s="58" t="inlineStr">
        <is>
          <t>k2  (concrete stress, quasi-permanent; linear creep)</t>
        </is>
      </c>
      <c r="C26" s="59" t="inlineStr">
        <is>
          <t>7.2(3)</t>
        </is>
      </c>
      <c r="D26" s="60" t="n">
        <v>0.45</v>
      </c>
      <c r="E26" s="60" t="n">
        <v>0.45</v>
      </c>
      <c r="F26" s="59" t="inlineStr">
        <is>
          <t>Recommended value in both annexes (UK NA; PL NA.9)</t>
        </is>
      </c>
    </row>
    <row r="27">
      <c r="B27" s="58" t="inlineStr">
        <is>
          <t>k3  (steel stress, characteristic)</t>
        </is>
      </c>
      <c r="C27" s="59" t="inlineStr">
        <is>
          <t>7.2(5)</t>
        </is>
      </c>
      <c r="D27" s="60" t="n">
        <v>0.8</v>
      </c>
      <c r="E27" s="60" t="n">
        <v>0.8</v>
      </c>
      <c r="F27" s="59" t="inlineStr">
        <is>
          <t>Recommended value in both annexes (UK NA; PL NA.9)</t>
        </is>
      </c>
    </row>
    <row r="28">
      <c r="B28" s="58" t="inlineStr">
        <is>
          <t>k4  (steel stress, imposed deformation)</t>
        </is>
      </c>
      <c r="C28" s="59" t="inlineStr">
        <is>
          <t>7.2(5)</t>
        </is>
      </c>
      <c r="D28" s="60" t="n">
        <v>1</v>
      </c>
      <c r="E28" s="60" t="n">
        <v>1</v>
      </c>
      <c r="F28" s="5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&amp;K8A8A8ANAE-RC-042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NAE-RC-042 Biaxial bending</dc:title>
  <dc:subject xmlns:dc="http://purl.org/dc/elements/1.1/">Rectangular columns in biaxial bending  ·  EN 1992-1-1 §5.8.9, §6.1  ·  UK NA / PN-EN</dc:subject>
  <dcterms:created xmlns:dcterms="http://purl.org/dc/terms/" xmlns:xsi="http://www.w3.org/2001/XMLSchema-instance" xsi:type="dcterms:W3CDTF">2026-10-30T10:58:41Z</dcterms:created>
  <dcterms:modified xmlns:dcterms="http://purl.org/dc/terms/" xmlns:xsi="http://www.w3.org/2001/XMLSchema-instance" xsi:type="dcterms:W3CDTF">2026-10-30T10:58:41Z</dcterms:modified>
  <cp:lastModifiedBy>NA Engineering sp. z o.o.</cp:lastModifiedBy>
  <cp:keywords>NA Engineering; Eurocode 2; EN 1992-1-1</cp:keywords>
</cp:coreProperties>
</file>