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Interaction" sheetId="4" state="visible" r:id="rId4"/>
    <sheet xmlns:r="http://schemas.openxmlformats.org/officeDocument/2006/relationships" name="NDP" sheetId="5" state="visible" r:id="rId5"/>
  </sheets>
  <definedNames>
    <definedName name="NA_sel">'Calculation'!$E$11</definedName>
    <definedName name="conc_class">'Calculation'!$E$12</definedName>
    <definedName name="cc_fyk">'Calculation'!$E$13</definedName>
    <definedName name="cc_dg">'Calculation'!$E$14</definedName>
    <definedName name="cc_D">'Calculation'!$E$15</definedName>
    <definedName name="cc_c">'Calculation'!$E$16</definedName>
    <definedName name="cc_phiw">'Calculation'!$E$17</definedName>
    <definedName name="cc_sw">'Calculation'!$E$18</definedName>
    <definedName name="cc_phi">'Calculation'!$E$19</definedName>
    <definedName name="cc_nb">'Calculation'!$E$20</definedName>
    <definedName name="rs_cc">cc_D/2-cc_c-cc_phiw-cc_phi/2</definedName>
    <definedName name="cc_NEd">'Calculation'!$E$23</definedName>
    <definedName name="cc_M02">'Calculation'!$E$24</definedName>
    <definedName name="cc_M01">'Calculation'!$E$25</definedName>
    <definedName name="cc_brace">'Calculation'!$E$26</definedName>
    <definedName name="cc_l">'Calculation'!$E$27</definedName>
    <definedName name="cc_l0">'Calculation'!$E$28</definedName>
    <definedName name="cc_phief">'Calculation'!$E$29</definedName>
    <definedName name="cc_ccurv">'Calculation'!$E$30</definedName>
    <definedName name="inputs_ok">IFERROR(AND(OR(NA_sel="UK NA (BS EN)",NA_sel="PL NA (PN-EN)"),OR(conc_class="C20/25",conc_class="C25/30",conc_class="C28/35",conc_class="C30/37",conc_class="C32/40",conc_class="C35/45",conc_class="C40/50",conc_class="C45/55",conc_class="C50/60"),ISNUMBER(cc_fyk),cc_fyk&gt;0,ISNUMBER(cc_dg),cc_dg&gt;0,ISNUMBER(cc_D),cc_D&gt;0,ISNUMBER(cc_c),cc_c&gt;0,OR(AND(ISNUMBER(cc_phiw),cc_phiw=6),AND(ISNUMBER(cc_phiw),cc_phiw=8),AND(ISNUMBER(cc_phiw),cc_phiw=10),AND(ISNUMBER(cc_phiw),cc_phiw=12)),ISNUMBER(cc_sw),cc_sw&gt;0,OR(AND(ISNUMBER(cc_phi),cc_phi=6),AND(ISNUMBER(cc_phi),cc_phi=8),AND(ISNUMBER(cc_phi),cc_phi=10),AND(ISNUMBER(cc_phi),cc_phi=12),AND(ISNUMBER(cc_phi),cc_phi=16),AND(ISNUMBER(cc_phi),cc_phi=20),AND(ISNUMBER(cc_phi),cc_phi=25),AND(ISNUMBER(cc_phi),cc_phi=32),AND(ISNUMBER(cc_phi),cc_phi=40)),OR(AND(ISNUMBER(cc_nb),cc_nb=4),AND(ISNUMBER(cc_nb),cc_nb=5),AND(ISNUMBER(cc_nb),cc_nb=6),AND(ISNUMBER(cc_nb),cc_nb=7),AND(ISNUMBER(cc_nb),cc_nb=8),AND(ISNUMBER(cc_nb),cc_nb=9),AND(ISNUMBER(cc_nb),cc_nb=10),AND(ISNUMBER(cc_nb),cc_nb=11),AND(ISNUMBER(cc_nb),cc_nb=12),AND(ISNUMBER(cc_nb),cc_nb=13),AND(ISNUMBER(cc_nb),cc_nb=14),AND(ISNUMBER(cc_nb),cc_nb=15),AND(ISNUMBER(cc_nb),cc_nb=16),AND(ISNUMBER(cc_nb),cc_nb=17),AND(ISNUMBER(cc_nb),cc_nb=18),AND(ISNUMBER(cc_nb),cc_nb=19),AND(ISNUMBER(cc_nb),cc_nb=20),AND(ISNUMBER(cc_nb),cc_nb=21),AND(ISNUMBER(cc_nb),cc_nb=22),AND(ISNUMBER(cc_nb),cc_nb=23),AND(ISNUMBER(cc_nb),cc_nb=24)),ISNUMBER(cc_NEd),cc_NEd&gt;0,ISNUMBER(cc_M02),cc_M02&gt;=0,ISNUMBER(cc_M01),cc_M01&gt;=-100000,OR(cc_brace="Braced",cc_brace="Unbraced"),ISNUMBER(cc_l),cc_l&gt;0,ISNUMBER(cc_l0),cc_l0&gt;0,ISNUMBER(cc_phief),cc_phief&gt;=0,OR(AND(ISNUMBER(cc_ccurv),cc_ccurv=10),AND(ISNUMBER(cc_ccurv),cc_ccurv=9),AND(ISNUMBER(cc_ccurv),cc_ccurv=8)),AND(cc_fyk&gt;=400,cc_fyk&lt;=500,ABS(cc_M01)&lt;=cc_M02,rs_cc&gt;cc_phi/2,2*rs_cc*SIN(PI()/cc_nb)&gt;cc_phi)),FALSE)</definedName>
    <definedName name="input_status">'Calculation'!$G$31</definedName>
    <definedName name="res_cc">IF(AND(inputs_ok,cc_NEd&lt;=NRdmax_cc),IF(ISNUMBER(MRd_cc),MRd_cc&gt;0,FALSE),FALSE)</definedName>
    <definedName name="det_cc">IFERROR(AND(As_cc&gt;=Asmin_cc,As_cc&lt;=Asmax_cc,cc_phi&gt;=phi_min_col,gap_cc&gt;=gapmin_cc,cc_phiw&gt;=phiwmin_cc,cc_sw&lt;=swmax_cc),FALSE)</definedName>
    <definedName name="bend_status">'Calculation'!$G$55</definedName>
    <definedName name="axial_status">'Calculation'!$G$56</definedName>
    <definedName name="slender_status">'Calculation'!$G$57</definedName>
    <definedName name="detail_status">'Calculation'!$G$59</definedName>
    <definedName name="gamma_c">'Calculation'!$E$83</definedName>
    <definedName name="gamma_s">'Calculation'!$E$84</definedName>
    <definedName name="alpha_cc">'Calculation'!$E$85</definedName>
    <definedName name="phi_min_col">'Calculation'!$E$86</definedName>
    <definedName name="f_ck">'Calculation'!$E$87</definedName>
    <definedName name="f_ctm">'Calculation'!$E$88</definedName>
    <definedName name="fcd_cc">'Calculation'!$E$89</definedName>
    <definedName name="fyd_cc">'Calculation'!$E$90</definedName>
    <definedName name="Es_cc">'Calculation'!$E$91</definedName>
    <definedName name="Ac_cc">'Calculation'!$E$92</definedName>
    <definedName name="As_cc">'Calculation'!$E$93</definedName>
    <definedName name="is_cc">'Calculation'!$E$95</definedName>
    <definedName name="omega_cc">'Calculation'!$E$96</definedName>
    <definedName name="nrel_cc">'Calculation'!$E$97</definedName>
    <definedName name="i_cc">'Calculation'!$E$100</definedName>
    <definedName name="lam_cc">'Calculation'!$E$101</definedName>
    <definedName name="Alam_cc">'Calculation'!$E$102</definedName>
    <definedName name="Blam_cc">'Calculation'!$E$103</definedName>
    <definedName name="rm_cc">'Calculation'!$E$104</definedName>
    <definedName name="Clam_cc">'Calculation'!$E$105</definedName>
    <definedName name="lamlim_cc">'Calculation'!$E$106</definedName>
    <definedName name="slender_cc">lam_cc&gt;lamlim_cc</definedName>
    <definedName name="ah_cc">'Calculation'!$E$107</definedName>
    <definedName name="thi_cc">'Calculation'!$E$108</definedName>
    <definedName name="ei_cc">'Calculation'!$E$109</definedName>
    <definedName name="M02i_cc">'Calculation'!$E$110</definedName>
    <definedName name="M01i_cc">'Calculation'!$E$111</definedName>
    <definedName name="e0_cc">'Calculation'!$E$112</definedName>
    <definedName name="Kr_cc">'Calculation'!$E$113</definedName>
    <definedName name="beta_cc">'Calculation'!$E$114</definedName>
    <definedName name="Kphi_cc">'Calculation'!$E$115</definedName>
    <definedName name="d_cc">'Calculation'!$E$116</definedName>
    <definedName name="curv_cc">'Calculation'!$E$117</definedName>
    <definedName name="e2_cc">'Calculation'!$E$118</definedName>
    <definedName name="M2_cc">'Calculation'!$E$119</definedName>
    <definedName name="M0e_cc">'Calculation'!$E$120</definedName>
    <definedName name="MEd_cc">'Calculation'!$E$121</definedName>
    <definedName name="NRdmax_cc">'Calculation'!$E$124</definedName>
    <definedName name="NRdmin_cc">'Calculation'!$E$125</definedName>
    <definedName name="Mpk_cc">'Calculation'!$E$126</definedName>
    <definedName name="MRdA_cc">'Calculation'!$E$127</definedName>
    <definedName name="MRdB_cc">'Calculation'!$E$128</definedName>
    <definedName name="MRdQ_cc">'Calculation'!$E$129</definedName>
    <definedName name="gov_i">MATCH(MIN(or_R),or_R,0)</definedName>
    <definedName name="gov_turn">IFERROR(INDEX(or_T,gov_i),0)</definedName>
    <definedName name="eq_cc">IFERROR(AND(ABS(INDEX(or_N,1)-cc_NEd)&lt;=1E-6*MAX(1,cc_NEd),ABS(INDEX(or_N,2)-cc_NEd)&lt;=1E-6*MAX(1,cc_NEd),ABS(INDEX(or_N,3)-cc_NEd)&lt;=1E-6*MAX(1,cc_NEd),ABS(INDEX(or_N,4)-cc_NEd)&lt;=1E-6*MAX(1,cc_NEd),ABS(INDEX(or_N,5)-cc_NEd)&lt;=1E-6*MAX(1,cc_NEd),ABS(INDEX(or_N,6)-cc_NEd)&lt;=1E-6*MAX(1,cc_NEd)),FALSE)</definedName>
    <definedName name="x_cc">'Calculation'!$E$131</definedName>
    <definedName name="MRd_cc">'Calculation'!$E$133</definedName>
    <definedName name="Asmin_cc">'Calculation'!$E$138</definedName>
    <definedName name="Asmax_cc">'Calculation'!$E$139</definedName>
    <definedName name="gapmin_cc">'Calculation'!$E$140</definedName>
    <definedName name="gap_cc">'Calculation'!$E$141</definedName>
    <definedName name="phiwmin_cc">'Calculation'!$E$142</definedName>
    <definedName name="swmax_cc">'Calculation'!$E$143</definedName>
    <definedName name="nmA_N">'Interaction'!$E$26:$E$64</definedName>
    <definedName name="nmA_M">'Interaction'!$F$26:$F$64</definedName>
    <definedName name="nmB_N">'Interaction'!$G$26:$G$64</definedName>
    <definedName name="nmB_M">'Interaction'!$H$26:$H$64</definedName>
    <definedName name="nm_rows">39</definedName>
    <definedName name="turn_P">'Interaction'!$C$75</definedName>
    <definedName name="or_T">'Interaction'!$C$70:$C$75</definedName>
    <definedName name="or_x">'Interaction'!$D$70:$D$75</definedName>
    <definedName name="or_N">'Interaction'!$E$70:$E$75</definedName>
    <definedName name="or_R">'Interaction'!$H$70:$H$75</definedName>
    <definedName name="or_px">'Interaction'!$J$70:$J$75</definedName>
    <definedName name="or_py">'Interaction'!$K$70:$K$75</definedName>
    <definedName name="ch_t">'Interaction'!$E$79:$E$82</definedName>
    <definedName name="ch_d">'Interaction'!$F$79:$F$82</definedName>
    <definedName name="ch_i">MATCH(MIN(ch_d),ch_d,0)</definedName>
    <definedName name="or_name">'Interaction'!$B$70:$B$75</definedName>
    <definedName name="ch_bound">'Interaction'!$F$85</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'Calculation'!$A$1:$H$153</definedName>
    <definedName name="_xlnm.Print_Area" localSheetId="3">'Interaction'!$A$1:$I$464</definedName>
    <definedName name="_xlnm.Print_Area" localSheetId="4">'NDP'!$A$1:$G$29</definedName>
  </definedNames>
  <calcPr calcId="124519" fullCalcOnLoad="1"/>
</workbook>
</file>

<file path=xl/styles.xml><?xml version="1.0" encoding="utf-8"?>
<styleSheet xmlns="http://schemas.openxmlformats.org/spreadsheetml/2006/main">
  <numFmts count="7">
    <numFmt numFmtId="164" formatCode="dd mmm yyyy"/>
    <numFmt numFmtId="165" formatCode="0.0"/>
    <numFmt numFmtId="166" formatCode="0.000"/>
    <numFmt numFmtId="167" formatCode="0.00000"/>
    <numFmt numFmtId="168" formatCode="0;;0;@"/>
    <numFmt numFmtId="169" formatCode="[&gt;=1E6]&quot;compression&quot;;0"/>
    <numFmt numFmtId="170" formatCode="0.000000"/>
  </numFmts>
  <fonts count="26">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i val="1"/>
      <color rgb="009A9A9A"/>
      <sz val="8.5"/>
    </font>
    <font>
      <name val="Calibri"/>
      <b val="1"/>
      <color rgb="008A8A8A"/>
      <sz val="9"/>
    </font>
    <font>
      <name val="Calibri"/>
      <color rgb="002B2B2B"/>
      <sz val="9.5"/>
    </font>
    <font>
      <name val="Calibri"/>
      <b val="1"/>
      <color rgb="005B7F8A"/>
      <sz val="9.5"/>
    </font>
    <font>
      <name val="Calibri"/>
      <color rgb="002B2B2B"/>
      <sz val="9"/>
    </font>
    <font>
      <name val="Calibri"/>
      <b val="1"/>
      <color rgb="002B2B2B"/>
      <sz val="9.5"/>
    </font>
    <font>
      <name val="Calibri"/>
      <b val="1"/>
      <color rgb="002B2B2B"/>
      <sz val="16"/>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74">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 fontId="12" fillId="3" borderId="1" applyAlignment="1" applyProtection="1" pivotButton="0" quotePrefix="0" xfId="0">
      <alignment horizontal="center" vertical="center"/>
      <protection locked="0" hidden="0"/>
    </xf>
    <xf numFmtId="165"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0" fillId="4" borderId="0" applyAlignment="1" pivotButton="0" quotePrefix="0" xfId="0">
      <alignment horizontal="center" vertical="center"/>
    </xf>
    <xf numFmtId="165" fontId="17" fillId="4" borderId="0" applyAlignment="1" pivotButton="0" quotePrefix="0" xfId="0">
      <alignment horizontal="center" vertical="center"/>
    </xf>
    <xf numFmtId="1" fontId="17" fillId="4" borderId="0" applyAlignment="1" pivotButton="0" quotePrefix="0" xfId="0">
      <alignment horizontal="center" vertical="center"/>
    </xf>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6" fontId="5" fillId="0" borderId="1" applyAlignment="1" pivotButton="0" quotePrefix="0" xfId="0">
      <alignment horizontal="center" vertical="center"/>
    </xf>
    <xf numFmtId="167" fontId="5" fillId="0" borderId="1" applyAlignment="1" pivotButton="0" quotePrefix="0" xfId="0">
      <alignment horizontal="center" vertical="center"/>
    </xf>
    <xf numFmtId="11" fontId="5" fillId="0" borderId="1" applyAlignment="1" pivotButton="0" quotePrefix="0" xfId="0">
      <alignment horizontal="center" vertical="center"/>
    </xf>
    <xf numFmtId="165" fontId="12" fillId="0" borderId="1" applyAlignment="1" pivotButton="0" quotePrefix="0" xfId="0">
      <alignment horizontal="center" vertical="center"/>
    </xf>
    <xf numFmtId="0" fontId="18" fillId="0" borderId="0" applyAlignment="1" pivotButton="0" quotePrefix="0" xfId="0">
      <alignment vertical="top" wrapText="1"/>
    </xf>
    <xf numFmtId="0" fontId="10" fillId="0" borderId="0" pivotButton="0" quotePrefix="0" xfId="0"/>
    <xf numFmtId="0" fontId="19" fillId="0" borderId="0" applyAlignment="1" pivotButton="0" quotePrefix="0" xfId="0">
      <alignment vertical="top" wrapText="1"/>
    </xf>
    <xf numFmtId="0" fontId="20" fillId="0" borderId="2" applyAlignment="1" pivotButton="0" quotePrefix="0" xfId="0">
      <alignment horizontal="center"/>
    </xf>
    <xf numFmtId="1" fontId="21" fillId="0" borderId="1" applyAlignment="1" pivotButton="0" quotePrefix="0" xfId="0">
      <alignment horizontal="center"/>
    </xf>
    <xf numFmtId="168" fontId="21" fillId="0" borderId="1" applyAlignment="1" pivotButton="0" quotePrefix="0" xfId="0">
      <alignment horizontal="center"/>
    </xf>
    <xf numFmtId="2" fontId="21" fillId="0" borderId="1" applyAlignment="1" pivotButton="0" quotePrefix="0" xfId="0">
      <alignment horizontal="center"/>
    </xf>
    <xf numFmtId="165" fontId="21" fillId="0" borderId="1" applyAlignment="1" pivotButton="0" quotePrefix="0" xfId="0">
      <alignment horizontal="center"/>
    </xf>
    <xf numFmtId="169" fontId="21" fillId="0" borderId="1" applyAlignment="1" pivotButton="0" quotePrefix="0" xfId="0">
      <alignment horizontal="center"/>
    </xf>
    <xf numFmtId="0" fontId="19" fillId="0" borderId="0" pivotButton="0" quotePrefix="0" xfId="0"/>
    <xf numFmtId="0" fontId="22" fillId="0" borderId="0" pivotButton="0" quotePrefix="0" xfId="0"/>
    <xf numFmtId="49" fontId="21" fillId="0" borderId="1" applyAlignment="1" pivotButton="0" quotePrefix="0" xfId="0">
      <alignment horizontal="center"/>
    </xf>
    <xf numFmtId="165" fontId="24" fillId="0" borderId="1" applyAlignment="1" pivotButton="0" quotePrefix="0" xfId="0">
      <alignment horizontal="center"/>
    </xf>
    <xf numFmtId="166" fontId="21" fillId="0" borderId="1" applyAlignment="1" pivotButton="0" quotePrefix="0" xfId="0">
      <alignment horizontal="center"/>
    </xf>
    <xf numFmtId="49" fontId="24" fillId="0" borderId="1" applyAlignment="1" pivotButton="0" quotePrefix="0" xfId="0">
      <alignment horizontal="center"/>
    </xf>
    <xf numFmtId="166" fontId="24" fillId="0" borderId="1" applyAlignment="1" pivotButton="0" quotePrefix="0" xfId="0">
      <alignment horizontal="center"/>
    </xf>
    <xf numFmtId="1" fontId="23" fillId="0" borderId="0" applyAlignment="1" pivotButton="0" quotePrefix="0" xfId="0">
      <alignment horizontal="center"/>
    </xf>
    <xf numFmtId="170" fontId="23" fillId="0" borderId="0" applyAlignment="1" pivotButton="0" quotePrefix="0" xfId="0">
      <alignment horizontal="center"/>
    </xf>
    <xf numFmtId="165" fontId="23" fillId="0" borderId="0" applyAlignment="1" pivotButton="0" quotePrefix="0" xfId="0">
      <alignment horizontal="center"/>
    </xf>
    <xf numFmtId="2" fontId="23" fillId="0" borderId="0" applyAlignment="1" pivotButton="0" quotePrefix="0" xfId="0">
      <alignment horizontal="center"/>
    </xf>
    <xf numFmtId="0" fontId="25"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'Geometry'!$D$3:$D$51</f>
            </numRef>
          </xVal>
          <yVal>
            <numRef>
              <f>'Geometry'!$E$3:$E$51</f>
            </numRef>
          </yVal>
          <smooth val="0"/>
        </ser>
        <ser>
          <idx val="2"/>
          <order val="2"/>
          <tx>
            <v>link</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'Geometry'!$G$3:$G$51</f>
            </numRef>
          </xVal>
          <yVal>
            <numRef>
              <f>'Geometry'!$H$3:$H$51</f>
            </numRef>
          </yVal>
          <smooth val="0"/>
        </ser>
        <ser>
          <idx val="3"/>
          <order val="3"/>
          <tx>
            <v>bar 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'Geometry'!$J$3:$J$15</f>
            </numRef>
          </xVal>
          <yVal>
            <numRef>
              <f>'Geometry'!$K$3:$K$15</f>
            </numRef>
          </yVal>
          <smooth val="0"/>
        </ser>
        <ser>
          <idx val="4"/>
          <order val="4"/>
          <tx>
            <v>bar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'Geometry'!$M$3:$M$15</f>
            </numRef>
          </xVal>
          <yVal>
            <numRef>
              <f>'Geometry'!$N$3:$N$15</f>
            </numRef>
          </yVal>
          <smooth val="0"/>
        </ser>
        <ser>
          <idx val="5"/>
          <order val="5"/>
          <tx>
            <v>bar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'Geometry'!$P$3:$P$15</f>
            </numRef>
          </xVal>
          <yVal>
            <numRef>
              <f>'Geometry'!$Q$3:$Q$15</f>
            </numRef>
          </yVal>
          <smooth val="0"/>
        </ser>
        <ser>
          <idx val="6"/>
          <order val="6"/>
          <tx>
            <v>bar 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'Geometry'!$S$3:$S$15</f>
            </numRef>
          </xVal>
          <yVal>
            <numRef>
              <f>'Geometry'!$T$3:$T$15</f>
            </numRef>
          </yVal>
          <smooth val="0"/>
        </ser>
        <ser>
          <idx val="7"/>
          <order val="7"/>
          <tx>
            <v>bar 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'Geometry'!$V$3:$V$15</f>
            </numRef>
          </xVal>
          <yVal>
            <numRef>
              <f>'Geometry'!$W$3:$W$15</f>
            </numRef>
          </yVal>
          <smooth val="0"/>
        </ser>
        <ser>
          <idx val="8"/>
          <order val="8"/>
          <tx>
            <v>bar 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'Geometry'!$Y$3:$Y$15</f>
            </numRef>
          </xVal>
          <yVal>
            <numRef>
              <f>'Geometry'!$Z$3:$Z$15</f>
            </numRef>
          </yVal>
          <smooth val="0"/>
        </ser>
        <ser>
          <idx val="9"/>
          <order val="9"/>
          <tx>
            <v>bar 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'Geometry'!$AB$3:$AB$15</f>
            </numRef>
          </xVal>
          <yVal>
            <numRef>
              <f>'Geometry'!$AC$3:$AC$15</f>
            </numRef>
          </yVal>
          <smooth val="0"/>
        </ser>
        <ser>
          <idx val="10"/>
          <order val="10"/>
          <tx>
            <v>bar 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'Geometry'!$AE$3:$AE$15</f>
            </numRef>
          </xVal>
          <yVal>
            <numRef>
              <f>'Geometry'!$AF$3:$AF$15</f>
            </numRef>
          </yVal>
          <smooth val="0"/>
        </ser>
        <ser>
          <idx val="11"/>
          <order val="11"/>
          <tx>
            <v>bar 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'Geometry'!$AH$3:$AH$15</f>
            </numRef>
          </xVal>
          <yVal>
            <numRef>
              <f>'Geometry'!$AI$3:$AI$15</f>
            </numRef>
          </yVal>
          <smooth val="0"/>
        </ser>
        <ser>
          <idx val="12"/>
          <order val="12"/>
          <tx>
            <v>bar 9</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'Geometry'!$AK$3:$AK$15</f>
            </numRef>
          </xVal>
          <yVal>
            <numRef>
              <f>'Geometry'!$AL$3:$AL$15</f>
            </numRef>
          </yVal>
          <smooth val="0"/>
        </ser>
        <ser>
          <idx val="13"/>
          <order val="13"/>
          <tx>
            <v>bar 10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'Geometry'!$AN$3:$AN$15</f>
            </numRef>
          </xVal>
          <yVal>
            <numRef>
              <f>'Geometry'!$AO$3:$AO$15</f>
            </numRef>
          </yVal>
          <smooth val="0"/>
        </ser>
        <ser>
          <idx val="14"/>
          <order val="14"/>
          <tx>
            <v>bar 11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'Geometry'!$AQ$3:$AQ$15</f>
            </numRef>
          </xVal>
          <yVal>
            <numRef>
              <f>'Geometry'!$AR$3:$AR$15</f>
            </numRef>
          </yVal>
          <smooth val="0"/>
        </ser>
        <ser>
          <idx val="15"/>
          <order val="15"/>
          <tx>
            <v>bar 12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'Geometry'!$AT$3:$AT$15</f>
            </numRef>
          </xVal>
          <yVal>
            <numRef>
              <f>'Geometry'!$AU$3:$AU$15</f>
            </numRef>
          </yVal>
          <smooth val="0"/>
        </ser>
        <ser>
          <idx val="16"/>
          <order val="16"/>
          <tx>
            <v>bar 13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'Geometry'!$AW$3:$AW$15</f>
            </numRef>
          </xVal>
          <yVal>
            <numRef>
              <f>'Geometry'!$AX$3:$AX$15</f>
            </numRef>
          </yVal>
          <smooth val="0"/>
        </ser>
        <ser>
          <idx val="17"/>
          <order val="17"/>
          <tx>
            <v>bar 14</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'Geometry'!$AZ$3:$AZ$15</f>
            </numRef>
          </xVal>
          <yVal>
            <numRef>
              <f>'Geometry'!$BA$3:$BA$15</f>
            </numRef>
          </yVal>
          <smooth val="0"/>
        </ser>
        <ser>
          <idx val="18"/>
          <order val="18"/>
          <tx>
            <v>bar 15</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'Geometry'!$BC$3:$BC$15</f>
            </numRef>
          </xVal>
          <yVal>
            <numRef>
              <f>'Geometry'!$BD$3:$BD$15</f>
            </numRef>
          </yVal>
          <smooth val="0"/>
        </ser>
        <ser>
          <idx val="19"/>
          <order val="19"/>
          <tx>
            <v>bar 16</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'Geometry'!$BF$3:$BF$15</f>
            </numRef>
          </xVal>
          <yVal>
            <numRef>
              <f>'Geometry'!$BG$3:$BG$15</f>
            </numRef>
          </yVal>
          <smooth val="0"/>
        </ser>
        <ser>
          <idx val="20"/>
          <order val="20"/>
          <tx>
            <v>bar 17</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'Geometry'!$BI$3:$BI$15</f>
            </numRef>
          </xVal>
          <yVal>
            <numRef>
              <f>'Geometry'!$BJ$3:$BJ$15</f>
            </numRef>
          </yVal>
          <smooth val="0"/>
        </ser>
        <ser>
          <idx val="21"/>
          <order val="21"/>
          <tx>
            <v>bar 18</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'Geometry'!$BL$3:$BL$15</f>
            </numRef>
          </xVal>
          <yVal>
            <numRef>
              <f>'Geometry'!$BM$3:$BM$15</f>
            </numRef>
          </yVal>
          <smooth val="0"/>
        </ser>
        <ser>
          <idx val="22"/>
          <order val="22"/>
          <tx>
            <v>bar 19</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'Geometry'!$BO$3:$BO$15</f>
            </numRef>
          </xVal>
          <yVal>
            <numRef>
              <f>'Geometry'!$BP$3:$BP$15</f>
            </numRef>
          </yVal>
          <smooth val="0"/>
        </ser>
        <ser>
          <idx val="23"/>
          <order val="23"/>
          <tx>
            <v>bar 20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'Geometry'!$BR$3:$BR$15</f>
            </numRef>
          </xVal>
          <yVal>
            <numRef>
              <f>'Geometry'!$BS$3:$BS$15</f>
            </numRef>
          </yVal>
          <smooth val="0"/>
        </ser>
        <ser>
          <idx val="24"/>
          <order val="24"/>
          <tx>
            <v>bar 21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'Geometry'!$BU$3:$BU$15</f>
            </numRef>
          </xVal>
          <yVal>
            <numRef>
              <f>'Geometry'!$BV$3:$BV$15</f>
            </numRef>
          </yVal>
          <smooth val="0"/>
        </ser>
        <ser>
          <idx val="25"/>
          <order val="25"/>
          <tx>
            <v>bar 22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'Geometry'!$BX$3:$BX$15</f>
            </numRef>
          </xVal>
          <yVal>
            <numRef>
              <f>'Geometry'!$BY$3:$BY$15</f>
            </numRef>
          </yVal>
          <smooth val="0"/>
        </ser>
        <ser>
          <idx val="26"/>
          <order val="26"/>
          <tx>
            <v>bar 23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'Geometry'!$CA$3:$CA$15</f>
            </numRef>
          </xVal>
          <yVal>
            <numRef>
              <f>'Geometry'!$CB$3:$CB$15</f>
            </numRef>
          </yVal>
          <smooth val="0"/>
        </ser>
        <ser>
          <idx val="27"/>
          <order val="27"/>
          <tx>
            <v>neutral axis</v>
          </tx>
          <spPr>
            <a:ln xmlns:a="http://schemas.openxmlformats.org/drawingml/2006/main" w="12700">
              <a:solidFill>
                <a:srgbClr val="5B7F8A"/>
              </a:solidFill>
              <a:prstDash val="dash"/>
            </a:ln>
          </spPr>
          <marker>
            <symbol val="none"/>
            <spPr>
              <a:ln xmlns:a="http://schemas.openxmlformats.org/drawingml/2006/main">
                <a:prstDash val="solid"/>
              </a:ln>
            </spPr>
          </marker>
          <xVal>
            <numRef>
              <f>'Geometry'!$CD$3:$CD$4</f>
            </numRef>
          </xVal>
          <yVal>
            <numRef>
              <f>'Geometry'!$CE$3:$CE$4</f>
            </numRef>
          </yVal>
          <smooth val="0"/>
        </ser>
        <ser>
          <idx val="28"/>
          <order val="2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'Geometry'!$CG$3:$CG$4</f>
            </numRef>
          </xVal>
          <yVal>
            <numRef>
              <f>'Geometry'!$CH$3:$CH$4</f>
            </numRef>
          </yVal>
          <smooth val="0"/>
        </ser>
        <ser>
          <idx val="29"/>
          <order val="29"/>
          <tx>
            <strRef>
              <f>'Geometry'!$CJ$2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'Geometry'!$CJ$3</f>
            </numRef>
          </xVal>
          <yVal>
            <numRef>
              <f>'Geometry'!$CK$3</f>
            </numRef>
          </yVal>
          <smooth val="0"/>
        </ser>
        <ser>
          <idx val="30"/>
          <order val="3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'Geometry'!$CM$3:$CM$4</f>
            </numRef>
          </xVal>
          <yVal>
            <numRef>
              <f>'Geometry'!$CN$3:$CN$4</f>
            </numRef>
          </yVal>
          <smooth val="0"/>
        </ser>
        <ser>
          <idx val="31"/>
          <order val="31"/>
          <tx>
            <strRef>
              <f>'Geometry'!$CP$2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'Geometry'!$CP$3</f>
            </numRef>
          </xVal>
          <yVal>
            <numRef>
              <f>'Geometry'!$CQ$3</f>
            </numRef>
          </yVal>
          <smooth val="0"/>
        </ser>
        <ser>
          <idx val="32"/>
          <order val="32"/>
          <tx>
            <strRef>
              <f>'Geometry'!$CS$2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'Geometry'!$CS$3</f>
            </numRef>
          </xVal>
          <yVal>
            <numRef>
              <f>'Geometry'!$CT$3</f>
            </numRef>
          </yVal>
          <smooth val="0"/>
        </ser>
        <ser>
          <idx val="33"/>
          <order val="33"/>
          <tx>
            <strRef>
              <f>'Geometry'!$CV$2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5B7F8A"/>
                    </a:solidFill>
                  </a:defRPr>
                </a:pPr>
                <a:r>
                  <a:t/>
                </a:r>
                <a:endParaRPr sz="900">
                  <a:solidFill>
                    <a:srgbClr val="5B7F8A"/>
                  </a:solidFill>
                </a:endParaRPr>
              </a:p>
            </txPr>
            <dLblPos val="r"/>
            <showLegendKey val="0"/>
            <showVal val="0"/>
            <showCatName val="0"/>
            <showSerName val="1"/>
            <showPercent val="0"/>
          </dLbls>
          <xVal>
            <numRef>
              <f>'Geometry'!$CV$3</f>
            </numRef>
          </xVal>
          <yVal>
            <numRef>
              <f>'Geometry'!$CW$3</f>
            </numRef>
          </yVal>
          <smooth val="0"/>
        </ser>
        <ser>
          <idx val="34"/>
          <order val="34"/>
          <tx>
            <v>compression face</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'Geometry'!$CY$3</f>
            </numRef>
          </xVal>
          <yVal>
            <numRef>
              <f>'Geometry'!$CZ$3</f>
            </numRef>
          </yVal>
          <smooth val="0"/>
        </ser>
        <ser>
          <idx val="35"/>
          <order val="35"/>
          <tx>
            <v>frame</v>
          </tx>
          <spPr>
            <a:ln xmlns:a="http://schemas.openxmlformats.org/drawingml/2006/main">
              <a:noFill/>
              <a:prstDash val="solid"/>
            </a:ln>
          </spPr>
          <marker>
            <symbol val="none"/>
            <spPr>
              <a:ln xmlns:a="http://schemas.openxmlformats.org/drawingml/2006/main">
                <a:prstDash val="solid"/>
              </a:ln>
            </spPr>
          </marker>
          <xVal>
            <numRef>
              <f>'Geometry'!$DB$3:$DB$4</f>
            </numRef>
          </xVal>
          <yVal>
            <numRef>
              <f>'Geometry'!$DC$3:$DC$4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2.xml><?xml version="1.0" encoding="utf-8"?>
<chartSpace xmlns="http://schemas.openxmlformats.org/drawingml/2006/chart">
  <style val="1"/>
  <chart>
    <plotArea>
      <scatterChart>
        <scatterStyle val="lineMarker"/>
        <ser>
          <idx val="0"/>
          <order val="0"/>
          <tx>
            <strRef>
              <f>'Geometry'!$DE$2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'Geometry'!$DE$3</f>
            </numRef>
          </xVal>
          <yVal>
            <numRef>
              <f>'Geometry'!$DF$3</f>
            </numRef>
          </yVal>
          <smooth val="0"/>
        </ser>
        <ser>
          <idx val="1"/>
          <order val="1"/>
          <tx>
            <v>M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'Geometry'!$DH$3:$DH$4</f>
            </numRef>
          </xVal>
          <yVal>
            <numRef>
              <f>'Geometry'!$DI$3:$DI$4</f>
            </numRef>
          </yVal>
          <smooth val="0"/>
        </ser>
        <ser>
          <idx val="2"/>
          <order val="2"/>
          <tx>
            <v>N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'Geometry'!$DK$3:$DK$4</f>
            </numRef>
          </xVal>
          <yVal>
            <numRef>
              <f>'Geometry'!$DL$3:$DL$4</f>
            </numRef>
          </yVal>
          <smooth val="0"/>
        </ser>
        <ser>
          <idx val="3"/>
          <order val="3"/>
          <tx>
            <v>curve A</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'Geometry'!$DN$3:$DN$41</f>
            </numRef>
          </xVal>
          <yVal>
            <numRef>
              <f>'Geometry'!$DO$3:$DO$41</f>
            </numRef>
          </yVal>
          <smooth val="0"/>
        </ser>
        <ser>
          <idx val="4"/>
          <order val="4"/>
          <tx>
            <v>curve B</v>
          </tx>
          <spPr>
            <a:ln xmlns:a="http://schemas.openxmlformats.org/drawingml/2006/main" w="19050">
              <a:solidFill>
                <a:srgbClr val="2B2B2B"/>
              </a:solidFill>
              <a:prstDash val="dash"/>
            </a:ln>
          </spPr>
          <marker>
            <symbol val="none"/>
            <spPr>
              <a:ln xmlns:a="http://schemas.openxmlformats.org/drawingml/2006/main">
                <a:prstDash val="solid"/>
              </a:ln>
            </spPr>
          </marker>
          <xVal>
            <numRef>
              <f>'Geometry'!$DQ$3:$DQ$41</f>
            </numRef>
          </xVal>
          <yVal>
            <numRef>
              <f>'Geometry'!$DR$3:$DR$41</f>
            </numRef>
          </yVal>
          <smooth val="0"/>
        </ser>
        <ser>
          <idx val="5"/>
          <order val="5"/>
          <tx>
            <v>NEd line</v>
          </tx>
          <spPr>
            <a:ln xmlns:a="http://schemas.openxmlformats.org/drawingml/2006/main" w="9525">
              <a:solidFill>
                <a:srgbClr val="9A9A9A"/>
              </a:solidFill>
              <a:prstDash val="dash"/>
            </a:ln>
          </spPr>
          <marker>
            <symbol val="none"/>
            <spPr>
              <a:ln xmlns:a="http://schemas.openxmlformats.org/drawingml/2006/main">
                <a:prstDash val="solid"/>
              </a:ln>
            </spPr>
          </marker>
          <xVal>
            <numRef>
              <f>'Geometry'!$DT$3:$DT$4</f>
            </numRef>
          </xVal>
          <yVal>
            <numRef>
              <f>'Geometry'!$DU$3:$DU$4</f>
            </numRef>
          </yVal>
          <smooth val="0"/>
        </ser>
        <ser>
          <idx val="6"/>
          <order val="6"/>
          <tx>
            <v>resistance</v>
          </tx>
          <spPr>
            <a:ln xmlns:a="http://schemas.openxmlformats.org/drawingml/2006/main">
              <a:noFill/>
              <a:prstDash val="solid"/>
            </a:ln>
          </spPr>
          <marker>
            <symbol val="circle"/>
            <size val="6"/>
            <spPr>
              <a:solidFill xmlns:a="http://schemas.openxmlformats.org/drawingml/2006/main">
                <a:srgbClr val="2B2B2B"/>
              </a:solidFill>
              <a:ln xmlns:a="http://schemas.openxmlformats.org/drawingml/2006/main">
                <a:solidFill>
                  <a:srgbClr val="2B2B2B"/>
                </a:solidFill>
                <a:prstDash val="solid"/>
              </a:ln>
            </spPr>
          </marker>
          <xVal>
            <numRef>
              <f>'Geometry'!$DW$3</f>
            </numRef>
          </xVal>
          <yVal>
            <numRef>
              <f>'Geometry'!$DX$3</f>
            </numRef>
          </yVal>
          <smooth val="0"/>
        </ser>
        <ser>
          <idx val="7"/>
          <order val="7"/>
          <tx>
            <v>design</v>
          </tx>
          <spPr>
            <a:ln xmlns:a="http://schemas.openxmlformats.org/drawingml/2006/main">
              <a:noFill/>
              <a:prstDash val="solid"/>
            </a:ln>
          </spPr>
          <marker>
            <symbol val="circle"/>
            <size val="8"/>
            <spPr>
              <a:solidFill xmlns:a="http://schemas.openxmlformats.org/drawingml/2006/main">
                <a:srgbClr val="B3261E"/>
              </a:solidFill>
              <a:ln xmlns:a="http://schemas.openxmlformats.org/drawingml/2006/main">
                <a:solidFill>
                  <a:srgbClr val="B3261E"/>
                </a:solidFill>
                <a:prstDash val="solid"/>
              </a:ln>
            </spPr>
          </marker>
          <xVal>
            <numRef>
              <f>'Geometry'!$DZ$3</f>
            </numRef>
          </xVal>
          <yVal>
            <numRef>
              <f>'Geometry'!$EA$3</f>
            </numRef>
          </yVal>
          <smooth val="0"/>
        </ser>
        <ser>
          <idx val="8"/>
          <order val="8"/>
          <tx>
            <v>N (kN)</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'Geometry'!$EC$3</f>
            </numRef>
          </xVal>
          <yVal>
            <numRef>
              <f>'Geometry'!$ED$3</f>
            </numRef>
          </yVal>
          <smooth val="0"/>
        </ser>
        <ser>
          <idx val="9"/>
          <order val="9"/>
          <tx>
            <v>M (kNm)</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r"/>
            <showLegendKey val="0"/>
            <showVal val="0"/>
            <showCatName val="0"/>
            <showSerName val="1"/>
            <showPercent val="0"/>
          </dLbls>
          <xVal>
            <numRef>
              <f>'Geometry'!$EF$3</f>
            </numRef>
          </xVal>
          <yVal>
            <numRef>
              <f>'Geometry'!$EG$3</f>
            </numRef>
          </yVal>
          <smooth val="0"/>
        </ser>
        <ser>
          <idx val="10"/>
          <order val="10"/>
          <tx>
            <strRef>
              <f>'Geometry'!$EI$2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'Geometry'!$EI$3</f>
            </numRef>
          </xVal>
          <yVal>
            <numRef>
              <f>'Geometry'!$EJ$3</f>
            </numRef>
          </yVal>
          <smooth val="0"/>
        </ser>
        <ser>
          <idx val="11"/>
          <order val="11"/>
          <tx>
            <strRef>
              <f>'Geometry'!$EL$2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'Geometry'!$EL$3</f>
            </numRef>
          </xVal>
          <yVal>
            <numRef>
              <f>'Geometry'!$EM$3</f>
            </numRef>
          </yVal>
          <smooth val="0"/>
        </ser>
        <ser>
          <idx val="12"/>
          <order val="12"/>
          <tx>
            <strRef>
              <f>'Geometry'!$EO$2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'Geometry'!$EO$3</f>
            </numRef>
          </xVal>
          <yVal>
            <numRef>
              <f>'Geometry'!$EP$3</f>
            </numRef>
          </yVal>
          <smooth val="0"/>
        </ser>
        <ser>
          <idx val="13"/>
          <order val="13"/>
          <tx>
            <strRef>
              <f>'Geometry'!$ER$2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'Geometry'!$ER$3</f>
            </numRef>
          </xVal>
          <yVal>
            <numRef>
              <f>'Geometry'!$ES$3</f>
            </numRef>
          </yVal>
          <smooth val="0"/>
        </ser>
        <ser>
          <idx val="14"/>
          <order val="14"/>
          <tx>
            <strRef>
              <f>'Geometry'!$EU$2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'Geometry'!$EU$3</f>
            </numRef>
          </xVal>
          <yVal>
            <numRef>
              <f>'Geometry'!$EV$3</f>
            </numRef>
          </yVal>
          <smooth val="0"/>
        </ser>
        <ser>
          <idx val="15"/>
          <order val="15"/>
          <tx>
            <v>frame</v>
          </tx>
          <spPr>
            <a:ln xmlns:a="http://schemas.openxmlformats.org/drawingml/2006/main">
              <a:noFill/>
              <a:prstDash val="solid"/>
            </a:ln>
          </spPr>
          <marker>
            <symbol val="none"/>
            <spPr>
              <a:ln xmlns:a="http://schemas.openxmlformats.org/drawingml/2006/main">
                <a:prstDash val="solid"/>
              </a:ln>
            </spPr>
          </marker>
          <xVal>
            <numRef>
              <f>'Geometry'!$EX$3:$EX$4</f>
            </numRef>
          </xVal>
          <yVal>
            <numRef>
              <f>'Geometry'!$EY$3:$EY$4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image" Target="/xl/media/image2.png" Id="rId3"/></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33</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2</col>
      <colOff>0</colOff>
      <row>61</row>
      <rowOff>0</rowOff>
    </from>
    <ext cx="5301000" cy="34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1</row>
      <rowOff>0</rowOff>
    </from>
    <ext cx="1514475" cy="3238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Circular column</t>
        </is>
      </c>
    </row>
    <row r="8" ht="20" customHeight="1">
      <c r="B8" s="4" t="inlineStr">
        <is>
          <t>Circular columns  ·  EN 1992-1-1 §5.8, §6.1, §9.5  ·  UK NA / PN-EN</t>
        </is>
      </c>
    </row>
    <row r="10">
      <c r="B10" s="5" t="inlineStr">
        <is>
          <t>Reference</t>
        </is>
      </c>
      <c r="C10" s="6" t="inlineStr">
        <is>
          <t>NAE-RC-041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Ultimate limit state design of a circular reinforced concrete column under an axial force and a bending moment: slenderness, imperfections, second order effects by the nominal curvature method, and the resistance from N-M interaction curves worked out by strain compatibility, with the detailing rules for columns.</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265" customHeight="1">
      <c r="B22" s="7" t="inlineStr">
        <is>
          <t>Circular section of diameter D with n bars of one size equally spaced on a circle inside circular links or a spiral. A circular section resists the same moment in every direction except for the position of the bars: the strain plane is set at five orientations, from a bar on the compression face (A) to half a bar spacing round (B) in quarter steps, plus one refining the nearest chord; MRd is the distance from the origin to the chords between their moment points (both components), on the safe side of the resistance in every direction (0 to 0.5 % below a fine scan of the angle in the tests). Bending in one plane; for moments about two axes work out MEd for each axis and enter the governing combination as one plane, the imperfection taken in one direction only (5.8.9). End moments only: loads between the ends of the column are outside the scope. Compression only (NEd &gt; 0). Isolated member: imperfection θi = θ0 αh with θ0 = 1/200 and αm = 1 (5.2(5), (6)). Slenderness limit from (5.13N) with A, B and C from the inputs, i = D / 4; effective length l0 from the user (5.8.3.2, see RC-037). Second order moment by nominal curvature (5.8.8) with d = D/2 + is (5.8.8.3(2)) and c = 10, or 8 for a constant first order moment. The imperfection moment NEd ei is added at both ends in the direction of M02; where it is not smaller than M02 the moments are taken as due to imperfections and C = 0.7. Concrete classes up to C50/60, fyk ≤ 500 MPa. At least four bars (9.5.2(4)); bars inside circular links or a spiral are taken as restrained (9.5.3(6)). Link spacing to 9.5.3; the 0.6 reduction near beams, slabs and laps is the user's to apply. Confinement by the links is not counted. Section resistance by strain compatibility with the parabola-rectangle diagram of 3.1.7(1) (εc2 = 0.002, εcu2 = 0.0035) for every neutral axis depth, under the strain limits of 6.1(5) (pivot at εc2, 3D/7 from the compressed face, once the whole section is compressed); see the Interaction sheet.
The second-generation EN 1992-1-1:2023 is not yet implemented.</t>
        </is>
      </c>
    </row>
    <row r="24" ht="20" customHeight="1">
      <c r="B24" s="8" t="inlineStr">
        <is>
          <t>Further reading and independent cross-check</t>
        </is>
      </c>
      <c r="C24" s="9" t="n"/>
    </row>
    <row r="25" ht="91" customHeight="1">
      <c r="B25" s="10" t="inlineStr">
        <is>
          <t>•  The Concrete Centre, How to design concrete structures using Eurocode 2: Columns.
•  The Concrete Centre, Concise Eurocode 2, design charts for circular columns.
•  The Concrete Centre, RC Spreadsheets v4, TCC54 Circular column charting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&amp;K8A8A8ANAE-RC-041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52"/>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Circular column</t>
        </is>
      </c>
      <c r="H2" s="1" t="n"/>
    </row>
    <row r="3" ht="16" customHeight="1">
      <c r="A3" s="1" t="n"/>
      <c r="B3" s="1" t="n"/>
      <c r="C3" s="15" t="inlineStr">
        <is>
          <t>NAE-RC-041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section</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3" t="n"/>
      <c r="C15" s="24" t="inlineStr">
        <is>
          <t>Diameter</t>
        </is>
      </c>
      <c r="D15" s="27" t="inlineStr">
        <is>
          <r>
            <rPr>
              <rFont val="Calibri"/>
              <i val="1"/>
              <color rgb="002B2B2B"/>
              <sz val="10"/>
            </rPr>
            <t>D</t>
          </r>
        </is>
      </c>
      <c r="E15" s="25" t="n">
        <v>450</v>
      </c>
      <c r="F15" s="28" t="inlineStr">
        <is>
          <t>mm</t>
        </is>
      </c>
      <c r="G15" s="23" t="n"/>
    </row>
    <row r="16" ht="17" customHeight="1">
      <c r="B16" s="26" t="inlineStr">
        <is>
          <t>4.4.1</t>
        </is>
      </c>
      <c r="C16" s="24" t="inlineStr">
        <is>
          <t>Nominal cover to links</t>
        </is>
      </c>
      <c r="D16" s="27" t="inlineStr">
        <is>
          <r>
            <rPr>
              <rFont val="Calibri"/>
              <i val="1"/>
              <color rgb="002B2B2B"/>
              <sz val="10"/>
            </rPr>
            <t>c</t>
          </r>
          <r>
            <rPr>
              <rFont val="Calibri"/>
              <i val="1"/>
              <color rgb="002B2B2B"/>
              <sz val="10"/>
              <vertAlign val="subscript"/>
            </rPr>
            <t>nom</t>
          </r>
        </is>
      </c>
      <c r="E16" s="25" t="n">
        <v>35</v>
      </c>
      <c r="F16" s="28" t="inlineStr">
        <is>
          <t>mm</t>
        </is>
      </c>
      <c r="G16" s="23" t="n"/>
    </row>
    <row r="17" ht="17" customHeight="1">
      <c r="B17" s="23" t="n"/>
      <c r="C17" s="24" t="inlineStr">
        <is>
          <t>Link or spiral diameter</t>
        </is>
      </c>
      <c r="D17" s="27" t="inlineStr">
        <is>
          <r>
            <rPr>
              <rFont val="Calibri"/>
              <i val="1"/>
              <color rgb="002B2B2B"/>
              <sz val="10"/>
            </rPr>
            <t>φ</t>
          </r>
          <r>
            <rPr>
              <rFont val="Calibri"/>
              <i val="1"/>
              <color rgb="002B2B2B"/>
              <sz val="10"/>
              <vertAlign val="subscript"/>
            </rPr>
            <t>w</t>
          </r>
        </is>
      </c>
      <c r="E17" s="25" t="n">
        <v>8</v>
      </c>
      <c r="F17" s="28" t="inlineStr">
        <is>
          <t>mm</t>
        </is>
      </c>
      <c r="G17" s="23" t="n"/>
    </row>
    <row r="18" ht="17" customHeight="1">
      <c r="B18" s="26" t="inlineStr">
        <is>
          <t>9.5.3</t>
        </is>
      </c>
      <c r="C18" s="24" t="inlineStr">
        <is>
          <t>Link spacing  (spiral pitch)</t>
        </is>
      </c>
      <c r="D18" s="27" t="inlineStr">
        <is>
          <r>
            <rPr>
              <rFont val="Calibri"/>
              <i val="1"/>
              <color rgb="002B2B2B"/>
              <sz val="10"/>
            </rPr>
            <t>s</t>
          </r>
          <r>
            <rPr>
              <rFont val="Calibri"/>
              <i val="1"/>
              <color rgb="002B2B2B"/>
              <sz val="10"/>
              <vertAlign val="subscript"/>
            </rPr>
            <t>w</t>
          </r>
        </is>
      </c>
      <c r="E18" s="25" t="n">
        <v>250</v>
      </c>
      <c r="F18" s="28" t="inlineStr">
        <is>
          <t>mm</t>
        </is>
      </c>
      <c r="G18" s="23" t="n"/>
    </row>
    <row r="19" ht="17" customHeight="1">
      <c r="B19" s="26" t="inlineStr">
        <is>
          <t>9.5.2(1)</t>
        </is>
      </c>
      <c r="C19" s="24" t="inlineStr">
        <is>
          <t>Bar diameter</t>
        </is>
      </c>
      <c r="D19" s="27" t="inlineStr">
        <is>
          <r>
            <rPr>
              <rFont val="Calibri"/>
              <i val="1"/>
              <color rgb="002B2B2B"/>
              <sz val="10"/>
            </rPr>
            <t>φ</t>
          </r>
        </is>
      </c>
      <c r="E19" s="25" t="n">
        <v>20</v>
      </c>
      <c r="F19" s="28" t="inlineStr">
        <is>
          <t>mm</t>
        </is>
      </c>
      <c r="G19" s="23" t="n"/>
    </row>
    <row r="20" ht="17" customHeight="1">
      <c r="B20" s="26" t="inlineStr">
        <is>
          <t>9.5.2(4)</t>
        </is>
      </c>
      <c r="C20" s="24" t="inlineStr">
        <is>
          <t>Number of bars  (at least 4)</t>
        </is>
      </c>
      <c r="D20" s="27" t="inlineStr">
        <is>
          <r>
            <rPr>
              <rFont val="Calibri"/>
              <i val="1"/>
              <color rgb="002B2B2B"/>
              <sz val="10"/>
            </rPr>
            <t>n</t>
          </r>
        </is>
      </c>
      <c r="E20" s="25" t="n">
        <v>8</v>
      </c>
      <c r="F20" s="23" t="n"/>
      <c r="G20" s="23" t="n"/>
    </row>
    <row r="22" ht="22" customHeight="1">
      <c r="B22" s="20" t="inlineStr">
        <is>
          <t>Inputs  ·  actions and length</t>
        </is>
      </c>
      <c r="C22" s="21" t="n"/>
      <c r="D22" s="21" t="n"/>
      <c r="E22" s="21" t="n"/>
      <c r="F22" s="21" t="n"/>
      <c r="G22" s="22" t="inlineStr">
        <is>
          <t>ULS design values</t>
        </is>
      </c>
    </row>
    <row r="23" ht="17" customHeight="1">
      <c r="B23" s="23" t="n"/>
      <c r="C23" s="24" t="inlineStr">
        <is>
          <t>Design axial force  (compression)</t>
        </is>
      </c>
      <c r="D23" s="27" t="inlineStr">
        <is>
          <r>
            <rPr>
              <rFont val="Calibri"/>
              <i val="1"/>
              <color rgb="002B2B2B"/>
              <sz val="10"/>
            </rPr>
            <t>N</t>
          </r>
          <r>
            <rPr>
              <rFont val="Calibri"/>
              <i val="1"/>
              <color rgb="002B2B2B"/>
              <sz val="10"/>
              <vertAlign val="subscript"/>
            </rPr>
            <t>Ed</t>
          </r>
        </is>
      </c>
      <c r="E23" s="29" t="n">
        <v>2000</v>
      </c>
      <c r="F23" s="28" t="inlineStr">
        <is>
          <t>kN</t>
        </is>
      </c>
      <c r="G23" s="23" t="n"/>
    </row>
    <row r="24" ht="17" customHeight="1">
      <c r="B24" s="26" t="inlineStr">
        <is>
          <t>5.8.8.2(2)</t>
        </is>
      </c>
      <c r="C24" s="24" t="inlineStr">
        <is>
          <t>Larger first order end moment  |M02|</t>
        </is>
      </c>
      <c r="D24" s="27" t="inlineStr">
        <is>
          <r>
            <rPr>
              <rFont val="Calibri"/>
              <i val="1"/>
              <color rgb="002B2B2B"/>
              <sz val="10"/>
            </rPr>
            <t>M</t>
          </r>
          <r>
            <rPr>
              <rFont val="Calibri"/>
              <i val="1"/>
              <color rgb="002B2B2B"/>
              <sz val="10"/>
              <vertAlign val="subscript"/>
            </rPr>
            <t>02</t>
          </r>
        </is>
      </c>
      <c r="E24" s="30" t="n">
        <v>80</v>
      </c>
      <c r="F24" s="28" t="inlineStr">
        <is>
          <t>kNm</t>
        </is>
      </c>
      <c r="G24" s="23" t="n"/>
    </row>
    <row r="25" ht="17" customHeight="1">
      <c r="B25" s="26" t="inlineStr">
        <is>
          <t>5.8.8.2(2)</t>
        </is>
      </c>
      <c r="C25" s="24" t="inlineStr">
        <is>
          <t>Smaller end moment  M01  (negative in double curvature)</t>
        </is>
      </c>
      <c r="D25" s="27" t="inlineStr">
        <is>
          <r>
            <rPr>
              <rFont val="Calibri"/>
              <i val="1"/>
              <color rgb="002B2B2B"/>
              <sz val="10"/>
            </rPr>
            <t>M</t>
          </r>
          <r>
            <rPr>
              <rFont val="Calibri"/>
              <i val="1"/>
              <color rgb="002B2B2B"/>
              <sz val="10"/>
              <vertAlign val="subscript"/>
            </rPr>
            <t>01</t>
          </r>
        </is>
      </c>
      <c r="E25" s="30" t="n">
        <v>30</v>
      </c>
      <c r="F25" s="28" t="inlineStr">
        <is>
          <t>kNm</t>
        </is>
      </c>
      <c r="G25" s="23" t="n"/>
    </row>
    <row r="26" ht="17" customHeight="1">
      <c r="B26" s="26" t="inlineStr">
        <is>
          <t>5.8.3.1</t>
        </is>
      </c>
      <c r="C26" s="24" t="inlineStr">
        <is>
          <t>Bracing</t>
        </is>
      </c>
      <c r="D26" s="23" t="n"/>
      <c r="E26" s="25" t="inlineStr">
        <is>
          <t>Braced</t>
        </is>
      </c>
      <c r="F26" s="23" t="n"/>
      <c r="G26" s="23" t="n"/>
    </row>
    <row r="27" ht="17" customHeight="1">
      <c r="B27" s="26" t="inlineStr">
        <is>
          <t>5.2(5)</t>
        </is>
      </c>
      <c r="C27" s="24" t="inlineStr">
        <is>
          <t>Clear height of the column  (for αh)</t>
        </is>
      </c>
      <c r="D27" s="27" t="inlineStr">
        <is>
          <r>
            <rPr>
              <rFont val="Calibri"/>
              <i val="1"/>
              <color rgb="002B2B2B"/>
              <sz val="10"/>
            </rPr>
            <t>l</t>
          </r>
        </is>
      </c>
      <c r="E27" s="25" t="n">
        <v>5000</v>
      </c>
      <c r="F27" s="28" t="inlineStr">
        <is>
          <t>mm</t>
        </is>
      </c>
      <c r="G27" s="23" t="n"/>
    </row>
    <row r="28" ht="17" customHeight="1">
      <c r="B28" s="26" t="inlineStr">
        <is>
          <t>5.8.3.2</t>
        </is>
      </c>
      <c r="C28" s="24" t="inlineStr">
        <is>
          <t>Effective length</t>
        </is>
      </c>
      <c r="D28" s="27" t="inlineStr">
        <is>
          <r>
            <rPr>
              <rFont val="Calibri"/>
              <i val="1"/>
              <color rgb="002B2B2B"/>
              <sz val="10"/>
            </rPr>
            <t>l</t>
          </r>
          <r>
            <rPr>
              <rFont val="Calibri"/>
              <i val="1"/>
              <color rgb="002B2B2B"/>
              <sz val="10"/>
              <vertAlign val="subscript"/>
            </rPr>
            <t>0</t>
          </r>
        </is>
      </c>
      <c r="E28" s="25" t="n">
        <v>4250</v>
      </c>
      <c r="F28" s="28" t="inlineStr">
        <is>
          <t>mm</t>
        </is>
      </c>
      <c r="G28" s="26" t="inlineStr">
        <is>
          <t>0.5l to 1.0l braced</t>
        </is>
      </c>
    </row>
    <row r="29" ht="17" customHeight="1">
      <c r="B29" s="26" t="inlineStr">
        <is>
          <t>5.8.4</t>
        </is>
      </c>
      <c r="C29" s="24" t="inlineStr">
        <is>
          <t>Effective creep ratio</t>
        </is>
      </c>
      <c r="D29" s="27" t="inlineStr">
        <is>
          <r>
            <rPr>
              <rFont val="Calibri"/>
              <i val="1"/>
              <color rgb="002B2B2B"/>
              <sz val="10"/>
            </rPr>
            <t>φ</t>
          </r>
          <r>
            <rPr>
              <rFont val="Calibri"/>
              <i val="1"/>
              <color rgb="002B2B2B"/>
              <sz val="10"/>
              <vertAlign val="subscript"/>
            </rPr>
            <t>ef</t>
          </r>
        </is>
      </c>
      <c r="E29" s="31" t="n">
        <v>1.5</v>
      </c>
      <c r="F29" s="23" t="n"/>
      <c r="G29" s="23" t="n"/>
    </row>
    <row r="30" ht="17" customHeight="1">
      <c r="B30" s="26" t="inlineStr">
        <is>
          <t>5.8.8.2(4)</t>
        </is>
      </c>
      <c r="C30" s="24" t="inlineStr">
        <is>
          <t>Curvature factor  (10; 8 for a constant moment)</t>
        </is>
      </c>
      <c r="D30" s="27" t="inlineStr">
        <is>
          <r>
            <rPr>
              <rFont val="Calibri"/>
              <i val="1"/>
              <color rgb="002B2B2B"/>
              <sz val="10"/>
            </rPr>
            <t>c</t>
          </r>
        </is>
      </c>
      <c r="E30" s="25" t="n">
        <v>10</v>
      </c>
      <c r="F30" s="23" t="n"/>
      <c r="G30" s="23" t="n"/>
    </row>
    <row r="31" ht="17" customHeight="1">
      <c r="B31" s="23" t="n"/>
      <c r="C31" s="24" t="inlineStr">
        <is>
          <t>Inputs valid and consistent</t>
        </is>
      </c>
      <c r="D31" s="23" t="n"/>
      <c r="E31" s="9" t="n"/>
      <c r="F31" s="23" t="n"/>
      <c r="G31" s="32">
        <f>IF(inputs_ok,"OK","FAIL")</f>
        <v/>
      </c>
    </row>
    <row r="33">
      <c r="B33" s="33" t="inlineStr">
        <is>
          <t>Your section, to scale  ·  compression face on top  ·  bars turned to the sampled strain plane with the least resultant  ·  its neutral axis at NEd (dashed)</t>
        </is>
      </c>
    </row>
    <row r="54" ht="22" customHeight="1">
      <c r="B54" s="20" t="inlineStr">
        <is>
          <t>Results</t>
        </is>
      </c>
      <c r="C54" s="21" t="n"/>
      <c r="D54" s="21" t="n"/>
      <c r="E54" s="21" t="n"/>
      <c r="F54" s="21" t="n"/>
      <c r="G54" s="21" t="n"/>
    </row>
    <row r="55" ht="26" customHeight="1">
      <c r="B55" s="34" t="n"/>
      <c r="C55" s="35" t="inlineStr">
        <is>
          <t>Bending at NEd  MEd / MRd</t>
        </is>
      </c>
      <c r="D55" s="34" t="n"/>
      <c r="E55" s="36">
        <f>IF(inputs_ok,IF(res_cc,MEd_cc/MRd_cc,"–"),"–")</f>
        <v/>
      </c>
      <c r="F55" s="37" t="inlineStr"/>
      <c r="G55" s="38">
        <f>IF(NOT(inputs_ok),"FAIL",IF(res_cc,IF(MEd_cc&lt;=MRd_cc,"OK","FAIL"),"FAIL"))</f>
        <v/>
      </c>
    </row>
    <row r="56" ht="26" customHeight="1">
      <c r="B56" s="34" t="n"/>
      <c r="C56" s="35" t="inlineStr">
        <is>
          <t>Axial force  NEd / NRd,max</t>
        </is>
      </c>
      <c r="D56" s="34" t="n"/>
      <c r="E56" s="36">
        <f>IF(inputs_ok,cc_NEd/NRdmax_cc,"–")</f>
        <v/>
      </c>
      <c r="F56" s="37" t="inlineStr"/>
      <c r="G56" s="38">
        <f>IF(NOT(inputs_ok),"FAIL",IF(cc_NEd&lt;=NRdmax_cc,"OK","FAIL"))</f>
        <v/>
      </c>
    </row>
    <row r="57" ht="26" customHeight="1">
      <c r="B57" s="34" t="n"/>
      <c r="C57" s="35" t="inlineStr">
        <is>
          <t>Design moment  (with second order effects when slender)</t>
        </is>
      </c>
      <c r="D57" s="39" t="inlineStr">
        <is>
          <r>
            <rPr>
              <rFont val="Calibri"/>
              <i val="1"/>
              <color rgb="002B2B2B"/>
              <sz val="11"/>
            </rPr>
            <t>M</t>
          </r>
          <r>
            <rPr>
              <rFont val="Calibri"/>
              <i val="1"/>
              <color rgb="002B2B2B"/>
              <sz val="11"/>
              <vertAlign val="subscript"/>
            </rPr>
            <t>Ed</t>
          </r>
        </is>
      </c>
      <c r="E57" s="40">
        <f>IF(inputs_ok,MEd_cc,"–")</f>
        <v/>
      </c>
      <c r="F57" s="37" t="inlineStr">
        <is>
          <t>kNm</t>
        </is>
      </c>
      <c r="G57" s="38">
        <f>IF(NOT(inputs_ok),"FAIL",IF(slender_cc,"! Slender","Not slender"))</f>
        <v/>
      </c>
    </row>
    <row r="58" ht="26" customHeight="1">
      <c r="B58" s="34" t="n"/>
      <c r="C58" s="35" t="inlineStr">
        <is>
          <t>Moment resistance at NEd  (every direction, see Interaction)</t>
        </is>
      </c>
      <c r="D58" s="39" t="inlineStr">
        <is>
          <r>
            <rPr>
              <rFont val="Calibri"/>
              <i val="1"/>
              <color rgb="002B2B2B"/>
              <sz val="11"/>
            </rPr>
            <t>M</t>
          </r>
          <r>
            <rPr>
              <rFont val="Calibri"/>
              <i val="1"/>
              <color rgb="002B2B2B"/>
              <sz val="11"/>
              <vertAlign val="subscript"/>
            </rPr>
            <t>Rd</t>
          </r>
        </is>
      </c>
      <c r="E58" s="40">
        <f>IF(inputs_ok,IF(res_cc,MRd_cc,"–"),"–")</f>
        <v/>
      </c>
      <c r="F58" s="37" t="inlineStr">
        <is>
          <t>kNm</t>
        </is>
      </c>
      <c r="G58" s="34" t="n"/>
    </row>
    <row r="59" ht="26" customHeight="1">
      <c r="B59" s="34" t="n"/>
      <c r="C59" s="35" t="inlineStr">
        <is>
          <t>Detailing  (bar size, areas, spacing, links)  ·  As provided</t>
        </is>
      </c>
      <c r="D59" s="39" t="inlineStr">
        <is>
          <r>
            <rPr>
              <rFont val="Calibri"/>
              <i val="1"/>
              <color rgb="002B2B2B"/>
              <sz val="11"/>
            </rPr>
            <t>A</t>
          </r>
          <r>
            <rPr>
              <rFont val="Calibri"/>
              <i val="1"/>
              <color rgb="002B2B2B"/>
              <sz val="11"/>
              <vertAlign val="subscript"/>
            </rPr>
            <t>s</t>
          </r>
        </is>
      </c>
      <c r="E59" s="41">
        <f>IF(inputs_ok,As_cc,"–")</f>
        <v/>
      </c>
      <c r="F59" s="37" t="inlineStr">
        <is>
          <t>mm²</t>
        </is>
      </c>
      <c r="G59" s="38">
        <f>IF(NOT(inputs_ok),"FAIL",IF(det_cc,"OK","FAIL"))</f>
        <v/>
      </c>
    </row>
    <row r="60"/>
    <row r="61">
      <c r="B61" s="33" t="inlineStr">
        <is>
          <t>N-M interaction curves  ·  orientation A (solid) and B (dashed)  ·  design point (red)  ·  resistance at NEd</t>
        </is>
      </c>
    </row>
    <row r="62"/>
    <row r="63"/>
    <row r="64"/>
    <row r="65"/>
    <row r="66"/>
    <row r="67"/>
    <row r="68"/>
    <row r="69"/>
    <row r="70"/>
    <row r="71"/>
    <row r="72"/>
    <row r="73"/>
    <row r="74"/>
    <row r="75"/>
    <row r="76"/>
    <row r="77"/>
    <row r="78"/>
    <row r="79"/>
    <row r="80"/>
    <row r="81"/>
    <row r="82" ht="22" customHeight="1">
      <c r="B82" s="20" t="inlineStr">
        <is>
          <t>Calculation  ·  materials and section</t>
        </is>
      </c>
      <c r="C82" s="21" t="n"/>
      <c r="D82" s="21" t="n"/>
      <c r="E82" s="21" t="n"/>
      <c r="F82" s="21" t="n"/>
      <c r="G82" s="21" t="n"/>
    </row>
    <row r="83" ht="17" customHeight="1">
      <c r="B83" s="26" t="inlineStr">
        <is>
          <t>2.4.2.4(1)</t>
        </is>
      </c>
      <c r="C83" s="24" t="inlineStr">
        <is>
          <t>Partial factor, concrete</t>
        </is>
      </c>
      <c r="D83" s="27" t="inlineStr">
        <is>
          <r>
            <rPr>
              <rFont val="Calibri"/>
              <i val="1"/>
              <color rgb="002B2B2B"/>
              <sz val="10"/>
            </rPr>
            <t>γ</t>
          </r>
          <r>
            <rPr>
              <rFont val="Calibri"/>
              <i val="1"/>
              <color rgb="002B2B2B"/>
              <sz val="10"/>
              <vertAlign val="subscript"/>
            </rPr>
            <t>c</t>
          </r>
        </is>
      </c>
      <c r="E83" s="42">
        <f>IF(inputs_ok,ndp_gamma_c,NA())</f>
        <v/>
      </c>
      <c r="F83" s="23" t="n"/>
      <c r="G83" s="26" t="inlineStr">
        <is>
          <t>NDP sheet</t>
        </is>
      </c>
    </row>
    <row r="84" ht="17" customHeight="1">
      <c r="B84" s="26" t="inlineStr">
        <is>
          <t>2.4.2.4(1)</t>
        </is>
      </c>
      <c r="C84" s="24" t="inlineStr">
        <is>
          <t>Partial factor, reinforcement</t>
        </is>
      </c>
      <c r="D84" s="27" t="inlineStr">
        <is>
          <r>
            <rPr>
              <rFont val="Calibri"/>
              <i val="1"/>
              <color rgb="002B2B2B"/>
              <sz val="10"/>
            </rPr>
            <t>γ</t>
          </r>
          <r>
            <rPr>
              <rFont val="Calibri"/>
              <i val="1"/>
              <color rgb="002B2B2B"/>
              <sz val="10"/>
              <vertAlign val="subscript"/>
            </rPr>
            <t>s</t>
          </r>
        </is>
      </c>
      <c r="E84" s="42">
        <f>IF(inputs_ok,ndp_gamma_s,NA())</f>
        <v/>
      </c>
      <c r="F84" s="23" t="n"/>
      <c r="G84" s="26" t="inlineStr">
        <is>
          <t>NDP sheet</t>
        </is>
      </c>
    </row>
    <row r="85" ht="17" customHeight="1">
      <c r="B85" s="26" t="inlineStr">
        <is>
          <t>3.1.6(1)</t>
        </is>
      </c>
      <c r="C85" s="24" t="inlineStr">
        <is>
          <t>Coefficient on compressive strength (flexure)</t>
        </is>
      </c>
      <c r="D85" s="27" t="inlineStr">
        <is>
          <r>
            <rPr>
              <rFont val="Calibri"/>
              <i val="1"/>
              <color rgb="002B2B2B"/>
              <sz val="10"/>
            </rPr>
            <t>α</t>
          </r>
          <r>
            <rPr>
              <rFont val="Calibri"/>
              <i val="1"/>
              <color rgb="002B2B2B"/>
              <sz val="10"/>
              <vertAlign val="subscript"/>
            </rPr>
            <t>cc</t>
          </r>
        </is>
      </c>
      <c r="E85" s="42">
        <f>IF(inputs_ok,ndp_alpha_cc,NA())</f>
        <v/>
      </c>
      <c r="F85" s="23" t="n"/>
      <c r="G85" s="26" t="inlineStr">
        <is>
          <t>NDP sheet</t>
        </is>
      </c>
    </row>
    <row r="86" ht="17" customHeight="1">
      <c r="B86" s="26" t="inlineStr">
        <is>
          <t>9.5.2(1)</t>
        </is>
      </c>
      <c r="C86" s="24" t="inlineStr">
        <is>
          <t>Minimum diameter of longitudinal bars</t>
        </is>
      </c>
      <c r="D86" s="27" t="inlineStr">
        <is>
          <r>
            <rPr>
              <rFont val="Calibri"/>
              <i val="1"/>
              <color rgb="002B2B2B"/>
              <sz val="10"/>
            </rPr>
            <t>φ</t>
          </r>
          <r>
            <rPr>
              <rFont val="Calibri"/>
              <i val="1"/>
              <color rgb="002B2B2B"/>
              <sz val="10"/>
              <vertAlign val="subscript"/>
            </rPr>
            <t>min</t>
          </r>
        </is>
      </c>
      <c r="E86" s="43">
        <f>IF(inputs_ok,ndp_phi_min_col,NA())</f>
        <v/>
      </c>
      <c r="F86" s="28" t="inlineStr">
        <is>
          <t>mm</t>
        </is>
      </c>
      <c r="G86" s="26" t="inlineStr">
        <is>
          <t>NDP sheet</t>
        </is>
      </c>
    </row>
    <row r="87" ht="17" customHeight="1">
      <c r="B87" s="26" t="inlineStr">
        <is>
          <t>Table 3.1</t>
        </is>
      </c>
      <c r="C87" s="24" t="inlineStr">
        <is>
          <t>Characteristic cylinder strength</t>
        </is>
      </c>
      <c r="D87" s="27" t="inlineStr">
        <is>
          <r>
            <rPr>
              <rFont val="Calibri"/>
              <i val="1"/>
              <color rgb="002B2B2B"/>
              <sz val="10"/>
            </rPr>
            <t>f</t>
          </r>
          <r>
            <rPr>
              <rFont val="Calibri"/>
              <i val="1"/>
              <color rgb="002B2B2B"/>
              <sz val="10"/>
              <vertAlign val="subscript"/>
            </rPr>
            <t>ck</t>
          </r>
        </is>
      </c>
      <c r="E87" s="43">
        <f>IF(inputs_ok,VALUE(MID(conc_class,2,FIND("/",conc_class)-2)),NA())</f>
        <v/>
      </c>
      <c r="F87" s="28" t="inlineStr">
        <is>
          <t>MPa</t>
        </is>
      </c>
      <c r="G87" s="23" t="n"/>
    </row>
    <row r="88" ht="17" customHeight="1">
      <c r="B88" s="26" t="inlineStr">
        <is>
          <t>Table 3.1</t>
        </is>
      </c>
      <c r="C88" s="24" t="inlineStr">
        <is>
          <t>Mean tensile strength</t>
        </is>
      </c>
      <c r="D88" s="27" t="inlineStr">
        <is>
          <r>
            <rPr>
              <rFont val="Calibri"/>
              <i val="1"/>
              <color rgb="002B2B2B"/>
              <sz val="10"/>
            </rPr>
            <t>f</t>
          </r>
          <r>
            <rPr>
              <rFont val="Calibri"/>
              <i val="1"/>
              <color rgb="002B2B2B"/>
              <sz val="10"/>
              <vertAlign val="subscript"/>
            </rPr>
            <t>ctm</t>
          </r>
        </is>
      </c>
      <c r="E88" s="42">
        <f>IF(inputs_ok,IF(f_ck&lt;=50,0.3*f_ck^(2/3),2.12*LN(1+(f_ck+8)/10)),NA())</f>
        <v/>
      </c>
      <c r="F88" s="28" t="inlineStr">
        <is>
          <t>MPa</t>
        </is>
      </c>
      <c r="G88" s="23" t="n"/>
    </row>
    <row r="89" ht="17" customHeight="1">
      <c r="B89" s="26" t="inlineStr">
        <is>
          <t>3.1.6(1)</t>
        </is>
      </c>
      <c r="C89" s="24" t="inlineStr">
        <is>
          <t>Design compressive strength  αcc fck / γc  (η = 1)</t>
        </is>
      </c>
      <c r="D89" s="27" t="inlineStr">
        <is>
          <r>
            <rPr>
              <rFont val="Calibri"/>
              <i val="1"/>
              <color rgb="002B2B2B"/>
              <sz val="10"/>
            </rPr>
            <t>f</t>
          </r>
          <r>
            <rPr>
              <rFont val="Calibri"/>
              <i val="1"/>
              <color rgb="002B2B2B"/>
              <sz val="10"/>
              <vertAlign val="subscript"/>
            </rPr>
            <t>cd</t>
          </r>
        </is>
      </c>
      <c r="E89" s="42">
        <f>IF(inputs_ok,alpha_cc*f_ck/gamma_c,NA())</f>
        <v/>
      </c>
      <c r="F89" s="28" t="inlineStr">
        <is>
          <t>MPa</t>
        </is>
      </c>
      <c r="G89" s="23" t="n"/>
    </row>
    <row r="90" ht="17" customHeight="1">
      <c r="B90" s="26" t="inlineStr">
        <is>
          <t>3.2.7</t>
        </is>
      </c>
      <c r="C90" s="24" t="inlineStr">
        <is>
          <t>Design yield strength</t>
        </is>
      </c>
      <c r="D90" s="27" t="inlineStr">
        <is>
          <r>
            <rPr>
              <rFont val="Calibri"/>
              <i val="1"/>
              <color rgb="002B2B2B"/>
              <sz val="10"/>
            </rPr>
            <t>f</t>
          </r>
          <r>
            <rPr>
              <rFont val="Calibri"/>
              <i val="1"/>
              <color rgb="002B2B2B"/>
              <sz val="10"/>
              <vertAlign val="subscript"/>
            </rPr>
            <t>yd</t>
          </r>
        </is>
      </c>
      <c r="E90" s="44">
        <f>IF(inputs_ok,cc_fyk/gamma_s,NA())</f>
        <v/>
      </c>
      <c r="F90" s="28" t="inlineStr">
        <is>
          <t>MPa</t>
        </is>
      </c>
      <c r="G90" s="23" t="n"/>
    </row>
    <row r="91" ht="17" customHeight="1">
      <c r="B91" s="26" t="inlineStr">
        <is>
          <t>3.2.7(4)</t>
        </is>
      </c>
      <c r="C91" s="24" t="inlineStr">
        <is>
          <t>Modulus of elasticity of reinforcement</t>
        </is>
      </c>
      <c r="D91" s="27" t="inlineStr">
        <is>
          <r>
            <rPr>
              <rFont val="Calibri"/>
              <i val="1"/>
              <color rgb="002B2B2B"/>
              <sz val="10"/>
            </rPr>
            <t>E</t>
          </r>
          <r>
            <rPr>
              <rFont val="Calibri"/>
              <i val="1"/>
              <color rgb="002B2B2B"/>
              <sz val="10"/>
              <vertAlign val="subscript"/>
            </rPr>
            <t>s</t>
          </r>
        </is>
      </c>
      <c r="E91" s="43">
        <f>IF(inputs_ok,200000,NA())</f>
        <v/>
      </c>
      <c r="F91" s="28" t="inlineStr">
        <is>
          <t>MPa</t>
        </is>
      </c>
      <c r="G91" s="23" t="n"/>
    </row>
    <row r="92" ht="17" customHeight="1">
      <c r="B92" s="23" t="n"/>
      <c r="C92" s="24" t="inlineStr">
        <is>
          <t>Gross area  π D² / 4</t>
        </is>
      </c>
      <c r="D92" s="27" t="inlineStr">
        <is>
          <r>
            <rPr>
              <rFont val="Calibri"/>
              <i val="1"/>
              <color rgb="002B2B2B"/>
              <sz val="10"/>
            </rPr>
            <t>A</t>
          </r>
          <r>
            <rPr>
              <rFont val="Calibri"/>
              <i val="1"/>
              <color rgb="002B2B2B"/>
              <sz val="10"/>
              <vertAlign val="subscript"/>
            </rPr>
            <t>c</t>
          </r>
        </is>
      </c>
      <c r="E92" s="43">
        <f>IF(inputs_ok,PI()*cc_D^2/4,NA())</f>
        <v/>
      </c>
      <c r="F92" s="28" t="inlineStr">
        <is>
          <t>mm²</t>
        </is>
      </c>
      <c r="G92" s="23" t="n"/>
    </row>
    <row r="93" ht="17" customHeight="1">
      <c r="B93" s="23" t="n"/>
      <c r="C93" s="24" t="inlineStr">
        <is>
          <t>Reinforcement area  n π φ² / 4</t>
        </is>
      </c>
      <c r="D93" s="27" t="inlineStr">
        <is>
          <r>
            <rPr>
              <rFont val="Calibri"/>
              <i val="1"/>
              <color rgb="002B2B2B"/>
              <sz val="10"/>
            </rPr>
            <t>A</t>
          </r>
          <r>
            <rPr>
              <rFont val="Calibri"/>
              <i val="1"/>
              <color rgb="002B2B2B"/>
              <sz val="10"/>
              <vertAlign val="subscript"/>
            </rPr>
            <t>s</t>
          </r>
        </is>
      </c>
      <c r="E93" s="43">
        <f>IF(inputs_ok,cc_nb*PI()*cc_phi^2/4,NA())</f>
        <v/>
      </c>
      <c r="F93" s="28" t="inlineStr">
        <is>
          <t>mm²</t>
        </is>
      </c>
      <c r="G93" s="23" t="n"/>
    </row>
    <row r="94" ht="17" customHeight="1">
      <c r="B94" s="23" t="n"/>
      <c r="C94" s="24" t="inlineStr">
        <is>
          <t>Radius of the bar centres  D/2 − c − φw − φ/2</t>
        </is>
      </c>
      <c r="D94" s="27" t="inlineStr">
        <is>
          <r>
            <rPr>
              <rFont val="Calibri"/>
              <i val="1"/>
              <color rgb="002B2B2B"/>
              <sz val="10"/>
            </rPr>
            <t>r</t>
          </r>
          <r>
            <rPr>
              <rFont val="Calibri"/>
              <i val="1"/>
              <color rgb="002B2B2B"/>
              <sz val="10"/>
              <vertAlign val="subscript"/>
            </rPr>
            <t>s</t>
          </r>
        </is>
      </c>
      <c r="E94" s="44">
        <f>IF(inputs_ok,rs_cc,NA())</f>
        <v/>
      </c>
      <c r="F94" s="28" t="inlineStr">
        <is>
          <t>mm</t>
        </is>
      </c>
      <c r="G94" s="23" t="n"/>
    </row>
    <row r="95" ht="17" customHeight="1">
      <c r="B95" s="26" t="inlineStr">
        <is>
          <t>5.8.8.3(2)</t>
        </is>
      </c>
      <c r="C95" s="24" t="inlineStr">
        <is>
          <t>Radius of gyration of the bars  rs / √2</t>
        </is>
      </c>
      <c r="D95" s="27" t="inlineStr">
        <is>
          <r>
            <rPr>
              <rFont val="Calibri"/>
              <i val="1"/>
              <color rgb="002B2B2B"/>
              <sz val="10"/>
            </rPr>
            <t>i</t>
          </r>
          <r>
            <rPr>
              <rFont val="Calibri"/>
              <i val="1"/>
              <color rgb="002B2B2B"/>
              <sz val="10"/>
              <vertAlign val="subscript"/>
            </rPr>
            <t>s</t>
          </r>
        </is>
      </c>
      <c r="E95" s="44">
        <f>IF(inputs_ok,rs_cc/SQRT(2),NA())</f>
        <v/>
      </c>
      <c r="F95" s="28" t="inlineStr">
        <is>
          <t>mm</t>
        </is>
      </c>
      <c r="G95" s="23" t="n"/>
    </row>
    <row r="96" ht="17" customHeight="1">
      <c r="B96" s="23" t="n"/>
      <c r="C96" s="24" t="inlineStr">
        <is>
          <t>Mechanical reinforcement ratio  As fyd / (Ac fcd)</t>
        </is>
      </c>
      <c r="D96" s="27" t="inlineStr">
        <is>
          <r>
            <rPr>
              <rFont val="Calibri"/>
              <i val="1"/>
              <color rgb="002B2B2B"/>
              <sz val="10"/>
            </rPr>
            <t>ω</t>
          </r>
        </is>
      </c>
      <c r="E96" s="45">
        <f>IF(inputs_ok,As_cc*fyd_cc/(Ac_cc*fcd_cc),NA())</f>
        <v/>
      </c>
      <c r="F96" s="23" t="n"/>
      <c r="G96" s="23" t="n"/>
    </row>
    <row r="97" ht="17" customHeight="1">
      <c r="B97" s="26" t="inlineStr">
        <is>
          <t>(5.13N)</t>
        </is>
      </c>
      <c r="C97" s="24" t="inlineStr">
        <is>
          <t>Relative axial force  NEd / (Ac fcd)</t>
        </is>
      </c>
      <c r="D97" s="27" t="inlineStr">
        <is>
          <r>
            <rPr>
              <rFont val="Calibri"/>
              <i val="1"/>
              <color rgb="002B2B2B"/>
              <sz val="10"/>
            </rPr>
            <t>n</t>
          </r>
        </is>
      </c>
      <c r="E97" s="45">
        <f>IF(inputs_ok,cc_NEd*1000/(Ac_cc*fcd_cc),NA())</f>
        <v/>
      </c>
      <c r="F97" s="23" t="n"/>
      <c r="G97" s="23" t="n"/>
    </row>
    <row r="98"/>
    <row r="99" ht="22" customHeight="1">
      <c r="B99" s="20" t="inlineStr">
        <is>
          <t>Calculation  ·  slenderness and design moment</t>
        </is>
      </c>
      <c r="C99" s="21" t="n"/>
      <c r="D99" s="21" t="n"/>
      <c r="E99" s="21" t="n"/>
      <c r="F99" s="21" t="n"/>
      <c r="G99" s="21" t="n"/>
    </row>
    <row r="100" ht="17" customHeight="1">
      <c r="B100" s="26" t="inlineStr">
        <is>
          <t>5.8.3.2</t>
        </is>
      </c>
      <c r="C100" s="24" t="inlineStr">
        <is>
          <t>Radius of gyration  D / 4</t>
        </is>
      </c>
      <c r="D100" s="27" t="inlineStr">
        <is>
          <r>
            <rPr>
              <rFont val="Calibri"/>
              <i val="1"/>
              <color rgb="002B2B2B"/>
              <sz val="10"/>
            </rPr>
            <t>i</t>
          </r>
        </is>
      </c>
      <c r="E100" s="44">
        <f>IF(inputs_ok,cc_D/4,NA())</f>
        <v/>
      </c>
      <c r="F100" s="28" t="inlineStr">
        <is>
          <t>mm</t>
        </is>
      </c>
      <c r="G100" s="23" t="n"/>
    </row>
    <row r="101" ht="17" customHeight="1">
      <c r="B101" s="26" t="inlineStr">
        <is>
          <t>(5.14)</t>
        </is>
      </c>
      <c r="C101" s="24" t="inlineStr">
        <is>
          <t>Slenderness  l0 / i</t>
        </is>
      </c>
      <c r="D101" s="27" t="inlineStr">
        <is>
          <r>
            <rPr>
              <rFont val="Calibri"/>
              <i val="1"/>
              <color rgb="002B2B2B"/>
              <sz val="10"/>
            </rPr>
            <t>λ</t>
          </r>
        </is>
      </c>
      <c r="E101" s="44">
        <f>IF(inputs_ok,cc_l0/i_cc,NA())</f>
        <v/>
      </c>
      <c r="F101" s="23" t="n"/>
      <c r="G101" s="23" t="n"/>
    </row>
    <row r="102" ht="17" customHeight="1">
      <c r="B102" s="26" t="inlineStr">
        <is>
          <t>(5.13N)</t>
        </is>
      </c>
      <c r="C102" s="24" t="inlineStr">
        <is>
          <t>A = 1 / (1 + 0.2 φef)</t>
        </is>
      </c>
      <c r="D102" s="27" t="inlineStr">
        <is>
          <r>
            <rPr>
              <rFont val="Calibri"/>
              <i val="1"/>
              <color rgb="002B2B2B"/>
              <sz val="10"/>
            </rPr>
            <t>A</t>
          </r>
        </is>
      </c>
      <c r="E102" s="45">
        <f>IF(inputs_ok,1/(1+0.2*cc_phief),NA())</f>
        <v/>
      </c>
      <c r="F102" s="23" t="n"/>
      <c r="G102" s="23" t="n"/>
    </row>
    <row r="103" ht="17" customHeight="1">
      <c r="B103" s="26" t="inlineStr">
        <is>
          <t>(5.13N)</t>
        </is>
      </c>
      <c r="C103" s="24" t="inlineStr">
        <is>
          <t>B = √(1 + 2ω)</t>
        </is>
      </c>
      <c r="D103" s="27" t="inlineStr">
        <is>
          <r>
            <rPr>
              <rFont val="Calibri"/>
              <i val="1"/>
              <color rgb="002B2B2B"/>
              <sz val="10"/>
            </rPr>
            <t>B</t>
          </r>
        </is>
      </c>
      <c r="E103" s="45">
        <f>IF(inputs_ok,SQRT(1+2*omega_cc),NA())</f>
        <v/>
      </c>
      <c r="F103" s="23" t="n"/>
      <c r="G103" s="23" t="n"/>
    </row>
    <row r="104" ht="17" customHeight="1">
      <c r="B104" s="26" t="inlineStr">
        <is>
          <t>(5.13N)</t>
        </is>
      </c>
      <c r="C104" s="24" t="inlineStr">
        <is>
          <t>Moment ratio  M01 / M02</t>
        </is>
      </c>
      <c r="D104" s="27" t="inlineStr">
        <is>
          <r>
            <rPr>
              <rFont val="Calibri"/>
              <i val="1"/>
              <color rgb="002B2B2B"/>
              <sz val="10"/>
            </rPr>
            <t>r</t>
          </r>
          <r>
            <rPr>
              <rFont val="Calibri"/>
              <i val="1"/>
              <color rgb="002B2B2B"/>
              <sz val="10"/>
              <vertAlign val="subscript"/>
            </rPr>
            <t>m</t>
          </r>
        </is>
      </c>
      <c r="E104" s="45">
        <f>IF(inputs_ok,IF(cc_M02=0,1,cc_M01/cc_M02),NA())</f>
        <v/>
      </c>
      <c r="F104" s="23" t="n"/>
      <c r="G104" s="23" t="n"/>
    </row>
    <row r="105" ht="17" customHeight="1">
      <c r="B105" s="26" t="inlineStr">
        <is>
          <t>(5.13N)</t>
        </is>
      </c>
      <c r="C105" s="24" t="inlineStr">
        <is>
          <t>C = 1.7 − rm (braced); 0.7 unbraced or M02 ≤ NEd ei (imperfections)</t>
        </is>
      </c>
      <c r="D105" s="27" t="inlineStr">
        <is>
          <r>
            <rPr>
              <rFont val="Calibri"/>
              <i val="1"/>
              <color rgb="002B2B2B"/>
              <sz val="10"/>
            </rPr>
            <t>C</t>
          </r>
        </is>
      </c>
      <c r="E105" s="45">
        <f>IF(inputs_ok,IF(OR(cc_brace="Unbraced",cc_M02&lt;=cc_NEd*ei_cc/1000),0.7,1.7-rm_cc),NA())</f>
        <v/>
      </c>
      <c r="F105" s="23" t="n"/>
      <c r="G105" s="23" t="n"/>
    </row>
    <row r="106" ht="17" customHeight="1">
      <c r="B106" s="26" t="inlineStr">
        <is>
          <t>(5.13N)</t>
        </is>
      </c>
      <c r="C106" s="24" t="inlineStr">
        <is>
          <t>Slenderness limit  20 A B C / √n</t>
        </is>
      </c>
      <c r="D106" s="27" t="inlineStr">
        <is>
          <r>
            <rPr>
              <rFont val="Calibri"/>
              <i val="1"/>
              <color rgb="002B2B2B"/>
              <sz val="10"/>
            </rPr>
            <t>λ</t>
          </r>
          <r>
            <rPr>
              <rFont val="Calibri"/>
              <i val="1"/>
              <color rgb="002B2B2B"/>
              <sz val="10"/>
              <vertAlign val="subscript"/>
            </rPr>
            <t>lim</t>
          </r>
        </is>
      </c>
      <c r="E106" s="44">
        <f>IF(inputs_ok,20*Alam_cc*Blam_cc*Clam_cc/SQRT(nrel_cc),NA())</f>
        <v/>
      </c>
      <c r="F106" s="23" t="n"/>
      <c r="G106" s="23" t="n"/>
    </row>
    <row r="107" ht="17" customHeight="1">
      <c r="B107" s="26" t="inlineStr">
        <is>
          <t>5.2(5)</t>
        </is>
      </c>
      <c r="C107" s="24" t="inlineStr">
        <is>
          <t>αh = 2 / √l,  2/3 ≤ αh ≤ 1  (l in m)</t>
        </is>
      </c>
      <c r="D107" s="27" t="inlineStr">
        <is>
          <r>
            <rPr>
              <rFont val="Calibri"/>
              <i val="1"/>
              <color rgb="002B2B2B"/>
              <sz val="10"/>
            </rPr>
            <t>α</t>
          </r>
          <r>
            <rPr>
              <rFont val="Calibri"/>
              <i val="1"/>
              <color rgb="002B2B2B"/>
              <sz val="10"/>
              <vertAlign val="subscript"/>
            </rPr>
            <t>h</t>
          </r>
        </is>
      </c>
      <c r="E107" s="45">
        <f>IF(inputs_ok,MIN(1,MAX(2/3,2/SQRT(cc_l/1000))),NA())</f>
        <v/>
      </c>
      <c r="F107" s="23" t="n"/>
      <c r="G107" s="23" t="n"/>
    </row>
    <row r="108" ht="17" customHeight="1">
      <c r="B108" s="26" t="inlineStr">
        <is>
          <t>(5.1)</t>
        </is>
      </c>
      <c r="C108" s="24" t="inlineStr">
        <is>
          <t>Inclination  θi = θ0 αh αm,  θ0 = 1/200,  αm = 1</t>
        </is>
      </c>
      <c r="D108" s="27" t="inlineStr">
        <is>
          <r>
            <rPr>
              <rFont val="Calibri"/>
              <i val="1"/>
              <color rgb="002B2B2B"/>
              <sz val="10"/>
            </rPr>
            <t>θ</t>
          </r>
          <r>
            <rPr>
              <rFont val="Calibri"/>
              <i val="1"/>
              <color rgb="002B2B2B"/>
              <sz val="10"/>
              <vertAlign val="subscript"/>
            </rPr>
            <t>i</t>
          </r>
        </is>
      </c>
      <c r="E108" s="46">
        <f>IF(inputs_ok,ah_cc/200,NA())</f>
        <v/>
      </c>
      <c r="F108" s="23" t="n"/>
      <c r="G108" s="23" t="n"/>
    </row>
    <row r="109" ht="17" customHeight="1">
      <c r="B109" s="26" t="inlineStr">
        <is>
          <t>(5.2)</t>
        </is>
      </c>
      <c r="C109" s="24" t="inlineStr">
        <is>
          <t>Eccentricity from imperfections  θi l0 / 2</t>
        </is>
      </c>
      <c r="D109" s="27" t="inlineStr">
        <is>
          <r>
            <rPr>
              <rFont val="Calibri"/>
              <i val="1"/>
              <color rgb="002B2B2B"/>
              <sz val="10"/>
            </rPr>
            <t>e</t>
          </r>
          <r>
            <rPr>
              <rFont val="Calibri"/>
              <i val="1"/>
              <color rgb="002B2B2B"/>
              <sz val="10"/>
              <vertAlign val="subscript"/>
            </rPr>
            <t>i</t>
          </r>
        </is>
      </c>
      <c r="E109" s="44">
        <f>IF(inputs_ok,thi_cc*cc_l0/2,NA())</f>
        <v/>
      </c>
      <c r="F109" s="28" t="inlineStr">
        <is>
          <t>mm</t>
        </is>
      </c>
      <c r="G109" s="23" t="n"/>
    </row>
    <row r="110" ht="17" customHeight="1">
      <c r="B110" s="26" t="inlineStr">
        <is>
          <t>5.8.8.2(2)</t>
        </is>
      </c>
      <c r="C110" s="24" t="inlineStr">
        <is>
          <t>End moments with imperfections  M02 + NEd ei</t>
        </is>
      </c>
      <c r="D110" s="27" t="inlineStr">
        <is>
          <r>
            <rPr>
              <rFont val="Calibri"/>
              <i val="1"/>
              <color rgb="002B2B2B"/>
              <sz val="10"/>
            </rPr>
            <t>M</t>
          </r>
          <r>
            <rPr>
              <rFont val="Calibri"/>
              <i val="1"/>
              <color rgb="002B2B2B"/>
              <sz val="10"/>
              <vertAlign val="subscript"/>
            </rPr>
            <t>02'</t>
          </r>
        </is>
      </c>
      <c r="E110" s="44">
        <f>IF(inputs_ok,cc_M02+cc_NEd*ei_cc/1000,NA())</f>
        <v/>
      </c>
      <c r="F110" s="28" t="inlineStr">
        <is>
          <t>kNm</t>
        </is>
      </c>
      <c r="G110" s="23" t="n"/>
    </row>
    <row r="111" ht="17" customHeight="1">
      <c r="B111" s="26" t="inlineStr">
        <is>
          <t>5.8.8.2(2)</t>
        </is>
      </c>
      <c r="C111" s="24" t="inlineStr">
        <is>
          <t>M01 + NEd ei</t>
        </is>
      </c>
      <c r="D111" s="27" t="inlineStr">
        <is>
          <r>
            <rPr>
              <rFont val="Calibri"/>
              <i val="1"/>
              <color rgb="002B2B2B"/>
              <sz val="10"/>
            </rPr>
            <t>M</t>
          </r>
          <r>
            <rPr>
              <rFont val="Calibri"/>
              <i val="1"/>
              <color rgb="002B2B2B"/>
              <sz val="10"/>
              <vertAlign val="subscript"/>
            </rPr>
            <t>01'</t>
          </r>
        </is>
      </c>
      <c r="E111" s="44">
        <f>IF(inputs_ok,cc_M01+cc_NEd*ei_cc/1000,NA())</f>
        <v/>
      </c>
      <c r="F111" s="28" t="inlineStr">
        <is>
          <t>kNm</t>
        </is>
      </c>
      <c r="G111" s="23" t="n"/>
    </row>
    <row r="112" ht="17" customHeight="1">
      <c r="B112" s="26" t="inlineStr">
        <is>
          <t>6.1(4)</t>
        </is>
      </c>
      <c r="C112" s="24" t="inlineStr">
        <is>
          <t>Minimum eccentricity  max(D / 30; 20 mm)</t>
        </is>
      </c>
      <c r="D112" s="27" t="inlineStr">
        <is>
          <r>
            <rPr>
              <rFont val="Calibri"/>
              <i val="1"/>
              <color rgb="002B2B2B"/>
              <sz val="10"/>
            </rPr>
            <t>e</t>
          </r>
          <r>
            <rPr>
              <rFont val="Calibri"/>
              <i val="1"/>
              <color rgb="002B2B2B"/>
              <sz val="10"/>
              <vertAlign val="subscript"/>
            </rPr>
            <t>0</t>
          </r>
        </is>
      </c>
      <c r="E112" s="44">
        <f>IF(inputs_ok,MAX(cc_D/30,20),NA())</f>
        <v/>
      </c>
      <c r="F112" s="28" t="inlineStr">
        <is>
          <t>mm</t>
        </is>
      </c>
      <c r="G112" s="23" t="n"/>
    </row>
    <row r="113" ht="17" customHeight="1">
      <c r="B113" s="26" t="inlineStr">
        <is>
          <t>(5.36)</t>
        </is>
      </c>
      <c r="C113" s="24" t="inlineStr">
        <is>
          <t>Kr = (nu − n) / (nu − nbal) ≤ 1,  nu = 1 + ω,  nbal = 0.4</t>
        </is>
      </c>
      <c r="D113" s="27" t="inlineStr">
        <is>
          <r>
            <rPr>
              <rFont val="Calibri"/>
              <i val="1"/>
              <color rgb="002B2B2B"/>
              <sz val="10"/>
            </rPr>
            <t>K</t>
          </r>
          <r>
            <rPr>
              <rFont val="Calibri"/>
              <i val="1"/>
              <color rgb="002B2B2B"/>
              <sz val="10"/>
              <vertAlign val="subscript"/>
            </rPr>
            <t>r</t>
          </r>
        </is>
      </c>
      <c r="E113" s="45">
        <f>IF(inputs_ok,MIN(1,MAX(0,(1+omega_cc-nrel_cc)/(1+omega_cc-0.4))),NA())</f>
        <v/>
      </c>
      <c r="F113" s="23" t="n"/>
      <c r="G113" s="23" t="n"/>
    </row>
    <row r="114" ht="17" customHeight="1">
      <c r="B114" s="26" t="inlineStr">
        <is>
          <t>(5.37)</t>
        </is>
      </c>
      <c r="C114" s="24" t="inlineStr">
        <is>
          <t>β = 0.35 + fck/200 − λ/150</t>
        </is>
      </c>
      <c r="D114" s="27" t="inlineStr">
        <is>
          <r>
            <rPr>
              <rFont val="Calibri"/>
              <i val="1"/>
              <color rgb="002B2B2B"/>
              <sz val="10"/>
            </rPr>
            <t>β</t>
          </r>
        </is>
      </c>
      <c r="E114" s="45">
        <f>IF(inputs_ok,0.35+f_ck/200-lam_cc/150,NA())</f>
        <v/>
      </c>
      <c r="F114" s="23" t="n"/>
      <c r="G114" s="23" t="n"/>
    </row>
    <row r="115" ht="17" customHeight="1">
      <c r="B115" s="26" t="inlineStr">
        <is>
          <t>(5.37)</t>
        </is>
      </c>
      <c r="C115" s="24" t="inlineStr">
        <is>
          <t>Kφ = 1 + β φef ≥ 1</t>
        </is>
      </c>
      <c r="D115" s="27" t="inlineStr">
        <is>
          <r>
            <rPr>
              <rFont val="Calibri"/>
              <i val="1"/>
              <color rgb="002B2B2B"/>
              <sz val="10"/>
            </rPr>
            <t>K</t>
          </r>
          <r>
            <rPr>
              <rFont val="Calibri"/>
              <i val="1"/>
              <color rgb="002B2B2B"/>
              <sz val="10"/>
              <vertAlign val="subscript"/>
            </rPr>
            <t>φ</t>
          </r>
        </is>
      </c>
      <c r="E115" s="45">
        <f>IF(inputs_ok,MAX(1,1+beta_cc*cc_phief),NA())</f>
        <v/>
      </c>
      <c r="F115" s="23" t="n"/>
      <c r="G115" s="23" t="n"/>
    </row>
    <row r="116" ht="17" customHeight="1">
      <c r="B116" s="26" t="inlineStr">
        <is>
          <t>5.8.8.3(2)</t>
        </is>
      </c>
      <c r="C116" s="24" t="inlineStr">
        <is>
          <t>Effective depth  D/2 + is</t>
        </is>
      </c>
      <c r="D116" s="27" t="inlineStr">
        <is>
          <r>
            <rPr>
              <rFont val="Calibri"/>
              <i val="1"/>
              <color rgb="002B2B2B"/>
              <sz val="10"/>
            </rPr>
            <t>d</t>
          </r>
        </is>
      </c>
      <c r="E116" s="44">
        <f>IF(inputs_ok,cc_D/2+is_cc,NA())</f>
        <v/>
      </c>
      <c r="F116" s="28" t="inlineStr">
        <is>
          <t>mm</t>
        </is>
      </c>
      <c r="G116" s="23" t="n"/>
    </row>
    <row r="117" ht="17" customHeight="1">
      <c r="B117" s="26" t="inlineStr">
        <is>
          <t>(5.34)</t>
        </is>
      </c>
      <c r="C117" s="24" t="inlineStr">
        <is>
          <t>Curvature  Kr Kφ εyd / (0.45 d)</t>
        </is>
      </c>
      <c r="D117" s="27" t="inlineStr">
        <is>
          <r>
            <rPr>
              <rFont val="Calibri"/>
              <i val="1"/>
              <color rgb="002B2B2B"/>
              <sz val="10"/>
            </rPr>
            <t>1/r</t>
          </r>
        </is>
      </c>
      <c r="E117" s="47">
        <f>IF(inputs_ok,Kr_cc*Kphi_cc*fyd_cc/Es_cc/(0.45*d_cc),NA())</f>
        <v/>
      </c>
      <c r="F117" s="28" t="inlineStr">
        <is>
          <t>1/mm</t>
        </is>
      </c>
      <c r="G117" s="23" t="n"/>
    </row>
    <row r="118" ht="17" customHeight="1">
      <c r="B118" s="26" t="inlineStr">
        <is>
          <t>(5.33)</t>
        </is>
      </c>
      <c r="C118" s="24" t="inlineStr">
        <is>
          <t>Second order eccentricity  (1/r) l0² / c</t>
        </is>
      </c>
      <c r="D118" s="27" t="inlineStr">
        <is>
          <r>
            <rPr>
              <rFont val="Calibri"/>
              <i val="1"/>
              <color rgb="002B2B2B"/>
              <sz val="10"/>
            </rPr>
            <t>e</t>
          </r>
          <r>
            <rPr>
              <rFont val="Calibri"/>
              <i val="1"/>
              <color rgb="002B2B2B"/>
              <sz val="10"/>
              <vertAlign val="subscript"/>
            </rPr>
            <t>2</t>
          </r>
        </is>
      </c>
      <c r="E118" s="44">
        <f>IF(inputs_ok,curv_cc*cc_l0^2/cc_ccurv,NA())</f>
        <v/>
      </c>
      <c r="F118" s="28" t="inlineStr">
        <is>
          <t>mm</t>
        </is>
      </c>
      <c r="G118" s="23" t="n"/>
    </row>
    <row r="119" ht="17" customHeight="1">
      <c r="B119" s="26" t="inlineStr">
        <is>
          <t>(5.31)</t>
        </is>
      </c>
      <c r="C119" s="24" t="inlineStr">
        <is>
          <t>Second order moment  NEd e2  (slender columns only)</t>
        </is>
      </c>
      <c r="D119" s="27" t="inlineStr">
        <is>
          <r>
            <rPr>
              <rFont val="Calibri"/>
              <i val="1"/>
              <color rgb="002B2B2B"/>
              <sz val="10"/>
            </rPr>
            <t>M</t>
          </r>
          <r>
            <rPr>
              <rFont val="Calibri"/>
              <i val="1"/>
              <color rgb="002B2B2B"/>
              <sz val="10"/>
              <vertAlign val="subscript"/>
            </rPr>
            <t>2</t>
          </r>
        </is>
      </c>
      <c r="E119" s="44">
        <f>IF(inputs_ok,IF(slender_cc,cc_NEd*e2_cc/1000,0),NA())</f>
        <v/>
      </c>
      <c r="F119" s="28" t="inlineStr">
        <is>
          <t>kNm</t>
        </is>
      </c>
      <c r="G119" s="23" t="n"/>
    </row>
    <row r="120" ht="17" customHeight="1">
      <c r="B120" s="26" t="inlineStr">
        <is>
          <t>(5.32)</t>
        </is>
      </c>
      <c r="C120" s="24" t="inlineStr">
        <is>
          <t>Equivalent first order moment  0.6 M02 + 0.4 M01 ≥ 0.4 M02</t>
        </is>
      </c>
      <c r="D120" s="27" t="inlineStr">
        <is>
          <r>
            <rPr>
              <rFont val="Calibri"/>
              <i val="1"/>
              <color rgb="002B2B2B"/>
              <sz val="10"/>
            </rPr>
            <t>M</t>
          </r>
          <r>
            <rPr>
              <rFont val="Calibri"/>
              <i val="1"/>
              <color rgb="002B2B2B"/>
              <sz val="10"/>
              <vertAlign val="subscript"/>
            </rPr>
            <t>0e</t>
          </r>
        </is>
      </c>
      <c r="E120" s="44">
        <f>IF(inputs_ok,MAX(0.6*M02i_cc+0.4*M01i_cc,0.4*M02i_cc),NA())</f>
        <v/>
      </c>
      <c r="F120" s="28" t="inlineStr">
        <is>
          <t>kNm</t>
        </is>
      </c>
      <c r="G120" s="23" t="n"/>
    </row>
    <row r="121" ht="17" customHeight="1">
      <c r="B121" s="26" t="inlineStr">
        <is>
          <t>5.8.8.2</t>
        </is>
      </c>
      <c r="C121" s="24" t="inlineStr">
        <is>
          <t>Design moment  max(M0e + M2; M02; M01 + M2/2; NEd e0)</t>
        </is>
      </c>
      <c r="D121" s="27" t="inlineStr">
        <is>
          <r>
            <rPr>
              <rFont val="Calibri"/>
              <i val="1"/>
              <color rgb="002B2B2B"/>
              <sz val="10"/>
            </rPr>
            <t>M</t>
          </r>
          <r>
            <rPr>
              <rFont val="Calibri"/>
              <i val="1"/>
              <color rgb="002B2B2B"/>
              <sz val="10"/>
              <vertAlign val="subscript"/>
            </rPr>
            <t>Ed</t>
          </r>
        </is>
      </c>
      <c r="E121" s="48">
        <f>IF(inputs_ok,IF(slender_cc,MAX(M0e_cc+M2_cc,M02i_cc,M01i_cc+0.5*M2_cc,cc_NEd*e0_cc/1000),MAX(M02i_cc,cc_NEd*e0_cc/1000)),NA())</f>
        <v/>
      </c>
      <c r="F121" s="28" t="inlineStr">
        <is>
          <t>kNm</t>
        </is>
      </c>
      <c r="G121" s="23" t="n"/>
    </row>
    <row r="122"/>
    <row r="123" ht="22" customHeight="1">
      <c r="B123" s="20" t="inlineStr">
        <is>
          <t>Calculation  ·  resistance  (see the Interaction sheet)</t>
        </is>
      </c>
      <c r="C123" s="21" t="n"/>
      <c r="D123" s="21" t="n"/>
      <c r="E123" s="21" t="n"/>
      <c r="F123" s="21" t="n"/>
      <c r="G123" s="21" t="n"/>
    </row>
    <row r="124" ht="17" customHeight="1">
      <c r="B124" s="26" t="inlineStr">
        <is>
          <t>6.1</t>
        </is>
      </c>
      <c r="C124" s="24" t="inlineStr">
        <is>
          <t>Axial resistance in compression  (uniform strain εc2 = 0.002)</t>
        </is>
      </c>
      <c r="D124" s="27" t="inlineStr">
        <is>
          <r>
            <rPr>
              <rFont val="Calibri"/>
              <i val="1"/>
              <color rgb="002B2B2B"/>
              <sz val="10"/>
            </rPr>
            <t>N</t>
          </r>
          <r>
            <rPr>
              <rFont val="Calibri"/>
              <i val="1"/>
              <color rgb="002B2B2B"/>
              <sz val="10"/>
              <vertAlign val="subscript"/>
            </rPr>
            <t>Rd,max</t>
          </r>
        </is>
      </c>
      <c r="E124" s="43">
        <f>IF(inputs_ok,INDEX(nmA_N,nm_rows),NA())</f>
        <v/>
      </c>
      <c r="F124" s="28" t="inlineStr">
        <is>
          <t>kN</t>
        </is>
      </c>
      <c r="G124" s="23" t="n"/>
    </row>
    <row r="125" ht="17" customHeight="1">
      <c r="B125" s="26" t="inlineStr">
        <is>
          <t>6.1</t>
        </is>
      </c>
      <c r="C125" s="24" t="inlineStr">
        <is>
          <t>Axial resistance in tension  −As fyd</t>
        </is>
      </c>
      <c r="D125" s="27" t="inlineStr">
        <is>
          <r>
            <rPr>
              <rFont val="Calibri"/>
              <i val="1"/>
              <color rgb="002B2B2B"/>
              <sz val="10"/>
            </rPr>
            <t>N</t>
          </r>
          <r>
            <rPr>
              <rFont val="Calibri"/>
              <i val="1"/>
              <color rgb="002B2B2B"/>
              <sz val="10"/>
              <vertAlign val="subscript"/>
            </rPr>
            <t>Rd,min</t>
          </r>
        </is>
      </c>
      <c r="E125" s="43">
        <f>IF(inputs_ok,INDEX(nmA_N,1),NA())</f>
        <v/>
      </c>
      <c r="F125" s="28" t="inlineStr">
        <is>
          <t>kN</t>
        </is>
      </c>
      <c r="G125" s="23" t="n"/>
    </row>
    <row r="126" ht="17" customHeight="1">
      <c r="B126" s="23" t="n"/>
      <c r="C126" s="24" t="inlineStr">
        <is>
          <t>Largest moment on the curves</t>
        </is>
      </c>
      <c r="D126" s="27" t="inlineStr">
        <is>
          <r>
            <rPr>
              <rFont val="Calibri"/>
              <i val="1"/>
              <color rgb="002B2B2B"/>
              <sz val="10"/>
            </rPr>
            <t>M</t>
          </r>
          <r>
            <rPr>
              <rFont val="Calibri"/>
              <i val="1"/>
              <color rgb="002B2B2B"/>
              <sz val="10"/>
              <vertAlign val="subscript"/>
            </rPr>
            <t>max</t>
          </r>
        </is>
      </c>
      <c r="E126" s="44">
        <f>IF(inputs_ok,MAX(nmA_M,nmB_M),NA())</f>
        <v/>
      </c>
      <c r="F126" s="28" t="inlineStr">
        <is>
          <t>kNm</t>
        </is>
      </c>
      <c r="G126" s="23" t="n"/>
    </row>
    <row r="127" ht="17" customHeight="1">
      <c r="B127" s="26" t="inlineStr">
        <is>
          <t>6.1</t>
        </is>
      </c>
      <c r="C127" s="24" t="inlineStr">
        <is>
          <t>Moment resistance at NEd, orientation A  (bar on the compression face)</t>
        </is>
      </c>
      <c r="D127" s="27" t="inlineStr">
        <is>
          <r>
            <rPr>
              <rFont val="Calibri"/>
              <i val="1"/>
              <color rgb="002B2B2B"/>
              <sz val="10"/>
            </rPr>
            <t>M</t>
          </r>
          <r>
            <rPr>
              <rFont val="Calibri"/>
              <i val="1"/>
              <color rgb="002B2B2B"/>
              <sz val="10"/>
              <vertAlign val="subscript"/>
            </rPr>
            <t>Rd,A</t>
          </r>
        </is>
      </c>
      <c r="E127" s="44">
        <f>IF(inputs_ok,INDEX(or_R,1),NA())</f>
        <v/>
      </c>
      <c r="F127" s="28" t="inlineStr">
        <is>
          <t>kNm</t>
        </is>
      </c>
      <c r="G127" s="23" t="n"/>
    </row>
    <row r="128" ht="17" customHeight="1">
      <c r="B128" s="26" t="inlineStr">
        <is>
          <t>6.1</t>
        </is>
      </c>
      <c r="C128" s="24" t="inlineStr">
        <is>
          <t>Moment resistance at NEd, orientation B  (turned by π / n)</t>
        </is>
      </c>
      <c r="D128" s="27" t="inlineStr">
        <is>
          <r>
            <rPr>
              <rFont val="Calibri"/>
              <i val="1"/>
              <color rgb="002B2B2B"/>
              <sz val="10"/>
            </rPr>
            <t>M</t>
          </r>
          <r>
            <rPr>
              <rFont val="Calibri"/>
              <i val="1"/>
              <color rgb="002B2B2B"/>
              <sz val="10"/>
              <vertAlign val="subscript"/>
            </rPr>
            <t>Rd,B</t>
          </r>
        </is>
      </c>
      <c r="E128" s="44">
        <f>IF(inputs_ok,INDEX(or_R,5),NA())</f>
        <v/>
      </c>
      <c r="F128" s="28" t="inlineStr">
        <is>
          <t>kNm</t>
        </is>
      </c>
      <c r="G128" s="23" t="n"/>
    </row>
    <row r="129" ht="17" customHeight="1">
      <c r="B129" s="26" t="inlineStr">
        <is>
          <t>6.1</t>
        </is>
      </c>
      <c r="C129" s="24" t="inlineStr">
        <is>
          <t>Least resultant at NEd, turned by ¼, ½, ¾ of π / n and refined  (√(M² + M⊥²))</t>
        </is>
      </c>
      <c r="D129" s="27" t="inlineStr">
        <is>
          <r>
            <rPr>
              <rFont val="Calibri"/>
              <i val="1"/>
              <color rgb="002B2B2B"/>
              <sz val="10"/>
            </rPr>
            <t>M</t>
          </r>
          <r>
            <rPr>
              <rFont val="Calibri"/>
              <i val="1"/>
              <color rgb="002B2B2B"/>
              <sz val="10"/>
              <vertAlign val="subscript"/>
            </rPr>
            <t>Rd,Q</t>
          </r>
        </is>
      </c>
      <c r="E129" s="44">
        <f>IF(inputs_ok,MIN(INDEX(or_R,2),INDEX(or_R,3),INDEX(or_R,4),INDEX(or_R,6)),NA())</f>
        <v/>
      </c>
      <c r="F129" s="28" t="inlineStr">
        <is>
          <t>kNm</t>
        </is>
      </c>
      <c r="G129" s="23" t="n"/>
    </row>
    <row r="130" ht="17" customHeight="1">
      <c r="B130" s="26" t="inlineStr">
        <is>
          <t>6.1</t>
        </is>
      </c>
      <c r="C130" s="24" t="inlineStr">
        <is>
          <t>Sampled strain plane with the least resultant, turned by  (× π / n)</t>
        </is>
      </c>
      <c r="D130" s="23" t="n"/>
      <c r="E130" s="42">
        <f>IF(inputs_ok,gov_turn,NA())</f>
        <v/>
      </c>
      <c r="F130" s="23" t="n"/>
      <c r="G130" s="23" t="n"/>
    </row>
    <row r="131" ht="17" customHeight="1">
      <c r="B131" s="26" t="inlineStr">
        <is>
          <t>6.1</t>
        </is>
      </c>
      <c r="C131" s="24" t="inlineStr">
        <is>
          <t>Neutral axis depth with N = NEd, that strain plane</t>
        </is>
      </c>
      <c r="D131" s="27" t="inlineStr">
        <is>
          <r>
            <rPr>
              <rFont val="Calibri"/>
              <i val="1"/>
              <color rgb="002B2B2B"/>
              <sz val="10"/>
            </rPr>
            <t>x</t>
          </r>
        </is>
      </c>
      <c r="E131" s="43">
        <f>IF(inputs_ok,INDEX(or_x,gov_i),NA())</f>
        <v/>
      </c>
      <c r="F131" s="28" t="inlineStr">
        <is>
          <t>mm</t>
        </is>
      </c>
      <c r="G131" s="23" t="n"/>
    </row>
    <row r="132" ht="17" customHeight="1">
      <c r="B132" s="26" t="inlineStr">
        <is>
          <t>6.1</t>
        </is>
      </c>
      <c r="C132" s="24" t="inlineStr">
        <is>
          <t>Axial force at that depth  (check: = NEd)</t>
        </is>
      </c>
      <c r="D132" s="27" t="inlineStr">
        <is>
          <r>
            <rPr>
              <rFont val="Calibri"/>
              <i val="1"/>
              <color rgb="002B2B2B"/>
              <sz val="10"/>
            </rPr>
            <t>N</t>
          </r>
        </is>
      </c>
      <c r="E132" s="44">
        <f>IF(inputs_ok,INDEX(or_N,gov_i),NA())</f>
        <v/>
      </c>
      <c r="F132" s="28" t="inlineStr">
        <is>
          <t>kN</t>
        </is>
      </c>
      <c r="G132" s="23" t="n"/>
    </row>
    <row r="133" ht="17" customHeight="1">
      <c r="B133" s="26" t="inlineStr">
        <is>
          <t>6.1</t>
        </is>
      </c>
      <c r="C133" s="24" t="inlineStr">
        <is>
          <t>Moment resistance at NEd, every direction  (chords between the points)</t>
        </is>
      </c>
      <c r="D133" s="27" t="inlineStr">
        <is>
          <r>
            <rPr>
              <rFont val="Calibri"/>
              <i val="1"/>
              <color rgb="002B2B2B"/>
              <sz val="10"/>
            </rPr>
            <t>M</t>
          </r>
          <r>
            <rPr>
              <rFont val="Calibri"/>
              <i val="1"/>
              <color rgb="002B2B2B"/>
              <sz val="10"/>
              <vertAlign val="subscript"/>
            </rPr>
            <t>Rd</t>
          </r>
        </is>
      </c>
      <c r="E133" s="48">
        <f>IF(inputs_ok,IF(AND(cc_NEd&lt;=NRdmax_cc,eq_cc),ch_bound,NA()),NA())</f>
        <v/>
      </c>
      <c r="F133" s="28" t="inlineStr">
        <is>
          <t>kNm</t>
        </is>
      </c>
      <c r="G133" s="23" t="n"/>
    </row>
    <row r="134" ht="17" customHeight="1">
      <c r="B134" s="26" t="inlineStr">
        <is>
          <t>6.1</t>
        </is>
      </c>
      <c r="C134" s="24" t="inlineStr">
        <is>
          <t>Axial force  NEd ≤ NRd,max</t>
        </is>
      </c>
      <c r="D134" s="27" t="inlineStr">
        <is>
          <r>
            <rPr>
              <rFont val="Calibri"/>
              <i val="1"/>
              <color rgb="002B2B2B"/>
              <sz val="10"/>
            </rPr>
            <t>N</t>
          </r>
          <r>
            <rPr>
              <rFont val="Calibri"/>
              <i val="1"/>
              <color rgb="002B2B2B"/>
              <sz val="10"/>
              <vertAlign val="subscript"/>
            </rPr>
            <t>Ed</t>
          </r>
        </is>
      </c>
      <c r="E134" s="43">
        <f>IF(inputs_ok,cc_NEd,NA())</f>
        <v/>
      </c>
      <c r="F134" s="28" t="inlineStr">
        <is>
          <t>kN</t>
        </is>
      </c>
      <c r="G134" s="32">
        <f>IF(NOT(inputs_ok),"FAIL",IF(cc_NEd&lt;=NRdmax_cc,"OK","FAIL"))</f>
        <v/>
      </c>
    </row>
    <row r="135" ht="17" customHeight="1">
      <c r="B135" s="26" t="inlineStr">
        <is>
          <t>6.1</t>
        </is>
      </c>
      <c r="C135" s="24" t="inlineStr">
        <is>
          <t>Moment  MEd ≤ MRd</t>
        </is>
      </c>
      <c r="D135" s="27" t="inlineStr">
        <is>
          <r>
            <rPr>
              <rFont val="Calibri"/>
              <i val="1"/>
              <color rgb="002B2B2B"/>
              <sz val="10"/>
            </rPr>
            <t>M</t>
          </r>
          <r>
            <rPr>
              <rFont val="Calibri"/>
              <i val="1"/>
              <color rgb="002B2B2B"/>
              <sz val="10"/>
              <vertAlign val="subscript"/>
            </rPr>
            <t>Ed</t>
          </r>
        </is>
      </c>
      <c r="E135" s="44">
        <f>IF(inputs_ok,MEd_cc,NA())</f>
        <v/>
      </c>
      <c r="F135" s="28" t="inlineStr">
        <is>
          <t>kNm</t>
        </is>
      </c>
      <c r="G135" s="32">
        <f>IF(NOT(inputs_ok),"FAIL",IF(IF(res_cc,MEd_cc&lt;=MRd_cc,FALSE),"OK","FAIL"))</f>
        <v/>
      </c>
    </row>
    <row r="136"/>
    <row r="137" ht="22" customHeight="1">
      <c r="B137" s="20" t="inlineStr">
        <is>
          <t>Calculation  ·  detailing  (9.5)</t>
        </is>
      </c>
      <c r="C137" s="21" t="n"/>
      <c r="D137" s="21" t="n"/>
      <c r="E137" s="21" t="n"/>
      <c r="F137" s="21" t="n"/>
      <c r="G137" s="21" t="n"/>
    </row>
    <row r="138" ht="17" customHeight="1">
      <c r="B138" s="26" t="inlineStr">
        <is>
          <t>(9.12N)</t>
        </is>
      </c>
      <c r="C138" s="24" t="inlineStr">
        <is>
          <t>Minimum reinforcement  max(0.10 NEd / fyd; 0.002 Ac)</t>
        </is>
      </c>
      <c r="D138" s="27" t="inlineStr">
        <is>
          <r>
            <rPr>
              <rFont val="Calibri"/>
              <i val="1"/>
              <color rgb="002B2B2B"/>
              <sz val="10"/>
            </rPr>
            <t>A</t>
          </r>
          <r>
            <rPr>
              <rFont val="Calibri"/>
              <i val="1"/>
              <color rgb="002B2B2B"/>
              <sz val="10"/>
              <vertAlign val="subscript"/>
            </rPr>
            <t>s,min</t>
          </r>
        </is>
      </c>
      <c r="E138" s="43">
        <f>IF(inputs_ok,MAX(0.1*cc_NEd*1000/fyd_cc,0.002*Ac_cc),NA())</f>
        <v/>
      </c>
      <c r="F138" s="28" t="inlineStr">
        <is>
          <t>mm²</t>
        </is>
      </c>
      <c r="G138" s="23" t="n"/>
    </row>
    <row r="139" ht="17" customHeight="1">
      <c r="B139" s="26" t="inlineStr">
        <is>
          <t>9.5.2(3)</t>
        </is>
      </c>
      <c r="C139" s="24" t="inlineStr">
        <is>
          <t>Maximum reinforcement  0.04 Ac  (outside laps)</t>
        </is>
      </c>
      <c r="D139" s="27" t="inlineStr">
        <is>
          <r>
            <rPr>
              <rFont val="Calibri"/>
              <i val="1"/>
              <color rgb="002B2B2B"/>
              <sz val="10"/>
            </rPr>
            <t>A</t>
          </r>
          <r>
            <rPr>
              <rFont val="Calibri"/>
              <i val="1"/>
              <color rgb="002B2B2B"/>
              <sz val="10"/>
              <vertAlign val="subscript"/>
            </rPr>
            <t>s,max</t>
          </r>
        </is>
      </c>
      <c r="E139" s="43">
        <f>IF(inputs_ok,0.04*Ac_cc,NA())</f>
        <v/>
      </c>
      <c r="F139" s="28" t="inlineStr">
        <is>
          <t>mm²</t>
        </is>
      </c>
      <c r="G139" s="23" t="n"/>
    </row>
    <row r="140" ht="17" customHeight="1">
      <c r="B140" s="26" t="inlineStr">
        <is>
          <t>8.2(2)</t>
        </is>
      </c>
      <c r="C140" s="24" t="inlineStr">
        <is>
          <t>Minimum clear gap  max(φ; dg + 5; 20)</t>
        </is>
      </c>
      <c r="D140" s="27" t="inlineStr">
        <is>
          <r>
            <rPr>
              <rFont val="Calibri"/>
              <i val="1"/>
              <color rgb="002B2B2B"/>
              <sz val="10"/>
            </rPr>
            <t>a</t>
          </r>
          <r>
            <rPr>
              <rFont val="Calibri"/>
              <i val="1"/>
              <color rgb="002B2B2B"/>
              <sz val="10"/>
              <vertAlign val="subscript"/>
            </rPr>
            <t>min</t>
          </r>
        </is>
      </c>
      <c r="E140" s="43">
        <f>IF(inputs_ok,MAX(cc_phi,cc_dg+5,20),NA())</f>
        <v/>
      </c>
      <c r="F140" s="28" t="inlineStr">
        <is>
          <t>mm</t>
        </is>
      </c>
      <c r="G140" s="23" t="n"/>
    </row>
    <row r="141" ht="17" customHeight="1">
      <c r="B141" s="23" t="n"/>
      <c r="C141" s="24" t="inlineStr">
        <is>
          <t>Clear gap between bars  2 rs sin(π / n) − φ</t>
        </is>
      </c>
      <c r="D141" s="27" t="inlineStr">
        <is>
          <r>
            <rPr>
              <rFont val="Calibri"/>
              <i val="1"/>
              <color rgb="002B2B2B"/>
              <sz val="10"/>
            </rPr>
            <t>a</t>
          </r>
        </is>
      </c>
      <c r="E141" s="43">
        <f>IF(inputs_ok,2*rs_cc*SIN(PI()/cc_nb)-cc_phi,NA())</f>
        <v/>
      </c>
      <c r="F141" s="28" t="inlineStr">
        <is>
          <t>mm</t>
        </is>
      </c>
      <c r="G141" s="23" t="n"/>
    </row>
    <row r="142" ht="17" customHeight="1">
      <c r="B142" s="26" t="inlineStr">
        <is>
          <t>9.5.3(1)</t>
        </is>
      </c>
      <c r="C142" s="24" t="inlineStr">
        <is>
          <t>Minimum link diameter  max(6; φ / 4)</t>
        </is>
      </c>
      <c r="D142" s="27" t="inlineStr">
        <is>
          <r>
            <rPr>
              <rFont val="Calibri"/>
              <i val="1"/>
              <color rgb="002B2B2B"/>
              <sz val="10"/>
            </rPr>
            <t>φ</t>
          </r>
          <r>
            <rPr>
              <rFont val="Calibri"/>
              <i val="1"/>
              <color rgb="002B2B2B"/>
              <sz val="10"/>
              <vertAlign val="subscript"/>
            </rPr>
            <t>w,min</t>
          </r>
        </is>
      </c>
      <c r="E142" s="44">
        <f>IF(inputs_ok,MAX(6,cc_phi/4),NA())</f>
        <v/>
      </c>
      <c r="F142" s="28" t="inlineStr">
        <is>
          <t>mm</t>
        </is>
      </c>
      <c r="G142" s="23" t="n"/>
    </row>
    <row r="143" ht="17" customHeight="1">
      <c r="B143" s="26" t="inlineStr">
        <is>
          <t>9.5.3(3)</t>
        </is>
      </c>
      <c r="C143" s="24" t="inlineStr">
        <is>
          <t>Maximum link spacing  min(20 φ; D; 400)</t>
        </is>
      </c>
      <c r="D143" s="27" t="inlineStr">
        <is>
          <r>
            <rPr>
              <rFont val="Calibri"/>
              <i val="1"/>
              <color rgb="002B2B2B"/>
              <sz val="10"/>
            </rPr>
            <t>s</t>
          </r>
          <r>
            <rPr>
              <rFont val="Calibri"/>
              <i val="1"/>
              <color rgb="002B2B2B"/>
              <sz val="10"/>
              <vertAlign val="subscript"/>
            </rPr>
            <t>cl,tmax</t>
          </r>
        </is>
      </c>
      <c r="E143" s="43">
        <f>IF(inputs_ok,MIN(20*cc_phi,cc_D,400),NA())</f>
        <v/>
      </c>
      <c r="F143" s="28" t="inlineStr">
        <is>
          <t>mm</t>
        </is>
      </c>
      <c r="G143" s="23" t="n"/>
    </row>
    <row r="144" ht="17" customHeight="1">
      <c r="B144" s="26" t="inlineStr">
        <is>
          <t>(9.12N)</t>
        </is>
      </c>
      <c r="C144" s="24" t="inlineStr">
        <is>
          <t>Reinforcement  As ≥ As,min</t>
        </is>
      </c>
      <c r="D144" s="27" t="inlineStr">
        <is>
          <r>
            <rPr>
              <rFont val="Calibri"/>
              <i val="1"/>
              <color rgb="002B2B2B"/>
              <sz val="10"/>
            </rPr>
            <t>A</t>
          </r>
          <r>
            <rPr>
              <rFont val="Calibri"/>
              <i val="1"/>
              <color rgb="002B2B2B"/>
              <sz val="10"/>
              <vertAlign val="subscript"/>
            </rPr>
            <t>s</t>
          </r>
        </is>
      </c>
      <c r="E144" s="43">
        <f>IF(inputs_ok,As_cc,NA())</f>
        <v/>
      </c>
      <c r="F144" s="28" t="inlineStr">
        <is>
          <t>mm²</t>
        </is>
      </c>
      <c r="G144" s="32">
        <f>IF(NOT(inputs_ok),"FAIL",IF(As_cc&gt;=Asmin_cc,"OK","FAIL"))</f>
        <v/>
      </c>
    </row>
    <row r="145" ht="17" customHeight="1">
      <c r="B145" s="26" t="inlineStr">
        <is>
          <t>9.5.2(3)</t>
        </is>
      </c>
      <c r="C145" s="24" t="inlineStr">
        <is>
          <t>Reinforcement  As ≤ As,max</t>
        </is>
      </c>
      <c r="D145" s="27" t="inlineStr">
        <is>
          <r>
            <rPr>
              <rFont val="Calibri"/>
              <i val="1"/>
              <color rgb="002B2B2B"/>
              <sz val="10"/>
            </rPr>
            <t>A</t>
          </r>
          <r>
            <rPr>
              <rFont val="Calibri"/>
              <i val="1"/>
              <color rgb="002B2B2B"/>
              <sz val="10"/>
              <vertAlign val="subscript"/>
            </rPr>
            <t>s</t>
          </r>
        </is>
      </c>
      <c r="E145" s="43">
        <f>IF(inputs_ok,As_cc,NA())</f>
        <v/>
      </c>
      <c r="F145" s="28" t="inlineStr">
        <is>
          <t>mm²</t>
        </is>
      </c>
      <c r="G145" s="32">
        <f>IF(NOT(inputs_ok),"FAIL",IF(As_cc&lt;=Asmax_cc,"OK","FAIL"))</f>
        <v/>
      </c>
    </row>
    <row r="146" ht="17" customHeight="1">
      <c r="B146" s="26" t="inlineStr">
        <is>
          <t>9.5.2(1)</t>
        </is>
      </c>
      <c r="C146" s="24" t="inlineStr">
        <is>
          <t>Bar diameter  φ ≥ φmin</t>
        </is>
      </c>
      <c r="D146" s="27" t="inlineStr">
        <is>
          <r>
            <rPr>
              <rFont val="Calibri"/>
              <i val="1"/>
              <color rgb="002B2B2B"/>
              <sz val="10"/>
            </rPr>
            <t>φ</t>
          </r>
        </is>
      </c>
      <c r="E146" s="43">
        <f>IF(inputs_ok,cc_phi,NA())</f>
        <v/>
      </c>
      <c r="F146" s="28" t="inlineStr">
        <is>
          <t>mm</t>
        </is>
      </c>
      <c r="G146" s="32">
        <f>IF(NOT(inputs_ok),"FAIL",IF(cc_phi&gt;=phi_min_col,"OK","FAIL"))</f>
        <v/>
      </c>
    </row>
    <row r="147" ht="17" customHeight="1">
      <c r="B147" s="26" t="inlineStr">
        <is>
          <t>8.2(2)</t>
        </is>
      </c>
      <c r="C147" s="24" t="inlineStr">
        <is>
          <t>Clear gap  a ≥ a_min</t>
        </is>
      </c>
      <c r="D147" s="27" t="inlineStr">
        <is>
          <r>
            <rPr>
              <rFont val="Calibri"/>
              <i val="1"/>
              <color rgb="002B2B2B"/>
              <sz val="10"/>
            </rPr>
            <t>a</t>
          </r>
        </is>
      </c>
      <c r="E147" s="43">
        <f>IF(inputs_ok,gap_cc,NA())</f>
        <v/>
      </c>
      <c r="F147" s="28" t="inlineStr">
        <is>
          <t>mm</t>
        </is>
      </c>
      <c r="G147" s="32">
        <f>IF(NOT(inputs_ok),"FAIL",IF(gap_cc&gt;=gapmin_cc,"OK","FAIL"))</f>
        <v/>
      </c>
    </row>
    <row r="148" ht="17" customHeight="1">
      <c r="B148" s="26" t="inlineStr">
        <is>
          <t>9.5.3(1)</t>
        </is>
      </c>
      <c r="C148" s="24" t="inlineStr">
        <is>
          <t>Link diameter  φw ≥ φw,min</t>
        </is>
      </c>
      <c r="D148" s="27" t="inlineStr">
        <is>
          <r>
            <rPr>
              <rFont val="Calibri"/>
              <i val="1"/>
              <color rgb="002B2B2B"/>
              <sz val="10"/>
            </rPr>
            <t>φ</t>
          </r>
          <r>
            <rPr>
              <rFont val="Calibri"/>
              <i val="1"/>
              <color rgb="002B2B2B"/>
              <sz val="10"/>
              <vertAlign val="subscript"/>
            </rPr>
            <t>w</t>
          </r>
        </is>
      </c>
      <c r="E148" s="43">
        <f>IF(inputs_ok,cc_phiw,NA())</f>
        <v/>
      </c>
      <c r="F148" s="28" t="inlineStr">
        <is>
          <t>mm</t>
        </is>
      </c>
      <c r="G148" s="32">
        <f>IF(NOT(inputs_ok),"FAIL",IF(cc_phiw&gt;=phiwmin_cc,"OK","FAIL"))</f>
        <v/>
      </c>
    </row>
    <row r="149" ht="17" customHeight="1">
      <c r="B149" s="26" t="inlineStr">
        <is>
          <t>9.5.3(3)</t>
        </is>
      </c>
      <c r="C149" s="24" t="inlineStr">
        <is>
          <t>Link spacing  s ≤ s_cl,tmax</t>
        </is>
      </c>
      <c r="D149" s="27" t="inlineStr">
        <is>
          <r>
            <rPr>
              <rFont val="Calibri"/>
              <i val="1"/>
              <color rgb="002B2B2B"/>
              <sz val="10"/>
            </rPr>
            <t>s</t>
          </r>
        </is>
      </c>
      <c r="E149" s="43">
        <f>IF(inputs_ok,cc_sw,NA())</f>
        <v/>
      </c>
      <c r="F149" s="28" t="inlineStr">
        <is>
          <t>mm</t>
        </is>
      </c>
      <c r="G149" s="32">
        <f>IF(NOT(inputs_ok),"FAIL",IF(cc_sw&lt;=swmax_cc,"OK","FAIL"))</f>
        <v/>
      </c>
    </row>
    <row r="150" ht="41.5" customHeight="1">
      <c r="B150" s="49" t="inlineStr">
        <is>
          <t>Not in the detailing status: reduce the link spacing by 0.6 within a distance equal to the larger dimension of the column above and below a beam or slab, and at laps of bars over 14 mm, with at least three links in the lap length (9.5.3(4)). Bars inside circular links or a spiral are restrained (9.5.3(6)). φmin: UK NA 12 mm, PL NA.6 6 mm.</t>
        </is>
      </c>
    </row>
    <row r="151"/>
    <row r="152" ht="29" customHeight="1">
      <c r="B152" s="49"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150:G150"/>
    <mergeCell ref="E5:G5"/>
    <mergeCell ref="B152:G152"/>
    <mergeCell ref="D2:G2"/>
    <mergeCell ref="E7:G7"/>
    <mergeCell ref="E6:G6"/>
    <mergeCell ref="C3:G3"/>
  </mergeCells>
  <conditionalFormatting sqref="G9:G153">
    <cfRule type="expression" priority="1" dxfId="0">
      <formula>G9="OK"</formula>
    </cfRule>
    <cfRule type="expression" priority="2" dxfId="1">
      <formula>G9="FAIL"</formula>
    </cfRule>
    <cfRule type="expression" priority="3" dxfId="2">
      <formula>LEFT(G9,1)="!"</formula>
    </cfRule>
  </conditionalFormatting>
  <dataValidations count="18">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Pick a value from the list." type="list" errorStyle="stop">
      <formula1>"6,8,10,12"</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Pick a value from the list." type="list" errorStyle="stop">
      <formula1>"6,8,10,12,16,20,25,32,40"</formula1>
    </dataValidation>
    <dataValidation sqref="E20" showDropDown="0" showInputMessage="0" showErrorMessage="1" allowBlank="0" errorTitle="NA Engineering" error="Pick a value from the list." type="list" errorStyle="stop">
      <formula1>"4,5,6,7,8,9,10,11,12,13,14,15,16,17,18,19,20,21,22,23,24"</formula1>
    </dataValidation>
    <dataValidation sqref="E23" showDropDown="0" showInputMessage="0" showErrorMessage="1" allowBlank="0" errorTitle="NA Engineering" error="Enter a number greater than 0." type="decimal" errorStyle="stop" operator="greaterThan">
      <formula1>0</formula1>
    </dataValidation>
    <dataValidation sqref="E24" showDropDown="0" showInputMessage="0" showErrorMessage="1" allowBlank="0" errorTitle="NA Engineering" error="Enter a number ≥ 0." type="decimal" errorStyle="stop" operator="greaterThanOrEqual">
      <formula1>0</formula1>
    </dataValidation>
    <dataValidation sqref="E25" showDropDown="0" showInputMessage="0" showErrorMessage="1" allowBlank="0" errorTitle="NA Engineering" error="Enter a number ≥ -100000." type="decimal" errorStyle="stop" operator="greaterThanOrEqual">
      <formula1>-100000</formula1>
    </dataValidation>
    <dataValidation sqref="E26" showDropDown="0" showInputMessage="0" showErrorMessage="1" allowBlank="0" errorTitle="NA Engineering" error="Pick a value from the list." type="list" errorStyle="stop">
      <formula1>"Braced,Unbraced"</formula1>
    </dataValidation>
    <dataValidation sqref="E27" showDropDown="0" showInputMessage="0" showErrorMessage="1" allowBlank="0" errorTitle="NA Engineering" error="Enter a number greater than 0." type="decimal" errorStyle="stop" operator="greaterThan">
      <formula1>0</formula1>
    </dataValidation>
    <dataValidation sqref="E28" showDropDown="0" showInputMessage="0" showErrorMessage="1" allowBlank="0" errorTitle="NA Engineering" error="Enter a number greater than 0." type="decimal" errorStyle="stop" operator="greaterThan">
      <formula1>0</formula1>
    </dataValidation>
    <dataValidation sqref="E29" showDropDown="0" showInputMessage="0" showErrorMessage="1" allowBlank="0" errorTitle="NA Engineering" error="Enter a number ≥ 0." type="decimal" errorStyle="stop" operator="greaterThanOrEqual">
      <formula1>0</formula1>
    </dataValidation>
    <dataValidation sqref="E30" showDropDown="0" showInputMessage="0" showErrorMessage="1" allowBlank="0" errorTitle="NA Engineering" error="Pick a value from the list." type="list" errorStyle="stop">
      <formula1>"10,9,8"</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&amp;K8A8A8ANAE-RC-041  v1.0</oddFooter>
    <evenHeader/>
    <evenFooter/>
    <firstHeader/>
    <firstFooter/>
  </headerFooter>
  <rowBreaks count="1" manualBreakCount="1">
    <brk id="53"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EY51"/>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section</t>
        </is>
      </c>
      <c r="G2" t="inlineStr">
        <is>
          <t>link</t>
        </is>
      </c>
      <c r="J2" t="inlineStr">
        <is>
          <t>bar 0</t>
        </is>
      </c>
      <c r="M2" t="inlineStr">
        <is>
          <t>bar 1</t>
        </is>
      </c>
      <c r="P2" t="inlineStr">
        <is>
          <t>bar 2</t>
        </is>
      </c>
      <c r="S2" t="inlineStr">
        <is>
          <t>bar 3</t>
        </is>
      </c>
      <c r="V2" t="inlineStr">
        <is>
          <t>bar 4</t>
        </is>
      </c>
      <c r="Y2" t="inlineStr">
        <is>
          <t>bar 5</t>
        </is>
      </c>
      <c r="AB2" t="inlineStr">
        <is>
          <t>bar 6</t>
        </is>
      </c>
      <c r="AE2" t="inlineStr">
        <is>
          <t>bar 7</t>
        </is>
      </c>
      <c r="AH2" t="inlineStr">
        <is>
          <t>bar 8</t>
        </is>
      </c>
      <c r="AK2" t="inlineStr">
        <is>
          <t>bar 9</t>
        </is>
      </c>
      <c r="AN2" t="inlineStr">
        <is>
          <t>bar 10</t>
        </is>
      </c>
      <c r="AQ2" t="inlineStr">
        <is>
          <t>bar 11</t>
        </is>
      </c>
      <c r="AT2" t="inlineStr">
        <is>
          <t>bar 12</t>
        </is>
      </c>
      <c r="AW2" t="inlineStr">
        <is>
          <t>bar 13</t>
        </is>
      </c>
      <c r="AZ2" t="inlineStr">
        <is>
          <t>bar 14</t>
        </is>
      </c>
      <c r="BC2" t="inlineStr">
        <is>
          <t>bar 15</t>
        </is>
      </c>
      <c r="BF2" t="inlineStr">
        <is>
          <t>bar 16</t>
        </is>
      </c>
      <c r="BI2" t="inlineStr">
        <is>
          <t>bar 17</t>
        </is>
      </c>
      <c r="BL2" t="inlineStr">
        <is>
          <t>bar 18</t>
        </is>
      </c>
      <c r="BO2" t="inlineStr">
        <is>
          <t>bar 19</t>
        </is>
      </c>
      <c r="BR2" t="inlineStr">
        <is>
          <t>bar 20</t>
        </is>
      </c>
      <c r="BU2" t="inlineStr">
        <is>
          <t>bar 21</t>
        </is>
      </c>
      <c r="BX2" t="inlineStr">
        <is>
          <t>bar 22</t>
        </is>
      </c>
      <c r="CA2" t="inlineStr">
        <is>
          <t>bar 23</t>
        </is>
      </c>
      <c r="CD2" t="inlineStr">
        <is>
          <t>neutral axis</t>
        </is>
      </c>
      <c r="CG2" t="inlineStr">
        <is>
          <t>dim</t>
        </is>
      </c>
      <c r="CJ2">
        <f>IF(inputs_ok,"D = "&amp;TEXT(cc_D,"0"),"")</f>
        <v/>
      </c>
      <c r="CM2" t="inlineStr">
        <is>
          <t>dim</t>
        </is>
      </c>
      <c r="CP2">
        <f>IF(inputs_ok,"x = "&amp;TEXT(x_cc,"0"),"")</f>
        <v/>
      </c>
      <c r="CS2">
        <f>IF(inputs_ok,cc_nb&amp;" × φ"&amp;cc_phi,"")</f>
        <v/>
      </c>
      <c r="CV2">
        <f>IF(inputs_ok,"links φ"&amp;cc_phiw&amp;" @ "&amp;cc_sw,"")</f>
        <v/>
      </c>
      <c r="CY2" t="inlineStr">
        <is>
          <t>compression face</t>
        </is>
      </c>
      <c r="DB2" t="inlineStr">
        <is>
          <t>frame</t>
        </is>
      </c>
      <c r="DE2">
        <f>IF(inputs_ok,"","check the inputs")</f>
        <v/>
      </c>
      <c r="DH2" t="inlineStr">
        <is>
          <t>M axis</t>
        </is>
      </c>
      <c r="DK2" t="inlineStr">
        <is>
          <t>N axis</t>
        </is>
      </c>
      <c r="DN2" t="inlineStr">
        <is>
          <t>curve A</t>
        </is>
      </c>
      <c r="DQ2" t="inlineStr">
        <is>
          <t>curve B</t>
        </is>
      </c>
      <c r="DT2" t="inlineStr">
        <is>
          <t>NEd line</t>
        </is>
      </c>
      <c r="DW2" t="inlineStr">
        <is>
          <t>resistance</t>
        </is>
      </c>
      <c r="DZ2" t="inlineStr">
        <is>
          <t>design</t>
        </is>
      </c>
      <c r="EC2" t="inlineStr">
        <is>
          <t>N (kN)</t>
        </is>
      </c>
      <c r="EF2" t="inlineStr">
        <is>
          <t>M (kNm)</t>
        </is>
      </c>
      <c r="EI2">
        <f>IF(inputs_ok,"NRd,max "&amp;TEXT(NRdmax_cc,"0"),"")</f>
        <v/>
      </c>
      <c r="EL2">
        <f>IF(inputs_ok,"NRd,min "&amp;TEXT(NRdmin_cc,"0"),"")</f>
        <v/>
      </c>
      <c r="EO2">
        <f>IF(inputs_ok,"NEd "&amp;TEXT(cc_NEd,"0"),"")</f>
        <v/>
      </c>
      <c r="ER2">
        <f>IF(inputs_ok,"MEd "&amp;TEXT(MEd_cc,"0"),"")</f>
        <v/>
      </c>
      <c r="EU2">
        <f>IF(inputs_ok,IF(res_cc,"MRd "&amp;TEXT(MRd_cc,"0"),""),"")</f>
        <v/>
      </c>
      <c r="EX2" t="inlineStr">
        <is>
          <t>frame</t>
        </is>
      </c>
    </row>
    <row r="3">
      <c r="A3">
        <f>0</f>
        <v/>
      </c>
      <c r="B3">
        <f>0</f>
        <v/>
      </c>
      <c r="D3">
        <f>IF(inputs_ok,(0)+((cc_D/2))*1.000000,NA())</f>
        <v/>
      </c>
      <c r="E3">
        <f>(0)+((cc_D/2))*0.000000</f>
        <v/>
      </c>
      <c r="G3">
        <f>IF(inputs_ok,(0)+(((cc_D/2)-cc_c-cc_phiw/2))*1.000000,NA())</f>
        <v/>
      </c>
      <c r="H3">
        <f>(0)+(((cc_D/2)-cc_c-cc_phiw/2))*0.000000</f>
        <v/>
      </c>
      <c r="J3">
        <f>IF(inputs_ok,IF(0&lt;cc_nb,(rs_cc*SIN((2*PI()*0/cc_nb+gov_turn*PI()/cc_nb)))+(cc_phi/2)*1.000000,NA()),NA())</f>
        <v/>
      </c>
      <c r="K3">
        <f>IF(0&lt;cc_nb,(rs_cc*COS((2*PI()*0/cc_nb+gov_turn*PI()/cc_nb)))+(cc_phi/2)*0.000000,NA())</f>
        <v/>
      </c>
      <c r="M3">
        <f>IF(inputs_ok,IF(1&lt;cc_nb,(rs_cc*SIN((2*PI()*1/cc_nb+gov_turn*PI()/cc_nb)))+(cc_phi/2)*1.000000,NA()),NA())</f>
        <v/>
      </c>
      <c r="N3">
        <f>IF(1&lt;cc_nb,(rs_cc*COS((2*PI()*1/cc_nb+gov_turn*PI()/cc_nb)))+(cc_phi/2)*0.000000,NA())</f>
        <v/>
      </c>
      <c r="P3">
        <f>IF(inputs_ok,IF(2&lt;cc_nb,(rs_cc*SIN((2*PI()*2/cc_nb+gov_turn*PI()/cc_nb)))+(cc_phi/2)*1.000000,NA()),NA())</f>
        <v/>
      </c>
      <c r="Q3">
        <f>IF(2&lt;cc_nb,(rs_cc*COS((2*PI()*2/cc_nb+gov_turn*PI()/cc_nb)))+(cc_phi/2)*0.000000,NA())</f>
        <v/>
      </c>
      <c r="S3">
        <f>IF(inputs_ok,IF(3&lt;cc_nb,(rs_cc*SIN((2*PI()*3/cc_nb+gov_turn*PI()/cc_nb)))+(cc_phi/2)*1.000000,NA()),NA())</f>
        <v/>
      </c>
      <c r="T3">
        <f>IF(3&lt;cc_nb,(rs_cc*COS((2*PI()*3/cc_nb+gov_turn*PI()/cc_nb)))+(cc_phi/2)*0.000000,NA())</f>
        <v/>
      </c>
      <c r="V3">
        <f>IF(inputs_ok,IF(4&lt;cc_nb,(rs_cc*SIN((2*PI()*4/cc_nb+gov_turn*PI()/cc_nb)))+(cc_phi/2)*1.000000,NA()),NA())</f>
        <v/>
      </c>
      <c r="W3">
        <f>IF(4&lt;cc_nb,(rs_cc*COS((2*PI()*4/cc_nb+gov_turn*PI()/cc_nb)))+(cc_phi/2)*0.000000,NA())</f>
        <v/>
      </c>
      <c r="Y3">
        <f>IF(inputs_ok,IF(5&lt;cc_nb,(rs_cc*SIN((2*PI()*5/cc_nb+gov_turn*PI()/cc_nb)))+(cc_phi/2)*1.000000,NA()),NA())</f>
        <v/>
      </c>
      <c r="Z3">
        <f>IF(5&lt;cc_nb,(rs_cc*COS((2*PI()*5/cc_nb+gov_turn*PI()/cc_nb)))+(cc_phi/2)*0.000000,NA())</f>
        <v/>
      </c>
      <c r="AB3">
        <f>IF(inputs_ok,IF(6&lt;cc_nb,(rs_cc*SIN((2*PI()*6/cc_nb+gov_turn*PI()/cc_nb)))+(cc_phi/2)*1.000000,NA()),NA())</f>
        <v/>
      </c>
      <c r="AC3">
        <f>IF(6&lt;cc_nb,(rs_cc*COS((2*PI()*6/cc_nb+gov_turn*PI()/cc_nb)))+(cc_phi/2)*0.000000,NA())</f>
        <v/>
      </c>
      <c r="AE3">
        <f>IF(inputs_ok,IF(7&lt;cc_nb,(rs_cc*SIN((2*PI()*7/cc_nb+gov_turn*PI()/cc_nb)))+(cc_phi/2)*1.000000,NA()),NA())</f>
        <v/>
      </c>
      <c r="AF3">
        <f>IF(7&lt;cc_nb,(rs_cc*COS((2*PI()*7/cc_nb+gov_turn*PI()/cc_nb)))+(cc_phi/2)*0.000000,NA())</f>
        <v/>
      </c>
      <c r="AH3">
        <f>IF(inputs_ok,IF(8&lt;cc_nb,(rs_cc*SIN((2*PI()*8/cc_nb+gov_turn*PI()/cc_nb)))+(cc_phi/2)*1.000000,NA()),NA())</f>
        <v/>
      </c>
      <c r="AI3">
        <f>IF(8&lt;cc_nb,(rs_cc*COS((2*PI()*8/cc_nb+gov_turn*PI()/cc_nb)))+(cc_phi/2)*0.000000,NA())</f>
        <v/>
      </c>
      <c r="AK3">
        <f>IF(inputs_ok,IF(9&lt;cc_nb,(rs_cc*SIN((2*PI()*9/cc_nb+gov_turn*PI()/cc_nb)))+(cc_phi/2)*1.000000,NA()),NA())</f>
        <v/>
      </c>
      <c r="AL3">
        <f>IF(9&lt;cc_nb,(rs_cc*COS((2*PI()*9/cc_nb+gov_turn*PI()/cc_nb)))+(cc_phi/2)*0.000000,NA())</f>
        <v/>
      </c>
      <c r="AN3">
        <f>IF(inputs_ok,IF(10&lt;cc_nb,(rs_cc*SIN((2*PI()*10/cc_nb+gov_turn*PI()/cc_nb)))+(cc_phi/2)*1.000000,NA()),NA())</f>
        <v/>
      </c>
      <c r="AO3">
        <f>IF(10&lt;cc_nb,(rs_cc*COS((2*PI()*10/cc_nb+gov_turn*PI()/cc_nb)))+(cc_phi/2)*0.000000,NA())</f>
        <v/>
      </c>
      <c r="AQ3">
        <f>IF(inputs_ok,IF(11&lt;cc_nb,(rs_cc*SIN((2*PI()*11/cc_nb+gov_turn*PI()/cc_nb)))+(cc_phi/2)*1.000000,NA()),NA())</f>
        <v/>
      </c>
      <c r="AR3">
        <f>IF(11&lt;cc_nb,(rs_cc*COS((2*PI()*11/cc_nb+gov_turn*PI()/cc_nb)))+(cc_phi/2)*0.000000,NA())</f>
        <v/>
      </c>
      <c r="AT3">
        <f>IF(inputs_ok,IF(12&lt;cc_nb,(rs_cc*SIN((2*PI()*12/cc_nb+gov_turn*PI()/cc_nb)))+(cc_phi/2)*1.000000,NA()),NA())</f>
        <v/>
      </c>
      <c r="AU3">
        <f>IF(12&lt;cc_nb,(rs_cc*COS((2*PI()*12/cc_nb+gov_turn*PI()/cc_nb)))+(cc_phi/2)*0.000000,NA())</f>
        <v/>
      </c>
      <c r="AW3">
        <f>IF(inputs_ok,IF(13&lt;cc_nb,(rs_cc*SIN((2*PI()*13/cc_nb+gov_turn*PI()/cc_nb)))+(cc_phi/2)*1.000000,NA()),NA())</f>
        <v/>
      </c>
      <c r="AX3">
        <f>IF(13&lt;cc_nb,(rs_cc*COS((2*PI()*13/cc_nb+gov_turn*PI()/cc_nb)))+(cc_phi/2)*0.000000,NA())</f>
        <v/>
      </c>
      <c r="AZ3">
        <f>IF(inputs_ok,IF(14&lt;cc_nb,(rs_cc*SIN((2*PI()*14/cc_nb+gov_turn*PI()/cc_nb)))+(cc_phi/2)*1.000000,NA()),NA())</f>
        <v/>
      </c>
      <c r="BA3">
        <f>IF(14&lt;cc_nb,(rs_cc*COS((2*PI()*14/cc_nb+gov_turn*PI()/cc_nb)))+(cc_phi/2)*0.000000,NA())</f>
        <v/>
      </c>
      <c r="BC3">
        <f>IF(inputs_ok,IF(15&lt;cc_nb,(rs_cc*SIN((2*PI()*15/cc_nb+gov_turn*PI()/cc_nb)))+(cc_phi/2)*1.000000,NA()),NA())</f>
        <v/>
      </c>
      <c r="BD3">
        <f>IF(15&lt;cc_nb,(rs_cc*COS((2*PI()*15/cc_nb+gov_turn*PI()/cc_nb)))+(cc_phi/2)*0.000000,NA())</f>
        <v/>
      </c>
      <c r="BF3">
        <f>IF(inputs_ok,IF(16&lt;cc_nb,(rs_cc*SIN((2*PI()*16/cc_nb+gov_turn*PI()/cc_nb)))+(cc_phi/2)*1.000000,NA()),NA())</f>
        <v/>
      </c>
      <c r="BG3">
        <f>IF(16&lt;cc_nb,(rs_cc*COS((2*PI()*16/cc_nb+gov_turn*PI()/cc_nb)))+(cc_phi/2)*0.000000,NA())</f>
        <v/>
      </c>
      <c r="BI3">
        <f>IF(inputs_ok,IF(17&lt;cc_nb,(rs_cc*SIN((2*PI()*17/cc_nb+gov_turn*PI()/cc_nb)))+(cc_phi/2)*1.000000,NA()),NA())</f>
        <v/>
      </c>
      <c r="BJ3">
        <f>IF(17&lt;cc_nb,(rs_cc*COS((2*PI()*17/cc_nb+gov_turn*PI()/cc_nb)))+(cc_phi/2)*0.000000,NA())</f>
        <v/>
      </c>
      <c r="BL3">
        <f>IF(inputs_ok,IF(18&lt;cc_nb,(rs_cc*SIN((2*PI()*18/cc_nb+gov_turn*PI()/cc_nb)))+(cc_phi/2)*1.000000,NA()),NA())</f>
        <v/>
      </c>
      <c r="BM3">
        <f>IF(18&lt;cc_nb,(rs_cc*COS((2*PI()*18/cc_nb+gov_turn*PI()/cc_nb)))+(cc_phi/2)*0.000000,NA())</f>
        <v/>
      </c>
      <c r="BO3">
        <f>IF(inputs_ok,IF(19&lt;cc_nb,(rs_cc*SIN((2*PI()*19/cc_nb+gov_turn*PI()/cc_nb)))+(cc_phi/2)*1.000000,NA()),NA())</f>
        <v/>
      </c>
      <c r="BP3">
        <f>IF(19&lt;cc_nb,(rs_cc*COS((2*PI()*19/cc_nb+gov_turn*PI()/cc_nb)))+(cc_phi/2)*0.000000,NA())</f>
        <v/>
      </c>
      <c r="BR3">
        <f>IF(inputs_ok,IF(20&lt;cc_nb,(rs_cc*SIN((2*PI()*20/cc_nb+gov_turn*PI()/cc_nb)))+(cc_phi/2)*1.000000,NA()),NA())</f>
        <v/>
      </c>
      <c r="BS3">
        <f>IF(20&lt;cc_nb,(rs_cc*COS((2*PI()*20/cc_nb+gov_turn*PI()/cc_nb)))+(cc_phi/2)*0.000000,NA())</f>
        <v/>
      </c>
      <c r="BU3">
        <f>IF(inputs_ok,IF(21&lt;cc_nb,(rs_cc*SIN((2*PI()*21/cc_nb+gov_turn*PI()/cc_nb)))+(cc_phi/2)*1.000000,NA()),NA())</f>
        <v/>
      </c>
      <c r="BV3">
        <f>IF(21&lt;cc_nb,(rs_cc*COS((2*PI()*21/cc_nb+gov_turn*PI()/cc_nb)))+(cc_phi/2)*0.000000,NA())</f>
        <v/>
      </c>
      <c r="BX3">
        <f>IF(inputs_ok,IF(22&lt;cc_nb,(rs_cc*SIN((2*PI()*22/cc_nb+gov_turn*PI()/cc_nb)))+(cc_phi/2)*1.000000,NA()),NA())</f>
        <v/>
      </c>
      <c r="BY3">
        <f>IF(22&lt;cc_nb,(rs_cc*COS((2*PI()*22/cc_nb+gov_turn*PI()/cc_nb)))+(cc_phi/2)*0.000000,NA())</f>
        <v/>
      </c>
      <c r="CA3">
        <f>IF(inputs_ok,IF(23&lt;cc_nb,(rs_cc*SIN((2*PI()*23/cc_nb+gov_turn*PI()/cc_nb)))+(cc_phi/2)*1.000000,NA()),NA())</f>
        <v/>
      </c>
      <c r="CB3">
        <f>IF(23&lt;cc_nb,(rs_cc*COS((2*PI()*23/cc_nb+gov_turn*PI()/cc_nb)))+(cc_phi/2)*0.000000,NA())</f>
        <v/>
      </c>
      <c r="CD3">
        <f>IF(inputs_ok,IF(AND(res_cc,x_cc&lt;cc_D),-1.08*(cc_D/2),NA()),NA())</f>
        <v/>
      </c>
      <c r="CE3">
        <f>IF(AND(res_cc,x_cc&lt;cc_D),(cc_D/2)-x_cc,NA())</f>
        <v/>
      </c>
      <c r="CG3">
        <f>IF(inputs_ok,IF(TRUE,-(cc_D/2),NA()),NA())</f>
        <v/>
      </c>
      <c r="CH3">
        <f>IF(TRUE,-(cc_D/2)-0.16*(cc_D/2),NA())</f>
        <v/>
      </c>
      <c r="CJ3">
        <f>IF(inputs_ok,IF(TRUE,((-(cc_D/2))+((cc_D/2)))/2,NA()),NA())</f>
        <v/>
      </c>
      <c r="CK3">
        <f>IF(TRUE,((-(cc_D/2)-0.16*(cc_D/2))+(-(cc_D/2)-0.16*(cc_D/2)))/2,NA())</f>
        <v/>
      </c>
      <c r="CM3">
        <f>IF(inputs_ok,IF(AND(res_cc,x_cc&lt;cc_D),(cc_D/2)+0.16*(cc_D/2),NA()),NA())</f>
        <v/>
      </c>
      <c r="CN3">
        <f>IF(AND(res_cc,x_cc&lt;cc_D),(cc_D/2)-x_cc,NA())</f>
        <v/>
      </c>
      <c r="CP3">
        <f>IF(inputs_ok,IF(AND(res_cc,x_cc&lt;cc_D),(((cc_D/2)+0.16*(cc_D/2))+((cc_D/2)+0.16*(cc_D/2)))/2,NA()),NA())</f>
        <v/>
      </c>
      <c r="CQ3">
        <f>IF(AND(res_cc,x_cc&lt;cc_D),(((cc_D/2)-x_cc)+((cc_D/2)))/2,NA())</f>
        <v/>
      </c>
      <c r="CS3">
        <f>IF(inputs_ok,(cc_D/2)+2.6*0.16*(cc_D/2),NA())</f>
        <v/>
      </c>
      <c r="CT3">
        <f>-0.35*(cc_D/2)</f>
        <v/>
      </c>
      <c r="CV3">
        <f>IF(inputs_ok,(cc_D/2)+2.6*0.16*(cc_D/2),NA())</f>
        <v/>
      </c>
      <c r="CW3">
        <f>-0.6*(cc_D/2)</f>
        <v/>
      </c>
      <c r="CY3">
        <f>IF(inputs_ok,0,NA())</f>
        <v/>
      </c>
      <c r="CZ3">
        <f>(cc_D/2)+0.5*0.16*(cc_D/2)</f>
        <v/>
      </c>
      <c r="DB3">
        <f>((-(cc_D/2)-2*0.16*(cc_D/2))+((cc_D/2)+9*0.16*(cc_D/2)))/2-MAX(((cc_D/2)+1.5*0.16*(cc_D/2))-(-(cc_D/2)-2.2*0.16*(cc_D/2)),(((cc_D/2)+9*0.16*(cc_D/2))-(-(cc_D/2)-2*0.16*(cc_D/2)))/1.55)*0.58*1.55</f>
        <v/>
      </c>
      <c r="DC3">
        <f>((-(cc_D/2)-2.2*0.16*(cc_D/2))+((cc_D/2)+1.5*0.16*(cc_D/2)))/2-MAX(((cc_D/2)+1.5*0.16*(cc_D/2))-(-(cc_D/2)-2.2*0.16*(cc_D/2)),(((cc_D/2)+9*0.16*(cc_D/2))-(-(cc_D/2)-2*0.16*(cc_D/2)))/1.55)*0.58</f>
        <v/>
      </c>
      <c r="DE3">
        <f>0</f>
        <v/>
      </c>
      <c r="DF3">
        <f>0</f>
        <v/>
      </c>
      <c r="DH3">
        <f>IF(inputs_ok,-0.05,NA())</f>
        <v/>
      </c>
      <c r="DI3">
        <f>0</f>
        <v/>
      </c>
      <c r="DK3">
        <f>IF(inputs_ok,0,NA())</f>
        <v/>
      </c>
      <c r="DL3">
        <f>NRdmin_cc/NRdmax_cc-0.06</f>
        <v/>
      </c>
      <c r="DN3">
        <f>IF(inputs_ok,INDEX(nmA_M,1)*1.5/Mpk_cc,NA())</f>
        <v/>
      </c>
      <c r="DO3">
        <f>INDEX(nmA_N,1)/NRdmax_cc</f>
        <v/>
      </c>
      <c r="DQ3">
        <f>IF(inputs_ok,INDEX(nmB_M,1)*1.5/Mpk_cc,NA())</f>
        <v/>
      </c>
      <c r="DR3">
        <f>INDEX(nmB_N,1)/NRdmax_cc</f>
        <v/>
      </c>
      <c r="DT3">
        <f>IF(inputs_ok,IF(res_cc,0,NA()),NA())</f>
        <v/>
      </c>
      <c r="DU3">
        <f>IF(res_cc,cc_NEd/NRdmax_cc,NA())</f>
        <v/>
      </c>
      <c r="DW3">
        <f>IF(inputs_ok,IF(res_cc,MRd_cc*1.5/Mpk_cc,NA()),NA())</f>
        <v/>
      </c>
      <c r="DX3">
        <f>IF(res_cc,cc_NEd/NRdmax_cc,NA())</f>
        <v/>
      </c>
      <c r="DZ3">
        <f>IF(inputs_ok,MEd_cc*1.5/Mpk_cc,NA())</f>
        <v/>
      </c>
      <c r="EA3">
        <f>cc_NEd/NRdmax_cc</f>
        <v/>
      </c>
      <c r="EC3">
        <f>IF(inputs_ok,0,NA())</f>
        <v/>
      </c>
      <c r="ED3">
        <f>1.1</f>
        <v/>
      </c>
      <c r="EF3">
        <f>IF(inputs_ok,1.75,NA())</f>
        <v/>
      </c>
      <c r="EG3">
        <f>0</f>
        <v/>
      </c>
      <c r="EI3">
        <f>IF(inputs_ok,0,NA())</f>
        <v/>
      </c>
      <c r="EJ3">
        <f>1</f>
        <v/>
      </c>
      <c r="EL3">
        <f>IF(inputs_ok,0,NA())</f>
        <v/>
      </c>
      <c r="EM3">
        <f>NRdmin_cc/NRdmax_cc</f>
        <v/>
      </c>
      <c r="EO3">
        <f>IF(inputs_ok,0,NA())</f>
        <v/>
      </c>
      <c r="EP3">
        <f>cc_NEd/NRdmax_cc</f>
        <v/>
      </c>
      <c r="ER3">
        <f>IF(inputs_ok,MEd_cc*1.5/Mpk_cc,NA())</f>
        <v/>
      </c>
      <c r="ES3">
        <f>cc_NEd/NRdmax_cc</f>
        <v/>
      </c>
      <c r="EU3">
        <f>IF(inputs_ok,IF(res_cc,MRd_cc*1.5/Mpk_cc,NA()),NA())</f>
        <v/>
      </c>
      <c r="EV3">
        <f>cc_NEd/NRdmax_cc</f>
        <v/>
      </c>
      <c r="EX3">
        <f>((-0.5)+(2.0))/2-MAX((1.18)-(NRdmin_cc/NRdmax_cc-0.1),((2.0)-(-0.5))/1.55)*0.52*1.55</f>
        <v/>
      </c>
      <c r="EY3">
        <f>((NRdmin_cc/NRdmax_cc-0.1)+(1.18))/2-MAX((1.18)-(NRdmin_cc/NRdmax_cc-0.1),((2.0)-(-0.5))/1.55)*0.52</f>
        <v/>
      </c>
    </row>
    <row r="4">
      <c r="D4">
        <f>IF(inputs_ok,(0)+((cc_D/2))*0.991445,NA())</f>
        <v/>
      </c>
      <c r="E4">
        <f>(0)+((cc_D/2))*0.130526</f>
        <v/>
      </c>
      <c r="G4">
        <f>IF(inputs_ok,(0)+(((cc_D/2)-cc_c-cc_phiw/2))*0.991445,NA())</f>
        <v/>
      </c>
      <c r="H4">
        <f>(0)+(((cc_D/2)-cc_c-cc_phiw/2))*0.130526</f>
        <v/>
      </c>
      <c r="J4">
        <f>IF(inputs_ok,IF(0&lt;cc_nb,(rs_cc*SIN((2*PI()*0/cc_nb+gov_turn*PI()/cc_nb)))+(cc_phi/2)*0.866025,NA()),NA())</f>
        <v/>
      </c>
      <c r="K4">
        <f>IF(0&lt;cc_nb,(rs_cc*COS((2*PI()*0/cc_nb+gov_turn*PI()/cc_nb)))+(cc_phi/2)*0.500000,NA())</f>
        <v/>
      </c>
      <c r="M4">
        <f>IF(inputs_ok,IF(1&lt;cc_nb,(rs_cc*SIN((2*PI()*1/cc_nb+gov_turn*PI()/cc_nb)))+(cc_phi/2)*0.866025,NA()),NA())</f>
        <v/>
      </c>
      <c r="N4">
        <f>IF(1&lt;cc_nb,(rs_cc*COS((2*PI()*1/cc_nb+gov_turn*PI()/cc_nb)))+(cc_phi/2)*0.500000,NA())</f>
        <v/>
      </c>
      <c r="P4">
        <f>IF(inputs_ok,IF(2&lt;cc_nb,(rs_cc*SIN((2*PI()*2/cc_nb+gov_turn*PI()/cc_nb)))+(cc_phi/2)*0.866025,NA()),NA())</f>
        <v/>
      </c>
      <c r="Q4">
        <f>IF(2&lt;cc_nb,(rs_cc*COS((2*PI()*2/cc_nb+gov_turn*PI()/cc_nb)))+(cc_phi/2)*0.500000,NA())</f>
        <v/>
      </c>
      <c r="S4">
        <f>IF(inputs_ok,IF(3&lt;cc_nb,(rs_cc*SIN((2*PI()*3/cc_nb+gov_turn*PI()/cc_nb)))+(cc_phi/2)*0.866025,NA()),NA())</f>
        <v/>
      </c>
      <c r="T4">
        <f>IF(3&lt;cc_nb,(rs_cc*COS((2*PI()*3/cc_nb+gov_turn*PI()/cc_nb)))+(cc_phi/2)*0.500000,NA())</f>
        <v/>
      </c>
      <c r="V4">
        <f>IF(inputs_ok,IF(4&lt;cc_nb,(rs_cc*SIN((2*PI()*4/cc_nb+gov_turn*PI()/cc_nb)))+(cc_phi/2)*0.866025,NA()),NA())</f>
        <v/>
      </c>
      <c r="W4">
        <f>IF(4&lt;cc_nb,(rs_cc*COS((2*PI()*4/cc_nb+gov_turn*PI()/cc_nb)))+(cc_phi/2)*0.500000,NA())</f>
        <v/>
      </c>
      <c r="Y4">
        <f>IF(inputs_ok,IF(5&lt;cc_nb,(rs_cc*SIN((2*PI()*5/cc_nb+gov_turn*PI()/cc_nb)))+(cc_phi/2)*0.866025,NA()),NA())</f>
        <v/>
      </c>
      <c r="Z4">
        <f>IF(5&lt;cc_nb,(rs_cc*COS((2*PI()*5/cc_nb+gov_turn*PI()/cc_nb)))+(cc_phi/2)*0.500000,NA())</f>
        <v/>
      </c>
      <c r="AB4">
        <f>IF(inputs_ok,IF(6&lt;cc_nb,(rs_cc*SIN((2*PI()*6/cc_nb+gov_turn*PI()/cc_nb)))+(cc_phi/2)*0.866025,NA()),NA())</f>
        <v/>
      </c>
      <c r="AC4">
        <f>IF(6&lt;cc_nb,(rs_cc*COS((2*PI()*6/cc_nb+gov_turn*PI()/cc_nb)))+(cc_phi/2)*0.500000,NA())</f>
        <v/>
      </c>
      <c r="AE4">
        <f>IF(inputs_ok,IF(7&lt;cc_nb,(rs_cc*SIN((2*PI()*7/cc_nb+gov_turn*PI()/cc_nb)))+(cc_phi/2)*0.866025,NA()),NA())</f>
        <v/>
      </c>
      <c r="AF4">
        <f>IF(7&lt;cc_nb,(rs_cc*COS((2*PI()*7/cc_nb+gov_turn*PI()/cc_nb)))+(cc_phi/2)*0.500000,NA())</f>
        <v/>
      </c>
      <c r="AH4">
        <f>IF(inputs_ok,IF(8&lt;cc_nb,(rs_cc*SIN((2*PI()*8/cc_nb+gov_turn*PI()/cc_nb)))+(cc_phi/2)*0.866025,NA()),NA())</f>
        <v/>
      </c>
      <c r="AI4">
        <f>IF(8&lt;cc_nb,(rs_cc*COS((2*PI()*8/cc_nb+gov_turn*PI()/cc_nb)))+(cc_phi/2)*0.500000,NA())</f>
        <v/>
      </c>
      <c r="AK4">
        <f>IF(inputs_ok,IF(9&lt;cc_nb,(rs_cc*SIN((2*PI()*9/cc_nb+gov_turn*PI()/cc_nb)))+(cc_phi/2)*0.866025,NA()),NA())</f>
        <v/>
      </c>
      <c r="AL4">
        <f>IF(9&lt;cc_nb,(rs_cc*COS((2*PI()*9/cc_nb+gov_turn*PI()/cc_nb)))+(cc_phi/2)*0.500000,NA())</f>
        <v/>
      </c>
      <c r="AN4">
        <f>IF(inputs_ok,IF(10&lt;cc_nb,(rs_cc*SIN((2*PI()*10/cc_nb+gov_turn*PI()/cc_nb)))+(cc_phi/2)*0.866025,NA()),NA())</f>
        <v/>
      </c>
      <c r="AO4">
        <f>IF(10&lt;cc_nb,(rs_cc*COS((2*PI()*10/cc_nb+gov_turn*PI()/cc_nb)))+(cc_phi/2)*0.500000,NA())</f>
        <v/>
      </c>
      <c r="AQ4">
        <f>IF(inputs_ok,IF(11&lt;cc_nb,(rs_cc*SIN((2*PI()*11/cc_nb+gov_turn*PI()/cc_nb)))+(cc_phi/2)*0.866025,NA()),NA())</f>
        <v/>
      </c>
      <c r="AR4">
        <f>IF(11&lt;cc_nb,(rs_cc*COS((2*PI()*11/cc_nb+gov_turn*PI()/cc_nb)))+(cc_phi/2)*0.500000,NA())</f>
        <v/>
      </c>
      <c r="AT4">
        <f>IF(inputs_ok,IF(12&lt;cc_nb,(rs_cc*SIN((2*PI()*12/cc_nb+gov_turn*PI()/cc_nb)))+(cc_phi/2)*0.866025,NA()),NA())</f>
        <v/>
      </c>
      <c r="AU4">
        <f>IF(12&lt;cc_nb,(rs_cc*COS((2*PI()*12/cc_nb+gov_turn*PI()/cc_nb)))+(cc_phi/2)*0.500000,NA())</f>
        <v/>
      </c>
      <c r="AW4">
        <f>IF(inputs_ok,IF(13&lt;cc_nb,(rs_cc*SIN((2*PI()*13/cc_nb+gov_turn*PI()/cc_nb)))+(cc_phi/2)*0.866025,NA()),NA())</f>
        <v/>
      </c>
      <c r="AX4">
        <f>IF(13&lt;cc_nb,(rs_cc*COS((2*PI()*13/cc_nb+gov_turn*PI()/cc_nb)))+(cc_phi/2)*0.500000,NA())</f>
        <v/>
      </c>
      <c r="AZ4">
        <f>IF(inputs_ok,IF(14&lt;cc_nb,(rs_cc*SIN((2*PI()*14/cc_nb+gov_turn*PI()/cc_nb)))+(cc_phi/2)*0.866025,NA()),NA())</f>
        <v/>
      </c>
      <c r="BA4">
        <f>IF(14&lt;cc_nb,(rs_cc*COS((2*PI()*14/cc_nb+gov_turn*PI()/cc_nb)))+(cc_phi/2)*0.500000,NA())</f>
        <v/>
      </c>
      <c r="BC4">
        <f>IF(inputs_ok,IF(15&lt;cc_nb,(rs_cc*SIN((2*PI()*15/cc_nb+gov_turn*PI()/cc_nb)))+(cc_phi/2)*0.866025,NA()),NA())</f>
        <v/>
      </c>
      <c r="BD4">
        <f>IF(15&lt;cc_nb,(rs_cc*COS((2*PI()*15/cc_nb+gov_turn*PI()/cc_nb)))+(cc_phi/2)*0.500000,NA())</f>
        <v/>
      </c>
      <c r="BF4">
        <f>IF(inputs_ok,IF(16&lt;cc_nb,(rs_cc*SIN((2*PI()*16/cc_nb+gov_turn*PI()/cc_nb)))+(cc_phi/2)*0.866025,NA()),NA())</f>
        <v/>
      </c>
      <c r="BG4">
        <f>IF(16&lt;cc_nb,(rs_cc*COS((2*PI()*16/cc_nb+gov_turn*PI()/cc_nb)))+(cc_phi/2)*0.500000,NA())</f>
        <v/>
      </c>
      <c r="BI4">
        <f>IF(inputs_ok,IF(17&lt;cc_nb,(rs_cc*SIN((2*PI()*17/cc_nb+gov_turn*PI()/cc_nb)))+(cc_phi/2)*0.866025,NA()),NA())</f>
        <v/>
      </c>
      <c r="BJ4">
        <f>IF(17&lt;cc_nb,(rs_cc*COS((2*PI()*17/cc_nb+gov_turn*PI()/cc_nb)))+(cc_phi/2)*0.500000,NA())</f>
        <v/>
      </c>
      <c r="BL4">
        <f>IF(inputs_ok,IF(18&lt;cc_nb,(rs_cc*SIN((2*PI()*18/cc_nb+gov_turn*PI()/cc_nb)))+(cc_phi/2)*0.866025,NA()),NA())</f>
        <v/>
      </c>
      <c r="BM4">
        <f>IF(18&lt;cc_nb,(rs_cc*COS((2*PI()*18/cc_nb+gov_turn*PI()/cc_nb)))+(cc_phi/2)*0.500000,NA())</f>
        <v/>
      </c>
      <c r="BO4">
        <f>IF(inputs_ok,IF(19&lt;cc_nb,(rs_cc*SIN((2*PI()*19/cc_nb+gov_turn*PI()/cc_nb)))+(cc_phi/2)*0.866025,NA()),NA())</f>
        <v/>
      </c>
      <c r="BP4">
        <f>IF(19&lt;cc_nb,(rs_cc*COS((2*PI()*19/cc_nb+gov_turn*PI()/cc_nb)))+(cc_phi/2)*0.500000,NA())</f>
        <v/>
      </c>
      <c r="BR4">
        <f>IF(inputs_ok,IF(20&lt;cc_nb,(rs_cc*SIN((2*PI()*20/cc_nb+gov_turn*PI()/cc_nb)))+(cc_phi/2)*0.866025,NA()),NA())</f>
        <v/>
      </c>
      <c r="BS4">
        <f>IF(20&lt;cc_nb,(rs_cc*COS((2*PI()*20/cc_nb+gov_turn*PI()/cc_nb)))+(cc_phi/2)*0.500000,NA())</f>
        <v/>
      </c>
      <c r="BU4">
        <f>IF(inputs_ok,IF(21&lt;cc_nb,(rs_cc*SIN((2*PI()*21/cc_nb+gov_turn*PI()/cc_nb)))+(cc_phi/2)*0.866025,NA()),NA())</f>
        <v/>
      </c>
      <c r="BV4">
        <f>IF(21&lt;cc_nb,(rs_cc*COS((2*PI()*21/cc_nb+gov_turn*PI()/cc_nb)))+(cc_phi/2)*0.500000,NA())</f>
        <v/>
      </c>
      <c r="BX4">
        <f>IF(inputs_ok,IF(22&lt;cc_nb,(rs_cc*SIN((2*PI()*22/cc_nb+gov_turn*PI()/cc_nb)))+(cc_phi/2)*0.866025,NA()),NA())</f>
        <v/>
      </c>
      <c r="BY4">
        <f>IF(22&lt;cc_nb,(rs_cc*COS((2*PI()*22/cc_nb+gov_turn*PI()/cc_nb)))+(cc_phi/2)*0.500000,NA())</f>
        <v/>
      </c>
      <c r="CA4">
        <f>IF(inputs_ok,IF(23&lt;cc_nb,(rs_cc*SIN((2*PI()*23/cc_nb+gov_turn*PI()/cc_nb)))+(cc_phi/2)*0.866025,NA()),NA())</f>
        <v/>
      </c>
      <c r="CB4">
        <f>IF(23&lt;cc_nb,(rs_cc*COS((2*PI()*23/cc_nb+gov_turn*PI()/cc_nb)))+(cc_phi/2)*0.500000,NA())</f>
        <v/>
      </c>
      <c r="CD4">
        <f>IF(inputs_ok,IF(AND(res_cc,x_cc&lt;cc_D),1.08*(cc_D/2),NA()),NA())</f>
        <v/>
      </c>
      <c r="CE4">
        <f>IF(AND(res_cc,x_cc&lt;cc_D),(cc_D/2)-x_cc,NA())</f>
        <v/>
      </c>
      <c r="CG4">
        <f>IF(inputs_ok,IF(TRUE,(cc_D/2),NA()),NA())</f>
        <v/>
      </c>
      <c r="CH4">
        <f>IF(TRUE,-(cc_D/2)-0.16*(cc_D/2),NA())</f>
        <v/>
      </c>
      <c r="CM4">
        <f>IF(inputs_ok,IF(AND(res_cc,x_cc&lt;cc_D),(cc_D/2)+0.16*(cc_D/2),NA()),NA())</f>
        <v/>
      </c>
      <c r="CN4">
        <f>IF(AND(res_cc,x_cc&lt;cc_D),(cc_D/2),NA())</f>
        <v/>
      </c>
      <c r="DB4">
        <f>((-(cc_D/2)-2*0.16*(cc_D/2))+((cc_D/2)+9*0.16*(cc_D/2)))/2+MAX(((cc_D/2)+1.5*0.16*(cc_D/2))-(-(cc_D/2)-2.2*0.16*(cc_D/2)),(((cc_D/2)+9*0.16*(cc_D/2))-(-(cc_D/2)-2*0.16*(cc_D/2)))/1.55)*0.58*1.55</f>
        <v/>
      </c>
      <c r="DC4">
        <f>((-(cc_D/2)-2.2*0.16*(cc_D/2))+((cc_D/2)+1.5*0.16*(cc_D/2)))/2+MAX(((cc_D/2)+1.5*0.16*(cc_D/2))-(-(cc_D/2)-2.2*0.16*(cc_D/2)),(((cc_D/2)+9*0.16*(cc_D/2))-(-(cc_D/2)-2*0.16*(cc_D/2)))/1.55)*0.58</f>
        <v/>
      </c>
      <c r="DH4">
        <f>IF(inputs_ok,1.75,NA())</f>
        <v/>
      </c>
      <c r="DI4">
        <f>0</f>
        <v/>
      </c>
      <c r="DK4">
        <f>IF(inputs_ok,0,NA())</f>
        <v/>
      </c>
      <c r="DL4">
        <f>1.1</f>
        <v/>
      </c>
      <c r="DN4">
        <f>IF(inputs_ok,INDEX(nmA_M,2)*1.5/Mpk_cc,NA())</f>
        <v/>
      </c>
      <c r="DO4">
        <f>INDEX(nmA_N,2)/NRdmax_cc</f>
        <v/>
      </c>
      <c r="DQ4">
        <f>IF(inputs_ok,INDEX(nmB_M,2)*1.5/Mpk_cc,NA())</f>
        <v/>
      </c>
      <c r="DR4">
        <f>INDEX(nmB_N,2)/NRdmax_cc</f>
        <v/>
      </c>
      <c r="DT4">
        <f>IF(inputs_ok,IF(res_cc,MRd_cc*1.5/Mpk_cc,NA()),NA())</f>
        <v/>
      </c>
      <c r="DU4">
        <f>IF(res_cc,cc_NEd/NRdmax_cc,NA())</f>
        <v/>
      </c>
      <c r="EX4">
        <f>((-0.5)+(2.0))/2+MAX((1.18)-(NRdmin_cc/NRdmax_cc-0.1),((2.0)-(-0.5))/1.55)*0.52*1.55</f>
        <v/>
      </c>
      <c r="EY4">
        <f>((NRdmin_cc/NRdmax_cc-0.1)+(1.18))/2+MAX((1.18)-(NRdmin_cc/NRdmax_cc-0.1),((2.0)-(-0.5))/1.55)*0.52</f>
        <v/>
      </c>
    </row>
    <row r="5">
      <c r="D5">
        <f>IF(inputs_ok,(0)+((cc_D/2))*0.965926,NA())</f>
        <v/>
      </c>
      <c r="E5">
        <f>(0)+((cc_D/2))*0.258819</f>
        <v/>
      </c>
      <c r="G5">
        <f>IF(inputs_ok,(0)+(((cc_D/2)-cc_c-cc_phiw/2))*0.965926,NA())</f>
        <v/>
      </c>
      <c r="H5">
        <f>(0)+(((cc_D/2)-cc_c-cc_phiw/2))*0.258819</f>
        <v/>
      </c>
      <c r="J5">
        <f>IF(inputs_ok,IF(0&lt;cc_nb,(rs_cc*SIN((2*PI()*0/cc_nb+gov_turn*PI()/cc_nb)))+(cc_phi/2)*0.500000,NA()),NA())</f>
        <v/>
      </c>
      <c r="K5">
        <f>IF(0&lt;cc_nb,(rs_cc*COS((2*PI()*0/cc_nb+gov_turn*PI()/cc_nb)))+(cc_phi/2)*0.866025,NA())</f>
        <v/>
      </c>
      <c r="M5">
        <f>IF(inputs_ok,IF(1&lt;cc_nb,(rs_cc*SIN((2*PI()*1/cc_nb+gov_turn*PI()/cc_nb)))+(cc_phi/2)*0.500000,NA()),NA())</f>
        <v/>
      </c>
      <c r="N5">
        <f>IF(1&lt;cc_nb,(rs_cc*COS((2*PI()*1/cc_nb+gov_turn*PI()/cc_nb)))+(cc_phi/2)*0.866025,NA())</f>
        <v/>
      </c>
      <c r="P5">
        <f>IF(inputs_ok,IF(2&lt;cc_nb,(rs_cc*SIN((2*PI()*2/cc_nb+gov_turn*PI()/cc_nb)))+(cc_phi/2)*0.500000,NA()),NA())</f>
        <v/>
      </c>
      <c r="Q5">
        <f>IF(2&lt;cc_nb,(rs_cc*COS((2*PI()*2/cc_nb+gov_turn*PI()/cc_nb)))+(cc_phi/2)*0.866025,NA())</f>
        <v/>
      </c>
      <c r="S5">
        <f>IF(inputs_ok,IF(3&lt;cc_nb,(rs_cc*SIN((2*PI()*3/cc_nb+gov_turn*PI()/cc_nb)))+(cc_phi/2)*0.500000,NA()),NA())</f>
        <v/>
      </c>
      <c r="T5">
        <f>IF(3&lt;cc_nb,(rs_cc*COS((2*PI()*3/cc_nb+gov_turn*PI()/cc_nb)))+(cc_phi/2)*0.866025,NA())</f>
        <v/>
      </c>
      <c r="V5">
        <f>IF(inputs_ok,IF(4&lt;cc_nb,(rs_cc*SIN((2*PI()*4/cc_nb+gov_turn*PI()/cc_nb)))+(cc_phi/2)*0.500000,NA()),NA())</f>
        <v/>
      </c>
      <c r="W5">
        <f>IF(4&lt;cc_nb,(rs_cc*COS((2*PI()*4/cc_nb+gov_turn*PI()/cc_nb)))+(cc_phi/2)*0.866025,NA())</f>
        <v/>
      </c>
      <c r="Y5">
        <f>IF(inputs_ok,IF(5&lt;cc_nb,(rs_cc*SIN((2*PI()*5/cc_nb+gov_turn*PI()/cc_nb)))+(cc_phi/2)*0.500000,NA()),NA())</f>
        <v/>
      </c>
      <c r="Z5">
        <f>IF(5&lt;cc_nb,(rs_cc*COS((2*PI()*5/cc_nb+gov_turn*PI()/cc_nb)))+(cc_phi/2)*0.866025,NA())</f>
        <v/>
      </c>
      <c r="AB5">
        <f>IF(inputs_ok,IF(6&lt;cc_nb,(rs_cc*SIN((2*PI()*6/cc_nb+gov_turn*PI()/cc_nb)))+(cc_phi/2)*0.500000,NA()),NA())</f>
        <v/>
      </c>
      <c r="AC5">
        <f>IF(6&lt;cc_nb,(rs_cc*COS((2*PI()*6/cc_nb+gov_turn*PI()/cc_nb)))+(cc_phi/2)*0.866025,NA())</f>
        <v/>
      </c>
      <c r="AE5">
        <f>IF(inputs_ok,IF(7&lt;cc_nb,(rs_cc*SIN((2*PI()*7/cc_nb+gov_turn*PI()/cc_nb)))+(cc_phi/2)*0.500000,NA()),NA())</f>
        <v/>
      </c>
      <c r="AF5">
        <f>IF(7&lt;cc_nb,(rs_cc*COS((2*PI()*7/cc_nb+gov_turn*PI()/cc_nb)))+(cc_phi/2)*0.866025,NA())</f>
        <v/>
      </c>
      <c r="AH5">
        <f>IF(inputs_ok,IF(8&lt;cc_nb,(rs_cc*SIN((2*PI()*8/cc_nb+gov_turn*PI()/cc_nb)))+(cc_phi/2)*0.500000,NA()),NA())</f>
        <v/>
      </c>
      <c r="AI5">
        <f>IF(8&lt;cc_nb,(rs_cc*COS((2*PI()*8/cc_nb+gov_turn*PI()/cc_nb)))+(cc_phi/2)*0.866025,NA())</f>
        <v/>
      </c>
      <c r="AK5">
        <f>IF(inputs_ok,IF(9&lt;cc_nb,(rs_cc*SIN((2*PI()*9/cc_nb+gov_turn*PI()/cc_nb)))+(cc_phi/2)*0.500000,NA()),NA())</f>
        <v/>
      </c>
      <c r="AL5">
        <f>IF(9&lt;cc_nb,(rs_cc*COS((2*PI()*9/cc_nb+gov_turn*PI()/cc_nb)))+(cc_phi/2)*0.866025,NA())</f>
        <v/>
      </c>
      <c r="AN5">
        <f>IF(inputs_ok,IF(10&lt;cc_nb,(rs_cc*SIN((2*PI()*10/cc_nb+gov_turn*PI()/cc_nb)))+(cc_phi/2)*0.500000,NA()),NA())</f>
        <v/>
      </c>
      <c r="AO5">
        <f>IF(10&lt;cc_nb,(rs_cc*COS((2*PI()*10/cc_nb+gov_turn*PI()/cc_nb)))+(cc_phi/2)*0.866025,NA())</f>
        <v/>
      </c>
      <c r="AQ5">
        <f>IF(inputs_ok,IF(11&lt;cc_nb,(rs_cc*SIN((2*PI()*11/cc_nb+gov_turn*PI()/cc_nb)))+(cc_phi/2)*0.500000,NA()),NA())</f>
        <v/>
      </c>
      <c r="AR5">
        <f>IF(11&lt;cc_nb,(rs_cc*COS((2*PI()*11/cc_nb+gov_turn*PI()/cc_nb)))+(cc_phi/2)*0.866025,NA())</f>
        <v/>
      </c>
      <c r="AT5">
        <f>IF(inputs_ok,IF(12&lt;cc_nb,(rs_cc*SIN((2*PI()*12/cc_nb+gov_turn*PI()/cc_nb)))+(cc_phi/2)*0.500000,NA()),NA())</f>
        <v/>
      </c>
      <c r="AU5">
        <f>IF(12&lt;cc_nb,(rs_cc*COS((2*PI()*12/cc_nb+gov_turn*PI()/cc_nb)))+(cc_phi/2)*0.866025,NA())</f>
        <v/>
      </c>
      <c r="AW5">
        <f>IF(inputs_ok,IF(13&lt;cc_nb,(rs_cc*SIN((2*PI()*13/cc_nb+gov_turn*PI()/cc_nb)))+(cc_phi/2)*0.500000,NA()),NA())</f>
        <v/>
      </c>
      <c r="AX5">
        <f>IF(13&lt;cc_nb,(rs_cc*COS((2*PI()*13/cc_nb+gov_turn*PI()/cc_nb)))+(cc_phi/2)*0.866025,NA())</f>
        <v/>
      </c>
      <c r="AZ5">
        <f>IF(inputs_ok,IF(14&lt;cc_nb,(rs_cc*SIN((2*PI()*14/cc_nb+gov_turn*PI()/cc_nb)))+(cc_phi/2)*0.500000,NA()),NA())</f>
        <v/>
      </c>
      <c r="BA5">
        <f>IF(14&lt;cc_nb,(rs_cc*COS((2*PI()*14/cc_nb+gov_turn*PI()/cc_nb)))+(cc_phi/2)*0.866025,NA())</f>
        <v/>
      </c>
      <c r="BC5">
        <f>IF(inputs_ok,IF(15&lt;cc_nb,(rs_cc*SIN((2*PI()*15/cc_nb+gov_turn*PI()/cc_nb)))+(cc_phi/2)*0.500000,NA()),NA())</f>
        <v/>
      </c>
      <c r="BD5">
        <f>IF(15&lt;cc_nb,(rs_cc*COS((2*PI()*15/cc_nb+gov_turn*PI()/cc_nb)))+(cc_phi/2)*0.866025,NA())</f>
        <v/>
      </c>
      <c r="BF5">
        <f>IF(inputs_ok,IF(16&lt;cc_nb,(rs_cc*SIN((2*PI()*16/cc_nb+gov_turn*PI()/cc_nb)))+(cc_phi/2)*0.500000,NA()),NA())</f>
        <v/>
      </c>
      <c r="BG5">
        <f>IF(16&lt;cc_nb,(rs_cc*COS((2*PI()*16/cc_nb+gov_turn*PI()/cc_nb)))+(cc_phi/2)*0.866025,NA())</f>
        <v/>
      </c>
      <c r="BI5">
        <f>IF(inputs_ok,IF(17&lt;cc_nb,(rs_cc*SIN((2*PI()*17/cc_nb+gov_turn*PI()/cc_nb)))+(cc_phi/2)*0.500000,NA()),NA())</f>
        <v/>
      </c>
      <c r="BJ5">
        <f>IF(17&lt;cc_nb,(rs_cc*COS((2*PI()*17/cc_nb+gov_turn*PI()/cc_nb)))+(cc_phi/2)*0.866025,NA())</f>
        <v/>
      </c>
      <c r="BL5">
        <f>IF(inputs_ok,IF(18&lt;cc_nb,(rs_cc*SIN((2*PI()*18/cc_nb+gov_turn*PI()/cc_nb)))+(cc_phi/2)*0.500000,NA()),NA())</f>
        <v/>
      </c>
      <c r="BM5">
        <f>IF(18&lt;cc_nb,(rs_cc*COS((2*PI()*18/cc_nb+gov_turn*PI()/cc_nb)))+(cc_phi/2)*0.866025,NA())</f>
        <v/>
      </c>
      <c r="BO5">
        <f>IF(inputs_ok,IF(19&lt;cc_nb,(rs_cc*SIN((2*PI()*19/cc_nb+gov_turn*PI()/cc_nb)))+(cc_phi/2)*0.500000,NA()),NA())</f>
        <v/>
      </c>
      <c r="BP5">
        <f>IF(19&lt;cc_nb,(rs_cc*COS((2*PI()*19/cc_nb+gov_turn*PI()/cc_nb)))+(cc_phi/2)*0.866025,NA())</f>
        <v/>
      </c>
      <c r="BR5">
        <f>IF(inputs_ok,IF(20&lt;cc_nb,(rs_cc*SIN((2*PI()*20/cc_nb+gov_turn*PI()/cc_nb)))+(cc_phi/2)*0.500000,NA()),NA())</f>
        <v/>
      </c>
      <c r="BS5">
        <f>IF(20&lt;cc_nb,(rs_cc*COS((2*PI()*20/cc_nb+gov_turn*PI()/cc_nb)))+(cc_phi/2)*0.866025,NA())</f>
        <v/>
      </c>
      <c r="BU5">
        <f>IF(inputs_ok,IF(21&lt;cc_nb,(rs_cc*SIN((2*PI()*21/cc_nb+gov_turn*PI()/cc_nb)))+(cc_phi/2)*0.500000,NA()),NA())</f>
        <v/>
      </c>
      <c r="BV5">
        <f>IF(21&lt;cc_nb,(rs_cc*COS((2*PI()*21/cc_nb+gov_turn*PI()/cc_nb)))+(cc_phi/2)*0.866025,NA())</f>
        <v/>
      </c>
      <c r="BX5">
        <f>IF(inputs_ok,IF(22&lt;cc_nb,(rs_cc*SIN((2*PI()*22/cc_nb+gov_turn*PI()/cc_nb)))+(cc_phi/2)*0.500000,NA()),NA())</f>
        <v/>
      </c>
      <c r="BY5">
        <f>IF(22&lt;cc_nb,(rs_cc*COS((2*PI()*22/cc_nb+gov_turn*PI()/cc_nb)))+(cc_phi/2)*0.866025,NA())</f>
        <v/>
      </c>
      <c r="CA5">
        <f>IF(inputs_ok,IF(23&lt;cc_nb,(rs_cc*SIN((2*PI()*23/cc_nb+gov_turn*PI()/cc_nb)))+(cc_phi/2)*0.500000,NA()),NA())</f>
        <v/>
      </c>
      <c r="CB5">
        <f>IF(23&lt;cc_nb,(rs_cc*COS((2*PI()*23/cc_nb+gov_turn*PI()/cc_nb)))+(cc_phi/2)*0.866025,NA())</f>
        <v/>
      </c>
      <c r="DN5">
        <f>IF(inputs_ok,INDEX(nmA_M,3)*1.5/Mpk_cc,NA())</f>
        <v/>
      </c>
      <c r="DO5">
        <f>INDEX(nmA_N,3)/NRdmax_cc</f>
        <v/>
      </c>
      <c r="DQ5">
        <f>IF(inputs_ok,INDEX(nmB_M,3)*1.5/Mpk_cc,NA())</f>
        <v/>
      </c>
      <c r="DR5">
        <f>INDEX(nmB_N,3)/NRdmax_cc</f>
        <v/>
      </c>
    </row>
    <row r="6">
      <c r="D6">
        <f>IF(inputs_ok,(0)+((cc_D/2))*0.923880,NA())</f>
        <v/>
      </c>
      <c r="E6">
        <f>(0)+((cc_D/2))*0.382683</f>
        <v/>
      </c>
      <c r="G6">
        <f>IF(inputs_ok,(0)+(((cc_D/2)-cc_c-cc_phiw/2))*0.923880,NA())</f>
        <v/>
      </c>
      <c r="H6">
        <f>(0)+(((cc_D/2)-cc_c-cc_phiw/2))*0.382683</f>
        <v/>
      </c>
      <c r="J6">
        <f>IF(inputs_ok,IF(0&lt;cc_nb,(rs_cc*SIN((2*PI()*0/cc_nb+gov_turn*PI()/cc_nb)))+(cc_phi/2)*0.000000,NA()),NA())</f>
        <v/>
      </c>
      <c r="K6">
        <f>IF(0&lt;cc_nb,(rs_cc*COS((2*PI()*0/cc_nb+gov_turn*PI()/cc_nb)))+(cc_phi/2)*1.000000,NA())</f>
        <v/>
      </c>
      <c r="M6">
        <f>IF(inputs_ok,IF(1&lt;cc_nb,(rs_cc*SIN((2*PI()*1/cc_nb+gov_turn*PI()/cc_nb)))+(cc_phi/2)*0.000000,NA()),NA())</f>
        <v/>
      </c>
      <c r="N6">
        <f>IF(1&lt;cc_nb,(rs_cc*COS((2*PI()*1/cc_nb+gov_turn*PI()/cc_nb)))+(cc_phi/2)*1.000000,NA())</f>
        <v/>
      </c>
      <c r="P6">
        <f>IF(inputs_ok,IF(2&lt;cc_nb,(rs_cc*SIN((2*PI()*2/cc_nb+gov_turn*PI()/cc_nb)))+(cc_phi/2)*0.000000,NA()),NA())</f>
        <v/>
      </c>
      <c r="Q6">
        <f>IF(2&lt;cc_nb,(rs_cc*COS((2*PI()*2/cc_nb+gov_turn*PI()/cc_nb)))+(cc_phi/2)*1.000000,NA())</f>
        <v/>
      </c>
      <c r="S6">
        <f>IF(inputs_ok,IF(3&lt;cc_nb,(rs_cc*SIN((2*PI()*3/cc_nb+gov_turn*PI()/cc_nb)))+(cc_phi/2)*0.000000,NA()),NA())</f>
        <v/>
      </c>
      <c r="T6">
        <f>IF(3&lt;cc_nb,(rs_cc*COS((2*PI()*3/cc_nb+gov_turn*PI()/cc_nb)))+(cc_phi/2)*1.000000,NA())</f>
        <v/>
      </c>
      <c r="V6">
        <f>IF(inputs_ok,IF(4&lt;cc_nb,(rs_cc*SIN((2*PI()*4/cc_nb+gov_turn*PI()/cc_nb)))+(cc_phi/2)*0.000000,NA()),NA())</f>
        <v/>
      </c>
      <c r="W6">
        <f>IF(4&lt;cc_nb,(rs_cc*COS((2*PI()*4/cc_nb+gov_turn*PI()/cc_nb)))+(cc_phi/2)*1.000000,NA())</f>
        <v/>
      </c>
      <c r="Y6">
        <f>IF(inputs_ok,IF(5&lt;cc_nb,(rs_cc*SIN((2*PI()*5/cc_nb+gov_turn*PI()/cc_nb)))+(cc_phi/2)*0.000000,NA()),NA())</f>
        <v/>
      </c>
      <c r="Z6">
        <f>IF(5&lt;cc_nb,(rs_cc*COS((2*PI()*5/cc_nb+gov_turn*PI()/cc_nb)))+(cc_phi/2)*1.000000,NA())</f>
        <v/>
      </c>
      <c r="AB6">
        <f>IF(inputs_ok,IF(6&lt;cc_nb,(rs_cc*SIN((2*PI()*6/cc_nb+gov_turn*PI()/cc_nb)))+(cc_phi/2)*0.000000,NA()),NA())</f>
        <v/>
      </c>
      <c r="AC6">
        <f>IF(6&lt;cc_nb,(rs_cc*COS((2*PI()*6/cc_nb+gov_turn*PI()/cc_nb)))+(cc_phi/2)*1.000000,NA())</f>
        <v/>
      </c>
      <c r="AE6">
        <f>IF(inputs_ok,IF(7&lt;cc_nb,(rs_cc*SIN((2*PI()*7/cc_nb+gov_turn*PI()/cc_nb)))+(cc_phi/2)*0.000000,NA()),NA())</f>
        <v/>
      </c>
      <c r="AF6">
        <f>IF(7&lt;cc_nb,(rs_cc*COS((2*PI()*7/cc_nb+gov_turn*PI()/cc_nb)))+(cc_phi/2)*1.000000,NA())</f>
        <v/>
      </c>
      <c r="AH6">
        <f>IF(inputs_ok,IF(8&lt;cc_nb,(rs_cc*SIN((2*PI()*8/cc_nb+gov_turn*PI()/cc_nb)))+(cc_phi/2)*0.000000,NA()),NA())</f>
        <v/>
      </c>
      <c r="AI6">
        <f>IF(8&lt;cc_nb,(rs_cc*COS((2*PI()*8/cc_nb+gov_turn*PI()/cc_nb)))+(cc_phi/2)*1.000000,NA())</f>
        <v/>
      </c>
      <c r="AK6">
        <f>IF(inputs_ok,IF(9&lt;cc_nb,(rs_cc*SIN((2*PI()*9/cc_nb+gov_turn*PI()/cc_nb)))+(cc_phi/2)*0.000000,NA()),NA())</f>
        <v/>
      </c>
      <c r="AL6">
        <f>IF(9&lt;cc_nb,(rs_cc*COS((2*PI()*9/cc_nb+gov_turn*PI()/cc_nb)))+(cc_phi/2)*1.000000,NA())</f>
        <v/>
      </c>
      <c r="AN6">
        <f>IF(inputs_ok,IF(10&lt;cc_nb,(rs_cc*SIN((2*PI()*10/cc_nb+gov_turn*PI()/cc_nb)))+(cc_phi/2)*0.000000,NA()),NA())</f>
        <v/>
      </c>
      <c r="AO6">
        <f>IF(10&lt;cc_nb,(rs_cc*COS((2*PI()*10/cc_nb+gov_turn*PI()/cc_nb)))+(cc_phi/2)*1.000000,NA())</f>
        <v/>
      </c>
      <c r="AQ6">
        <f>IF(inputs_ok,IF(11&lt;cc_nb,(rs_cc*SIN((2*PI()*11/cc_nb+gov_turn*PI()/cc_nb)))+(cc_phi/2)*0.000000,NA()),NA())</f>
        <v/>
      </c>
      <c r="AR6">
        <f>IF(11&lt;cc_nb,(rs_cc*COS((2*PI()*11/cc_nb+gov_turn*PI()/cc_nb)))+(cc_phi/2)*1.000000,NA())</f>
        <v/>
      </c>
      <c r="AT6">
        <f>IF(inputs_ok,IF(12&lt;cc_nb,(rs_cc*SIN((2*PI()*12/cc_nb+gov_turn*PI()/cc_nb)))+(cc_phi/2)*0.000000,NA()),NA())</f>
        <v/>
      </c>
      <c r="AU6">
        <f>IF(12&lt;cc_nb,(rs_cc*COS((2*PI()*12/cc_nb+gov_turn*PI()/cc_nb)))+(cc_phi/2)*1.000000,NA())</f>
        <v/>
      </c>
      <c r="AW6">
        <f>IF(inputs_ok,IF(13&lt;cc_nb,(rs_cc*SIN((2*PI()*13/cc_nb+gov_turn*PI()/cc_nb)))+(cc_phi/2)*0.000000,NA()),NA())</f>
        <v/>
      </c>
      <c r="AX6">
        <f>IF(13&lt;cc_nb,(rs_cc*COS((2*PI()*13/cc_nb+gov_turn*PI()/cc_nb)))+(cc_phi/2)*1.000000,NA())</f>
        <v/>
      </c>
      <c r="AZ6">
        <f>IF(inputs_ok,IF(14&lt;cc_nb,(rs_cc*SIN((2*PI()*14/cc_nb+gov_turn*PI()/cc_nb)))+(cc_phi/2)*0.000000,NA()),NA())</f>
        <v/>
      </c>
      <c r="BA6">
        <f>IF(14&lt;cc_nb,(rs_cc*COS((2*PI()*14/cc_nb+gov_turn*PI()/cc_nb)))+(cc_phi/2)*1.000000,NA())</f>
        <v/>
      </c>
      <c r="BC6">
        <f>IF(inputs_ok,IF(15&lt;cc_nb,(rs_cc*SIN((2*PI()*15/cc_nb+gov_turn*PI()/cc_nb)))+(cc_phi/2)*0.000000,NA()),NA())</f>
        <v/>
      </c>
      <c r="BD6">
        <f>IF(15&lt;cc_nb,(rs_cc*COS((2*PI()*15/cc_nb+gov_turn*PI()/cc_nb)))+(cc_phi/2)*1.000000,NA())</f>
        <v/>
      </c>
      <c r="BF6">
        <f>IF(inputs_ok,IF(16&lt;cc_nb,(rs_cc*SIN((2*PI()*16/cc_nb+gov_turn*PI()/cc_nb)))+(cc_phi/2)*0.000000,NA()),NA())</f>
        <v/>
      </c>
      <c r="BG6">
        <f>IF(16&lt;cc_nb,(rs_cc*COS((2*PI()*16/cc_nb+gov_turn*PI()/cc_nb)))+(cc_phi/2)*1.000000,NA())</f>
        <v/>
      </c>
      <c r="BI6">
        <f>IF(inputs_ok,IF(17&lt;cc_nb,(rs_cc*SIN((2*PI()*17/cc_nb+gov_turn*PI()/cc_nb)))+(cc_phi/2)*0.000000,NA()),NA())</f>
        <v/>
      </c>
      <c r="BJ6">
        <f>IF(17&lt;cc_nb,(rs_cc*COS((2*PI()*17/cc_nb+gov_turn*PI()/cc_nb)))+(cc_phi/2)*1.000000,NA())</f>
        <v/>
      </c>
      <c r="BL6">
        <f>IF(inputs_ok,IF(18&lt;cc_nb,(rs_cc*SIN((2*PI()*18/cc_nb+gov_turn*PI()/cc_nb)))+(cc_phi/2)*0.000000,NA()),NA())</f>
        <v/>
      </c>
      <c r="BM6">
        <f>IF(18&lt;cc_nb,(rs_cc*COS((2*PI()*18/cc_nb+gov_turn*PI()/cc_nb)))+(cc_phi/2)*1.000000,NA())</f>
        <v/>
      </c>
      <c r="BO6">
        <f>IF(inputs_ok,IF(19&lt;cc_nb,(rs_cc*SIN((2*PI()*19/cc_nb+gov_turn*PI()/cc_nb)))+(cc_phi/2)*0.000000,NA()),NA())</f>
        <v/>
      </c>
      <c r="BP6">
        <f>IF(19&lt;cc_nb,(rs_cc*COS((2*PI()*19/cc_nb+gov_turn*PI()/cc_nb)))+(cc_phi/2)*1.000000,NA())</f>
        <v/>
      </c>
      <c r="BR6">
        <f>IF(inputs_ok,IF(20&lt;cc_nb,(rs_cc*SIN((2*PI()*20/cc_nb+gov_turn*PI()/cc_nb)))+(cc_phi/2)*0.000000,NA()),NA())</f>
        <v/>
      </c>
      <c r="BS6">
        <f>IF(20&lt;cc_nb,(rs_cc*COS((2*PI()*20/cc_nb+gov_turn*PI()/cc_nb)))+(cc_phi/2)*1.000000,NA())</f>
        <v/>
      </c>
      <c r="BU6">
        <f>IF(inputs_ok,IF(21&lt;cc_nb,(rs_cc*SIN((2*PI()*21/cc_nb+gov_turn*PI()/cc_nb)))+(cc_phi/2)*0.000000,NA()),NA())</f>
        <v/>
      </c>
      <c r="BV6">
        <f>IF(21&lt;cc_nb,(rs_cc*COS((2*PI()*21/cc_nb+gov_turn*PI()/cc_nb)))+(cc_phi/2)*1.000000,NA())</f>
        <v/>
      </c>
      <c r="BX6">
        <f>IF(inputs_ok,IF(22&lt;cc_nb,(rs_cc*SIN((2*PI()*22/cc_nb+gov_turn*PI()/cc_nb)))+(cc_phi/2)*0.000000,NA()),NA())</f>
        <v/>
      </c>
      <c r="BY6">
        <f>IF(22&lt;cc_nb,(rs_cc*COS((2*PI()*22/cc_nb+gov_turn*PI()/cc_nb)))+(cc_phi/2)*1.000000,NA())</f>
        <v/>
      </c>
      <c r="CA6">
        <f>IF(inputs_ok,IF(23&lt;cc_nb,(rs_cc*SIN((2*PI()*23/cc_nb+gov_turn*PI()/cc_nb)))+(cc_phi/2)*0.000000,NA()),NA())</f>
        <v/>
      </c>
      <c r="CB6">
        <f>IF(23&lt;cc_nb,(rs_cc*COS((2*PI()*23/cc_nb+gov_turn*PI()/cc_nb)))+(cc_phi/2)*1.000000,NA())</f>
        <v/>
      </c>
      <c r="DN6">
        <f>IF(inputs_ok,INDEX(nmA_M,4)*1.5/Mpk_cc,NA())</f>
        <v/>
      </c>
      <c r="DO6">
        <f>INDEX(nmA_N,4)/NRdmax_cc</f>
        <v/>
      </c>
      <c r="DQ6">
        <f>IF(inputs_ok,INDEX(nmB_M,4)*1.5/Mpk_cc,NA())</f>
        <v/>
      </c>
      <c r="DR6">
        <f>INDEX(nmB_N,4)/NRdmax_cc</f>
        <v/>
      </c>
    </row>
    <row r="7">
      <c r="D7">
        <f>IF(inputs_ok,(0)+((cc_D/2))*0.866025,NA())</f>
        <v/>
      </c>
      <c r="E7">
        <f>(0)+((cc_D/2))*0.500000</f>
        <v/>
      </c>
      <c r="G7">
        <f>IF(inputs_ok,(0)+(((cc_D/2)-cc_c-cc_phiw/2))*0.866025,NA())</f>
        <v/>
      </c>
      <c r="H7">
        <f>(0)+(((cc_D/2)-cc_c-cc_phiw/2))*0.500000</f>
        <v/>
      </c>
      <c r="J7">
        <f>IF(inputs_ok,IF(0&lt;cc_nb,(rs_cc*SIN((2*PI()*0/cc_nb+gov_turn*PI()/cc_nb)))+(cc_phi/2)*-0.500000,NA()),NA())</f>
        <v/>
      </c>
      <c r="K7">
        <f>IF(0&lt;cc_nb,(rs_cc*COS((2*PI()*0/cc_nb+gov_turn*PI()/cc_nb)))+(cc_phi/2)*0.866025,NA())</f>
        <v/>
      </c>
      <c r="M7">
        <f>IF(inputs_ok,IF(1&lt;cc_nb,(rs_cc*SIN((2*PI()*1/cc_nb+gov_turn*PI()/cc_nb)))+(cc_phi/2)*-0.500000,NA()),NA())</f>
        <v/>
      </c>
      <c r="N7">
        <f>IF(1&lt;cc_nb,(rs_cc*COS((2*PI()*1/cc_nb+gov_turn*PI()/cc_nb)))+(cc_phi/2)*0.866025,NA())</f>
        <v/>
      </c>
      <c r="P7">
        <f>IF(inputs_ok,IF(2&lt;cc_nb,(rs_cc*SIN((2*PI()*2/cc_nb+gov_turn*PI()/cc_nb)))+(cc_phi/2)*-0.500000,NA()),NA())</f>
        <v/>
      </c>
      <c r="Q7">
        <f>IF(2&lt;cc_nb,(rs_cc*COS((2*PI()*2/cc_nb+gov_turn*PI()/cc_nb)))+(cc_phi/2)*0.866025,NA())</f>
        <v/>
      </c>
      <c r="S7">
        <f>IF(inputs_ok,IF(3&lt;cc_nb,(rs_cc*SIN((2*PI()*3/cc_nb+gov_turn*PI()/cc_nb)))+(cc_phi/2)*-0.500000,NA()),NA())</f>
        <v/>
      </c>
      <c r="T7">
        <f>IF(3&lt;cc_nb,(rs_cc*COS((2*PI()*3/cc_nb+gov_turn*PI()/cc_nb)))+(cc_phi/2)*0.866025,NA())</f>
        <v/>
      </c>
      <c r="V7">
        <f>IF(inputs_ok,IF(4&lt;cc_nb,(rs_cc*SIN((2*PI()*4/cc_nb+gov_turn*PI()/cc_nb)))+(cc_phi/2)*-0.500000,NA()),NA())</f>
        <v/>
      </c>
      <c r="W7">
        <f>IF(4&lt;cc_nb,(rs_cc*COS((2*PI()*4/cc_nb+gov_turn*PI()/cc_nb)))+(cc_phi/2)*0.866025,NA())</f>
        <v/>
      </c>
      <c r="Y7">
        <f>IF(inputs_ok,IF(5&lt;cc_nb,(rs_cc*SIN((2*PI()*5/cc_nb+gov_turn*PI()/cc_nb)))+(cc_phi/2)*-0.500000,NA()),NA())</f>
        <v/>
      </c>
      <c r="Z7">
        <f>IF(5&lt;cc_nb,(rs_cc*COS((2*PI()*5/cc_nb+gov_turn*PI()/cc_nb)))+(cc_phi/2)*0.866025,NA())</f>
        <v/>
      </c>
      <c r="AB7">
        <f>IF(inputs_ok,IF(6&lt;cc_nb,(rs_cc*SIN((2*PI()*6/cc_nb+gov_turn*PI()/cc_nb)))+(cc_phi/2)*-0.500000,NA()),NA())</f>
        <v/>
      </c>
      <c r="AC7">
        <f>IF(6&lt;cc_nb,(rs_cc*COS((2*PI()*6/cc_nb+gov_turn*PI()/cc_nb)))+(cc_phi/2)*0.866025,NA())</f>
        <v/>
      </c>
      <c r="AE7">
        <f>IF(inputs_ok,IF(7&lt;cc_nb,(rs_cc*SIN((2*PI()*7/cc_nb+gov_turn*PI()/cc_nb)))+(cc_phi/2)*-0.500000,NA()),NA())</f>
        <v/>
      </c>
      <c r="AF7">
        <f>IF(7&lt;cc_nb,(rs_cc*COS((2*PI()*7/cc_nb+gov_turn*PI()/cc_nb)))+(cc_phi/2)*0.866025,NA())</f>
        <v/>
      </c>
      <c r="AH7">
        <f>IF(inputs_ok,IF(8&lt;cc_nb,(rs_cc*SIN((2*PI()*8/cc_nb+gov_turn*PI()/cc_nb)))+(cc_phi/2)*-0.500000,NA()),NA())</f>
        <v/>
      </c>
      <c r="AI7">
        <f>IF(8&lt;cc_nb,(rs_cc*COS((2*PI()*8/cc_nb+gov_turn*PI()/cc_nb)))+(cc_phi/2)*0.866025,NA())</f>
        <v/>
      </c>
      <c r="AK7">
        <f>IF(inputs_ok,IF(9&lt;cc_nb,(rs_cc*SIN((2*PI()*9/cc_nb+gov_turn*PI()/cc_nb)))+(cc_phi/2)*-0.500000,NA()),NA())</f>
        <v/>
      </c>
      <c r="AL7">
        <f>IF(9&lt;cc_nb,(rs_cc*COS((2*PI()*9/cc_nb+gov_turn*PI()/cc_nb)))+(cc_phi/2)*0.866025,NA())</f>
        <v/>
      </c>
      <c r="AN7">
        <f>IF(inputs_ok,IF(10&lt;cc_nb,(rs_cc*SIN((2*PI()*10/cc_nb+gov_turn*PI()/cc_nb)))+(cc_phi/2)*-0.500000,NA()),NA())</f>
        <v/>
      </c>
      <c r="AO7">
        <f>IF(10&lt;cc_nb,(rs_cc*COS((2*PI()*10/cc_nb+gov_turn*PI()/cc_nb)))+(cc_phi/2)*0.866025,NA())</f>
        <v/>
      </c>
      <c r="AQ7">
        <f>IF(inputs_ok,IF(11&lt;cc_nb,(rs_cc*SIN((2*PI()*11/cc_nb+gov_turn*PI()/cc_nb)))+(cc_phi/2)*-0.500000,NA()),NA())</f>
        <v/>
      </c>
      <c r="AR7">
        <f>IF(11&lt;cc_nb,(rs_cc*COS((2*PI()*11/cc_nb+gov_turn*PI()/cc_nb)))+(cc_phi/2)*0.866025,NA())</f>
        <v/>
      </c>
      <c r="AT7">
        <f>IF(inputs_ok,IF(12&lt;cc_nb,(rs_cc*SIN((2*PI()*12/cc_nb+gov_turn*PI()/cc_nb)))+(cc_phi/2)*-0.500000,NA()),NA())</f>
        <v/>
      </c>
      <c r="AU7">
        <f>IF(12&lt;cc_nb,(rs_cc*COS((2*PI()*12/cc_nb+gov_turn*PI()/cc_nb)))+(cc_phi/2)*0.866025,NA())</f>
        <v/>
      </c>
      <c r="AW7">
        <f>IF(inputs_ok,IF(13&lt;cc_nb,(rs_cc*SIN((2*PI()*13/cc_nb+gov_turn*PI()/cc_nb)))+(cc_phi/2)*-0.500000,NA()),NA())</f>
        <v/>
      </c>
      <c r="AX7">
        <f>IF(13&lt;cc_nb,(rs_cc*COS((2*PI()*13/cc_nb+gov_turn*PI()/cc_nb)))+(cc_phi/2)*0.866025,NA())</f>
        <v/>
      </c>
      <c r="AZ7">
        <f>IF(inputs_ok,IF(14&lt;cc_nb,(rs_cc*SIN((2*PI()*14/cc_nb+gov_turn*PI()/cc_nb)))+(cc_phi/2)*-0.500000,NA()),NA())</f>
        <v/>
      </c>
      <c r="BA7">
        <f>IF(14&lt;cc_nb,(rs_cc*COS((2*PI()*14/cc_nb+gov_turn*PI()/cc_nb)))+(cc_phi/2)*0.866025,NA())</f>
        <v/>
      </c>
      <c r="BC7">
        <f>IF(inputs_ok,IF(15&lt;cc_nb,(rs_cc*SIN((2*PI()*15/cc_nb+gov_turn*PI()/cc_nb)))+(cc_phi/2)*-0.500000,NA()),NA())</f>
        <v/>
      </c>
      <c r="BD7">
        <f>IF(15&lt;cc_nb,(rs_cc*COS((2*PI()*15/cc_nb+gov_turn*PI()/cc_nb)))+(cc_phi/2)*0.866025,NA())</f>
        <v/>
      </c>
      <c r="BF7">
        <f>IF(inputs_ok,IF(16&lt;cc_nb,(rs_cc*SIN((2*PI()*16/cc_nb+gov_turn*PI()/cc_nb)))+(cc_phi/2)*-0.500000,NA()),NA())</f>
        <v/>
      </c>
      <c r="BG7">
        <f>IF(16&lt;cc_nb,(rs_cc*COS((2*PI()*16/cc_nb+gov_turn*PI()/cc_nb)))+(cc_phi/2)*0.866025,NA())</f>
        <v/>
      </c>
      <c r="BI7">
        <f>IF(inputs_ok,IF(17&lt;cc_nb,(rs_cc*SIN((2*PI()*17/cc_nb+gov_turn*PI()/cc_nb)))+(cc_phi/2)*-0.500000,NA()),NA())</f>
        <v/>
      </c>
      <c r="BJ7">
        <f>IF(17&lt;cc_nb,(rs_cc*COS((2*PI()*17/cc_nb+gov_turn*PI()/cc_nb)))+(cc_phi/2)*0.866025,NA())</f>
        <v/>
      </c>
      <c r="BL7">
        <f>IF(inputs_ok,IF(18&lt;cc_nb,(rs_cc*SIN((2*PI()*18/cc_nb+gov_turn*PI()/cc_nb)))+(cc_phi/2)*-0.500000,NA()),NA())</f>
        <v/>
      </c>
      <c r="BM7">
        <f>IF(18&lt;cc_nb,(rs_cc*COS((2*PI()*18/cc_nb+gov_turn*PI()/cc_nb)))+(cc_phi/2)*0.866025,NA())</f>
        <v/>
      </c>
      <c r="BO7">
        <f>IF(inputs_ok,IF(19&lt;cc_nb,(rs_cc*SIN((2*PI()*19/cc_nb+gov_turn*PI()/cc_nb)))+(cc_phi/2)*-0.500000,NA()),NA())</f>
        <v/>
      </c>
      <c r="BP7">
        <f>IF(19&lt;cc_nb,(rs_cc*COS((2*PI()*19/cc_nb+gov_turn*PI()/cc_nb)))+(cc_phi/2)*0.866025,NA())</f>
        <v/>
      </c>
      <c r="BR7">
        <f>IF(inputs_ok,IF(20&lt;cc_nb,(rs_cc*SIN((2*PI()*20/cc_nb+gov_turn*PI()/cc_nb)))+(cc_phi/2)*-0.500000,NA()),NA())</f>
        <v/>
      </c>
      <c r="BS7">
        <f>IF(20&lt;cc_nb,(rs_cc*COS((2*PI()*20/cc_nb+gov_turn*PI()/cc_nb)))+(cc_phi/2)*0.866025,NA())</f>
        <v/>
      </c>
      <c r="BU7">
        <f>IF(inputs_ok,IF(21&lt;cc_nb,(rs_cc*SIN((2*PI()*21/cc_nb+gov_turn*PI()/cc_nb)))+(cc_phi/2)*-0.500000,NA()),NA())</f>
        <v/>
      </c>
      <c r="BV7">
        <f>IF(21&lt;cc_nb,(rs_cc*COS((2*PI()*21/cc_nb+gov_turn*PI()/cc_nb)))+(cc_phi/2)*0.866025,NA())</f>
        <v/>
      </c>
      <c r="BX7">
        <f>IF(inputs_ok,IF(22&lt;cc_nb,(rs_cc*SIN((2*PI()*22/cc_nb+gov_turn*PI()/cc_nb)))+(cc_phi/2)*-0.500000,NA()),NA())</f>
        <v/>
      </c>
      <c r="BY7">
        <f>IF(22&lt;cc_nb,(rs_cc*COS((2*PI()*22/cc_nb+gov_turn*PI()/cc_nb)))+(cc_phi/2)*0.866025,NA())</f>
        <v/>
      </c>
      <c r="CA7">
        <f>IF(inputs_ok,IF(23&lt;cc_nb,(rs_cc*SIN((2*PI()*23/cc_nb+gov_turn*PI()/cc_nb)))+(cc_phi/2)*-0.500000,NA()),NA())</f>
        <v/>
      </c>
      <c r="CB7">
        <f>IF(23&lt;cc_nb,(rs_cc*COS((2*PI()*23/cc_nb+gov_turn*PI()/cc_nb)))+(cc_phi/2)*0.866025,NA())</f>
        <v/>
      </c>
      <c r="DN7">
        <f>IF(inputs_ok,INDEX(nmA_M,5)*1.5/Mpk_cc,NA())</f>
        <v/>
      </c>
      <c r="DO7">
        <f>INDEX(nmA_N,5)/NRdmax_cc</f>
        <v/>
      </c>
      <c r="DQ7">
        <f>IF(inputs_ok,INDEX(nmB_M,5)*1.5/Mpk_cc,NA())</f>
        <v/>
      </c>
      <c r="DR7">
        <f>INDEX(nmB_N,5)/NRdmax_cc</f>
        <v/>
      </c>
    </row>
    <row r="8">
      <c r="D8">
        <f>IF(inputs_ok,(0)+((cc_D/2))*0.793353,NA())</f>
        <v/>
      </c>
      <c r="E8">
        <f>(0)+((cc_D/2))*0.608761</f>
        <v/>
      </c>
      <c r="G8">
        <f>IF(inputs_ok,(0)+(((cc_D/2)-cc_c-cc_phiw/2))*0.793353,NA())</f>
        <v/>
      </c>
      <c r="H8">
        <f>(0)+(((cc_D/2)-cc_c-cc_phiw/2))*0.608761</f>
        <v/>
      </c>
      <c r="J8">
        <f>IF(inputs_ok,IF(0&lt;cc_nb,(rs_cc*SIN((2*PI()*0/cc_nb+gov_turn*PI()/cc_nb)))+(cc_phi/2)*-0.866025,NA()),NA())</f>
        <v/>
      </c>
      <c r="K8">
        <f>IF(0&lt;cc_nb,(rs_cc*COS((2*PI()*0/cc_nb+gov_turn*PI()/cc_nb)))+(cc_phi/2)*0.500000,NA())</f>
        <v/>
      </c>
      <c r="M8">
        <f>IF(inputs_ok,IF(1&lt;cc_nb,(rs_cc*SIN((2*PI()*1/cc_nb+gov_turn*PI()/cc_nb)))+(cc_phi/2)*-0.866025,NA()),NA())</f>
        <v/>
      </c>
      <c r="N8">
        <f>IF(1&lt;cc_nb,(rs_cc*COS((2*PI()*1/cc_nb+gov_turn*PI()/cc_nb)))+(cc_phi/2)*0.500000,NA())</f>
        <v/>
      </c>
      <c r="P8">
        <f>IF(inputs_ok,IF(2&lt;cc_nb,(rs_cc*SIN((2*PI()*2/cc_nb+gov_turn*PI()/cc_nb)))+(cc_phi/2)*-0.866025,NA()),NA())</f>
        <v/>
      </c>
      <c r="Q8">
        <f>IF(2&lt;cc_nb,(rs_cc*COS((2*PI()*2/cc_nb+gov_turn*PI()/cc_nb)))+(cc_phi/2)*0.500000,NA())</f>
        <v/>
      </c>
      <c r="S8">
        <f>IF(inputs_ok,IF(3&lt;cc_nb,(rs_cc*SIN((2*PI()*3/cc_nb+gov_turn*PI()/cc_nb)))+(cc_phi/2)*-0.866025,NA()),NA())</f>
        <v/>
      </c>
      <c r="T8">
        <f>IF(3&lt;cc_nb,(rs_cc*COS((2*PI()*3/cc_nb+gov_turn*PI()/cc_nb)))+(cc_phi/2)*0.500000,NA())</f>
        <v/>
      </c>
      <c r="V8">
        <f>IF(inputs_ok,IF(4&lt;cc_nb,(rs_cc*SIN((2*PI()*4/cc_nb+gov_turn*PI()/cc_nb)))+(cc_phi/2)*-0.866025,NA()),NA())</f>
        <v/>
      </c>
      <c r="W8">
        <f>IF(4&lt;cc_nb,(rs_cc*COS((2*PI()*4/cc_nb+gov_turn*PI()/cc_nb)))+(cc_phi/2)*0.500000,NA())</f>
        <v/>
      </c>
      <c r="Y8">
        <f>IF(inputs_ok,IF(5&lt;cc_nb,(rs_cc*SIN((2*PI()*5/cc_nb+gov_turn*PI()/cc_nb)))+(cc_phi/2)*-0.866025,NA()),NA())</f>
        <v/>
      </c>
      <c r="Z8">
        <f>IF(5&lt;cc_nb,(rs_cc*COS((2*PI()*5/cc_nb+gov_turn*PI()/cc_nb)))+(cc_phi/2)*0.500000,NA())</f>
        <v/>
      </c>
      <c r="AB8">
        <f>IF(inputs_ok,IF(6&lt;cc_nb,(rs_cc*SIN((2*PI()*6/cc_nb+gov_turn*PI()/cc_nb)))+(cc_phi/2)*-0.866025,NA()),NA())</f>
        <v/>
      </c>
      <c r="AC8">
        <f>IF(6&lt;cc_nb,(rs_cc*COS((2*PI()*6/cc_nb+gov_turn*PI()/cc_nb)))+(cc_phi/2)*0.500000,NA())</f>
        <v/>
      </c>
      <c r="AE8">
        <f>IF(inputs_ok,IF(7&lt;cc_nb,(rs_cc*SIN((2*PI()*7/cc_nb+gov_turn*PI()/cc_nb)))+(cc_phi/2)*-0.866025,NA()),NA())</f>
        <v/>
      </c>
      <c r="AF8">
        <f>IF(7&lt;cc_nb,(rs_cc*COS((2*PI()*7/cc_nb+gov_turn*PI()/cc_nb)))+(cc_phi/2)*0.500000,NA())</f>
        <v/>
      </c>
      <c r="AH8">
        <f>IF(inputs_ok,IF(8&lt;cc_nb,(rs_cc*SIN((2*PI()*8/cc_nb+gov_turn*PI()/cc_nb)))+(cc_phi/2)*-0.866025,NA()),NA())</f>
        <v/>
      </c>
      <c r="AI8">
        <f>IF(8&lt;cc_nb,(rs_cc*COS((2*PI()*8/cc_nb+gov_turn*PI()/cc_nb)))+(cc_phi/2)*0.500000,NA())</f>
        <v/>
      </c>
      <c r="AK8">
        <f>IF(inputs_ok,IF(9&lt;cc_nb,(rs_cc*SIN((2*PI()*9/cc_nb+gov_turn*PI()/cc_nb)))+(cc_phi/2)*-0.866025,NA()),NA())</f>
        <v/>
      </c>
      <c r="AL8">
        <f>IF(9&lt;cc_nb,(rs_cc*COS((2*PI()*9/cc_nb+gov_turn*PI()/cc_nb)))+(cc_phi/2)*0.500000,NA())</f>
        <v/>
      </c>
      <c r="AN8">
        <f>IF(inputs_ok,IF(10&lt;cc_nb,(rs_cc*SIN((2*PI()*10/cc_nb+gov_turn*PI()/cc_nb)))+(cc_phi/2)*-0.866025,NA()),NA())</f>
        <v/>
      </c>
      <c r="AO8">
        <f>IF(10&lt;cc_nb,(rs_cc*COS((2*PI()*10/cc_nb+gov_turn*PI()/cc_nb)))+(cc_phi/2)*0.500000,NA())</f>
        <v/>
      </c>
      <c r="AQ8">
        <f>IF(inputs_ok,IF(11&lt;cc_nb,(rs_cc*SIN((2*PI()*11/cc_nb+gov_turn*PI()/cc_nb)))+(cc_phi/2)*-0.866025,NA()),NA())</f>
        <v/>
      </c>
      <c r="AR8">
        <f>IF(11&lt;cc_nb,(rs_cc*COS((2*PI()*11/cc_nb+gov_turn*PI()/cc_nb)))+(cc_phi/2)*0.500000,NA())</f>
        <v/>
      </c>
      <c r="AT8">
        <f>IF(inputs_ok,IF(12&lt;cc_nb,(rs_cc*SIN((2*PI()*12/cc_nb+gov_turn*PI()/cc_nb)))+(cc_phi/2)*-0.866025,NA()),NA())</f>
        <v/>
      </c>
      <c r="AU8">
        <f>IF(12&lt;cc_nb,(rs_cc*COS((2*PI()*12/cc_nb+gov_turn*PI()/cc_nb)))+(cc_phi/2)*0.500000,NA())</f>
        <v/>
      </c>
      <c r="AW8">
        <f>IF(inputs_ok,IF(13&lt;cc_nb,(rs_cc*SIN((2*PI()*13/cc_nb+gov_turn*PI()/cc_nb)))+(cc_phi/2)*-0.866025,NA()),NA())</f>
        <v/>
      </c>
      <c r="AX8">
        <f>IF(13&lt;cc_nb,(rs_cc*COS((2*PI()*13/cc_nb+gov_turn*PI()/cc_nb)))+(cc_phi/2)*0.500000,NA())</f>
        <v/>
      </c>
      <c r="AZ8">
        <f>IF(inputs_ok,IF(14&lt;cc_nb,(rs_cc*SIN((2*PI()*14/cc_nb+gov_turn*PI()/cc_nb)))+(cc_phi/2)*-0.866025,NA()),NA())</f>
        <v/>
      </c>
      <c r="BA8">
        <f>IF(14&lt;cc_nb,(rs_cc*COS((2*PI()*14/cc_nb+gov_turn*PI()/cc_nb)))+(cc_phi/2)*0.500000,NA())</f>
        <v/>
      </c>
      <c r="BC8">
        <f>IF(inputs_ok,IF(15&lt;cc_nb,(rs_cc*SIN((2*PI()*15/cc_nb+gov_turn*PI()/cc_nb)))+(cc_phi/2)*-0.866025,NA()),NA())</f>
        <v/>
      </c>
      <c r="BD8">
        <f>IF(15&lt;cc_nb,(rs_cc*COS((2*PI()*15/cc_nb+gov_turn*PI()/cc_nb)))+(cc_phi/2)*0.500000,NA())</f>
        <v/>
      </c>
      <c r="BF8">
        <f>IF(inputs_ok,IF(16&lt;cc_nb,(rs_cc*SIN((2*PI()*16/cc_nb+gov_turn*PI()/cc_nb)))+(cc_phi/2)*-0.866025,NA()),NA())</f>
        <v/>
      </c>
      <c r="BG8">
        <f>IF(16&lt;cc_nb,(rs_cc*COS((2*PI()*16/cc_nb+gov_turn*PI()/cc_nb)))+(cc_phi/2)*0.500000,NA())</f>
        <v/>
      </c>
      <c r="BI8">
        <f>IF(inputs_ok,IF(17&lt;cc_nb,(rs_cc*SIN((2*PI()*17/cc_nb+gov_turn*PI()/cc_nb)))+(cc_phi/2)*-0.866025,NA()),NA())</f>
        <v/>
      </c>
      <c r="BJ8">
        <f>IF(17&lt;cc_nb,(rs_cc*COS((2*PI()*17/cc_nb+gov_turn*PI()/cc_nb)))+(cc_phi/2)*0.500000,NA())</f>
        <v/>
      </c>
      <c r="BL8">
        <f>IF(inputs_ok,IF(18&lt;cc_nb,(rs_cc*SIN((2*PI()*18/cc_nb+gov_turn*PI()/cc_nb)))+(cc_phi/2)*-0.866025,NA()),NA())</f>
        <v/>
      </c>
      <c r="BM8">
        <f>IF(18&lt;cc_nb,(rs_cc*COS((2*PI()*18/cc_nb+gov_turn*PI()/cc_nb)))+(cc_phi/2)*0.500000,NA())</f>
        <v/>
      </c>
      <c r="BO8">
        <f>IF(inputs_ok,IF(19&lt;cc_nb,(rs_cc*SIN((2*PI()*19/cc_nb+gov_turn*PI()/cc_nb)))+(cc_phi/2)*-0.866025,NA()),NA())</f>
        <v/>
      </c>
      <c r="BP8">
        <f>IF(19&lt;cc_nb,(rs_cc*COS((2*PI()*19/cc_nb+gov_turn*PI()/cc_nb)))+(cc_phi/2)*0.500000,NA())</f>
        <v/>
      </c>
      <c r="BR8">
        <f>IF(inputs_ok,IF(20&lt;cc_nb,(rs_cc*SIN((2*PI()*20/cc_nb+gov_turn*PI()/cc_nb)))+(cc_phi/2)*-0.866025,NA()),NA())</f>
        <v/>
      </c>
      <c r="BS8">
        <f>IF(20&lt;cc_nb,(rs_cc*COS((2*PI()*20/cc_nb+gov_turn*PI()/cc_nb)))+(cc_phi/2)*0.500000,NA())</f>
        <v/>
      </c>
      <c r="BU8">
        <f>IF(inputs_ok,IF(21&lt;cc_nb,(rs_cc*SIN((2*PI()*21/cc_nb+gov_turn*PI()/cc_nb)))+(cc_phi/2)*-0.866025,NA()),NA())</f>
        <v/>
      </c>
      <c r="BV8">
        <f>IF(21&lt;cc_nb,(rs_cc*COS((2*PI()*21/cc_nb+gov_turn*PI()/cc_nb)))+(cc_phi/2)*0.500000,NA())</f>
        <v/>
      </c>
      <c r="BX8">
        <f>IF(inputs_ok,IF(22&lt;cc_nb,(rs_cc*SIN((2*PI()*22/cc_nb+gov_turn*PI()/cc_nb)))+(cc_phi/2)*-0.866025,NA()),NA())</f>
        <v/>
      </c>
      <c r="BY8">
        <f>IF(22&lt;cc_nb,(rs_cc*COS((2*PI()*22/cc_nb+gov_turn*PI()/cc_nb)))+(cc_phi/2)*0.500000,NA())</f>
        <v/>
      </c>
      <c r="CA8">
        <f>IF(inputs_ok,IF(23&lt;cc_nb,(rs_cc*SIN((2*PI()*23/cc_nb+gov_turn*PI()/cc_nb)))+(cc_phi/2)*-0.866025,NA()),NA())</f>
        <v/>
      </c>
      <c r="CB8">
        <f>IF(23&lt;cc_nb,(rs_cc*COS((2*PI()*23/cc_nb+gov_turn*PI()/cc_nb)))+(cc_phi/2)*0.500000,NA())</f>
        <v/>
      </c>
      <c r="DN8">
        <f>IF(inputs_ok,INDEX(nmA_M,6)*1.5/Mpk_cc,NA())</f>
        <v/>
      </c>
      <c r="DO8">
        <f>INDEX(nmA_N,6)/NRdmax_cc</f>
        <v/>
      </c>
      <c r="DQ8">
        <f>IF(inputs_ok,INDEX(nmB_M,6)*1.5/Mpk_cc,NA())</f>
        <v/>
      </c>
      <c r="DR8">
        <f>INDEX(nmB_N,6)/NRdmax_cc</f>
        <v/>
      </c>
    </row>
    <row r="9">
      <c r="D9">
        <f>IF(inputs_ok,(0)+((cc_D/2))*0.707107,NA())</f>
        <v/>
      </c>
      <c r="E9">
        <f>(0)+((cc_D/2))*0.707107</f>
        <v/>
      </c>
      <c r="G9">
        <f>IF(inputs_ok,(0)+(((cc_D/2)-cc_c-cc_phiw/2))*0.707107,NA())</f>
        <v/>
      </c>
      <c r="H9">
        <f>(0)+(((cc_D/2)-cc_c-cc_phiw/2))*0.707107</f>
        <v/>
      </c>
      <c r="J9">
        <f>IF(inputs_ok,IF(0&lt;cc_nb,(rs_cc*SIN((2*PI()*0/cc_nb+gov_turn*PI()/cc_nb)))+(cc_phi/2)*-1.000000,NA()),NA())</f>
        <v/>
      </c>
      <c r="K9">
        <f>IF(0&lt;cc_nb,(rs_cc*COS((2*PI()*0/cc_nb+gov_turn*PI()/cc_nb)))+(cc_phi/2)*0.000000,NA())</f>
        <v/>
      </c>
      <c r="M9">
        <f>IF(inputs_ok,IF(1&lt;cc_nb,(rs_cc*SIN((2*PI()*1/cc_nb+gov_turn*PI()/cc_nb)))+(cc_phi/2)*-1.000000,NA()),NA())</f>
        <v/>
      </c>
      <c r="N9">
        <f>IF(1&lt;cc_nb,(rs_cc*COS((2*PI()*1/cc_nb+gov_turn*PI()/cc_nb)))+(cc_phi/2)*0.000000,NA())</f>
        <v/>
      </c>
      <c r="P9">
        <f>IF(inputs_ok,IF(2&lt;cc_nb,(rs_cc*SIN((2*PI()*2/cc_nb+gov_turn*PI()/cc_nb)))+(cc_phi/2)*-1.000000,NA()),NA())</f>
        <v/>
      </c>
      <c r="Q9">
        <f>IF(2&lt;cc_nb,(rs_cc*COS((2*PI()*2/cc_nb+gov_turn*PI()/cc_nb)))+(cc_phi/2)*0.000000,NA())</f>
        <v/>
      </c>
      <c r="S9">
        <f>IF(inputs_ok,IF(3&lt;cc_nb,(rs_cc*SIN((2*PI()*3/cc_nb+gov_turn*PI()/cc_nb)))+(cc_phi/2)*-1.000000,NA()),NA())</f>
        <v/>
      </c>
      <c r="T9">
        <f>IF(3&lt;cc_nb,(rs_cc*COS((2*PI()*3/cc_nb+gov_turn*PI()/cc_nb)))+(cc_phi/2)*0.000000,NA())</f>
        <v/>
      </c>
      <c r="V9">
        <f>IF(inputs_ok,IF(4&lt;cc_nb,(rs_cc*SIN((2*PI()*4/cc_nb+gov_turn*PI()/cc_nb)))+(cc_phi/2)*-1.000000,NA()),NA())</f>
        <v/>
      </c>
      <c r="W9">
        <f>IF(4&lt;cc_nb,(rs_cc*COS((2*PI()*4/cc_nb+gov_turn*PI()/cc_nb)))+(cc_phi/2)*0.000000,NA())</f>
        <v/>
      </c>
      <c r="Y9">
        <f>IF(inputs_ok,IF(5&lt;cc_nb,(rs_cc*SIN((2*PI()*5/cc_nb+gov_turn*PI()/cc_nb)))+(cc_phi/2)*-1.000000,NA()),NA())</f>
        <v/>
      </c>
      <c r="Z9">
        <f>IF(5&lt;cc_nb,(rs_cc*COS((2*PI()*5/cc_nb+gov_turn*PI()/cc_nb)))+(cc_phi/2)*0.000000,NA())</f>
        <v/>
      </c>
      <c r="AB9">
        <f>IF(inputs_ok,IF(6&lt;cc_nb,(rs_cc*SIN((2*PI()*6/cc_nb+gov_turn*PI()/cc_nb)))+(cc_phi/2)*-1.000000,NA()),NA())</f>
        <v/>
      </c>
      <c r="AC9">
        <f>IF(6&lt;cc_nb,(rs_cc*COS((2*PI()*6/cc_nb+gov_turn*PI()/cc_nb)))+(cc_phi/2)*0.000000,NA())</f>
        <v/>
      </c>
      <c r="AE9">
        <f>IF(inputs_ok,IF(7&lt;cc_nb,(rs_cc*SIN((2*PI()*7/cc_nb+gov_turn*PI()/cc_nb)))+(cc_phi/2)*-1.000000,NA()),NA())</f>
        <v/>
      </c>
      <c r="AF9">
        <f>IF(7&lt;cc_nb,(rs_cc*COS((2*PI()*7/cc_nb+gov_turn*PI()/cc_nb)))+(cc_phi/2)*0.000000,NA())</f>
        <v/>
      </c>
      <c r="AH9">
        <f>IF(inputs_ok,IF(8&lt;cc_nb,(rs_cc*SIN((2*PI()*8/cc_nb+gov_turn*PI()/cc_nb)))+(cc_phi/2)*-1.000000,NA()),NA())</f>
        <v/>
      </c>
      <c r="AI9">
        <f>IF(8&lt;cc_nb,(rs_cc*COS((2*PI()*8/cc_nb+gov_turn*PI()/cc_nb)))+(cc_phi/2)*0.000000,NA())</f>
        <v/>
      </c>
      <c r="AK9">
        <f>IF(inputs_ok,IF(9&lt;cc_nb,(rs_cc*SIN((2*PI()*9/cc_nb+gov_turn*PI()/cc_nb)))+(cc_phi/2)*-1.000000,NA()),NA())</f>
        <v/>
      </c>
      <c r="AL9">
        <f>IF(9&lt;cc_nb,(rs_cc*COS((2*PI()*9/cc_nb+gov_turn*PI()/cc_nb)))+(cc_phi/2)*0.000000,NA())</f>
        <v/>
      </c>
      <c r="AN9">
        <f>IF(inputs_ok,IF(10&lt;cc_nb,(rs_cc*SIN((2*PI()*10/cc_nb+gov_turn*PI()/cc_nb)))+(cc_phi/2)*-1.000000,NA()),NA())</f>
        <v/>
      </c>
      <c r="AO9">
        <f>IF(10&lt;cc_nb,(rs_cc*COS((2*PI()*10/cc_nb+gov_turn*PI()/cc_nb)))+(cc_phi/2)*0.000000,NA())</f>
        <v/>
      </c>
      <c r="AQ9">
        <f>IF(inputs_ok,IF(11&lt;cc_nb,(rs_cc*SIN((2*PI()*11/cc_nb+gov_turn*PI()/cc_nb)))+(cc_phi/2)*-1.000000,NA()),NA())</f>
        <v/>
      </c>
      <c r="AR9">
        <f>IF(11&lt;cc_nb,(rs_cc*COS((2*PI()*11/cc_nb+gov_turn*PI()/cc_nb)))+(cc_phi/2)*0.000000,NA())</f>
        <v/>
      </c>
      <c r="AT9">
        <f>IF(inputs_ok,IF(12&lt;cc_nb,(rs_cc*SIN((2*PI()*12/cc_nb+gov_turn*PI()/cc_nb)))+(cc_phi/2)*-1.000000,NA()),NA())</f>
        <v/>
      </c>
      <c r="AU9">
        <f>IF(12&lt;cc_nb,(rs_cc*COS((2*PI()*12/cc_nb+gov_turn*PI()/cc_nb)))+(cc_phi/2)*0.000000,NA())</f>
        <v/>
      </c>
      <c r="AW9">
        <f>IF(inputs_ok,IF(13&lt;cc_nb,(rs_cc*SIN((2*PI()*13/cc_nb+gov_turn*PI()/cc_nb)))+(cc_phi/2)*-1.000000,NA()),NA())</f>
        <v/>
      </c>
      <c r="AX9">
        <f>IF(13&lt;cc_nb,(rs_cc*COS((2*PI()*13/cc_nb+gov_turn*PI()/cc_nb)))+(cc_phi/2)*0.000000,NA())</f>
        <v/>
      </c>
      <c r="AZ9">
        <f>IF(inputs_ok,IF(14&lt;cc_nb,(rs_cc*SIN((2*PI()*14/cc_nb+gov_turn*PI()/cc_nb)))+(cc_phi/2)*-1.000000,NA()),NA())</f>
        <v/>
      </c>
      <c r="BA9">
        <f>IF(14&lt;cc_nb,(rs_cc*COS((2*PI()*14/cc_nb+gov_turn*PI()/cc_nb)))+(cc_phi/2)*0.000000,NA())</f>
        <v/>
      </c>
      <c r="BC9">
        <f>IF(inputs_ok,IF(15&lt;cc_nb,(rs_cc*SIN((2*PI()*15/cc_nb+gov_turn*PI()/cc_nb)))+(cc_phi/2)*-1.000000,NA()),NA())</f>
        <v/>
      </c>
      <c r="BD9">
        <f>IF(15&lt;cc_nb,(rs_cc*COS((2*PI()*15/cc_nb+gov_turn*PI()/cc_nb)))+(cc_phi/2)*0.000000,NA())</f>
        <v/>
      </c>
      <c r="BF9">
        <f>IF(inputs_ok,IF(16&lt;cc_nb,(rs_cc*SIN((2*PI()*16/cc_nb+gov_turn*PI()/cc_nb)))+(cc_phi/2)*-1.000000,NA()),NA())</f>
        <v/>
      </c>
      <c r="BG9">
        <f>IF(16&lt;cc_nb,(rs_cc*COS((2*PI()*16/cc_nb+gov_turn*PI()/cc_nb)))+(cc_phi/2)*0.000000,NA())</f>
        <v/>
      </c>
      <c r="BI9">
        <f>IF(inputs_ok,IF(17&lt;cc_nb,(rs_cc*SIN((2*PI()*17/cc_nb+gov_turn*PI()/cc_nb)))+(cc_phi/2)*-1.000000,NA()),NA())</f>
        <v/>
      </c>
      <c r="BJ9">
        <f>IF(17&lt;cc_nb,(rs_cc*COS((2*PI()*17/cc_nb+gov_turn*PI()/cc_nb)))+(cc_phi/2)*0.000000,NA())</f>
        <v/>
      </c>
      <c r="BL9">
        <f>IF(inputs_ok,IF(18&lt;cc_nb,(rs_cc*SIN((2*PI()*18/cc_nb+gov_turn*PI()/cc_nb)))+(cc_phi/2)*-1.000000,NA()),NA())</f>
        <v/>
      </c>
      <c r="BM9">
        <f>IF(18&lt;cc_nb,(rs_cc*COS((2*PI()*18/cc_nb+gov_turn*PI()/cc_nb)))+(cc_phi/2)*0.000000,NA())</f>
        <v/>
      </c>
      <c r="BO9">
        <f>IF(inputs_ok,IF(19&lt;cc_nb,(rs_cc*SIN((2*PI()*19/cc_nb+gov_turn*PI()/cc_nb)))+(cc_phi/2)*-1.000000,NA()),NA())</f>
        <v/>
      </c>
      <c r="BP9">
        <f>IF(19&lt;cc_nb,(rs_cc*COS((2*PI()*19/cc_nb+gov_turn*PI()/cc_nb)))+(cc_phi/2)*0.000000,NA())</f>
        <v/>
      </c>
      <c r="BR9">
        <f>IF(inputs_ok,IF(20&lt;cc_nb,(rs_cc*SIN((2*PI()*20/cc_nb+gov_turn*PI()/cc_nb)))+(cc_phi/2)*-1.000000,NA()),NA())</f>
        <v/>
      </c>
      <c r="BS9">
        <f>IF(20&lt;cc_nb,(rs_cc*COS((2*PI()*20/cc_nb+gov_turn*PI()/cc_nb)))+(cc_phi/2)*0.000000,NA())</f>
        <v/>
      </c>
      <c r="BU9">
        <f>IF(inputs_ok,IF(21&lt;cc_nb,(rs_cc*SIN((2*PI()*21/cc_nb+gov_turn*PI()/cc_nb)))+(cc_phi/2)*-1.000000,NA()),NA())</f>
        <v/>
      </c>
      <c r="BV9">
        <f>IF(21&lt;cc_nb,(rs_cc*COS((2*PI()*21/cc_nb+gov_turn*PI()/cc_nb)))+(cc_phi/2)*0.000000,NA())</f>
        <v/>
      </c>
      <c r="BX9">
        <f>IF(inputs_ok,IF(22&lt;cc_nb,(rs_cc*SIN((2*PI()*22/cc_nb+gov_turn*PI()/cc_nb)))+(cc_phi/2)*-1.000000,NA()),NA())</f>
        <v/>
      </c>
      <c r="BY9">
        <f>IF(22&lt;cc_nb,(rs_cc*COS((2*PI()*22/cc_nb+gov_turn*PI()/cc_nb)))+(cc_phi/2)*0.000000,NA())</f>
        <v/>
      </c>
      <c r="CA9">
        <f>IF(inputs_ok,IF(23&lt;cc_nb,(rs_cc*SIN((2*PI()*23/cc_nb+gov_turn*PI()/cc_nb)))+(cc_phi/2)*-1.000000,NA()),NA())</f>
        <v/>
      </c>
      <c r="CB9">
        <f>IF(23&lt;cc_nb,(rs_cc*COS((2*PI()*23/cc_nb+gov_turn*PI()/cc_nb)))+(cc_phi/2)*0.000000,NA())</f>
        <v/>
      </c>
      <c r="DN9">
        <f>IF(inputs_ok,INDEX(nmA_M,7)*1.5/Mpk_cc,NA())</f>
        <v/>
      </c>
      <c r="DO9">
        <f>INDEX(nmA_N,7)/NRdmax_cc</f>
        <v/>
      </c>
      <c r="DQ9">
        <f>IF(inputs_ok,INDEX(nmB_M,7)*1.5/Mpk_cc,NA())</f>
        <v/>
      </c>
      <c r="DR9">
        <f>INDEX(nmB_N,7)/NRdmax_cc</f>
        <v/>
      </c>
    </row>
    <row r="10">
      <c r="D10">
        <f>IF(inputs_ok,(0)+((cc_D/2))*0.608761,NA())</f>
        <v/>
      </c>
      <c r="E10">
        <f>(0)+((cc_D/2))*0.793353</f>
        <v/>
      </c>
      <c r="G10">
        <f>IF(inputs_ok,(0)+(((cc_D/2)-cc_c-cc_phiw/2))*0.608761,NA())</f>
        <v/>
      </c>
      <c r="H10">
        <f>(0)+(((cc_D/2)-cc_c-cc_phiw/2))*0.793353</f>
        <v/>
      </c>
      <c r="J10">
        <f>IF(inputs_ok,IF(0&lt;cc_nb,(rs_cc*SIN((2*PI()*0/cc_nb+gov_turn*PI()/cc_nb)))+(cc_phi/2)*-0.866025,NA()),NA())</f>
        <v/>
      </c>
      <c r="K10">
        <f>IF(0&lt;cc_nb,(rs_cc*COS((2*PI()*0/cc_nb+gov_turn*PI()/cc_nb)))+(cc_phi/2)*-0.500000,NA())</f>
        <v/>
      </c>
      <c r="M10">
        <f>IF(inputs_ok,IF(1&lt;cc_nb,(rs_cc*SIN((2*PI()*1/cc_nb+gov_turn*PI()/cc_nb)))+(cc_phi/2)*-0.866025,NA()),NA())</f>
        <v/>
      </c>
      <c r="N10">
        <f>IF(1&lt;cc_nb,(rs_cc*COS((2*PI()*1/cc_nb+gov_turn*PI()/cc_nb)))+(cc_phi/2)*-0.500000,NA())</f>
        <v/>
      </c>
      <c r="P10">
        <f>IF(inputs_ok,IF(2&lt;cc_nb,(rs_cc*SIN((2*PI()*2/cc_nb+gov_turn*PI()/cc_nb)))+(cc_phi/2)*-0.866025,NA()),NA())</f>
        <v/>
      </c>
      <c r="Q10">
        <f>IF(2&lt;cc_nb,(rs_cc*COS((2*PI()*2/cc_nb+gov_turn*PI()/cc_nb)))+(cc_phi/2)*-0.500000,NA())</f>
        <v/>
      </c>
      <c r="S10">
        <f>IF(inputs_ok,IF(3&lt;cc_nb,(rs_cc*SIN((2*PI()*3/cc_nb+gov_turn*PI()/cc_nb)))+(cc_phi/2)*-0.866025,NA()),NA())</f>
        <v/>
      </c>
      <c r="T10">
        <f>IF(3&lt;cc_nb,(rs_cc*COS((2*PI()*3/cc_nb+gov_turn*PI()/cc_nb)))+(cc_phi/2)*-0.500000,NA())</f>
        <v/>
      </c>
      <c r="V10">
        <f>IF(inputs_ok,IF(4&lt;cc_nb,(rs_cc*SIN((2*PI()*4/cc_nb+gov_turn*PI()/cc_nb)))+(cc_phi/2)*-0.866025,NA()),NA())</f>
        <v/>
      </c>
      <c r="W10">
        <f>IF(4&lt;cc_nb,(rs_cc*COS((2*PI()*4/cc_nb+gov_turn*PI()/cc_nb)))+(cc_phi/2)*-0.500000,NA())</f>
        <v/>
      </c>
      <c r="Y10">
        <f>IF(inputs_ok,IF(5&lt;cc_nb,(rs_cc*SIN((2*PI()*5/cc_nb+gov_turn*PI()/cc_nb)))+(cc_phi/2)*-0.866025,NA()),NA())</f>
        <v/>
      </c>
      <c r="Z10">
        <f>IF(5&lt;cc_nb,(rs_cc*COS((2*PI()*5/cc_nb+gov_turn*PI()/cc_nb)))+(cc_phi/2)*-0.500000,NA())</f>
        <v/>
      </c>
      <c r="AB10">
        <f>IF(inputs_ok,IF(6&lt;cc_nb,(rs_cc*SIN((2*PI()*6/cc_nb+gov_turn*PI()/cc_nb)))+(cc_phi/2)*-0.866025,NA()),NA())</f>
        <v/>
      </c>
      <c r="AC10">
        <f>IF(6&lt;cc_nb,(rs_cc*COS((2*PI()*6/cc_nb+gov_turn*PI()/cc_nb)))+(cc_phi/2)*-0.500000,NA())</f>
        <v/>
      </c>
      <c r="AE10">
        <f>IF(inputs_ok,IF(7&lt;cc_nb,(rs_cc*SIN((2*PI()*7/cc_nb+gov_turn*PI()/cc_nb)))+(cc_phi/2)*-0.866025,NA()),NA())</f>
        <v/>
      </c>
      <c r="AF10">
        <f>IF(7&lt;cc_nb,(rs_cc*COS((2*PI()*7/cc_nb+gov_turn*PI()/cc_nb)))+(cc_phi/2)*-0.500000,NA())</f>
        <v/>
      </c>
      <c r="AH10">
        <f>IF(inputs_ok,IF(8&lt;cc_nb,(rs_cc*SIN((2*PI()*8/cc_nb+gov_turn*PI()/cc_nb)))+(cc_phi/2)*-0.866025,NA()),NA())</f>
        <v/>
      </c>
      <c r="AI10">
        <f>IF(8&lt;cc_nb,(rs_cc*COS((2*PI()*8/cc_nb+gov_turn*PI()/cc_nb)))+(cc_phi/2)*-0.500000,NA())</f>
        <v/>
      </c>
      <c r="AK10">
        <f>IF(inputs_ok,IF(9&lt;cc_nb,(rs_cc*SIN((2*PI()*9/cc_nb+gov_turn*PI()/cc_nb)))+(cc_phi/2)*-0.866025,NA()),NA())</f>
        <v/>
      </c>
      <c r="AL10">
        <f>IF(9&lt;cc_nb,(rs_cc*COS((2*PI()*9/cc_nb+gov_turn*PI()/cc_nb)))+(cc_phi/2)*-0.500000,NA())</f>
        <v/>
      </c>
      <c r="AN10">
        <f>IF(inputs_ok,IF(10&lt;cc_nb,(rs_cc*SIN((2*PI()*10/cc_nb+gov_turn*PI()/cc_nb)))+(cc_phi/2)*-0.866025,NA()),NA())</f>
        <v/>
      </c>
      <c r="AO10">
        <f>IF(10&lt;cc_nb,(rs_cc*COS((2*PI()*10/cc_nb+gov_turn*PI()/cc_nb)))+(cc_phi/2)*-0.500000,NA())</f>
        <v/>
      </c>
      <c r="AQ10">
        <f>IF(inputs_ok,IF(11&lt;cc_nb,(rs_cc*SIN((2*PI()*11/cc_nb+gov_turn*PI()/cc_nb)))+(cc_phi/2)*-0.866025,NA()),NA())</f>
        <v/>
      </c>
      <c r="AR10">
        <f>IF(11&lt;cc_nb,(rs_cc*COS((2*PI()*11/cc_nb+gov_turn*PI()/cc_nb)))+(cc_phi/2)*-0.500000,NA())</f>
        <v/>
      </c>
      <c r="AT10">
        <f>IF(inputs_ok,IF(12&lt;cc_nb,(rs_cc*SIN((2*PI()*12/cc_nb+gov_turn*PI()/cc_nb)))+(cc_phi/2)*-0.866025,NA()),NA())</f>
        <v/>
      </c>
      <c r="AU10">
        <f>IF(12&lt;cc_nb,(rs_cc*COS((2*PI()*12/cc_nb+gov_turn*PI()/cc_nb)))+(cc_phi/2)*-0.500000,NA())</f>
        <v/>
      </c>
      <c r="AW10">
        <f>IF(inputs_ok,IF(13&lt;cc_nb,(rs_cc*SIN((2*PI()*13/cc_nb+gov_turn*PI()/cc_nb)))+(cc_phi/2)*-0.866025,NA()),NA())</f>
        <v/>
      </c>
      <c r="AX10">
        <f>IF(13&lt;cc_nb,(rs_cc*COS((2*PI()*13/cc_nb+gov_turn*PI()/cc_nb)))+(cc_phi/2)*-0.500000,NA())</f>
        <v/>
      </c>
      <c r="AZ10">
        <f>IF(inputs_ok,IF(14&lt;cc_nb,(rs_cc*SIN((2*PI()*14/cc_nb+gov_turn*PI()/cc_nb)))+(cc_phi/2)*-0.866025,NA()),NA())</f>
        <v/>
      </c>
      <c r="BA10">
        <f>IF(14&lt;cc_nb,(rs_cc*COS((2*PI()*14/cc_nb+gov_turn*PI()/cc_nb)))+(cc_phi/2)*-0.500000,NA())</f>
        <v/>
      </c>
      <c r="BC10">
        <f>IF(inputs_ok,IF(15&lt;cc_nb,(rs_cc*SIN((2*PI()*15/cc_nb+gov_turn*PI()/cc_nb)))+(cc_phi/2)*-0.866025,NA()),NA())</f>
        <v/>
      </c>
      <c r="BD10">
        <f>IF(15&lt;cc_nb,(rs_cc*COS((2*PI()*15/cc_nb+gov_turn*PI()/cc_nb)))+(cc_phi/2)*-0.500000,NA())</f>
        <v/>
      </c>
      <c r="BF10">
        <f>IF(inputs_ok,IF(16&lt;cc_nb,(rs_cc*SIN((2*PI()*16/cc_nb+gov_turn*PI()/cc_nb)))+(cc_phi/2)*-0.866025,NA()),NA())</f>
        <v/>
      </c>
      <c r="BG10">
        <f>IF(16&lt;cc_nb,(rs_cc*COS((2*PI()*16/cc_nb+gov_turn*PI()/cc_nb)))+(cc_phi/2)*-0.500000,NA())</f>
        <v/>
      </c>
      <c r="BI10">
        <f>IF(inputs_ok,IF(17&lt;cc_nb,(rs_cc*SIN((2*PI()*17/cc_nb+gov_turn*PI()/cc_nb)))+(cc_phi/2)*-0.866025,NA()),NA())</f>
        <v/>
      </c>
      <c r="BJ10">
        <f>IF(17&lt;cc_nb,(rs_cc*COS((2*PI()*17/cc_nb+gov_turn*PI()/cc_nb)))+(cc_phi/2)*-0.500000,NA())</f>
        <v/>
      </c>
      <c r="BL10">
        <f>IF(inputs_ok,IF(18&lt;cc_nb,(rs_cc*SIN((2*PI()*18/cc_nb+gov_turn*PI()/cc_nb)))+(cc_phi/2)*-0.866025,NA()),NA())</f>
        <v/>
      </c>
      <c r="BM10">
        <f>IF(18&lt;cc_nb,(rs_cc*COS((2*PI()*18/cc_nb+gov_turn*PI()/cc_nb)))+(cc_phi/2)*-0.500000,NA())</f>
        <v/>
      </c>
      <c r="BO10">
        <f>IF(inputs_ok,IF(19&lt;cc_nb,(rs_cc*SIN((2*PI()*19/cc_nb+gov_turn*PI()/cc_nb)))+(cc_phi/2)*-0.866025,NA()),NA())</f>
        <v/>
      </c>
      <c r="BP10">
        <f>IF(19&lt;cc_nb,(rs_cc*COS((2*PI()*19/cc_nb+gov_turn*PI()/cc_nb)))+(cc_phi/2)*-0.500000,NA())</f>
        <v/>
      </c>
      <c r="BR10">
        <f>IF(inputs_ok,IF(20&lt;cc_nb,(rs_cc*SIN((2*PI()*20/cc_nb+gov_turn*PI()/cc_nb)))+(cc_phi/2)*-0.866025,NA()),NA())</f>
        <v/>
      </c>
      <c r="BS10">
        <f>IF(20&lt;cc_nb,(rs_cc*COS((2*PI()*20/cc_nb+gov_turn*PI()/cc_nb)))+(cc_phi/2)*-0.500000,NA())</f>
        <v/>
      </c>
      <c r="BU10">
        <f>IF(inputs_ok,IF(21&lt;cc_nb,(rs_cc*SIN((2*PI()*21/cc_nb+gov_turn*PI()/cc_nb)))+(cc_phi/2)*-0.866025,NA()),NA())</f>
        <v/>
      </c>
      <c r="BV10">
        <f>IF(21&lt;cc_nb,(rs_cc*COS((2*PI()*21/cc_nb+gov_turn*PI()/cc_nb)))+(cc_phi/2)*-0.500000,NA())</f>
        <v/>
      </c>
      <c r="BX10">
        <f>IF(inputs_ok,IF(22&lt;cc_nb,(rs_cc*SIN((2*PI()*22/cc_nb+gov_turn*PI()/cc_nb)))+(cc_phi/2)*-0.866025,NA()),NA())</f>
        <v/>
      </c>
      <c r="BY10">
        <f>IF(22&lt;cc_nb,(rs_cc*COS((2*PI()*22/cc_nb+gov_turn*PI()/cc_nb)))+(cc_phi/2)*-0.500000,NA())</f>
        <v/>
      </c>
      <c r="CA10">
        <f>IF(inputs_ok,IF(23&lt;cc_nb,(rs_cc*SIN((2*PI()*23/cc_nb+gov_turn*PI()/cc_nb)))+(cc_phi/2)*-0.866025,NA()),NA())</f>
        <v/>
      </c>
      <c r="CB10">
        <f>IF(23&lt;cc_nb,(rs_cc*COS((2*PI()*23/cc_nb+gov_turn*PI()/cc_nb)))+(cc_phi/2)*-0.500000,NA())</f>
        <v/>
      </c>
      <c r="DN10">
        <f>IF(inputs_ok,INDEX(nmA_M,8)*1.5/Mpk_cc,NA())</f>
        <v/>
      </c>
      <c r="DO10">
        <f>INDEX(nmA_N,8)/NRdmax_cc</f>
        <v/>
      </c>
      <c r="DQ10">
        <f>IF(inputs_ok,INDEX(nmB_M,8)*1.5/Mpk_cc,NA())</f>
        <v/>
      </c>
      <c r="DR10">
        <f>INDEX(nmB_N,8)/NRdmax_cc</f>
        <v/>
      </c>
    </row>
    <row r="11">
      <c r="D11">
        <f>IF(inputs_ok,(0)+((cc_D/2))*0.500000,NA())</f>
        <v/>
      </c>
      <c r="E11">
        <f>(0)+((cc_D/2))*0.866025</f>
        <v/>
      </c>
      <c r="G11">
        <f>IF(inputs_ok,(0)+(((cc_D/2)-cc_c-cc_phiw/2))*0.500000,NA())</f>
        <v/>
      </c>
      <c r="H11">
        <f>(0)+(((cc_D/2)-cc_c-cc_phiw/2))*0.866025</f>
        <v/>
      </c>
      <c r="J11">
        <f>IF(inputs_ok,IF(0&lt;cc_nb,(rs_cc*SIN((2*PI()*0/cc_nb+gov_turn*PI()/cc_nb)))+(cc_phi/2)*-0.500000,NA()),NA())</f>
        <v/>
      </c>
      <c r="K11">
        <f>IF(0&lt;cc_nb,(rs_cc*COS((2*PI()*0/cc_nb+gov_turn*PI()/cc_nb)))+(cc_phi/2)*-0.866025,NA())</f>
        <v/>
      </c>
      <c r="M11">
        <f>IF(inputs_ok,IF(1&lt;cc_nb,(rs_cc*SIN((2*PI()*1/cc_nb+gov_turn*PI()/cc_nb)))+(cc_phi/2)*-0.500000,NA()),NA())</f>
        <v/>
      </c>
      <c r="N11">
        <f>IF(1&lt;cc_nb,(rs_cc*COS((2*PI()*1/cc_nb+gov_turn*PI()/cc_nb)))+(cc_phi/2)*-0.866025,NA())</f>
        <v/>
      </c>
      <c r="P11">
        <f>IF(inputs_ok,IF(2&lt;cc_nb,(rs_cc*SIN((2*PI()*2/cc_nb+gov_turn*PI()/cc_nb)))+(cc_phi/2)*-0.500000,NA()),NA())</f>
        <v/>
      </c>
      <c r="Q11">
        <f>IF(2&lt;cc_nb,(rs_cc*COS((2*PI()*2/cc_nb+gov_turn*PI()/cc_nb)))+(cc_phi/2)*-0.866025,NA())</f>
        <v/>
      </c>
      <c r="S11">
        <f>IF(inputs_ok,IF(3&lt;cc_nb,(rs_cc*SIN((2*PI()*3/cc_nb+gov_turn*PI()/cc_nb)))+(cc_phi/2)*-0.500000,NA()),NA())</f>
        <v/>
      </c>
      <c r="T11">
        <f>IF(3&lt;cc_nb,(rs_cc*COS((2*PI()*3/cc_nb+gov_turn*PI()/cc_nb)))+(cc_phi/2)*-0.866025,NA())</f>
        <v/>
      </c>
      <c r="V11">
        <f>IF(inputs_ok,IF(4&lt;cc_nb,(rs_cc*SIN((2*PI()*4/cc_nb+gov_turn*PI()/cc_nb)))+(cc_phi/2)*-0.500000,NA()),NA())</f>
        <v/>
      </c>
      <c r="W11">
        <f>IF(4&lt;cc_nb,(rs_cc*COS((2*PI()*4/cc_nb+gov_turn*PI()/cc_nb)))+(cc_phi/2)*-0.866025,NA())</f>
        <v/>
      </c>
      <c r="Y11">
        <f>IF(inputs_ok,IF(5&lt;cc_nb,(rs_cc*SIN((2*PI()*5/cc_nb+gov_turn*PI()/cc_nb)))+(cc_phi/2)*-0.500000,NA()),NA())</f>
        <v/>
      </c>
      <c r="Z11">
        <f>IF(5&lt;cc_nb,(rs_cc*COS((2*PI()*5/cc_nb+gov_turn*PI()/cc_nb)))+(cc_phi/2)*-0.866025,NA())</f>
        <v/>
      </c>
      <c r="AB11">
        <f>IF(inputs_ok,IF(6&lt;cc_nb,(rs_cc*SIN((2*PI()*6/cc_nb+gov_turn*PI()/cc_nb)))+(cc_phi/2)*-0.500000,NA()),NA())</f>
        <v/>
      </c>
      <c r="AC11">
        <f>IF(6&lt;cc_nb,(rs_cc*COS((2*PI()*6/cc_nb+gov_turn*PI()/cc_nb)))+(cc_phi/2)*-0.866025,NA())</f>
        <v/>
      </c>
      <c r="AE11">
        <f>IF(inputs_ok,IF(7&lt;cc_nb,(rs_cc*SIN((2*PI()*7/cc_nb+gov_turn*PI()/cc_nb)))+(cc_phi/2)*-0.500000,NA()),NA())</f>
        <v/>
      </c>
      <c r="AF11">
        <f>IF(7&lt;cc_nb,(rs_cc*COS((2*PI()*7/cc_nb+gov_turn*PI()/cc_nb)))+(cc_phi/2)*-0.866025,NA())</f>
        <v/>
      </c>
      <c r="AH11">
        <f>IF(inputs_ok,IF(8&lt;cc_nb,(rs_cc*SIN((2*PI()*8/cc_nb+gov_turn*PI()/cc_nb)))+(cc_phi/2)*-0.500000,NA()),NA())</f>
        <v/>
      </c>
      <c r="AI11">
        <f>IF(8&lt;cc_nb,(rs_cc*COS((2*PI()*8/cc_nb+gov_turn*PI()/cc_nb)))+(cc_phi/2)*-0.866025,NA())</f>
        <v/>
      </c>
      <c r="AK11">
        <f>IF(inputs_ok,IF(9&lt;cc_nb,(rs_cc*SIN((2*PI()*9/cc_nb+gov_turn*PI()/cc_nb)))+(cc_phi/2)*-0.500000,NA()),NA())</f>
        <v/>
      </c>
      <c r="AL11">
        <f>IF(9&lt;cc_nb,(rs_cc*COS((2*PI()*9/cc_nb+gov_turn*PI()/cc_nb)))+(cc_phi/2)*-0.866025,NA())</f>
        <v/>
      </c>
      <c r="AN11">
        <f>IF(inputs_ok,IF(10&lt;cc_nb,(rs_cc*SIN((2*PI()*10/cc_nb+gov_turn*PI()/cc_nb)))+(cc_phi/2)*-0.500000,NA()),NA())</f>
        <v/>
      </c>
      <c r="AO11">
        <f>IF(10&lt;cc_nb,(rs_cc*COS((2*PI()*10/cc_nb+gov_turn*PI()/cc_nb)))+(cc_phi/2)*-0.866025,NA())</f>
        <v/>
      </c>
      <c r="AQ11">
        <f>IF(inputs_ok,IF(11&lt;cc_nb,(rs_cc*SIN((2*PI()*11/cc_nb+gov_turn*PI()/cc_nb)))+(cc_phi/2)*-0.500000,NA()),NA())</f>
        <v/>
      </c>
      <c r="AR11">
        <f>IF(11&lt;cc_nb,(rs_cc*COS((2*PI()*11/cc_nb+gov_turn*PI()/cc_nb)))+(cc_phi/2)*-0.866025,NA())</f>
        <v/>
      </c>
      <c r="AT11">
        <f>IF(inputs_ok,IF(12&lt;cc_nb,(rs_cc*SIN((2*PI()*12/cc_nb+gov_turn*PI()/cc_nb)))+(cc_phi/2)*-0.500000,NA()),NA())</f>
        <v/>
      </c>
      <c r="AU11">
        <f>IF(12&lt;cc_nb,(rs_cc*COS((2*PI()*12/cc_nb+gov_turn*PI()/cc_nb)))+(cc_phi/2)*-0.866025,NA())</f>
        <v/>
      </c>
      <c r="AW11">
        <f>IF(inputs_ok,IF(13&lt;cc_nb,(rs_cc*SIN((2*PI()*13/cc_nb+gov_turn*PI()/cc_nb)))+(cc_phi/2)*-0.500000,NA()),NA())</f>
        <v/>
      </c>
      <c r="AX11">
        <f>IF(13&lt;cc_nb,(rs_cc*COS((2*PI()*13/cc_nb+gov_turn*PI()/cc_nb)))+(cc_phi/2)*-0.866025,NA())</f>
        <v/>
      </c>
      <c r="AZ11">
        <f>IF(inputs_ok,IF(14&lt;cc_nb,(rs_cc*SIN((2*PI()*14/cc_nb+gov_turn*PI()/cc_nb)))+(cc_phi/2)*-0.500000,NA()),NA())</f>
        <v/>
      </c>
      <c r="BA11">
        <f>IF(14&lt;cc_nb,(rs_cc*COS((2*PI()*14/cc_nb+gov_turn*PI()/cc_nb)))+(cc_phi/2)*-0.866025,NA())</f>
        <v/>
      </c>
      <c r="BC11">
        <f>IF(inputs_ok,IF(15&lt;cc_nb,(rs_cc*SIN((2*PI()*15/cc_nb+gov_turn*PI()/cc_nb)))+(cc_phi/2)*-0.500000,NA()),NA())</f>
        <v/>
      </c>
      <c r="BD11">
        <f>IF(15&lt;cc_nb,(rs_cc*COS((2*PI()*15/cc_nb+gov_turn*PI()/cc_nb)))+(cc_phi/2)*-0.866025,NA())</f>
        <v/>
      </c>
      <c r="BF11">
        <f>IF(inputs_ok,IF(16&lt;cc_nb,(rs_cc*SIN((2*PI()*16/cc_nb+gov_turn*PI()/cc_nb)))+(cc_phi/2)*-0.500000,NA()),NA())</f>
        <v/>
      </c>
      <c r="BG11">
        <f>IF(16&lt;cc_nb,(rs_cc*COS((2*PI()*16/cc_nb+gov_turn*PI()/cc_nb)))+(cc_phi/2)*-0.866025,NA())</f>
        <v/>
      </c>
      <c r="BI11">
        <f>IF(inputs_ok,IF(17&lt;cc_nb,(rs_cc*SIN((2*PI()*17/cc_nb+gov_turn*PI()/cc_nb)))+(cc_phi/2)*-0.500000,NA()),NA())</f>
        <v/>
      </c>
      <c r="BJ11">
        <f>IF(17&lt;cc_nb,(rs_cc*COS((2*PI()*17/cc_nb+gov_turn*PI()/cc_nb)))+(cc_phi/2)*-0.866025,NA())</f>
        <v/>
      </c>
      <c r="BL11">
        <f>IF(inputs_ok,IF(18&lt;cc_nb,(rs_cc*SIN((2*PI()*18/cc_nb+gov_turn*PI()/cc_nb)))+(cc_phi/2)*-0.500000,NA()),NA())</f>
        <v/>
      </c>
      <c r="BM11">
        <f>IF(18&lt;cc_nb,(rs_cc*COS((2*PI()*18/cc_nb+gov_turn*PI()/cc_nb)))+(cc_phi/2)*-0.866025,NA())</f>
        <v/>
      </c>
      <c r="BO11">
        <f>IF(inputs_ok,IF(19&lt;cc_nb,(rs_cc*SIN((2*PI()*19/cc_nb+gov_turn*PI()/cc_nb)))+(cc_phi/2)*-0.500000,NA()),NA())</f>
        <v/>
      </c>
      <c r="BP11">
        <f>IF(19&lt;cc_nb,(rs_cc*COS((2*PI()*19/cc_nb+gov_turn*PI()/cc_nb)))+(cc_phi/2)*-0.866025,NA())</f>
        <v/>
      </c>
      <c r="BR11">
        <f>IF(inputs_ok,IF(20&lt;cc_nb,(rs_cc*SIN((2*PI()*20/cc_nb+gov_turn*PI()/cc_nb)))+(cc_phi/2)*-0.500000,NA()),NA())</f>
        <v/>
      </c>
      <c r="BS11">
        <f>IF(20&lt;cc_nb,(rs_cc*COS((2*PI()*20/cc_nb+gov_turn*PI()/cc_nb)))+(cc_phi/2)*-0.866025,NA())</f>
        <v/>
      </c>
      <c r="BU11">
        <f>IF(inputs_ok,IF(21&lt;cc_nb,(rs_cc*SIN((2*PI()*21/cc_nb+gov_turn*PI()/cc_nb)))+(cc_phi/2)*-0.500000,NA()),NA())</f>
        <v/>
      </c>
      <c r="BV11">
        <f>IF(21&lt;cc_nb,(rs_cc*COS((2*PI()*21/cc_nb+gov_turn*PI()/cc_nb)))+(cc_phi/2)*-0.866025,NA())</f>
        <v/>
      </c>
      <c r="BX11">
        <f>IF(inputs_ok,IF(22&lt;cc_nb,(rs_cc*SIN((2*PI()*22/cc_nb+gov_turn*PI()/cc_nb)))+(cc_phi/2)*-0.500000,NA()),NA())</f>
        <v/>
      </c>
      <c r="BY11">
        <f>IF(22&lt;cc_nb,(rs_cc*COS((2*PI()*22/cc_nb+gov_turn*PI()/cc_nb)))+(cc_phi/2)*-0.866025,NA())</f>
        <v/>
      </c>
      <c r="CA11">
        <f>IF(inputs_ok,IF(23&lt;cc_nb,(rs_cc*SIN((2*PI()*23/cc_nb+gov_turn*PI()/cc_nb)))+(cc_phi/2)*-0.500000,NA()),NA())</f>
        <v/>
      </c>
      <c r="CB11">
        <f>IF(23&lt;cc_nb,(rs_cc*COS((2*PI()*23/cc_nb+gov_turn*PI()/cc_nb)))+(cc_phi/2)*-0.866025,NA())</f>
        <v/>
      </c>
      <c r="DN11">
        <f>IF(inputs_ok,INDEX(nmA_M,9)*1.5/Mpk_cc,NA())</f>
        <v/>
      </c>
      <c r="DO11">
        <f>INDEX(nmA_N,9)/NRdmax_cc</f>
        <v/>
      </c>
      <c r="DQ11">
        <f>IF(inputs_ok,INDEX(nmB_M,9)*1.5/Mpk_cc,NA())</f>
        <v/>
      </c>
      <c r="DR11">
        <f>INDEX(nmB_N,9)/NRdmax_cc</f>
        <v/>
      </c>
    </row>
    <row r="12">
      <c r="D12">
        <f>IF(inputs_ok,(0)+((cc_D/2))*0.382683,NA())</f>
        <v/>
      </c>
      <c r="E12">
        <f>(0)+((cc_D/2))*0.923880</f>
        <v/>
      </c>
      <c r="G12">
        <f>IF(inputs_ok,(0)+(((cc_D/2)-cc_c-cc_phiw/2))*0.382683,NA())</f>
        <v/>
      </c>
      <c r="H12">
        <f>(0)+(((cc_D/2)-cc_c-cc_phiw/2))*0.923880</f>
        <v/>
      </c>
      <c r="J12">
        <f>IF(inputs_ok,IF(0&lt;cc_nb,(rs_cc*SIN((2*PI()*0/cc_nb+gov_turn*PI()/cc_nb)))+(cc_phi/2)*-0.000000,NA()),NA())</f>
        <v/>
      </c>
      <c r="K12">
        <f>IF(0&lt;cc_nb,(rs_cc*COS((2*PI()*0/cc_nb+gov_turn*PI()/cc_nb)))+(cc_phi/2)*-1.000000,NA())</f>
        <v/>
      </c>
      <c r="M12">
        <f>IF(inputs_ok,IF(1&lt;cc_nb,(rs_cc*SIN((2*PI()*1/cc_nb+gov_turn*PI()/cc_nb)))+(cc_phi/2)*-0.000000,NA()),NA())</f>
        <v/>
      </c>
      <c r="N12">
        <f>IF(1&lt;cc_nb,(rs_cc*COS((2*PI()*1/cc_nb+gov_turn*PI()/cc_nb)))+(cc_phi/2)*-1.000000,NA())</f>
        <v/>
      </c>
      <c r="P12">
        <f>IF(inputs_ok,IF(2&lt;cc_nb,(rs_cc*SIN((2*PI()*2/cc_nb+gov_turn*PI()/cc_nb)))+(cc_phi/2)*-0.000000,NA()),NA())</f>
        <v/>
      </c>
      <c r="Q12">
        <f>IF(2&lt;cc_nb,(rs_cc*COS((2*PI()*2/cc_nb+gov_turn*PI()/cc_nb)))+(cc_phi/2)*-1.000000,NA())</f>
        <v/>
      </c>
      <c r="S12">
        <f>IF(inputs_ok,IF(3&lt;cc_nb,(rs_cc*SIN((2*PI()*3/cc_nb+gov_turn*PI()/cc_nb)))+(cc_phi/2)*-0.000000,NA()),NA())</f>
        <v/>
      </c>
      <c r="T12">
        <f>IF(3&lt;cc_nb,(rs_cc*COS((2*PI()*3/cc_nb+gov_turn*PI()/cc_nb)))+(cc_phi/2)*-1.000000,NA())</f>
        <v/>
      </c>
      <c r="V12">
        <f>IF(inputs_ok,IF(4&lt;cc_nb,(rs_cc*SIN((2*PI()*4/cc_nb+gov_turn*PI()/cc_nb)))+(cc_phi/2)*-0.000000,NA()),NA())</f>
        <v/>
      </c>
      <c r="W12">
        <f>IF(4&lt;cc_nb,(rs_cc*COS((2*PI()*4/cc_nb+gov_turn*PI()/cc_nb)))+(cc_phi/2)*-1.000000,NA())</f>
        <v/>
      </c>
      <c r="Y12">
        <f>IF(inputs_ok,IF(5&lt;cc_nb,(rs_cc*SIN((2*PI()*5/cc_nb+gov_turn*PI()/cc_nb)))+(cc_phi/2)*-0.000000,NA()),NA())</f>
        <v/>
      </c>
      <c r="Z12">
        <f>IF(5&lt;cc_nb,(rs_cc*COS((2*PI()*5/cc_nb+gov_turn*PI()/cc_nb)))+(cc_phi/2)*-1.000000,NA())</f>
        <v/>
      </c>
      <c r="AB12">
        <f>IF(inputs_ok,IF(6&lt;cc_nb,(rs_cc*SIN((2*PI()*6/cc_nb+gov_turn*PI()/cc_nb)))+(cc_phi/2)*-0.000000,NA()),NA())</f>
        <v/>
      </c>
      <c r="AC12">
        <f>IF(6&lt;cc_nb,(rs_cc*COS((2*PI()*6/cc_nb+gov_turn*PI()/cc_nb)))+(cc_phi/2)*-1.000000,NA())</f>
        <v/>
      </c>
      <c r="AE12">
        <f>IF(inputs_ok,IF(7&lt;cc_nb,(rs_cc*SIN((2*PI()*7/cc_nb+gov_turn*PI()/cc_nb)))+(cc_phi/2)*-0.000000,NA()),NA())</f>
        <v/>
      </c>
      <c r="AF12">
        <f>IF(7&lt;cc_nb,(rs_cc*COS((2*PI()*7/cc_nb+gov_turn*PI()/cc_nb)))+(cc_phi/2)*-1.000000,NA())</f>
        <v/>
      </c>
      <c r="AH12">
        <f>IF(inputs_ok,IF(8&lt;cc_nb,(rs_cc*SIN((2*PI()*8/cc_nb+gov_turn*PI()/cc_nb)))+(cc_phi/2)*-0.000000,NA()),NA())</f>
        <v/>
      </c>
      <c r="AI12">
        <f>IF(8&lt;cc_nb,(rs_cc*COS((2*PI()*8/cc_nb+gov_turn*PI()/cc_nb)))+(cc_phi/2)*-1.000000,NA())</f>
        <v/>
      </c>
      <c r="AK12">
        <f>IF(inputs_ok,IF(9&lt;cc_nb,(rs_cc*SIN((2*PI()*9/cc_nb+gov_turn*PI()/cc_nb)))+(cc_phi/2)*-0.000000,NA()),NA())</f>
        <v/>
      </c>
      <c r="AL12">
        <f>IF(9&lt;cc_nb,(rs_cc*COS((2*PI()*9/cc_nb+gov_turn*PI()/cc_nb)))+(cc_phi/2)*-1.000000,NA())</f>
        <v/>
      </c>
      <c r="AN12">
        <f>IF(inputs_ok,IF(10&lt;cc_nb,(rs_cc*SIN((2*PI()*10/cc_nb+gov_turn*PI()/cc_nb)))+(cc_phi/2)*-0.000000,NA()),NA())</f>
        <v/>
      </c>
      <c r="AO12">
        <f>IF(10&lt;cc_nb,(rs_cc*COS((2*PI()*10/cc_nb+gov_turn*PI()/cc_nb)))+(cc_phi/2)*-1.000000,NA())</f>
        <v/>
      </c>
      <c r="AQ12">
        <f>IF(inputs_ok,IF(11&lt;cc_nb,(rs_cc*SIN((2*PI()*11/cc_nb+gov_turn*PI()/cc_nb)))+(cc_phi/2)*-0.000000,NA()),NA())</f>
        <v/>
      </c>
      <c r="AR12">
        <f>IF(11&lt;cc_nb,(rs_cc*COS((2*PI()*11/cc_nb+gov_turn*PI()/cc_nb)))+(cc_phi/2)*-1.000000,NA())</f>
        <v/>
      </c>
      <c r="AT12">
        <f>IF(inputs_ok,IF(12&lt;cc_nb,(rs_cc*SIN((2*PI()*12/cc_nb+gov_turn*PI()/cc_nb)))+(cc_phi/2)*-0.000000,NA()),NA())</f>
        <v/>
      </c>
      <c r="AU12">
        <f>IF(12&lt;cc_nb,(rs_cc*COS((2*PI()*12/cc_nb+gov_turn*PI()/cc_nb)))+(cc_phi/2)*-1.000000,NA())</f>
        <v/>
      </c>
      <c r="AW12">
        <f>IF(inputs_ok,IF(13&lt;cc_nb,(rs_cc*SIN((2*PI()*13/cc_nb+gov_turn*PI()/cc_nb)))+(cc_phi/2)*-0.000000,NA()),NA())</f>
        <v/>
      </c>
      <c r="AX12">
        <f>IF(13&lt;cc_nb,(rs_cc*COS((2*PI()*13/cc_nb+gov_turn*PI()/cc_nb)))+(cc_phi/2)*-1.000000,NA())</f>
        <v/>
      </c>
      <c r="AZ12">
        <f>IF(inputs_ok,IF(14&lt;cc_nb,(rs_cc*SIN((2*PI()*14/cc_nb+gov_turn*PI()/cc_nb)))+(cc_phi/2)*-0.000000,NA()),NA())</f>
        <v/>
      </c>
      <c r="BA12">
        <f>IF(14&lt;cc_nb,(rs_cc*COS((2*PI()*14/cc_nb+gov_turn*PI()/cc_nb)))+(cc_phi/2)*-1.000000,NA())</f>
        <v/>
      </c>
      <c r="BC12">
        <f>IF(inputs_ok,IF(15&lt;cc_nb,(rs_cc*SIN((2*PI()*15/cc_nb+gov_turn*PI()/cc_nb)))+(cc_phi/2)*-0.000000,NA()),NA())</f>
        <v/>
      </c>
      <c r="BD12">
        <f>IF(15&lt;cc_nb,(rs_cc*COS((2*PI()*15/cc_nb+gov_turn*PI()/cc_nb)))+(cc_phi/2)*-1.000000,NA())</f>
        <v/>
      </c>
      <c r="BF12">
        <f>IF(inputs_ok,IF(16&lt;cc_nb,(rs_cc*SIN((2*PI()*16/cc_nb+gov_turn*PI()/cc_nb)))+(cc_phi/2)*-0.000000,NA()),NA())</f>
        <v/>
      </c>
      <c r="BG12">
        <f>IF(16&lt;cc_nb,(rs_cc*COS((2*PI()*16/cc_nb+gov_turn*PI()/cc_nb)))+(cc_phi/2)*-1.000000,NA())</f>
        <v/>
      </c>
      <c r="BI12">
        <f>IF(inputs_ok,IF(17&lt;cc_nb,(rs_cc*SIN((2*PI()*17/cc_nb+gov_turn*PI()/cc_nb)))+(cc_phi/2)*-0.000000,NA()),NA())</f>
        <v/>
      </c>
      <c r="BJ12">
        <f>IF(17&lt;cc_nb,(rs_cc*COS((2*PI()*17/cc_nb+gov_turn*PI()/cc_nb)))+(cc_phi/2)*-1.000000,NA())</f>
        <v/>
      </c>
      <c r="BL12">
        <f>IF(inputs_ok,IF(18&lt;cc_nb,(rs_cc*SIN((2*PI()*18/cc_nb+gov_turn*PI()/cc_nb)))+(cc_phi/2)*-0.000000,NA()),NA())</f>
        <v/>
      </c>
      <c r="BM12">
        <f>IF(18&lt;cc_nb,(rs_cc*COS((2*PI()*18/cc_nb+gov_turn*PI()/cc_nb)))+(cc_phi/2)*-1.000000,NA())</f>
        <v/>
      </c>
      <c r="BO12">
        <f>IF(inputs_ok,IF(19&lt;cc_nb,(rs_cc*SIN((2*PI()*19/cc_nb+gov_turn*PI()/cc_nb)))+(cc_phi/2)*-0.000000,NA()),NA())</f>
        <v/>
      </c>
      <c r="BP12">
        <f>IF(19&lt;cc_nb,(rs_cc*COS((2*PI()*19/cc_nb+gov_turn*PI()/cc_nb)))+(cc_phi/2)*-1.000000,NA())</f>
        <v/>
      </c>
      <c r="BR12">
        <f>IF(inputs_ok,IF(20&lt;cc_nb,(rs_cc*SIN((2*PI()*20/cc_nb+gov_turn*PI()/cc_nb)))+(cc_phi/2)*-0.000000,NA()),NA())</f>
        <v/>
      </c>
      <c r="BS12">
        <f>IF(20&lt;cc_nb,(rs_cc*COS((2*PI()*20/cc_nb+gov_turn*PI()/cc_nb)))+(cc_phi/2)*-1.000000,NA())</f>
        <v/>
      </c>
      <c r="BU12">
        <f>IF(inputs_ok,IF(21&lt;cc_nb,(rs_cc*SIN((2*PI()*21/cc_nb+gov_turn*PI()/cc_nb)))+(cc_phi/2)*-0.000000,NA()),NA())</f>
        <v/>
      </c>
      <c r="BV12">
        <f>IF(21&lt;cc_nb,(rs_cc*COS((2*PI()*21/cc_nb+gov_turn*PI()/cc_nb)))+(cc_phi/2)*-1.000000,NA())</f>
        <v/>
      </c>
      <c r="BX12">
        <f>IF(inputs_ok,IF(22&lt;cc_nb,(rs_cc*SIN((2*PI()*22/cc_nb+gov_turn*PI()/cc_nb)))+(cc_phi/2)*-0.000000,NA()),NA())</f>
        <v/>
      </c>
      <c r="BY12">
        <f>IF(22&lt;cc_nb,(rs_cc*COS((2*PI()*22/cc_nb+gov_turn*PI()/cc_nb)))+(cc_phi/2)*-1.000000,NA())</f>
        <v/>
      </c>
      <c r="CA12">
        <f>IF(inputs_ok,IF(23&lt;cc_nb,(rs_cc*SIN((2*PI()*23/cc_nb+gov_turn*PI()/cc_nb)))+(cc_phi/2)*-0.000000,NA()),NA())</f>
        <v/>
      </c>
      <c r="CB12">
        <f>IF(23&lt;cc_nb,(rs_cc*COS((2*PI()*23/cc_nb+gov_turn*PI()/cc_nb)))+(cc_phi/2)*-1.000000,NA())</f>
        <v/>
      </c>
      <c r="DN12">
        <f>IF(inputs_ok,INDEX(nmA_M,10)*1.5/Mpk_cc,NA())</f>
        <v/>
      </c>
      <c r="DO12">
        <f>INDEX(nmA_N,10)/NRdmax_cc</f>
        <v/>
      </c>
      <c r="DQ12">
        <f>IF(inputs_ok,INDEX(nmB_M,10)*1.5/Mpk_cc,NA())</f>
        <v/>
      </c>
      <c r="DR12">
        <f>INDEX(nmB_N,10)/NRdmax_cc</f>
        <v/>
      </c>
    </row>
    <row r="13">
      <c r="D13">
        <f>IF(inputs_ok,(0)+((cc_D/2))*0.258819,NA())</f>
        <v/>
      </c>
      <c r="E13">
        <f>(0)+((cc_D/2))*0.965926</f>
        <v/>
      </c>
      <c r="G13">
        <f>IF(inputs_ok,(0)+(((cc_D/2)-cc_c-cc_phiw/2))*0.258819,NA())</f>
        <v/>
      </c>
      <c r="H13">
        <f>(0)+(((cc_D/2)-cc_c-cc_phiw/2))*0.965926</f>
        <v/>
      </c>
      <c r="J13">
        <f>IF(inputs_ok,IF(0&lt;cc_nb,(rs_cc*SIN((2*PI()*0/cc_nb+gov_turn*PI()/cc_nb)))+(cc_phi/2)*0.500000,NA()),NA())</f>
        <v/>
      </c>
      <c r="K13">
        <f>IF(0&lt;cc_nb,(rs_cc*COS((2*PI()*0/cc_nb+gov_turn*PI()/cc_nb)))+(cc_phi/2)*-0.866025,NA())</f>
        <v/>
      </c>
      <c r="M13">
        <f>IF(inputs_ok,IF(1&lt;cc_nb,(rs_cc*SIN((2*PI()*1/cc_nb+gov_turn*PI()/cc_nb)))+(cc_phi/2)*0.500000,NA()),NA())</f>
        <v/>
      </c>
      <c r="N13">
        <f>IF(1&lt;cc_nb,(rs_cc*COS((2*PI()*1/cc_nb+gov_turn*PI()/cc_nb)))+(cc_phi/2)*-0.866025,NA())</f>
        <v/>
      </c>
      <c r="P13">
        <f>IF(inputs_ok,IF(2&lt;cc_nb,(rs_cc*SIN((2*PI()*2/cc_nb+gov_turn*PI()/cc_nb)))+(cc_phi/2)*0.500000,NA()),NA())</f>
        <v/>
      </c>
      <c r="Q13">
        <f>IF(2&lt;cc_nb,(rs_cc*COS((2*PI()*2/cc_nb+gov_turn*PI()/cc_nb)))+(cc_phi/2)*-0.866025,NA())</f>
        <v/>
      </c>
      <c r="S13">
        <f>IF(inputs_ok,IF(3&lt;cc_nb,(rs_cc*SIN((2*PI()*3/cc_nb+gov_turn*PI()/cc_nb)))+(cc_phi/2)*0.500000,NA()),NA())</f>
        <v/>
      </c>
      <c r="T13">
        <f>IF(3&lt;cc_nb,(rs_cc*COS((2*PI()*3/cc_nb+gov_turn*PI()/cc_nb)))+(cc_phi/2)*-0.866025,NA())</f>
        <v/>
      </c>
      <c r="V13">
        <f>IF(inputs_ok,IF(4&lt;cc_nb,(rs_cc*SIN((2*PI()*4/cc_nb+gov_turn*PI()/cc_nb)))+(cc_phi/2)*0.500000,NA()),NA())</f>
        <v/>
      </c>
      <c r="W13">
        <f>IF(4&lt;cc_nb,(rs_cc*COS((2*PI()*4/cc_nb+gov_turn*PI()/cc_nb)))+(cc_phi/2)*-0.866025,NA())</f>
        <v/>
      </c>
      <c r="Y13">
        <f>IF(inputs_ok,IF(5&lt;cc_nb,(rs_cc*SIN((2*PI()*5/cc_nb+gov_turn*PI()/cc_nb)))+(cc_phi/2)*0.500000,NA()),NA())</f>
        <v/>
      </c>
      <c r="Z13">
        <f>IF(5&lt;cc_nb,(rs_cc*COS((2*PI()*5/cc_nb+gov_turn*PI()/cc_nb)))+(cc_phi/2)*-0.866025,NA())</f>
        <v/>
      </c>
      <c r="AB13">
        <f>IF(inputs_ok,IF(6&lt;cc_nb,(rs_cc*SIN((2*PI()*6/cc_nb+gov_turn*PI()/cc_nb)))+(cc_phi/2)*0.500000,NA()),NA())</f>
        <v/>
      </c>
      <c r="AC13">
        <f>IF(6&lt;cc_nb,(rs_cc*COS((2*PI()*6/cc_nb+gov_turn*PI()/cc_nb)))+(cc_phi/2)*-0.866025,NA())</f>
        <v/>
      </c>
      <c r="AE13">
        <f>IF(inputs_ok,IF(7&lt;cc_nb,(rs_cc*SIN((2*PI()*7/cc_nb+gov_turn*PI()/cc_nb)))+(cc_phi/2)*0.500000,NA()),NA())</f>
        <v/>
      </c>
      <c r="AF13">
        <f>IF(7&lt;cc_nb,(rs_cc*COS((2*PI()*7/cc_nb+gov_turn*PI()/cc_nb)))+(cc_phi/2)*-0.866025,NA())</f>
        <v/>
      </c>
      <c r="AH13">
        <f>IF(inputs_ok,IF(8&lt;cc_nb,(rs_cc*SIN((2*PI()*8/cc_nb+gov_turn*PI()/cc_nb)))+(cc_phi/2)*0.500000,NA()),NA())</f>
        <v/>
      </c>
      <c r="AI13">
        <f>IF(8&lt;cc_nb,(rs_cc*COS((2*PI()*8/cc_nb+gov_turn*PI()/cc_nb)))+(cc_phi/2)*-0.866025,NA())</f>
        <v/>
      </c>
      <c r="AK13">
        <f>IF(inputs_ok,IF(9&lt;cc_nb,(rs_cc*SIN((2*PI()*9/cc_nb+gov_turn*PI()/cc_nb)))+(cc_phi/2)*0.500000,NA()),NA())</f>
        <v/>
      </c>
      <c r="AL13">
        <f>IF(9&lt;cc_nb,(rs_cc*COS((2*PI()*9/cc_nb+gov_turn*PI()/cc_nb)))+(cc_phi/2)*-0.866025,NA())</f>
        <v/>
      </c>
      <c r="AN13">
        <f>IF(inputs_ok,IF(10&lt;cc_nb,(rs_cc*SIN((2*PI()*10/cc_nb+gov_turn*PI()/cc_nb)))+(cc_phi/2)*0.500000,NA()),NA())</f>
        <v/>
      </c>
      <c r="AO13">
        <f>IF(10&lt;cc_nb,(rs_cc*COS((2*PI()*10/cc_nb+gov_turn*PI()/cc_nb)))+(cc_phi/2)*-0.866025,NA())</f>
        <v/>
      </c>
      <c r="AQ13">
        <f>IF(inputs_ok,IF(11&lt;cc_nb,(rs_cc*SIN((2*PI()*11/cc_nb+gov_turn*PI()/cc_nb)))+(cc_phi/2)*0.500000,NA()),NA())</f>
        <v/>
      </c>
      <c r="AR13">
        <f>IF(11&lt;cc_nb,(rs_cc*COS((2*PI()*11/cc_nb+gov_turn*PI()/cc_nb)))+(cc_phi/2)*-0.866025,NA())</f>
        <v/>
      </c>
      <c r="AT13">
        <f>IF(inputs_ok,IF(12&lt;cc_nb,(rs_cc*SIN((2*PI()*12/cc_nb+gov_turn*PI()/cc_nb)))+(cc_phi/2)*0.500000,NA()),NA())</f>
        <v/>
      </c>
      <c r="AU13">
        <f>IF(12&lt;cc_nb,(rs_cc*COS((2*PI()*12/cc_nb+gov_turn*PI()/cc_nb)))+(cc_phi/2)*-0.866025,NA())</f>
        <v/>
      </c>
      <c r="AW13">
        <f>IF(inputs_ok,IF(13&lt;cc_nb,(rs_cc*SIN((2*PI()*13/cc_nb+gov_turn*PI()/cc_nb)))+(cc_phi/2)*0.500000,NA()),NA())</f>
        <v/>
      </c>
      <c r="AX13">
        <f>IF(13&lt;cc_nb,(rs_cc*COS((2*PI()*13/cc_nb+gov_turn*PI()/cc_nb)))+(cc_phi/2)*-0.866025,NA())</f>
        <v/>
      </c>
      <c r="AZ13">
        <f>IF(inputs_ok,IF(14&lt;cc_nb,(rs_cc*SIN((2*PI()*14/cc_nb+gov_turn*PI()/cc_nb)))+(cc_phi/2)*0.500000,NA()),NA())</f>
        <v/>
      </c>
      <c r="BA13">
        <f>IF(14&lt;cc_nb,(rs_cc*COS((2*PI()*14/cc_nb+gov_turn*PI()/cc_nb)))+(cc_phi/2)*-0.866025,NA())</f>
        <v/>
      </c>
      <c r="BC13">
        <f>IF(inputs_ok,IF(15&lt;cc_nb,(rs_cc*SIN((2*PI()*15/cc_nb+gov_turn*PI()/cc_nb)))+(cc_phi/2)*0.500000,NA()),NA())</f>
        <v/>
      </c>
      <c r="BD13">
        <f>IF(15&lt;cc_nb,(rs_cc*COS((2*PI()*15/cc_nb+gov_turn*PI()/cc_nb)))+(cc_phi/2)*-0.866025,NA())</f>
        <v/>
      </c>
      <c r="BF13">
        <f>IF(inputs_ok,IF(16&lt;cc_nb,(rs_cc*SIN((2*PI()*16/cc_nb+gov_turn*PI()/cc_nb)))+(cc_phi/2)*0.500000,NA()),NA())</f>
        <v/>
      </c>
      <c r="BG13">
        <f>IF(16&lt;cc_nb,(rs_cc*COS((2*PI()*16/cc_nb+gov_turn*PI()/cc_nb)))+(cc_phi/2)*-0.866025,NA())</f>
        <v/>
      </c>
      <c r="BI13">
        <f>IF(inputs_ok,IF(17&lt;cc_nb,(rs_cc*SIN((2*PI()*17/cc_nb+gov_turn*PI()/cc_nb)))+(cc_phi/2)*0.500000,NA()),NA())</f>
        <v/>
      </c>
      <c r="BJ13">
        <f>IF(17&lt;cc_nb,(rs_cc*COS((2*PI()*17/cc_nb+gov_turn*PI()/cc_nb)))+(cc_phi/2)*-0.866025,NA())</f>
        <v/>
      </c>
      <c r="BL13">
        <f>IF(inputs_ok,IF(18&lt;cc_nb,(rs_cc*SIN((2*PI()*18/cc_nb+gov_turn*PI()/cc_nb)))+(cc_phi/2)*0.500000,NA()),NA())</f>
        <v/>
      </c>
      <c r="BM13">
        <f>IF(18&lt;cc_nb,(rs_cc*COS((2*PI()*18/cc_nb+gov_turn*PI()/cc_nb)))+(cc_phi/2)*-0.866025,NA())</f>
        <v/>
      </c>
      <c r="BO13">
        <f>IF(inputs_ok,IF(19&lt;cc_nb,(rs_cc*SIN((2*PI()*19/cc_nb+gov_turn*PI()/cc_nb)))+(cc_phi/2)*0.500000,NA()),NA())</f>
        <v/>
      </c>
      <c r="BP13">
        <f>IF(19&lt;cc_nb,(rs_cc*COS((2*PI()*19/cc_nb+gov_turn*PI()/cc_nb)))+(cc_phi/2)*-0.866025,NA())</f>
        <v/>
      </c>
      <c r="BR13">
        <f>IF(inputs_ok,IF(20&lt;cc_nb,(rs_cc*SIN((2*PI()*20/cc_nb+gov_turn*PI()/cc_nb)))+(cc_phi/2)*0.500000,NA()),NA())</f>
        <v/>
      </c>
      <c r="BS13">
        <f>IF(20&lt;cc_nb,(rs_cc*COS((2*PI()*20/cc_nb+gov_turn*PI()/cc_nb)))+(cc_phi/2)*-0.866025,NA())</f>
        <v/>
      </c>
      <c r="BU13">
        <f>IF(inputs_ok,IF(21&lt;cc_nb,(rs_cc*SIN((2*PI()*21/cc_nb+gov_turn*PI()/cc_nb)))+(cc_phi/2)*0.500000,NA()),NA())</f>
        <v/>
      </c>
      <c r="BV13">
        <f>IF(21&lt;cc_nb,(rs_cc*COS((2*PI()*21/cc_nb+gov_turn*PI()/cc_nb)))+(cc_phi/2)*-0.866025,NA())</f>
        <v/>
      </c>
      <c r="BX13">
        <f>IF(inputs_ok,IF(22&lt;cc_nb,(rs_cc*SIN((2*PI()*22/cc_nb+gov_turn*PI()/cc_nb)))+(cc_phi/2)*0.500000,NA()),NA())</f>
        <v/>
      </c>
      <c r="BY13">
        <f>IF(22&lt;cc_nb,(rs_cc*COS((2*PI()*22/cc_nb+gov_turn*PI()/cc_nb)))+(cc_phi/2)*-0.866025,NA())</f>
        <v/>
      </c>
      <c r="CA13">
        <f>IF(inputs_ok,IF(23&lt;cc_nb,(rs_cc*SIN((2*PI()*23/cc_nb+gov_turn*PI()/cc_nb)))+(cc_phi/2)*0.500000,NA()),NA())</f>
        <v/>
      </c>
      <c r="CB13">
        <f>IF(23&lt;cc_nb,(rs_cc*COS((2*PI()*23/cc_nb+gov_turn*PI()/cc_nb)))+(cc_phi/2)*-0.866025,NA())</f>
        <v/>
      </c>
      <c r="DN13">
        <f>IF(inputs_ok,INDEX(nmA_M,11)*1.5/Mpk_cc,NA())</f>
        <v/>
      </c>
      <c r="DO13">
        <f>INDEX(nmA_N,11)/NRdmax_cc</f>
        <v/>
      </c>
      <c r="DQ13">
        <f>IF(inputs_ok,INDEX(nmB_M,11)*1.5/Mpk_cc,NA())</f>
        <v/>
      </c>
      <c r="DR13">
        <f>INDEX(nmB_N,11)/NRdmax_cc</f>
        <v/>
      </c>
    </row>
    <row r="14">
      <c r="D14">
        <f>IF(inputs_ok,(0)+((cc_D/2))*0.130526,NA())</f>
        <v/>
      </c>
      <c r="E14">
        <f>(0)+((cc_D/2))*0.991445</f>
        <v/>
      </c>
      <c r="G14">
        <f>IF(inputs_ok,(0)+(((cc_D/2)-cc_c-cc_phiw/2))*0.130526,NA())</f>
        <v/>
      </c>
      <c r="H14">
        <f>(0)+(((cc_D/2)-cc_c-cc_phiw/2))*0.991445</f>
        <v/>
      </c>
      <c r="J14">
        <f>IF(inputs_ok,IF(0&lt;cc_nb,(rs_cc*SIN((2*PI()*0/cc_nb+gov_turn*PI()/cc_nb)))+(cc_phi/2)*0.866025,NA()),NA())</f>
        <v/>
      </c>
      <c r="K14">
        <f>IF(0&lt;cc_nb,(rs_cc*COS((2*PI()*0/cc_nb+gov_turn*PI()/cc_nb)))+(cc_phi/2)*-0.500000,NA())</f>
        <v/>
      </c>
      <c r="M14">
        <f>IF(inputs_ok,IF(1&lt;cc_nb,(rs_cc*SIN((2*PI()*1/cc_nb+gov_turn*PI()/cc_nb)))+(cc_phi/2)*0.866025,NA()),NA())</f>
        <v/>
      </c>
      <c r="N14">
        <f>IF(1&lt;cc_nb,(rs_cc*COS((2*PI()*1/cc_nb+gov_turn*PI()/cc_nb)))+(cc_phi/2)*-0.500000,NA())</f>
        <v/>
      </c>
      <c r="P14">
        <f>IF(inputs_ok,IF(2&lt;cc_nb,(rs_cc*SIN((2*PI()*2/cc_nb+gov_turn*PI()/cc_nb)))+(cc_phi/2)*0.866025,NA()),NA())</f>
        <v/>
      </c>
      <c r="Q14">
        <f>IF(2&lt;cc_nb,(rs_cc*COS((2*PI()*2/cc_nb+gov_turn*PI()/cc_nb)))+(cc_phi/2)*-0.500000,NA())</f>
        <v/>
      </c>
      <c r="S14">
        <f>IF(inputs_ok,IF(3&lt;cc_nb,(rs_cc*SIN((2*PI()*3/cc_nb+gov_turn*PI()/cc_nb)))+(cc_phi/2)*0.866025,NA()),NA())</f>
        <v/>
      </c>
      <c r="T14">
        <f>IF(3&lt;cc_nb,(rs_cc*COS((2*PI()*3/cc_nb+gov_turn*PI()/cc_nb)))+(cc_phi/2)*-0.500000,NA())</f>
        <v/>
      </c>
      <c r="V14">
        <f>IF(inputs_ok,IF(4&lt;cc_nb,(rs_cc*SIN((2*PI()*4/cc_nb+gov_turn*PI()/cc_nb)))+(cc_phi/2)*0.866025,NA()),NA())</f>
        <v/>
      </c>
      <c r="W14">
        <f>IF(4&lt;cc_nb,(rs_cc*COS((2*PI()*4/cc_nb+gov_turn*PI()/cc_nb)))+(cc_phi/2)*-0.500000,NA())</f>
        <v/>
      </c>
      <c r="Y14">
        <f>IF(inputs_ok,IF(5&lt;cc_nb,(rs_cc*SIN((2*PI()*5/cc_nb+gov_turn*PI()/cc_nb)))+(cc_phi/2)*0.866025,NA()),NA())</f>
        <v/>
      </c>
      <c r="Z14">
        <f>IF(5&lt;cc_nb,(rs_cc*COS((2*PI()*5/cc_nb+gov_turn*PI()/cc_nb)))+(cc_phi/2)*-0.500000,NA())</f>
        <v/>
      </c>
      <c r="AB14">
        <f>IF(inputs_ok,IF(6&lt;cc_nb,(rs_cc*SIN((2*PI()*6/cc_nb+gov_turn*PI()/cc_nb)))+(cc_phi/2)*0.866025,NA()),NA())</f>
        <v/>
      </c>
      <c r="AC14">
        <f>IF(6&lt;cc_nb,(rs_cc*COS((2*PI()*6/cc_nb+gov_turn*PI()/cc_nb)))+(cc_phi/2)*-0.500000,NA())</f>
        <v/>
      </c>
      <c r="AE14">
        <f>IF(inputs_ok,IF(7&lt;cc_nb,(rs_cc*SIN((2*PI()*7/cc_nb+gov_turn*PI()/cc_nb)))+(cc_phi/2)*0.866025,NA()),NA())</f>
        <v/>
      </c>
      <c r="AF14">
        <f>IF(7&lt;cc_nb,(rs_cc*COS((2*PI()*7/cc_nb+gov_turn*PI()/cc_nb)))+(cc_phi/2)*-0.500000,NA())</f>
        <v/>
      </c>
      <c r="AH14">
        <f>IF(inputs_ok,IF(8&lt;cc_nb,(rs_cc*SIN((2*PI()*8/cc_nb+gov_turn*PI()/cc_nb)))+(cc_phi/2)*0.866025,NA()),NA())</f>
        <v/>
      </c>
      <c r="AI14">
        <f>IF(8&lt;cc_nb,(rs_cc*COS((2*PI()*8/cc_nb+gov_turn*PI()/cc_nb)))+(cc_phi/2)*-0.500000,NA())</f>
        <v/>
      </c>
      <c r="AK14">
        <f>IF(inputs_ok,IF(9&lt;cc_nb,(rs_cc*SIN((2*PI()*9/cc_nb+gov_turn*PI()/cc_nb)))+(cc_phi/2)*0.866025,NA()),NA())</f>
        <v/>
      </c>
      <c r="AL14">
        <f>IF(9&lt;cc_nb,(rs_cc*COS((2*PI()*9/cc_nb+gov_turn*PI()/cc_nb)))+(cc_phi/2)*-0.500000,NA())</f>
        <v/>
      </c>
      <c r="AN14">
        <f>IF(inputs_ok,IF(10&lt;cc_nb,(rs_cc*SIN((2*PI()*10/cc_nb+gov_turn*PI()/cc_nb)))+(cc_phi/2)*0.866025,NA()),NA())</f>
        <v/>
      </c>
      <c r="AO14">
        <f>IF(10&lt;cc_nb,(rs_cc*COS((2*PI()*10/cc_nb+gov_turn*PI()/cc_nb)))+(cc_phi/2)*-0.500000,NA())</f>
        <v/>
      </c>
      <c r="AQ14">
        <f>IF(inputs_ok,IF(11&lt;cc_nb,(rs_cc*SIN((2*PI()*11/cc_nb+gov_turn*PI()/cc_nb)))+(cc_phi/2)*0.866025,NA()),NA())</f>
        <v/>
      </c>
      <c r="AR14">
        <f>IF(11&lt;cc_nb,(rs_cc*COS((2*PI()*11/cc_nb+gov_turn*PI()/cc_nb)))+(cc_phi/2)*-0.500000,NA())</f>
        <v/>
      </c>
      <c r="AT14">
        <f>IF(inputs_ok,IF(12&lt;cc_nb,(rs_cc*SIN((2*PI()*12/cc_nb+gov_turn*PI()/cc_nb)))+(cc_phi/2)*0.866025,NA()),NA())</f>
        <v/>
      </c>
      <c r="AU14">
        <f>IF(12&lt;cc_nb,(rs_cc*COS((2*PI()*12/cc_nb+gov_turn*PI()/cc_nb)))+(cc_phi/2)*-0.500000,NA())</f>
        <v/>
      </c>
      <c r="AW14">
        <f>IF(inputs_ok,IF(13&lt;cc_nb,(rs_cc*SIN((2*PI()*13/cc_nb+gov_turn*PI()/cc_nb)))+(cc_phi/2)*0.866025,NA()),NA())</f>
        <v/>
      </c>
      <c r="AX14">
        <f>IF(13&lt;cc_nb,(rs_cc*COS((2*PI()*13/cc_nb+gov_turn*PI()/cc_nb)))+(cc_phi/2)*-0.500000,NA())</f>
        <v/>
      </c>
      <c r="AZ14">
        <f>IF(inputs_ok,IF(14&lt;cc_nb,(rs_cc*SIN((2*PI()*14/cc_nb+gov_turn*PI()/cc_nb)))+(cc_phi/2)*0.866025,NA()),NA())</f>
        <v/>
      </c>
      <c r="BA14">
        <f>IF(14&lt;cc_nb,(rs_cc*COS((2*PI()*14/cc_nb+gov_turn*PI()/cc_nb)))+(cc_phi/2)*-0.500000,NA())</f>
        <v/>
      </c>
      <c r="BC14">
        <f>IF(inputs_ok,IF(15&lt;cc_nb,(rs_cc*SIN((2*PI()*15/cc_nb+gov_turn*PI()/cc_nb)))+(cc_phi/2)*0.866025,NA()),NA())</f>
        <v/>
      </c>
      <c r="BD14">
        <f>IF(15&lt;cc_nb,(rs_cc*COS((2*PI()*15/cc_nb+gov_turn*PI()/cc_nb)))+(cc_phi/2)*-0.500000,NA())</f>
        <v/>
      </c>
      <c r="BF14">
        <f>IF(inputs_ok,IF(16&lt;cc_nb,(rs_cc*SIN((2*PI()*16/cc_nb+gov_turn*PI()/cc_nb)))+(cc_phi/2)*0.866025,NA()),NA())</f>
        <v/>
      </c>
      <c r="BG14">
        <f>IF(16&lt;cc_nb,(rs_cc*COS((2*PI()*16/cc_nb+gov_turn*PI()/cc_nb)))+(cc_phi/2)*-0.500000,NA())</f>
        <v/>
      </c>
      <c r="BI14">
        <f>IF(inputs_ok,IF(17&lt;cc_nb,(rs_cc*SIN((2*PI()*17/cc_nb+gov_turn*PI()/cc_nb)))+(cc_phi/2)*0.866025,NA()),NA())</f>
        <v/>
      </c>
      <c r="BJ14">
        <f>IF(17&lt;cc_nb,(rs_cc*COS((2*PI()*17/cc_nb+gov_turn*PI()/cc_nb)))+(cc_phi/2)*-0.500000,NA())</f>
        <v/>
      </c>
      <c r="BL14">
        <f>IF(inputs_ok,IF(18&lt;cc_nb,(rs_cc*SIN((2*PI()*18/cc_nb+gov_turn*PI()/cc_nb)))+(cc_phi/2)*0.866025,NA()),NA())</f>
        <v/>
      </c>
      <c r="BM14">
        <f>IF(18&lt;cc_nb,(rs_cc*COS((2*PI()*18/cc_nb+gov_turn*PI()/cc_nb)))+(cc_phi/2)*-0.500000,NA())</f>
        <v/>
      </c>
      <c r="BO14">
        <f>IF(inputs_ok,IF(19&lt;cc_nb,(rs_cc*SIN((2*PI()*19/cc_nb+gov_turn*PI()/cc_nb)))+(cc_phi/2)*0.866025,NA()),NA())</f>
        <v/>
      </c>
      <c r="BP14">
        <f>IF(19&lt;cc_nb,(rs_cc*COS((2*PI()*19/cc_nb+gov_turn*PI()/cc_nb)))+(cc_phi/2)*-0.500000,NA())</f>
        <v/>
      </c>
      <c r="BR14">
        <f>IF(inputs_ok,IF(20&lt;cc_nb,(rs_cc*SIN((2*PI()*20/cc_nb+gov_turn*PI()/cc_nb)))+(cc_phi/2)*0.866025,NA()),NA())</f>
        <v/>
      </c>
      <c r="BS14">
        <f>IF(20&lt;cc_nb,(rs_cc*COS((2*PI()*20/cc_nb+gov_turn*PI()/cc_nb)))+(cc_phi/2)*-0.500000,NA())</f>
        <v/>
      </c>
      <c r="BU14">
        <f>IF(inputs_ok,IF(21&lt;cc_nb,(rs_cc*SIN((2*PI()*21/cc_nb+gov_turn*PI()/cc_nb)))+(cc_phi/2)*0.866025,NA()),NA())</f>
        <v/>
      </c>
      <c r="BV14">
        <f>IF(21&lt;cc_nb,(rs_cc*COS((2*PI()*21/cc_nb+gov_turn*PI()/cc_nb)))+(cc_phi/2)*-0.500000,NA())</f>
        <v/>
      </c>
      <c r="BX14">
        <f>IF(inputs_ok,IF(22&lt;cc_nb,(rs_cc*SIN((2*PI()*22/cc_nb+gov_turn*PI()/cc_nb)))+(cc_phi/2)*0.866025,NA()),NA())</f>
        <v/>
      </c>
      <c r="BY14">
        <f>IF(22&lt;cc_nb,(rs_cc*COS((2*PI()*22/cc_nb+gov_turn*PI()/cc_nb)))+(cc_phi/2)*-0.500000,NA())</f>
        <v/>
      </c>
      <c r="CA14">
        <f>IF(inputs_ok,IF(23&lt;cc_nb,(rs_cc*SIN((2*PI()*23/cc_nb+gov_turn*PI()/cc_nb)))+(cc_phi/2)*0.866025,NA()),NA())</f>
        <v/>
      </c>
      <c r="CB14">
        <f>IF(23&lt;cc_nb,(rs_cc*COS((2*PI()*23/cc_nb+gov_turn*PI()/cc_nb)))+(cc_phi/2)*-0.500000,NA())</f>
        <v/>
      </c>
      <c r="DN14">
        <f>IF(inputs_ok,INDEX(nmA_M,12)*1.5/Mpk_cc,NA())</f>
        <v/>
      </c>
      <c r="DO14">
        <f>INDEX(nmA_N,12)/NRdmax_cc</f>
        <v/>
      </c>
      <c r="DQ14">
        <f>IF(inputs_ok,INDEX(nmB_M,12)*1.5/Mpk_cc,NA())</f>
        <v/>
      </c>
      <c r="DR14">
        <f>INDEX(nmB_N,12)/NRdmax_cc</f>
        <v/>
      </c>
    </row>
    <row r="15">
      <c r="D15">
        <f>IF(inputs_ok,(0)+((cc_D/2))*0.000000,NA())</f>
        <v/>
      </c>
      <c r="E15">
        <f>(0)+((cc_D/2))*1.000000</f>
        <v/>
      </c>
      <c r="G15">
        <f>IF(inputs_ok,(0)+(((cc_D/2)-cc_c-cc_phiw/2))*0.000000,NA())</f>
        <v/>
      </c>
      <c r="H15">
        <f>(0)+(((cc_D/2)-cc_c-cc_phiw/2))*1.000000</f>
        <v/>
      </c>
      <c r="J15">
        <f>IF(inputs_ok,IF(0&lt;cc_nb,(rs_cc*SIN((2*PI()*0/cc_nb+gov_turn*PI()/cc_nb)))+(cc_phi/2)*1.000000,NA()),NA())</f>
        <v/>
      </c>
      <c r="K15">
        <f>IF(0&lt;cc_nb,(rs_cc*COS((2*PI()*0/cc_nb+gov_turn*PI()/cc_nb)))+(cc_phi/2)*-0.000000,NA())</f>
        <v/>
      </c>
      <c r="M15">
        <f>IF(inputs_ok,IF(1&lt;cc_nb,(rs_cc*SIN((2*PI()*1/cc_nb+gov_turn*PI()/cc_nb)))+(cc_phi/2)*1.000000,NA()),NA())</f>
        <v/>
      </c>
      <c r="N15">
        <f>IF(1&lt;cc_nb,(rs_cc*COS((2*PI()*1/cc_nb+gov_turn*PI()/cc_nb)))+(cc_phi/2)*-0.000000,NA())</f>
        <v/>
      </c>
      <c r="P15">
        <f>IF(inputs_ok,IF(2&lt;cc_nb,(rs_cc*SIN((2*PI()*2/cc_nb+gov_turn*PI()/cc_nb)))+(cc_phi/2)*1.000000,NA()),NA())</f>
        <v/>
      </c>
      <c r="Q15">
        <f>IF(2&lt;cc_nb,(rs_cc*COS((2*PI()*2/cc_nb+gov_turn*PI()/cc_nb)))+(cc_phi/2)*-0.000000,NA())</f>
        <v/>
      </c>
      <c r="S15">
        <f>IF(inputs_ok,IF(3&lt;cc_nb,(rs_cc*SIN((2*PI()*3/cc_nb+gov_turn*PI()/cc_nb)))+(cc_phi/2)*1.000000,NA()),NA())</f>
        <v/>
      </c>
      <c r="T15">
        <f>IF(3&lt;cc_nb,(rs_cc*COS((2*PI()*3/cc_nb+gov_turn*PI()/cc_nb)))+(cc_phi/2)*-0.000000,NA())</f>
        <v/>
      </c>
      <c r="V15">
        <f>IF(inputs_ok,IF(4&lt;cc_nb,(rs_cc*SIN((2*PI()*4/cc_nb+gov_turn*PI()/cc_nb)))+(cc_phi/2)*1.000000,NA()),NA())</f>
        <v/>
      </c>
      <c r="W15">
        <f>IF(4&lt;cc_nb,(rs_cc*COS((2*PI()*4/cc_nb+gov_turn*PI()/cc_nb)))+(cc_phi/2)*-0.000000,NA())</f>
        <v/>
      </c>
      <c r="Y15">
        <f>IF(inputs_ok,IF(5&lt;cc_nb,(rs_cc*SIN((2*PI()*5/cc_nb+gov_turn*PI()/cc_nb)))+(cc_phi/2)*1.000000,NA()),NA())</f>
        <v/>
      </c>
      <c r="Z15">
        <f>IF(5&lt;cc_nb,(rs_cc*COS((2*PI()*5/cc_nb+gov_turn*PI()/cc_nb)))+(cc_phi/2)*-0.000000,NA())</f>
        <v/>
      </c>
      <c r="AB15">
        <f>IF(inputs_ok,IF(6&lt;cc_nb,(rs_cc*SIN((2*PI()*6/cc_nb+gov_turn*PI()/cc_nb)))+(cc_phi/2)*1.000000,NA()),NA())</f>
        <v/>
      </c>
      <c r="AC15">
        <f>IF(6&lt;cc_nb,(rs_cc*COS((2*PI()*6/cc_nb+gov_turn*PI()/cc_nb)))+(cc_phi/2)*-0.000000,NA())</f>
        <v/>
      </c>
      <c r="AE15">
        <f>IF(inputs_ok,IF(7&lt;cc_nb,(rs_cc*SIN((2*PI()*7/cc_nb+gov_turn*PI()/cc_nb)))+(cc_phi/2)*1.000000,NA()),NA())</f>
        <v/>
      </c>
      <c r="AF15">
        <f>IF(7&lt;cc_nb,(rs_cc*COS((2*PI()*7/cc_nb+gov_turn*PI()/cc_nb)))+(cc_phi/2)*-0.000000,NA())</f>
        <v/>
      </c>
      <c r="AH15">
        <f>IF(inputs_ok,IF(8&lt;cc_nb,(rs_cc*SIN((2*PI()*8/cc_nb+gov_turn*PI()/cc_nb)))+(cc_phi/2)*1.000000,NA()),NA())</f>
        <v/>
      </c>
      <c r="AI15">
        <f>IF(8&lt;cc_nb,(rs_cc*COS((2*PI()*8/cc_nb+gov_turn*PI()/cc_nb)))+(cc_phi/2)*-0.000000,NA())</f>
        <v/>
      </c>
      <c r="AK15">
        <f>IF(inputs_ok,IF(9&lt;cc_nb,(rs_cc*SIN((2*PI()*9/cc_nb+gov_turn*PI()/cc_nb)))+(cc_phi/2)*1.000000,NA()),NA())</f>
        <v/>
      </c>
      <c r="AL15">
        <f>IF(9&lt;cc_nb,(rs_cc*COS((2*PI()*9/cc_nb+gov_turn*PI()/cc_nb)))+(cc_phi/2)*-0.000000,NA())</f>
        <v/>
      </c>
      <c r="AN15">
        <f>IF(inputs_ok,IF(10&lt;cc_nb,(rs_cc*SIN((2*PI()*10/cc_nb+gov_turn*PI()/cc_nb)))+(cc_phi/2)*1.000000,NA()),NA())</f>
        <v/>
      </c>
      <c r="AO15">
        <f>IF(10&lt;cc_nb,(rs_cc*COS((2*PI()*10/cc_nb+gov_turn*PI()/cc_nb)))+(cc_phi/2)*-0.000000,NA())</f>
        <v/>
      </c>
      <c r="AQ15">
        <f>IF(inputs_ok,IF(11&lt;cc_nb,(rs_cc*SIN((2*PI()*11/cc_nb+gov_turn*PI()/cc_nb)))+(cc_phi/2)*1.000000,NA()),NA())</f>
        <v/>
      </c>
      <c r="AR15">
        <f>IF(11&lt;cc_nb,(rs_cc*COS((2*PI()*11/cc_nb+gov_turn*PI()/cc_nb)))+(cc_phi/2)*-0.000000,NA())</f>
        <v/>
      </c>
      <c r="AT15">
        <f>IF(inputs_ok,IF(12&lt;cc_nb,(rs_cc*SIN((2*PI()*12/cc_nb+gov_turn*PI()/cc_nb)))+(cc_phi/2)*1.000000,NA()),NA())</f>
        <v/>
      </c>
      <c r="AU15">
        <f>IF(12&lt;cc_nb,(rs_cc*COS((2*PI()*12/cc_nb+gov_turn*PI()/cc_nb)))+(cc_phi/2)*-0.000000,NA())</f>
        <v/>
      </c>
      <c r="AW15">
        <f>IF(inputs_ok,IF(13&lt;cc_nb,(rs_cc*SIN((2*PI()*13/cc_nb+gov_turn*PI()/cc_nb)))+(cc_phi/2)*1.000000,NA()),NA())</f>
        <v/>
      </c>
      <c r="AX15">
        <f>IF(13&lt;cc_nb,(rs_cc*COS((2*PI()*13/cc_nb+gov_turn*PI()/cc_nb)))+(cc_phi/2)*-0.000000,NA())</f>
        <v/>
      </c>
      <c r="AZ15">
        <f>IF(inputs_ok,IF(14&lt;cc_nb,(rs_cc*SIN((2*PI()*14/cc_nb+gov_turn*PI()/cc_nb)))+(cc_phi/2)*1.000000,NA()),NA())</f>
        <v/>
      </c>
      <c r="BA15">
        <f>IF(14&lt;cc_nb,(rs_cc*COS((2*PI()*14/cc_nb+gov_turn*PI()/cc_nb)))+(cc_phi/2)*-0.000000,NA())</f>
        <v/>
      </c>
      <c r="BC15">
        <f>IF(inputs_ok,IF(15&lt;cc_nb,(rs_cc*SIN((2*PI()*15/cc_nb+gov_turn*PI()/cc_nb)))+(cc_phi/2)*1.000000,NA()),NA())</f>
        <v/>
      </c>
      <c r="BD15">
        <f>IF(15&lt;cc_nb,(rs_cc*COS((2*PI()*15/cc_nb+gov_turn*PI()/cc_nb)))+(cc_phi/2)*-0.000000,NA())</f>
        <v/>
      </c>
      <c r="BF15">
        <f>IF(inputs_ok,IF(16&lt;cc_nb,(rs_cc*SIN((2*PI()*16/cc_nb+gov_turn*PI()/cc_nb)))+(cc_phi/2)*1.000000,NA()),NA())</f>
        <v/>
      </c>
      <c r="BG15">
        <f>IF(16&lt;cc_nb,(rs_cc*COS((2*PI()*16/cc_nb+gov_turn*PI()/cc_nb)))+(cc_phi/2)*-0.000000,NA())</f>
        <v/>
      </c>
      <c r="BI15">
        <f>IF(inputs_ok,IF(17&lt;cc_nb,(rs_cc*SIN((2*PI()*17/cc_nb+gov_turn*PI()/cc_nb)))+(cc_phi/2)*1.000000,NA()),NA())</f>
        <v/>
      </c>
      <c r="BJ15">
        <f>IF(17&lt;cc_nb,(rs_cc*COS((2*PI()*17/cc_nb+gov_turn*PI()/cc_nb)))+(cc_phi/2)*-0.000000,NA())</f>
        <v/>
      </c>
      <c r="BL15">
        <f>IF(inputs_ok,IF(18&lt;cc_nb,(rs_cc*SIN((2*PI()*18/cc_nb+gov_turn*PI()/cc_nb)))+(cc_phi/2)*1.000000,NA()),NA())</f>
        <v/>
      </c>
      <c r="BM15">
        <f>IF(18&lt;cc_nb,(rs_cc*COS((2*PI()*18/cc_nb+gov_turn*PI()/cc_nb)))+(cc_phi/2)*-0.000000,NA())</f>
        <v/>
      </c>
      <c r="BO15">
        <f>IF(inputs_ok,IF(19&lt;cc_nb,(rs_cc*SIN((2*PI()*19/cc_nb+gov_turn*PI()/cc_nb)))+(cc_phi/2)*1.000000,NA()),NA())</f>
        <v/>
      </c>
      <c r="BP15">
        <f>IF(19&lt;cc_nb,(rs_cc*COS((2*PI()*19/cc_nb+gov_turn*PI()/cc_nb)))+(cc_phi/2)*-0.000000,NA())</f>
        <v/>
      </c>
      <c r="BR15">
        <f>IF(inputs_ok,IF(20&lt;cc_nb,(rs_cc*SIN((2*PI()*20/cc_nb+gov_turn*PI()/cc_nb)))+(cc_phi/2)*1.000000,NA()),NA())</f>
        <v/>
      </c>
      <c r="BS15">
        <f>IF(20&lt;cc_nb,(rs_cc*COS((2*PI()*20/cc_nb+gov_turn*PI()/cc_nb)))+(cc_phi/2)*-0.000000,NA())</f>
        <v/>
      </c>
      <c r="BU15">
        <f>IF(inputs_ok,IF(21&lt;cc_nb,(rs_cc*SIN((2*PI()*21/cc_nb+gov_turn*PI()/cc_nb)))+(cc_phi/2)*1.000000,NA()),NA())</f>
        <v/>
      </c>
      <c r="BV15">
        <f>IF(21&lt;cc_nb,(rs_cc*COS((2*PI()*21/cc_nb+gov_turn*PI()/cc_nb)))+(cc_phi/2)*-0.000000,NA())</f>
        <v/>
      </c>
      <c r="BX15">
        <f>IF(inputs_ok,IF(22&lt;cc_nb,(rs_cc*SIN((2*PI()*22/cc_nb+gov_turn*PI()/cc_nb)))+(cc_phi/2)*1.000000,NA()),NA())</f>
        <v/>
      </c>
      <c r="BY15">
        <f>IF(22&lt;cc_nb,(rs_cc*COS((2*PI()*22/cc_nb+gov_turn*PI()/cc_nb)))+(cc_phi/2)*-0.000000,NA())</f>
        <v/>
      </c>
      <c r="CA15">
        <f>IF(inputs_ok,IF(23&lt;cc_nb,(rs_cc*SIN((2*PI()*23/cc_nb+gov_turn*PI()/cc_nb)))+(cc_phi/2)*1.000000,NA()),NA())</f>
        <v/>
      </c>
      <c r="CB15">
        <f>IF(23&lt;cc_nb,(rs_cc*COS((2*PI()*23/cc_nb+gov_turn*PI()/cc_nb)))+(cc_phi/2)*-0.000000,NA())</f>
        <v/>
      </c>
      <c r="DN15">
        <f>IF(inputs_ok,INDEX(nmA_M,13)*1.5/Mpk_cc,NA())</f>
        <v/>
      </c>
      <c r="DO15">
        <f>INDEX(nmA_N,13)/NRdmax_cc</f>
        <v/>
      </c>
      <c r="DQ15">
        <f>IF(inputs_ok,INDEX(nmB_M,13)*1.5/Mpk_cc,NA())</f>
        <v/>
      </c>
      <c r="DR15">
        <f>INDEX(nmB_N,13)/NRdmax_cc</f>
        <v/>
      </c>
    </row>
    <row r="16">
      <c r="D16">
        <f>IF(inputs_ok,(0)+((cc_D/2))*-0.130526,NA())</f>
        <v/>
      </c>
      <c r="E16">
        <f>(0)+((cc_D/2))*0.991445</f>
        <v/>
      </c>
      <c r="G16">
        <f>IF(inputs_ok,(0)+(((cc_D/2)-cc_c-cc_phiw/2))*-0.130526,NA())</f>
        <v/>
      </c>
      <c r="H16">
        <f>(0)+(((cc_D/2)-cc_c-cc_phiw/2))*0.991445</f>
        <v/>
      </c>
      <c r="DN16">
        <f>IF(inputs_ok,INDEX(nmA_M,14)*1.5/Mpk_cc,NA())</f>
        <v/>
      </c>
      <c r="DO16">
        <f>INDEX(nmA_N,14)/NRdmax_cc</f>
        <v/>
      </c>
      <c r="DQ16">
        <f>IF(inputs_ok,INDEX(nmB_M,14)*1.5/Mpk_cc,NA())</f>
        <v/>
      </c>
      <c r="DR16">
        <f>INDEX(nmB_N,14)/NRdmax_cc</f>
        <v/>
      </c>
    </row>
    <row r="17">
      <c r="D17">
        <f>IF(inputs_ok,(0)+((cc_D/2))*-0.258819,NA())</f>
        <v/>
      </c>
      <c r="E17">
        <f>(0)+((cc_D/2))*0.965926</f>
        <v/>
      </c>
      <c r="G17">
        <f>IF(inputs_ok,(0)+(((cc_D/2)-cc_c-cc_phiw/2))*-0.258819,NA())</f>
        <v/>
      </c>
      <c r="H17">
        <f>(0)+(((cc_D/2)-cc_c-cc_phiw/2))*0.965926</f>
        <v/>
      </c>
      <c r="DN17">
        <f>IF(inputs_ok,INDEX(nmA_M,15)*1.5/Mpk_cc,NA())</f>
        <v/>
      </c>
      <c r="DO17">
        <f>INDEX(nmA_N,15)/NRdmax_cc</f>
        <v/>
      </c>
      <c r="DQ17">
        <f>IF(inputs_ok,INDEX(nmB_M,15)*1.5/Mpk_cc,NA())</f>
        <v/>
      </c>
      <c r="DR17">
        <f>INDEX(nmB_N,15)/NRdmax_cc</f>
        <v/>
      </c>
    </row>
    <row r="18">
      <c r="D18">
        <f>IF(inputs_ok,(0)+((cc_D/2))*-0.382683,NA())</f>
        <v/>
      </c>
      <c r="E18">
        <f>(0)+((cc_D/2))*0.923880</f>
        <v/>
      </c>
      <c r="G18">
        <f>IF(inputs_ok,(0)+(((cc_D/2)-cc_c-cc_phiw/2))*-0.382683,NA())</f>
        <v/>
      </c>
      <c r="H18">
        <f>(0)+(((cc_D/2)-cc_c-cc_phiw/2))*0.923880</f>
        <v/>
      </c>
      <c r="DN18">
        <f>IF(inputs_ok,INDEX(nmA_M,16)*1.5/Mpk_cc,NA())</f>
        <v/>
      </c>
      <c r="DO18">
        <f>INDEX(nmA_N,16)/NRdmax_cc</f>
        <v/>
      </c>
      <c r="DQ18">
        <f>IF(inputs_ok,INDEX(nmB_M,16)*1.5/Mpk_cc,NA())</f>
        <v/>
      </c>
      <c r="DR18">
        <f>INDEX(nmB_N,16)/NRdmax_cc</f>
        <v/>
      </c>
    </row>
    <row r="19">
      <c r="D19">
        <f>IF(inputs_ok,(0)+((cc_D/2))*-0.500000,NA())</f>
        <v/>
      </c>
      <c r="E19">
        <f>(0)+((cc_D/2))*0.866025</f>
        <v/>
      </c>
      <c r="G19">
        <f>IF(inputs_ok,(0)+(((cc_D/2)-cc_c-cc_phiw/2))*-0.500000,NA())</f>
        <v/>
      </c>
      <c r="H19">
        <f>(0)+(((cc_D/2)-cc_c-cc_phiw/2))*0.866025</f>
        <v/>
      </c>
      <c r="DN19">
        <f>IF(inputs_ok,INDEX(nmA_M,17)*1.5/Mpk_cc,NA())</f>
        <v/>
      </c>
      <c r="DO19">
        <f>INDEX(nmA_N,17)/NRdmax_cc</f>
        <v/>
      </c>
      <c r="DQ19">
        <f>IF(inputs_ok,INDEX(nmB_M,17)*1.5/Mpk_cc,NA())</f>
        <v/>
      </c>
      <c r="DR19">
        <f>INDEX(nmB_N,17)/NRdmax_cc</f>
        <v/>
      </c>
    </row>
    <row r="20">
      <c r="D20">
        <f>IF(inputs_ok,(0)+((cc_D/2))*-0.608761,NA())</f>
        <v/>
      </c>
      <c r="E20">
        <f>(0)+((cc_D/2))*0.793353</f>
        <v/>
      </c>
      <c r="G20">
        <f>IF(inputs_ok,(0)+(((cc_D/2)-cc_c-cc_phiw/2))*-0.608761,NA())</f>
        <v/>
      </c>
      <c r="H20">
        <f>(0)+(((cc_D/2)-cc_c-cc_phiw/2))*0.793353</f>
        <v/>
      </c>
      <c r="DN20">
        <f>IF(inputs_ok,INDEX(nmA_M,18)*1.5/Mpk_cc,NA())</f>
        <v/>
      </c>
      <c r="DO20">
        <f>INDEX(nmA_N,18)/NRdmax_cc</f>
        <v/>
      </c>
      <c r="DQ20">
        <f>IF(inputs_ok,INDEX(nmB_M,18)*1.5/Mpk_cc,NA())</f>
        <v/>
      </c>
      <c r="DR20">
        <f>INDEX(nmB_N,18)/NRdmax_cc</f>
        <v/>
      </c>
    </row>
    <row r="21">
      <c r="D21">
        <f>IF(inputs_ok,(0)+((cc_D/2))*-0.707107,NA())</f>
        <v/>
      </c>
      <c r="E21">
        <f>(0)+((cc_D/2))*0.707107</f>
        <v/>
      </c>
      <c r="G21">
        <f>IF(inputs_ok,(0)+(((cc_D/2)-cc_c-cc_phiw/2))*-0.707107,NA())</f>
        <v/>
      </c>
      <c r="H21">
        <f>(0)+(((cc_D/2)-cc_c-cc_phiw/2))*0.707107</f>
        <v/>
      </c>
      <c r="DN21">
        <f>IF(inputs_ok,INDEX(nmA_M,19)*1.5/Mpk_cc,NA())</f>
        <v/>
      </c>
      <c r="DO21">
        <f>INDEX(nmA_N,19)/NRdmax_cc</f>
        <v/>
      </c>
      <c r="DQ21">
        <f>IF(inputs_ok,INDEX(nmB_M,19)*1.5/Mpk_cc,NA())</f>
        <v/>
      </c>
      <c r="DR21">
        <f>INDEX(nmB_N,19)/NRdmax_cc</f>
        <v/>
      </c>
    </row>
    <row r="22">
      <c r="D22">
        <f>IF(inputs_ok,(0)+((cc_D/2))*-0.793353,NA())</f>
        <v/>
      </c>
      <c r="E22">
        <f>(0)+((cc_D/2))*0.608761</f>
        <v/>
      </c>
      <c r="G22">
        <f>IF(inputs_ok,(0)+(((cc_D/2)-cc_c-cc_phiw/2))*-0.793353,NA())</f>
        <v/>
      </c>
      <c r="H22">
        <f>(0)+(((cc_D/2)-cc_c-cc_phiw/2))*0.608761</f>
        <v/>
      </c>
      <c r="DN22">
        <f>IF(inputs_ok,INDEX(nmA_M,20)*1.5/Mpk_cc,NA())</f>
        <v/>
      </c>
      <c r="DO22">
        <f>INDEX(nmA_N,20)/NRdmax_cc</f>
        <v/>
      </c>
      <c r="DQ22">
        <f>IF(inputs_ok,INDEX(nmB_M,20)*1.5/Mpk_cc,NA())</f>
        <v/>
      </c>
      <c r="DR22">
        <f>INDEX(nmB_N,20)/NRdmax_cc</f>
        <v/>
      </c>
    </row>
    <row r="23">
      <c r="D23">
        <f>IF(inputs_ok,(0)+((cc_D/2))*-0.866025,NA())</f>
        <v/>
      </c>
      <c r="E23">
        <f>(0)+((cc_D/2))*0.500000</f>
        <v/>
      </c>
      <c r="G23">
        <f>IF(inputs_ok,(0)+(((cc_D/2)-cc_c-cc_phiw/2))*-0.866025,NA())</f>
        <v/>
      </c>
      <c r="H23">
        <f>(0)+(((cc_D/2)-cc_c-cc_phiw/2))*0.500000</f>
        <v/>
      </c>
      <c r="DN23">
        <f>IF(inputs_ok,INDEX(nmA_M,21)*1.5/Mpk_cc,NA())</f>
        <v/>
      </c>
      <c r="DO23">
        <f>INDEX(nmA_N,21)/NRdmax_cc</f>
        <v/>
      </c>
      <c r="DQ23">
        <f>IF(inputs_ok,INDEX(nmB_M,21)*1.5/Mpk_cc,NA())</f>
        <v/>
      </c>
      <c r="DR23">
        <f>INDEX(nmB_N,21)/NRdmax_cc</f>
        <v/>
      </c>
    </row>
    <row r="24">
      <c r="D24">
        <f>IF(inputs_ok,(0)+((cc_D/2))*-0.923880,NA())</f>
        <v/>
      </c>
      <c r="E24">
        <f>(0)+((cc_D/2))*0.382683</f>
        <v/>
      </c>
      <c r="G24">
        <f>IF(inputs_ok,(0)+(((cc_D/2)-cc_c-cc_phiw/2))*-0.923880,NA())</f>
        <v/>
      </c>
      <c r="H24">
        <f>(0)+(((cc_D/2)-cc_c-cc_phiw/2))*0.382683</f>
        <v/>
      </c>
      <c r="DN24">
        <f>IF(inputs_ok,INDEX(nmA_M,22)*1.5/Mpk_cc,NA())</f>
        <v/>
      </c>
      <c r="DO24">
        <f>INDEX(nmA_N,22)/NRdmax_cc</f>
        <v/>
      </c>
      <c r="DQ24">
        <f>IF(inputs_ok,INDEX(nmB_M,22)*1.5/Mpk_cc,NA())</f>
        <v/>
      </c>
      <c r="DR24">
        <f>INDEX(nmB_N,22)/NRdmax_cc</f>
        <v/>
      </c>
    </row>
    <row r="25">
      <c r="D25">
        <f>IF(inputs_ok,(0)+((cc_D/2))*-0.965926,NA())</f>
        <v/>
      </c>
      <c r="E25">
        <f>(0)+((cc_D/2))*0.258819</f>
        <v/>
      </c>
      <c r="G25">
        <f>IF(inputs_ok,(0)+(((cc_D/2)-cc_c-cc_phiw/2))*-0.965926,NA())</f>
        <v/>
      </c>
      <c r="H25">
        <f>(0)+(((cc_D/2)-cc_c-cc_phiw/2))*0.258819</f>
        <v/>
      </c>
      <c r="DN25">
        <f>IF(inputs_ok,INDEX(nmA_M,23)*1.5/Mpk_cc,NA())</f>
        <v/>
      </c>
      <c r="DO25">
        <f>INDEX(nmA_N,23)/NRdmax_cc</f>
        <v/>
      </c>
      <c r="DQ25">
        <f>IF(inputs_ok,INDEX(nmB_M,23)*1.5/Mpk_cc,NA())</f>
        <v/>
      </c>
      <c r="DR25">
        <f>INDEX(nmB_N,23)/NRdmax_cc</f>
        <v/>
      </c>
    </row>
    <row r="26">
      <c r="D26">
        <f>IF(inputs_ok,(0)+((cc_D/2))*-0.991445,NA())</f>
        <v/>
      </c>
      <c r="E26">
        <f>(0)+((cc_D/2))*0.130526</f>
        <v/>
      </c>
      <c r="G26">
        <f>IF(inputs_ok,(0)+(((cc_D/2)-cc_c-cc_phiw/2))*-0.991445,NA())</f>
        <v/>
      </c>
      <c r="H26">
        <f>(0)+(((cc_D/2)-cc_c-cc_phiw/2))*0.130526</f>
        <v/>
      </c>
      <c r="DN26">
        <f>IF(inputs_ok,INDEX(nmA_M,24)*1.5/Mpk_cc,NA())</f>
        <v/>
      </c>
      <c r="DO26">
        <f>INDEX(nmA_N,24)/NRdmax_cc</f>
        <v/>
      </c>
      <c r="DQ26">
        <f>IF(inputs_ok,INDEX(nmB_M,24)*1.5/Mpk_cc,NA())</f>
        <v/>
      </c>
      <c r="DR26">
        <f>INDEX(nmB_N,24)/NRdmax_cc</f>
        <v/>
      </c>
    </row>
    <row r="27">
      <c r="D27">
        <f>IF(inputs_ok,(0)+((cc_D/2))*-1.000000,NA())</f>
        <v/>
      </c>
      <c r="E27">
        <f>(0)+((cc_D/2))*0.000000</f>
        <v/>
      </c>
      <c r="G27">
        <f>IF(inputs_ok,(0)+(((cc_D/2)-cc_c-cc_phiw/2))*-1.000000,NA())</f>
        <v/>
      </c>
      <c r="H27">
        <f>(0)+(((cc_D/2)-cc_c-cc_phiw/2))*0.000000</f>
        <v/>
      </c>
      <c r="DN27">
        <f>IF(inputs_ok,INDEX(nmA_M,25)*1.5/Mpk_cc,NA())</f>
        <v/>
      </c>
      <c r="DO27">
        <f>INDEX(nmA_N,25)/NRdmax_cc</f>
        <v/>
      </c>
      <c r="DQ27">
        <f>IF(inputs_ok,INDEX(nmB_M,25)*1.5/Mpk_cc,NA())</f>
        <v/>
      </c>
      <c r="DR27">
        <f>INDEX(nmB_N,25)/NRdmax_cc</f>
        <v/>
      </c>
    </row>
    <row r="28">
      <c r="D28">
        <f>IF(inputs_ok,(0)+((cc_D/2))*-0.991445,NA())</f>
        <v/>
      </c>
      <c r="E28">
        <f>(0)+((cc_D/2))*-0.130526</f>
        <v/>
      </c>
      <c r="G28">
        <f>IF(inputs_ok,(0)+(((cc_D/2)-cc_c-cc_phiw/2))*-0.991445,NA())</f>
        <v/>
      </c>
      <c r="H28">
        <f>(0)+(((cc_D/2)-cc_c-cc_phiw/2))*-0.130526</f>
        <v/>
      </c>
      <c r="DN28">
        <f>IF(inputs_ok,INDEX(nmA_M,26)*1.5/Mpk_cc,NA())</f>
        <v/>
      </c>
      <c r="DO28">
        <f>INDEX(nmA_N,26)/NRdmax_cc</f>
        <v/>
      </c>
      <c r="DQ28">
        <f>IF(inputs_ok,INDEX(nmB_M,26)*1.5/Mpk_cc,NA())</f>
        <v/>
      </c>
      <c r="DR28">
        <f>INDEX(nmB_N,26)/NRdmax_cc</f>
        <v/>
      </c>
    </row>
    <row r="29">
      <c r="D29">
        <f>IF(inputs_ok,(0)+((cc_D/2))*-0.965926,NA())</f>
        <v/>
      </c>
      <c r="E29">
        <f>(0)+((cc_D/2))*-0.258819</f>
        <v/>
      </c>
      <c r="G29">
        <f>IF(inputs_ok,(0)+(((cc_D/2)-cc_c-cc_phiw/2))*-0.965926,NA())</f>
        <v/>
      </c>
      <c r="H29">
        <f>(0)+(((cc_D/2)-cc_c-cc_phiw/2))*-0.258819</f>
        <v/>
      </c>
      <c r="DN29">
        <f>IF(inputs_ok,INDEX(nmA_M,27)*1.5/Mpk_cc,NA())</f>
        <v/>
      </c>
      <c r="DO29">
        <f>INDEX(nmA_N,27)/NRdmax_cc</f>
        <v/>
      </c>
      <c r="DQ29">
        <f>IF(inputs_ok,INDEX(nmB_M,27)*1.5/Mpk_cc,NA())</f>
        <v/>
      </c>
      <c r="DR29">
        <f>INDEX(nmB_N,27)/NRdmax_cc</f>
        <v/>
      </c>
    </row>
    <row r="30">
      <c r="D30">
        <f>IF(inputs_ok,(0)+((cc_D/2))*-0.923880,NA())</f>
        <v/>
      </c>
      <c r="E30">
        <f>(0)+((cc_D/2))*-0.382683</f>
        <v/>
      </c>
      <c r="G30">
        <f>IF(inputs_ok,(0)+(((cc_D/2)-cc_c-cc_phiw/2))*-0.923880,NA())</f>
        <v/>
      </c>
      <c r="H30">
        <f>(0)+(((cc_D/2)-cc_c-cc_phiw/2))*-0.382683</f>
        <v/>
      </c>
      <c r="DN30">
        <f>IF(inputs_ok,INDEX(nmA_M,28)*1.5/Mpk_cc,NA())</f>
        <v/>
      </c>
      <c r="DO30">
        <f>INDEX(nmA_N,28)/NRdmax_cc</f>
        <v/>
      </c>
      <c r="DQ30">
        <f>IF(inputs_ok,INDEX(nmB_M,28)*1.5/Mpk_cc,NA())</f>
        <v/>
      </c>
      <c r="DR30">
        <f>INDEX(nmB_N,28)/NRdmax_cc</f>
        <v/>
      </c>
    </row>
    <row r="31">
      <c r="D31">
        <f>IF(inputs_ok,(0)+((cc_D/2))*-0.866025,NA())</f>
        <v/>
      </c>
      <c r="E31">
        <f>(0)+((cc_D/2))*-0.500000</f>
        <v/>
      </c>
      <c r="G31">
        <f>IF(inputs_ok,(0)+(((cc_D/2)-cc_c-cc_phiw/2))*-0.866025,NA())</f>
        <v/>
      </c>
      <c r="H31">
        <f>(0)+(((cc_D/2)-cc_c-cc_phiw/2))*-0.500000</f>
        <v/>
      </c>
      <c r="DN31">
        <f>IF(inputs_ok,INDEX(nmA_M,29)*1.5/Mpk_cc,NA())</f>
        <v/>
      </c>
      <c r="DO31">
        <f>INDEX(nmA_N,29)/NRdmax_cc</f>
        <v/>
      </c>
      <c r="DQ31">
        <f>IF(inputs_ok,INDEX(nmB_M,29)*1.5/Mpk_cc,NA())</f>
        <v/>
      </c>
      <c r="DR31">
        <f>INDEX(nmB_N,29)/NRdmax_cc</f>
        <v/>
      </c>
    </row>
    <row r="32">
      <c r="D32">
        <f>IF(inputs_ok,(0)+((cc_D/2))*-0.793353,NA())</f>
        <v/>
      </c>
      <c r="E32">
        <f>(0)+((cc_D/2))*-0.608761</f>
        <v/>
      </c>
      <c r="G32">
        <f>IF(inputs_ok,(0)+(((cc_D/2)-cc_c-cc_phiw/2))*-0.793353,NA())</f>
        <v/>
      </c>
      <c r="H32">
        <f>(0)+(((cc_D/2)-cc_c-cc_phiw/2))*-0.608761</f>
        <v/>
      </c>
      <c r="DN32">
        <f>IF(inputs_ok,INDEX(nmA_M,30)*1.5/Mpk_cc,NA())</f>
        <v/>
      </c>
      <c r="DO32">
        <f>INDEX(nmA_N,30)/NRdmax_cc</f>
        <v/>
      </c>
      <c r="DQ32">
        <f>IF(inputs_ok,INDEX(nmB_M,30)*1.5/Mpk_cc,NA())</f>
        <v/>
      </c>
      <c r="DR32">
        <f>INDEX(nmB_N,30)/NRdmax_cc</f>
        <v/>
      </c>
    </row>
    <row r="33">
      <c r="D33">
        <f>IF(inputs_ok,(0)+((cc_D/2))*-0.707107,NA())</f>
        <v/>
      </c>
      <c r="E33">
        <f>(0)+((cc_D/2))*-0.707107</f>
        <v/>
      </c>
      <c r="G33">
        <f>IF(inputs_ok,(0)+(((cc_D/2)-cc_c-cc_phiw/2))*-0.707107,NA())</f>
        <v/>
      </c>
      <c r="H33">
        <f>(0)+(((cc_D/2)-cc_c-cc_phiw/2))*-0.707107</f>
        <v/>
      </c>
      <c r="DN33">
        <f>IF(inputs_ok,INDEX(nmA_M,31)*1.5/Mpk_cc,NA())</f>
        <v/>
      </c>
      <c r="DO33">
        <f>INDEX(nmA_N,31)/NRdmax_cc</f>
        <v/>
      </c>
      <c r="DQ33">
        <f>IF(inputs_ok,INDEX(nmB_M,31)*1.5/Mpk_cc,NA())</f>
        <v/>
      </c>
      <c r="DR33">
        <f>INDEX(nmB_N,31)/NRdmax_cc</f>
        <v/>
      </c>
    </row>
    <row r="34">
      <c r="D34">
        <f>IF(inputs_ok,(0)+((cc_D/2))*-0.608761,NA())</f>
        <v/>
      </c>
      <c r="E34">
        <f>(0)+((cc_D/2))*-0.793353</f>
        <v/>
      </c>
      <c r="G34">
        <f>IF(inputs_ok,(0)+(((cc_D/2)-cc_c-cc_phiw/2))*-0.608761,NA())</f>
        <v/>
      </c>
      <c r="H34">
        <f>(0)+(((cc_D/2)-cc_c-cc_phiw/2))*-0.793353</f>
        <v/>
      </c>
      <c r="DN34">
        <f>IF(inputs_ok,INDEX(nmA_M,32)*1.5/Mpk_cc,NA())</f>
        <v/>
      </c>
      <c r="DO34">
        <f>INDEX(nmA_N,32)/NRdmax_cc</f>
        <v/>
      </c>
      <c r="DQ34">
        <f>IF(inputs_ok,INDEX(nmB_M,32)*1.5/Mpk_cc,NA())</f>
        <v/>
      </c>
      <c r="DR34">
        <f>INDEX(nmB_N,32)/NRdmax_cc</f>
        <v/>
      </c>
    </row>
    <row r="35">
      <c r="D35">
        <f>IF(inputs_ok,(0)+((cc_D/2))*-0.500000,NA())</f>
        <v/>
      </c>
      <c r="E35">
        <f>(0)+((cc_D/2))*-0.866025</f>
        <v/>
      </c>
      <c r="G35">
        <f>IF(inputs_ok,(0)+(((cc_D/2)-cc_c-cc_phiw/2))*-0.500000,NA())</f>
        <v/>
      </c>
      <c r="H35">
        <f>(0)+(((cc_D/2)-cc_c-cc_phiw/2))*-0.866025</f>
        <v/>
      </c>
      <c r="DN35">
        <f>IF(inputs_ok,INDEX(nmA_M,33)*1.5/Mpk_cc,NA())</f>
        <v/>
      </c>
      <c r="DO35">
        <f>INDEX(nmA_N,33)/NRdmax_cc</f>
        <v/>
      </c>
      <c r="DQ35">
        <f>IF(inputs_ok,INDEX(nmB_M,33)*1.5/Mpk_cc,NA())</f>
        <v/>
      </c>
      <c r="DR35">
        <f>INDEX(nmB_N,33)/NRdmax_cc</f>
        <v/>
      </c>
    </row>
    <row r="36">
      <c r="D36">
        <f>IF(inputs_ok,(0)+((cc_D/2))*-0.382683,NA())</f>
        <v/>
      </c>
      <c r="E36">
        <f>(0)+((cc_D/2))*-0.923880</f>
        <v/>
      </c>
      <c r="G36">
        <f>IF(inputs_ok,(0)+(((cc_D/2)-cc_c-cc_phiw/2))*-0.382683,NA())</f>
        <v/>
      </c>
      <c r="H36">
        <f>(0)+(((cc_D/2)-cc_c-cc_phiw/2))*-0.923880</f>
        <v/>
      </c>
      <c r="DN36">
        <f>IF(inputs_ok,INDEX(nmA_M,34)*1.5/Mpk_cc,NA())</f>
        <v/>
      </c>
      <c r="DO36">
        <f>INDEX(nmA_N,34)/NRdmax_cc</f>
        <v/>
      </c>
      <c r="DQ36">
        <f>IF(inputs_ok,INDEX(nmB_M,34)*1.5/Mpk_cc,NA())</f>
        <v/>
      </c>
      <c r="DR36">
        <f>INDEX(nmB_N,34)/NRdmax_cc</f>
        <v/>
      </c>
    </row>
    <row r="37">
      <c r="D37">
        <f>IF(inputs_ok,(0)+((cc_D/2))*-0.258819,NA())</f>
        <v/>
      </c>
      <c r="E37">
        <f>(0)+((cc_D/2))*-0.965926</f>
        <v/>
      </c>
      <c r="G37">
        <f>IF(inputs_ok,(0)+(((cc_D/2)-cc_c-cc_phiw/2))*-0.258819,NA())</f>
        <v/>
      </c>
      <c r="H37">
        <f>(0)+(((cc_D/2)-cc_c-cc_phiw/2))*-0.965926</f>
        <v/>
      </c>
      <c r="DN37">
        <f>IF(inputs_ok,INDEX(nmA_M,35)*1.5/Mpk_cc,NA())</f>
        <v/>
      </c>
      <c r="DO37">
        <f>INDEX(nmA_N,35)/NRdmax_cc</f>
        <v/>
      </c>
      <c r="DQ37">
        <f>IF(inputs_ok,INDEX(nmB_M,35)*1.5/Mpk_cc,NA())</f>
        <v/>
      </c>
      <c r="DR37">
        <f>INDEX(nmB_N,35)/NRdmax_cc</f>
        <v/>
      </c>
    </row>
    <row r="38">
      <c r="D38">
        <f>IF(inputs_ok,(0)+((cc_D/2))*-0.130526,NA())</f>
        <v/>
      </c>
      <c r="E38">
        <f>(0)+((cc_D/2))*-0.991445</f>
        <v/>
      </c>
      <c r="G38">
        <f>IF(inputs_ok,(0)+(((cc_D/2)-cc_c-cc_phiw/2))*-0.130526,NA())</f>
        <v/>
      </c>
      <c r="H38">
        <f>(0)+(((cc_D/2)-cc_c-cc_phiw/2))*-0.991445</f>
        <v/>
      </c>
      <c r="DN38">
        <f>IF(inputs_ok,INDEX(nmA_M,36)*1.5/Mpk_cc,NA())</f>
        <v/>
      </c>
      <c r="DO38">
        <f>INDEX(nmA_N,36)/NRdmax_cc</f>
        <v/>
      </c>
      <c r="DQ38">
        <f>IF(inputs_ok,INDEX(nmB_M,36)*1.5/Mpk_cc,NA())</f>
        <v/>
      </c>
      <c r="DR38">
        <f>INDEX(nmB_N,36)/NRdmax_cc</f>
        <v/>
      </c>
    </row>
    <row r="39">
      <c r="D39">
        <f>IF(inputs_ok,(0)+((cc_D/2))*-0.000000,NA())</f>
        <v/>
      </c>
      <c r="E39">
        <f>(0)+((cc_D/2))*-1.000000</f>
        <v/>
      </c>
      <c r="G39">
        <f>IF(inputs_ok,(0)+(((cc_D/2)-cc_c-cc_phiw/2))*-0.000000,NA())</f>
        <v/>
      </c>
      <c r="H39">
        <f>(0)+(((cc_D/2)-cc_c-cc_phiw/2))*-1.000000</f>
        <v/>
      </c>
      <c r="DN39">
        <f>IF(inputs_ok,INDEX(nmA_M,37)*1.5/Mpk_cc,NA())</f>
        <v/>
      </c>
      <c r="DO39">
        <f>INDEX(nmA_N,37)/NRdmax_cc</f>
        <v/>
      </c>
      <c r="DQ39">
        <f>IF(inputs_ok,INDEX(nmB_M,37)*1.5/Mpk_cc,NA())</f>
        <v/>
      </c>
      <c r="DR39">
        <f>INDEX(nmB_N,37)/NRdmax_cc</f>
        <v/>
      </c>
    </row>
    <row r="40">
      <c r="D40">
        <f>IF(inputs_ok,(0)+((cc_D/2))*0.130526,NA())</f>
        <v/>
      </c>
      <c r="E40">
        <f>(0)+((cc_D/2))*-0.991445</f>
        <v/>
      </c>
      <c r="G40">
        <f>IF(inputs_ok,(0)+(((cc_D/2)-cc_c-cc_phiw/2))*0.130526,NA())</f>
        <v/>
      </c>
      <c r="H40">
        <f>(0)+(((cc_D/2)-cc_c-cc_phiw/2))*-0.991445</f>
        <v/>
      </c>
      <c r="DN40">
        <f>IF(inputs_ok,INDEX(nmA_M,38)*1.5/Mpk_cc,NA())</f>
        <v/>
      </c>
      <c r="DO40">
        <f>INDEX(nmA_N,38)/NRdmax_cc</f>
        <v/>
      </c>
      <c r="DQ40">
        <f>IF(inputs_ok,INDEX(nmB_M,38)*1.5/Mpk_cc,NA())</f>
        <v/>
      </c>
      <c r="DR40">
        <f>INDEX(nmB_N,38)/NRdmax_cc</f>
        <v/>
      </c>
    </row>
    <row r="41">
      <c r="D41">
        <f>IF(inputs_ok,(0)+((cc_D/2))*0.258819,NA())</f>
        <v/>
      </c>
      <c r="E41">
        <f>(0)+((cc_D/2))*-0.965926</f>
        <v/>
      </c>
      <c r="G41">
        <f>IF(inputs_ok,(0)+(((cc_D/2)-cc_c-cc_phiw/2))*0.258819,NA())</f>
        <v/>
      </c>
      <c r="H41">
        <f>(0)+(((cc_D/2)-cc_c-cc_phiw/2))*-0.965926</f>
        <v/>
      </c>
      <c r="DN41">
        <f>IF(inputs_ok,INDEX(nmA_M,39)*1.5/Mpk_cc,NA())</f>
        <v/>
      </c>
      <c r="DO41">
        <f>INDEX(nmA_N,39)/NRdmax_cc</f>
        <v/>
      </c>
      <c r="DQ41">
        <f>IF(inputs_ok,INDEX(nmB_M,39)*1.5/Mpk_cc,NA())</f>
        <v/>
      </c>
      <c r="DR41">
        <f>INDEX(nmB_N,39)/NRdmax_cc</f>
        <v/>
      </c>
    </row>
    <row r="42">
      <c r="D42">
        <f>IF(inputs_ok,(0)+((cc_D/2))*0.382683,NA())</f>
        <v/>
      </c>
      <c r="E42">
        <f>(0)+((cc_D/2))*-0.923880</f>
        <v/>
      </c>
      <c r="G42">
        <f>IF(inputs_ok,(0)+(((cc_D/2)-cc_c-cc_phiw/2))*0.382683,NA())</f>
        <v/>
      </c>
      <c r="H42">
        <f>(0)+(((cc_D/2)-cc_c-cc_phiw/2))*-0.923880</f>
        <v/>
      </c>
    </row>
    <row r="43">
      <c r="D43">
        <f>IF(inputs_ok,(0)+((cc_D/2))*0.500000,NA())</f>
        <v/>
      </c>
      <c r="E43">
        <f>(0)+((cc_D/2))*-0.866025</f>
        <v/>
      </c>
      <c r="G43">
        <f>IF(inputs_ok,(0)+(((cc_D/2)-cc_c-cc_phiw/2))*0.500000,NA())</f>
        <v/>
      </c>
      <c r="H43">
        <f>(0)+(((cc_D/2)-cc_c-cc_phiw/2))*-0.866025</f>
        <v/>
      </c>
    </row>
    <row r="44">
      <c r="D44">
        <f>IF(inputs_ok,(0)+((cc_D/2))*0.608761,NA())</f>
        <v/>
      </c>
      <c r="E44">
        <f>(0)+((cc_D/2))*-0.793353</f>
        <v/>
      </c>
      <c r="G44">
        <f>IF(inputs_ok,(0)+(((cc_D/2)-cc_c-cc_phiw/2))*0.608761,NA())</f>
        <v/>
      </c>
      <c r="H44">
        <f>(0)+(((cc_D/2)-cc_c-cc_phiw/2))*-0.793353</f>
        <v/>
      </c>
    </row>
    <row r="45">
      <c r="D45">
        <f>IF(inputs_ok,(0)+((cc_D/2))*0.707107,NA())</f>
        <v/>
      </c>
      <c r="E45">
        <f>(0)+((cc_D/2))*-0.707107</f>
        <v/>
      </c>
      <c r="G45">
        <f>IF(inputs_ok,(0)+(((cc_D/2)-cc_c-cc_phiw/2))*0.707107,NA())</f>
        <v/>
      </c>
      <c r="H45">
        <f>(0)+(((cc_D/2)-cc_c-cc_phiw/2))*-0.707107</f>
        <v/>
      </c>
    </row>
    <row r="46">
      <c r="D46">
        <f>IF(inputs_ok,(0)+((cc_D/2))*0.793353,NA())</f>
        <v/>
      </c>
      <c r="E46">
        <f>(0)+((cc_D/2))*-0.608761</f>
        <v/>
      </c>
      <c r="G46">
        <f>IF(inputs_ok,(0)+(((cc_D/2)-cc_c-cc_phiw/2))*0.793353,NA())</f>
        <v/>
      </c>
      <c r="H46">
        <f>(0)+(((cc_D/2)-cc_c-cc_phiw/2))*-0.608761</f>
        <v/>
      </c>
    </row>
    <row r="47">
      <c r="D47">
        <f>IF(inputs_ok,(0)+((cc_D/2))*0.866025,NA())</f>
        <v/>
      </c>
      <c r="E47">
        <f>(0)+((cc_D/2))*-0.500000</f>
        <v/>
      </c>
      <c r="G47">
        <f>IF(inputs_ok,(0)+(((cc_D/2)-cc_c-cc_phiw/2))*0.866025,NA())</f>
        <v/>
      </c>
      <c r="H47">
        <f>(0)+(((cc_D/2)-cc_c-cc_phiw/2))*-0.500000</f>
        <v/>
      </c>
    </row>
    <row r="48">
      <c r="D48">
        <f>IF(inputs_ok,(0)+((cc_D/2))*0.923880,NA())</f>
        <v/>
      </c>
      <c r="E48">
        <f>(0)+((cc_D/2))*-0.382683</f>
        <v/>
      </c>
      <c r="G48">
        <f>IF(inputs_ok,(0)+(((cc_D/2)-cc_c-cc_phiw/2))*0.923880,NA())</f>
        <v/>
      </c>
      <c r="H48">
        <f>(0)+(((cc_D/2)-cc_c-cc_phiw/2))*-0.382683</f>
        <v/>
      </c>
    </row>
    <row r="49">
      <c r="D49">
        <f>IF(inputs_ok,(0)+((cc_D/2))*0.965926,NA())</f>
        <v/>
      </c>
      <c r="E49">
        <f>(0)+((cc_D/2))*-0.258819</f>
        <v/>
      </c>
      <c r="G49">
        <f>IF(inputs_ok,(0)+(((cc_D/2)-cc_c-cc_phiw/2))*0.965926,NA())</f>
        <v/>
      </c>
      <c r="H49">
        <f>(0)+(((cc_D/2)-cc_c-cc_phiw/2))*-0.258819</f>
        <v/>
      </c>
    </row>
    <row r="50">
      <c r="D50">
        <f>IF(inputs_ok,(0)+((cc_D/2))*0.991445,NA())</f>
        <v/>
      </c>
      <c r="E50">
        <f>(0)+((cc_D/2))*-0.130526</f>
        <v/>
      </c>
      <c r="G50">
        <f>IF(inputs_ok,(0)+(((cc_D/2)-cc_c-cc_phiw/2))*0.991445,NA())</f>
        <v/>
      </c>
      <c r="H50">
        <f>(0)+(((cc_D/2)-cc_c-cc_phiw/2))*-0.130526</f>
        <v/>
      </c>
    </row>
    <row r="51">
      <c r="D51">
        <f>IF(inputs_ok,(0)+((cc_D/2))*1.000000,NA())</f>
        <v/>
      </c>
      <c r="E51">
        <f>(0)+((cc_D/2))*-0.000000</f>
        <v/>
      </c>
      <c r="G51">
        <f>IF(inputs_ok,(0)+(((cc_D/2)-cc_c-cc_phiw/2))*1.000000,NA())</f>
        <v/>
      </c>
      <c r="H51">
        <f>(0)+(((cc_D/2)-cc_c-cc_phiw/2))*-0.000000</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CI464"/>
  <sheetViews>
    <sheetView showGridLines="0" tabSelected="0" workbookViewId="0">
      <selection activeCell="A1" sqref="A1"/>
    </sheetView>
  </sheetViews>
  <sheetFormatPr baseColWidth="8" defaultRowHeight="15"/>
  <cols>
    <col width="2" customWidth="1" min="1" max="1"/>
    <col width="6" customWidth="1" min="2" max="2"/>
    <col width="12" customWidth="1" min="3" max="3"/>
    <col width="12" customWidth="1" min="4" max="4"/>
    <col width="12" customWidth="1" min="5" max="5"/>
    <col width="12" customWidth="1" min="6" max="6"/>
    <col width="12" customWidth="1" min="7" max="7"/>
    <col width="12" customWidth="1" min="8" max="8"/>
    <col width="12"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 hidden="1" width="13" customWidth="1" min="40" max="40"/>
    <col hidden="1" width="13" customWidth="1" min="41" max="41"/>
    <col hidden="1" width="13" customWidth="1" min="42" max="42"/>
    <col hidden="1" width="13" customWidth="1" min="43" max="43"/>
    <col hidden="1" width="13" customWidth="1" min="44" max="44"/>
    <col hidden="1" width="13" customWidth="1" min="45" max="45"/>
    <col hidden="1" width="13" customWidth="1" min="46" max="46"/>
    <col hidden="1" width="13" customWidth="1" min="47" max="47"/>
    <col hidden="1" width="13" customWidth="1" min="48" max="48"/>
    <col hidden="1" width="13" customWidth="1" min="49" max="49"/>
    <col hidden="1" width="13" customWidth="1" min="50" max="50"/>
    <col hidden="1" width="13" customWidth="1" min="51" max="51"/>
    <col hidden="1" width="13" customWidth="1" min="52" max="52"/>
    <col hidden="1" width="13" customWidth="1" min="53" max="53"/>
    <col hidden="1" width="13" customWidth="1" min="54" max="54"/>
    <col hidden="1" width="13" customWidth="1" min="55" max="55"/>
    <col hidden="1" width="13" customWidth="1" min="56" max="56"/>
    <col hidden="1" width="13" customWidth="1" min="57" max="57"/>
    <col hidden="1" width="13" customWidth="1" min="58" max="58"/>
    <col hidden="1" width="13" customWidth="1" min="59" max="59"/>
    <col hidden="1" width="13" customWidth="1" min="60" max="60"/>
    <col hidden="1" width="13" customWidth="1" min="61" max="61"/>
    <col hidden="1" width="13" customWidth="1" min="62" max="62"/>
    <col hidden="1" width="13" customWidth="1" min="63" max="63"/>
    <col hidden="1" width="13" customWidth="1" min="64" max="64"/>
    <col hidden="1" width="13" customWidth="1" min="65" max="65"/>
    <col hidden="1" width="13" customWidth="1" min="66" max="66"/>
    <col hidden="1" width="13" customWidth="1" min="67" max="67"/>
    <col hidden="1" width="13" customWidth="1" min="68" max="68"/>
    <col hidden="1" width="13" customWidth="1" min="69" max="69"/>
    <col hidden="1" width="13" customWidth="1" min="70" max="70"/>
    <col hidden="1" width="13" customWidth="1" min="71" max="71"/>
    <col hidden="1" width="13" customWidth="1" min="72" max="72"/>
    <col hidden="1" width="13" customWidth="1" min="73" max="73"/>
    <col hidden="1" width="13" customWidth="1" min="74" max="74"/>
    <col hidden="1" width="13" customWidth="1" min="75" max="75"/>
    <col hidden="1" width="13" customWidth="1" min="76" max="76"/>
    <col hidden="1" width="13" customWidth="1" min="77" max="77"/>
    <col hidden="1" width="13" customWidth="1" min="78" max="78"/>
    <col hidden="1" width="13" customWidth="1" min="79" max="79"/>
    <col hidden="1" width="13" customWidth="1" min="80" max="80"/>
    <col hidden="1" width="13" customWidth="1" min="81" max="81"/>
    <col hidden="1" width="13" customWidth="1" min="82" max="82"/>
    <col hidden="1" width="13" customWidth="1" min="83" max="83"/>
    <col hidden="1" width="13" customWidth="1" min="84" max="84"/>
    <col hidden="1" width="13" customWidth="1" min="85" max="85"/>
    <col hidden="1" width="13" customWidth="1" min="86" max="86"/>
    <col hidden="1" width="13" customWidth="1" min="87" max="87"/>
  </cols>
  <sheetData>
    <row r="2">
      <c r="B2" s="50" t="inlineStr">
        <is>
          <t>N-M interaction  ·  strain compatibility, EN 1992-1-1 §6.1</t>
        </is>
      </c>
    </row>
    <row r="3" ht="100" customHeight="1">
      <c r="B3" s="51" t="inlineStr">
        <is>
          <t>Concrete: parabola-rectangle diagram of 3.1.7(1), σc = fcd [1 − (1 − εc/εc2)²] up to εc2 = 0.002, fcd up to εcu2 = 0.0035, for every neutral axis depth. Strain limits of 6.1(5), Fig 6.1: εcu2 at the compressed face while x ≤ D; with the whole section compressed the strains turn about εc2 at 3D/7 from the compressed face, down to εc2 everywhere (NRd,max). Over the compressed depth zc = min(x, D) the stress is fcd (1 − μ²): μ = 0 down to z1 = 3zc/7, μ = (z − z1)/(x − z1) below. fcd over the segment of depth zc is exact; the deficit fcd μ² is integrated by Simpson's rule with 12 strips in the angle θ, z = D/2 (1 − cos θ) (hidden columns; within 0.01 % of an exact integration). Bars elastic-plastic, Es = 200 GPa, horizontal top branch; the concrete they displace is deducted as As σc at the bar centre. Curves: orientation A, a bar on the compression face, and B, turned by half a bar spacing. MRd at NEd: the strain plane at A, B and ¼, ½, ¾ of the way between, the moments in and across the plane, taken as points on the boundary of the resistance domain at NEd. MRd is the distance from the origin to the chords between these points, the nearest chord split by a sixth orientation P at its nearest point: the chords lie inside a convex boundary, so MRd errs on the safe side (in the tests 0 to 0.5 % below the least of a 97-angle scan, never above; the domain of this model is convex to within 1E-7). M about the centre, compression positive.</t>
        </is>
      </c>
    </row>
    <row r="4" hidden="1">
      <c r="BJ4" t="n">
        <v>1</v>
      </c>
      <c r="BK4" t="n">
        <v>4</v>
      </c>
      <c r="BL4" t="n">
        <v>2</v>
      </c>
      <c r="BM4" t="n">
        <v>4</v>
      </c>
      <c r="BN4" t="n">
        <v>2</v>
      </c>
      <c r="BO4" t="n">
        <v>4</v>
      </c>
      <c r="BP4" t="n">
        <v>2</v>
      </c>
      <c r="BQ4" t="n">
        <v>4</v>
      </c>
      <c r="BR4" t="n">
        <v>2</v>
      </c>
      <c r="BS4" t="n">
        <v>4</v>
      </c>
      <c r="BT4" t="n">
        <v>2</v>
      </c>
      <c r="BU4" t="n">
        <v>4</v>
      </c>
      <c r="BV4" t="n">
        <v>1</v>
      </c>
      <c r="BW4" t="n">
        <v>1</v>
      </c>
      <c r="BX4" t="n">
        <v>4</v>
      </c>
      <c r="BY4" t="n">
        <v>2</v>
      </c>
      <c r="BZ4" t="n">
        <v>4</v>
      </c>
      <c r="CA4" t="n">
        <v>2</v>
      </c>
      <c r="CB4" t="n">
        <v>4</v>
      </c>
      <c r="CC4" t="n">
        <v>2</v>
      </c>
      <c r="CD4" t="n">
        <v>4</v>
      </c>
      <c r="CE4" t="n">
        <v>2</v>
      </c>
      <c r="CF4" t="n">
        <v>4</v>
      </c>
      <c r="CG4" t="n">
        <v>2</v>
      </c>
      <c r="CH4" t="n">
        <v>4</v>
      </c>
      <c r="CI4" t="n">
        <v>1</v>
      </c>
    </row>
    <row r="5" hidden="1">
      <c r="J5">
        <f>IF(1&lt;=cc_nb,PI()*cc_phi^2/4,0)</f>
        <v/>
      </c>
      <c r="K5">
        <f>IF(2&lt;=cc_nb,PI()*cc_phi^2/4,0)</f>
        <v/>
      </c>
      <c r="L5">
        <f>IF(3&lt;=cc_nb,PI()*cc_phi^2/4,0)</f>
        <v/>
      </c>
      <c r="M5">
        <f>IF(4&lt;=cc_nb,PI()*cc_phi^2/4,0)</f>
        <v/>
      </c>
      <c r="N5">
        <f>IF(5&lt;=cc_nb,PI()*cc_phi^2/4,0)</f>
        <v/>
      </c>
      <c r="O5">
        <f>IF(6&lt;=cc_nb,PI()*cc_phi^2/4,0)</f>
        <v/>
      </c>
      <c r="P5">
        <f>IF(7&lt;=cc_nb,PI()*cc_phi^2/4,0)</f>
        <v/>
      </c>
      <c r="Q5">
        <f>IF(8&lt;=cc_nb,PI()*cc_phi^2/4,0)</f>
        <v/>
      </c>
      <c r="R5">
        <f>IF(9&lt;=cc_nb,PI()*cc_phi^2/4,0)</f>
        <v/>
      </c>
      <c r="S5">
        <f>IF(10&lt;=cc_nb,PI()*cc_phi^2/4,0)</f>
        <v/>
      </c>
      <c r="T5">
        <f>IF(11&lt;=cc_nb,PI()*cc_phi^2/4,0)</f>
        <v/>
      </c>
      <c r="U5">
        <f>IF(12&lt;=cc_nb,PI()*cc_phi^2/4,0)</f>
        <v/>
      </c>
      <c r="V5">
        <f>IF(13&lt;=cc_nb,PI()*cc_phi^2/4,0)</f>
        <v/>
      </c>
      <c r="W5">
        <f>IF(14&lt;=cc_nb,PI()*cc_phi^2/4,0)</f>
        <v/>
      </c>
      <c r="X5">
        <f>IF(15&lt;=cc_nb,PI()*cc_phi^2/4,0)</f>
        <v/>
      </c>
      <c r="Y5">
        <f>IF(16&lt;=cc_nb,PI()*cc_phi^2/4,0)</f>
        <v/>
      </c>
      <c r="Z5">
        <f>IF(17&lt;=cc_nb,PI()*cc_phi^2/4,0)</f>
        <v/>
      </c>
      <c r="AA5">
        <f>IF(18&lt;=cc_nb,PI()*cc_phi^2/4,0)</f>
        <v/>
      </c>
      <c r="AB5">
        <f>IF(19&lt;=cc_nb,PI()*cc_phi^2/4,0)</f>
        <v/>
      </c>
      <c r="AC5">
        <f>IF(20&lt;=cc_nb,PI()*cc_phi^2/4,0)</f>
        <v/>
      </c>
      <c r="AD5">
        <f>IF(21&lt;=cc_nb,PI()*cc_phi^2/4,0)</f>
        <v/>
      </c>
      <c r="AE5">
        <f>IF(22&lt;=cc_nb,PI()*cc_phi^2/4,0)</f>
        <v/>
      </c>
      <c r="AF5">
        <f>IF(23&lt;=cc_nb,PI()*cc_phi^2/4,0)</f>
        <v/>
      </c>
      <c r="AG5">
        <f>IF(24&lt;=cc_nb,PI()*cc_phi^2/4,0)</f>
        <v/>
      </c>
    </row>
    <row r="6" hidden="1">
      <c r="J6">
        <f>IF(1&lt;=cc_nb,cc_D/2-rs_cc*COS((2*PI()*0/cc_nb+0*PI()/cc_nb)),cc_D/2)</f>
        <v/>
      </c>
      <c r="K6">
        <f>IF(2&lt;=cc_nb,cc_D/2-rs_cc*COS((2*PI()*1/cc_nb+0*PI()/cc_nb)),cc_D/2)</f>
        <v/>
      </c>
      <c r="L6">
        <f>IF(3&lt;=cc_nb,cc_D/2-rs_cc*COS((2*PI()*2/cc_nb+0*PI()/cc_nb)),cc_D/2)</f>
        <v/>
      </c>
      <c r="M6">
        <f>IF(4&lt;=cc_nb,cc_D/2-rs_cc*COS((2*PI()*3/cc_nb+0*PI()/cc_nb)),cc_D/2)</f>
        <v/>
      </c>
      <c r="N6">
        <f>IF(5&lt;=cc_nb,cc_D/2-rs_cc*COS((2*PI()*4/cc_nb+0*PI()/cc_nb)),cc_D/2)</f>
        <v/>
      </c>
      <c r="O6">
        <f>IF(6&lt;=cc_nb,cc_D/2-rs_cc*COS((2*PI()*5/cc_nb+0*PI()/cc_nb)),cc_D/2)</f>
        <v/>
      </c>
      <c r="P6">
        <f>IF(7&lt;=cc_nb,cc_D/2-rs_cc*COS((2*PI()*6/cc_nb+0*PI()/cc_nb)),cc_D/2)</f>
        <v/>
      </c>
      <c r="Q6">
        <f>IF(8&lt;=cc_nb,cc_D/2-rs_cc*COS((2*PI()*7/cc_nb+0*PI()/cc_nb)),cc_D/2)</f>
        <v/>
      </c>
      <c r="R6">
        <f>IF(9&lt;=cc_nb,cc_D/2-rs_cc*COS((2*PI()*8/cc_nb+0*PI()/cc_nb)),cc_D/2)</f>
        <v/>
      </c>
      <c r="S6">
        <f>IF(10&lt;=cc_nb,cc_D/2-rs_cc*COS((2*PI()*9/cc_nb+0*PI()/cc_nb)),cc_D/2)</f>
        <v/>
      </c>
      <c r="T6">
        <f>IF(11&lt;=cc_nb,cc_D/2-rs_cc*COS((2*PI()*10/cc_nb+0*PI()/cc_nb)),cc_D/2)</f>
        <v/>
      </c>
      <c r="U6">
        <f>IF(12&lt;=cc_nb,cc_D/2-rs_cc*COS((2*PI()*11/cc_nb+0*PI()/cc_nb)),cc_D/2)</f>
        <v/>
      </c>
      <c r="V6">
        <f>IF(13&lt;=cc_nb,cc_D/2-rs_cc*COS((2*PI()*12/cc_nb+0*PI()/cc_nb)),cc_D/2)</f>
        <v/>
      </c>
      <c r="W6">
        <f>IF(14&lt;=cc_nb,cc_D/2-rs_cc*COS((2*PI()*13/cc_nb+0*PI()/cc_nb)),cc_D/2)</f>
        <v/>
      </c>
      <c r="X6">
        <f>IF(15&lt;=cc_nb,cc_D/2-rs_cc*COS((2*PI()*14/cc_nb+0*PI()/cc_nb)),cc_D/2)</f>
        <v/>
      </c>
      <c r="Y6">
        <f>IF(16&lt;=cc_nb,cc_D/2-rs_cc*COS((2*PI()*15/cc_nb+0*PI()/cc_nb)),cc_D/2)</f>
        <v/>
      </c>
      <c r="Z6">
        <f>IF(17&lt;=cc_nb,cc_D/2-rs_cc*COS((2*PI()*16/cc_nb+0*PI()/cc_nb)),cc_D/2)</f>
        <v/>
      </c>
      <c r="AA6">
        <f>IF(18&lt;=cc_nb,cc_D/2-rs_cc*COS((2*PI()*17/cc_nb+0*PI()/cc_nb)),cc_D/2)</f>
        <v/>
      </c>
      <c r="AB6">
        <f>IF(19&lt;=cc_nb,cc_D/2-rs_cc*COS((2*PI()*18/cc_nb+0*PI()/cc_nb)),cc_D/2)</f>
        <v/>
      </c>
      <c r="AC6">
        <f>IF(20&lt;=cc_nb,cc_D/2-rs_cc*COS((2*PI()*19/cc_nb+0*PI()/cc_nb)),cc_D/2)</f>
        <v/>
      </c>
      <c r="AD6">
        <f>IF(21&lt;=cc_nb,cc_D/2-rs_cc*COS((2*PI()*20/cc_nb+0*PI()/cc_nb)),cc_D/2)</f>
        <v/>
      </c>
      <c r="AE6">
        <f>IF(22&lt;=cc_nb,cc_D/2-rs_cc*COS((2*PI()*21/cc_nb+0*PI()/cc_nb)),cc_D/2)</f>
        <v/>
      </c>
      <c r="AF6">
        <f>IF(23&lt;=cc_nb,cc_D/2-rs_cc*COS((2*PI()*22/cc_nb+0*PI()/cc_nb)),cc_D/2)</f>
        <v/>
      </c>
      <c r="AG6">
        <f>IF(24&lt;=cc_nb,cc_D/2-rs_cc*COS((2*PI()*23/cc_nb+0*PI()/cc_nb)),cc_D/2)</f>
        <v/>
      </c>
    </row>
    <row r="7" hidden="1">
      <c r="J7">
        <f>cc_D/2-J6</f>
        <v/>
      </c>
      <c r="K7">
        <f>cc_D/2-K6</f>
        <v/>
      </c>
      <c r="L7">
        <f>cc_D/2-L6</f>
        <v/>
      </c>
      <c r="M7">
        <f>cc_D/2-M6</f>
        <v/>
      </c>
      <c r="N7">
        <f>cc_D/2-N6</f>
        <v/>
      </c>
      <c r="O7">
        <f>cc_D/2-O6</f>
        <v/>
      </c>
      <c r="P7">
        <f>cc_D/2-P6</f>
        <v/>
      </c>
      <c r="Q7">
        <f>cc_D/2-Q6</f>
        <v/>
      </c>
      <c r="R7">
        <f>cc_D/2-R6</f>
        <v/>
      </c>
      <c r="S7">
        <f>cc_D/2-S6</f>
        <v/>
      </c>
      <c r="T7">
        <f>cc_D/2-T6</f>
        <v/>
      </c>
      <c r="U7">
        <f>cc_D/2-U6</f>
        <v/>
      </c>
      <c r="V7">
        <f>cc_D/2-V6</f>
        <v/>
      </c>
      <c r="W7">
        <f>cc_D/2-W6</f>
        <v/>
      </c>
      <c r="X7">
        <f>cc_D/2-X6</f>
        <v/>
      </c>
      <c r="Y7">
        <f>cc_D/2-Y6</f>
        <v/>
      </c>
      <c r="Z7">
        <f>cc_D/2-Z6</f>
        <v/>
      </c>
      <c r="AA7">
        <f>cc_D/2-AA6</f>
        <v/>
      </c>
      <c r="AB7">
        <f>cc_D/2-AB6</f>
        <v/>
      </c>
      <c r="AC7">
        <f>cc_D/2-AC6</f>
        <v/>
      </c>
      <c r="AD7">
        <f>cc_D/2-AD6</f>
        <v/>
      </c>
      <c r="AE7">
        <f>cc_D/2-AE6</f>
        <v/>
      </c>
      <c r="AF7">
        <f>cc_D/2-AF6</f>
        <v/>
      </c>
      <c r="AG7">
        <f>cc_D/2-AG6</f>
        <v/>
      </c>
    </row>
    <row r="8" hidden="1">
      <c r="J8">
        <f>IF(1&lt;=cc_nb,rs_cc*SIN((2*PI()*0/cc_nb+0*PI()/cc_nb)),0)</f>
        <v/>
      </c>
      <c r="K8">
        <f>IF(2&lt;=cc_nb,rs_cc*SIN((2*PI()*1/cc_nb+0*PI()/cc_nb)),0)</f>
        <v/>
      </c>
      <c r="L8">
        <f>IF(3&lt;=cc_nb,rs_cc*SIN((2*PI()*2/cc_nb+0*PI()/cc_nb)),0)</f>
        <v/>
      </c>
      <c r="M8">
        <f>IF(4&lt;=cc_nb,rs_cc*SIN((2*PI()*3/cc_nb+0*PI()/cc_nb)),0)</f>
        <v/>
      </c>
      <c r="N8">
        <f>IF(5&lt;=cc_nb,rs_cc*SIN((2*PI()*4/cc_nb+0*PI()/cc_nb)),0)</f>
        <v/>
      </c>
      <c r="O8">
        <f>IF(6&lt;=cc_nb,rs_cc*SIN((2*PI()*5/cc_nb+0*PI()/cc_nb)),0)</f>
        <v/>
      </c>
      <c r="P8">
        <f>IF(7&lt;=cc_nb,rs_cc*SIN((2*PI()*6/cc_nb+0*PI()/cc_nb)),0)</f>
        <v/>
      </c>
      <c r="Q8">
        <f>IF(8&lt;=cc_nb,rs_cc*SIN((2*PI()*7/cc_nb+0*PI()/cc_nb)),0)</f>
        <v/>
      </c>
      <c r="R8">
        <f>IF(9&lt;=cc_nb,rs_cc*SIN((2*PI()*8/cc_nb+0*PI()/cc_nb)),0)</f>
        <v/>
      </c>
      <c r="S8">
        <f>IF(10&lt;=cc_nb,rs_cc*SIN((2*PI()*9/cc_nb+0*PI()/cc_nb)),0)</f>
        <v/>
      </c>
      <c r="T8">
        <f>IF(11&lt;=cc_nb,rs_cc*SIN((2*PI()*10/cc_nb+0*PI()/cc_nb)),0)</f>
        <v/>
      </c>
      <c r="U8">
        <f>IF(12&lt;=cc_nb,rs_cc*SIN((2*PI()*11/cc_nb+0*PI()/cc_nb)),0)</f>
        <v/>
      </c>
      <c r="V8">
        <f>IF(13&lt;=cc_nb,rs_cc*SIN((2*PI()*12/cc_nb+0*PI()/cc_nb)),0)</f>
        <v/>
      </c>
      <c r="W8">
        <f>IF(14&lt;=cc_nb,rs_cc*SIN((2*PI()*13/cc_nb+0*PI()/cc_nb)),0)</f>
        <v/>
      </c>
      <c r="X8">
        <f>IF(15&lt;=cc_nb,rs_cc*SIN((2*PI()*14/cc_nb+0*PI()/cc_nb)),0)</f>
        <v/>
      </c>
      <c r="Y8">
        <f>IF(16&lt;=cc_nb,rs_cc*SIN((2*PI()*15/cc_nb+0*PI()/cc_nb)),0)</f>
        <v/>
      </c>
      <c r="Z8">
        <f>IF(17&lt;=cc_nb,rs_cc*SIN((2*PI()*16/cc_nb+0*PI()/cc_nb)),0)</f>
        <v/>
      </c>
      <c r="AA8">
        <f>IF(18&lt;=cc_nb,rs_cc*SIN((2*PI()*17/cc_nb+0*PI()/cc_nb)),0)</f>
        <v/>
      </c>
      <c r="AB8">
        <f>IF(19&lt;=cc_nb,rs_cc*SIN((2*PI()*18/cc_nb+0*PI()/cc_nb)),0)</f>
        <v/>
      </c>
      <c r="AC8">
        <f>IF(20&lt;=cc_nb,rs_cc*SIN((2*PI()*19/cc_nb+0*PI()/cc_nb)),0)</f>
        <v/>
      </c>
      <c r="AD8">
        <f>IF(21&lt;=cc_nb,rs_cc*SIN((2*PI()*20/cc_nb+0*PI()/cc_nb)),0)</f>
        <v/>
      </c>
      <c r="AE8">
        <f>IF(22&lt;=cc_nb,rs_cc*SIN((2*PI()*21/cc_nb+0*PI()/cc_nb)),0)</f>
        <v/>
      </c>
      <c r="AF8">
        <f>IF(23&lt;=cc_nb,rs_cc*SIN((2*PI()*22/cc_nb+0*PI()/cc_nb)),0)</f>
        <v/>
      </c>
      <c r="AG8">
        <f>IF(24&lt;=cc_nb,rs_cc*SIN((2*PI()*23/cc_nb+0*PI()/cc_nb)),0)</f>
        <v/>
      </c>
    </row>
    <row r="9" hidden="1">
      <c r="J9">
        <f>IF(1&lt;=cc_nb,cc_D/2-rs_cc*COS((2*PI()*0/cc_nb+0.25*PI()/cc_nb)),cc_D/2)</f>
        <v/>
      </c>
      <c r="K9">
        <f>IF(2&lt;=cc_nb,cc_D/2-rs_cc*COS((2*PI()*1/cc_nb+0.25*PI()/cc_nb)),cc_D/2)</f>
        <v/>
      </c>
      <c r="L9">
        <f>IF(3&lt;=cc_nb,cc_D/2-rs_cc*COS((2*PI()*2/cc_nb+0.25*PI()/cc_nb)),cc_D/2)</f>
        <v/>
      </c>
      <c r="M9">
        <f>IF(4&lt;=cc_nb,cc_D/2-rs_cc*COS((2*PI()*3/cc_nb+0.25*PI()/cc_nb)),cc_D/2)</f>
        <v/>
      </c>
      <c r="N9">
        <f>IF(5&lt;=cc_nb,cc_D/2-rs_cc*COS((2*PI()*4/cc_nb+0.25*PI()/cc_nb)),cc_D/2)</f>
        <v/>
      </c>
      <c r="O9">
        <f>IF(6&lt;=cc_nb,cc_D/2-rs_cc*COS((2*PI()*5/cc_nb+0.25*PI()/cc_nb)),cc_D/2)</f>
        <v/>
      </c>
      <c r="P9">
        <f>IF(7&lt;=cc_nb,cc_D/2-rs_cc*COS((2*PI()*6/cc_nb+0.25*PI()/cc_nb)),cc_D/2)</f>
        <v/>
      </c>
      <c r="Q9">
        <f>IF(8&lt;=cc_nb,cc_D/2-rs_cc*COS((2*PI()*7/cc_nb+0.25*PI()/cc_nb)),cc_D/2)</f>
        <v/>
      </c>
      <c r="R9">
        <f>IF(9&lt;=cc_nb,cc_D/2-rs_cc*COS((2*PI()*8/cc_nb+0.25*PI()/cc_nb)),cc_D/2)</f>
        <v/>
      </c>
      <c r="S9">
        <f>IF(10&lt;=cc_nb,cc_D/2-rs_cc*COS((2*PI()*9/cc_nb+0.25*PI()/cc_nb)),cc_D/2)</f>
        <v/>
      </c>
      <c r="T9">
        <f>IF(11&lt;=cc_nb,cc_D/2-rs_cc*COS((2*PI()*10/cc_nb+0.25*PI()/cc_nb)),cc_D/2)</f>
        <v/>
      </c>
      <c r="U9">
        <f>IF(12&lt;=cc_nb,cc_D/2-rs_cc*COS((2*PI()*11/cc_nb+0.25*PI()/cc_nb)),cc_D/2)</f>
        <v/>
      </c>
      <c r="V9">
        <f>IF(13&lt;=cc_nb,cc_D/2-rs_cc*COS((2*PI()*12/cc_nb+0.25*PI()/cc_nb)),cc_D/2)</f>
        <v/>
      </c>
      <c r="W9">
        <f>IF(14&lt;=cc_nb,cc_D/2-rs_cc*COS((2*PI()*13/cc_nb+0.25*PI()/cc_nb)),cc_D/2)</f>
        <v/>
      </c>
      <c r="X9">
        <f>IF(15&lt;=cc_nb,cc_D/2-rs_cc*COS((2*PI()*14/cc_nb+0.25*PI()/cc_nb)),cc_D/2)</f>
        <v/>
      </c>
      <c r="Y9">
        <f>IF(16&lt;=cc_nb,cc_D/2-rs_cc*COS((2*PI()*15/cc_nb+0.25*PI()/cc_nb)),cc_D/2)</f>
        <v/>
      </c>
      <c r="Z9">
        <f>IF(17&lt;=cc_nb,cc_D/2-rs_cc*COS((2*PI()*16/cc_nb+0.25*PI()/cc_nb)),cc_D/2)</f>
        <v/>
      </c>
      <c r="AA9">
        <f>IF(18&lt;=cc_nb,cc_D/2-rs_cc*COS((2*PI()*17/cc_nb+0.25*PI()/cc_nb)),cc_D/2)</f>
        <v/>
      </c>
      <c r="AB9">
        <f>IF(19&lt;=cc_nb,cc_D/2-rs_cc*COS((2*PI()*18/cc_nb+0.25*PI()/cc_nb)),cc_D/2)</f>
        <v/>
      </c>
      <c r="AC9">
        <f>IF(20&lt;=cc_nb,cc_D/2-rs_cc*COS((2*PI()*19/cc_nb+0.25*PI()/cc_nb)),cc_D/2)</f>
        <v/>
      </c>
      <c r="AD9">
        <f>IF(21&lt;=cc_nb,cc_D/2-rs_cc*COS((2*PI()*20/cc_nb+0.25*PI()/cc_nb)),cc_D/2)</f>
        <v/>
      </c>
      <c r="AE9">
        <f>IF(22&lt;=cc_nb,cc_D/2-rs_cc*COS((2*PI()*21/cc_nb+0.25*PI()/cc_nb)),cc_D/2)</f>
        <v/>
      </c>
      <c r="AF9">
        <f>IF(23&lt;=cc_nb,cc_D/2-rs_cc*COS((2*PI()*22/cc_nb+0.25*PI()/cc_nb)),cc_D/2)</f>
        <v/>
      </c>
      <c r="AG9">
        <f>IF(24&lt;=cc_nb,cc_D/2-rs_cc*COS((2*PI()*23/cc_nb+0.25*PI()/cc_nb)),cc_D/2)</f>
        <v/>
      </c>
    </row>
    <row r="10" hidden="1">
      <c r="J10">
        <f>cc_D/2-J9</f>
        <v/>
      </c>
      <c r="K10">
        <f>cc_D/2-K9</f>
        <v/>
      </c>
      <c r="L10">
        <f>cc_D/2-L9</f>
        <v/>
      </c>
      <c r="M10">
        <f>cc_D/2-M9</f>
        <v/>
      </c>
      <c r="N10">
        <f>cc_D/2-N9</f>
        <v/>
      </c>
      <c r="O10">
        <f>cc_D/2-O9</f>
        <v/>
      </c>
      <c r="P10">
        <f>cc_D/2-P9</f>
        <v/>
      </c>
      <c r="Q10">
        <f>cc_D/2-Q9</f>
        <v/>
      </c>
      <c r="R10">
        <f>cc_D/2-R9</f>
        <v/>
      </c>
      <c r="S10">
        <f>cc_D/2-S9</f>
        <v/>
      </c>
      <c r="T10">
        <f>cc_D/2-T9</f>
        <v/>
      </c>
      <c r="U10">
        <f>cc_D/2-U9</f>
        <v/>
      </c>
      <c r="V10">
        <f>cc_D/2-V9</f>
        <v/>
      </c>
      <c r="W10">
        <f>cc_D/2-W9</f>
        <v/>
      </c>
      <c r="X10">
        <f>cc_D/2-X9</f>
        <v/>
      </c>
      <c r="Y10">
        <f>cc_D/2-Y9</f>
        <v/>
      </c>
      <c r="Z10">
        <f>cc_D/2-Z9</f>
        <v/>
      </c>
      <c r="AA10">
        <f>cc_D/2-AA9</f>
        <v/>
      </c>
      <c r="AB10">
        <f>cc_D/2-AB9</f>
        <v/>
      </c>
      <c r="AC10">
        <f>cc_D/2-AC9</f>
        <v/>
      </c>
      <c r="AD10">
        <f>cc_D/2-AD9</f>
        <v/>
      </c>
      <c r="AE10">
        <f>cc_D/2-AE9</f>
        <v/>
      </c>
      <c r="AF10">
        <f>cc_D/2-AF9</f>
        <v/>
      </c>
      <c r="AG10">
        <f>cc_D/2-AG9</f>
        <v/>
      </c>
    </row>
    <row r="11" hidden="1">
      <c r="J11">
        <f>IF(1&lt;=cc_nb,rs_cc*SIN((2*PI()*0/cc_nb+0.25*PI()/cc_nb)),0)</f>
        <v/>
      </c>
      <c r="K11">
        <f>IF(2&lt;=cc_nb,rs_cc*SIN((2*PI()*1/cc_nb+0.25*PI()/cc_nb)),0)</f>
        <v/>
      </c>
      <c r="L11">
        <f>IF(3&lt;=cc_nb,rs_cc*SIN((2*PI()*2/cc_nb+0.25*PI()/cc_nb)),0)</f>
        <v/>
      </c>
      <c r="M11">
        <f>IF(4&lt;=cc_nb,rs_cc*SIN((2*PI()*3/cc_nb+0.25*PI()/cc_nb)),0)</f>
        <v/>
      </c>
      <c r="N11">
        <f>IF(5&lt;=cc_nb,rs_cc*SIN((2*PI()*4/cc_nb+0.25*PI()/cc_nb)),0)</f>
        <v/>
      </c>
      <c r="O11">
        <f>IF(6&lt;=cc_nb,rs_cc*SIN((2*PI()*5/cc_nb+0.25*PI()/cc_nb)),0)</f>
        <v/>
      </c>
      <c r="P11">
        <f>IF(7&lt;=cc_nb,rs_cc*SIN((2*PI()*6/cc_nb+0.25*PI()/cc_nb)),0)</f>
        <v/>
      </c>
      <c r="Q11">
        <f>IF(8&lt;=cc_nb,rs_cc*SIN((2*PI()*7/cc_nb+0.25*PI()/cc_nb)),0)</f>
        <v/>
      </c>
      <c r="R11">
        <f>IF(9&lt;=cc_nb,rs_cc*SIN((2*PI()*8/cc_nb+0.25*PI()/cc_nb)),0)</f>
        <v/>
      </c>
      <c r="S11">
        <f>IF(10&lt;=cc_nb,rs_cc*SIN((2*PI()*9/cc_nb+0.25*PI()/cc_nb)),0)</f>
        <v/>
      </c>
      <c r="T11">
        <f>IF(11&lt;=cc_nb,rs_cc*SIN((2*PI()*10/cc_nb+0.25*PI()/cc_nb)),0)</f>
        <v/>
      </c>
      <c r="U11">
        <f>IF(12&lt;=cc_nb,rs_cc*SIN((2*PI()*11/cc_nb+0.25*PI()/cc_nb)),0)</f>
        <v/>
      </c>
      <c r="V11">
        <f>IF(13&lt;=cc_nb,rs_cc*SIN((2*PI()*12/cc_nb+0.25*PI()/cc_nb)),0)</f>
        <v/>
      </c>
      <c r="W11">
        <f>IF(14&lt;=cc_nb,rs_cc*SIN((2*PI()*13/cc_nb+0.25*PI()/cc_nb)),0)</f>
        <v/>
      </c>
      <c r="X11">
        <f>IF(15&lt;=cc_nb,rs_cc*SIN((2*PI()*14/cc_nb+0.25*PI()/cc_nb)),0)</f>
        <v/>
      </c>
      <c r="Y11">
        <f>IF(16&lt;=cc_nb,rs_cc*SIN((2*PI()*15/cc_nb+0.25*PI()/cc_nb)),0)</f>
        <v/>
      </c>
      <c r="Z11">
        <f>IF(17&lt;=cc_nb,rs_cc*SIN((2*PI()*16/cc_nb+0.25*PI()/cc_nb)),0)</f>
        <v/>
      </c>
      <c r="AA11">
        <f>IF(18&lt;=cc_nb,rs_cc*SIN((2*PI()*17/cc_nb+0.25*PI()/cc_nb)),0)</f>
        <v/>
      </c>
      <c r="AB11">
        <f>IF(19&lt;=cc_nb,rs_cc*SIN((2*PI()*18/cc_nb+0.25*PI()/cc_nb)),0)</f>
        <v/>
      </c>
      <c r="AC11">
        <f>IF(20&lt;=cc_nb,rs_cc*SIN((2*PI()*19/cc_nb+0.25*PI()/cc_nb)),0)</f>
        <v/>
      </c>
      <c r="AD11">
        <f>IF(21&lt;=cc_nb,rs_cc*SIN((2*PI()*20/cc_nb+0.25*PI()/cc_nb)),0)</f>
        <v/>
      </c>
      <c r="AE11">
        <f>IF(22&lt;=cc_nb,rs_cc*SIN((2*PI()*21/cc_nb+0.25*PI()/cc_nb)),0)</f>
        <v/>
      </c>
      <c r="AF11">
        <f>IF(23&lt;=cc_nb,rs_cc*SIN((2*PI()*22/cc_nb+0.25*PI()/cc_nb)),0)</f>
        <v/>
      </c>
      <c r="AG11">
        <f>IF(24&lt;=cc_nb,rs_cc*SIN((2*PI()*23/cc_nb+0.25*PI()/cc_nb)),0)</f>
        <v/>
      </c>
    </row>
    <row r="12" hidden="1">
      <c r="J12">
        <f>IF(1&lt;=cc_nb,cc_D/2-rs_cc*COS((2*PI()*0/cc_nb+0.5*PI()/cc_nb)),cc_D/2)</f>
        <v/>
      </c>
      <c r="K12">
        <f>IF(2&lt;=cc_nb,cc_D/2-rs_cc*COS((2*PI()*1/cc_nb+0.5*PI()/cc_nb)),cc_D/2)</f>
        <v/>
      </c>
      <c r="L12">
        <f>IF(3&lt;=cc_nb,cc_D/2-rs_cc*COS((2*PI()*2/cc_nb+0.5*PI()/cc_nb)),cc_D/2)</f>
        <v/>
      </c>
      <c r="M12">
        <f>IF(4&lt;=cc_nb,cc_D/2-rs_cc*COS((2*PI()*3/cc_nb+0.5*PI()/cc_nb)),cc_D/2)</f>
        <v/>
      </c>
      <c r="N12">
        <f>IF(5&lt;=cc_nb,cc_D/2-rs_cc*COS((2*PI()*4/cc_nb+0.5*PI()/cc_nb)),cc_D/2)</f>
        <v/>
      </c>
      <c r="O12">
        <f>IF(6&lt;=cc_nb,cc_D/2-rs_cc*COS((2*PI()*5/cc_nb+0.5*PI()/cc_nb)),cc_D/2)</f>
        <v/>
      </c>
      <c r="P12">
        <f>IF(7&lt;=cc_nb,cc_D/2-rs_cc*COS((2*PI()*6/cc_nb+0.5*PI()/cc_nb)),cc_D/2)</f>
        <v/>
      </c>
      <c r="Q12">
        <f>IF(8&lt;=cc_nb,cc_D/2-rs_cc*COS((2*PI()*7/cc_nb+0.5*PI()/cc_nb)),cc_D/2)</f>
        <v/>
      </c>
      <c r="R12">
        <f>IF(9&lt;=cc_nb,cc_D/2-rs_cc*COS((2*PI()*8/cc_nb+0.5*PI()/cc_nb)),cc_D/2)</f>
        <v/>
      </c>
      <c r="S12">
        <f>IF(10&lt;=cc_nb,cc_D/2-rs_cc*COS((2*PI()*9/cc_nb+0.5*PI()/cc_nb)),cc_D/2)</f>
        <v/>
      </c>
      <c r="T12">
        <f>IF(11&lt;=cc_nb,cc_D/2-rs_cc*COS((2*PI()*10/cc_nb+0.5*PI()/cc_nb)),cc_D/2)</f>
        <v/>
      </c>
      <c r="U12">
        <f>IF(12&lt;=cc_nb,cc_D/2-rs_cc*COS((2*PI()*11/cc_nb+0.5*PI()/cc_nb)),cc_D/2)</f>
        <v/>
      </c>
      <c r="V12">
        <f>IF(13&lt;=cc_nb,cc_D/2-rs_cc*COS((2*PI()*12/cc_nb+0.5*PI()/cc_nb)),cc_D/2)</f>
        <v/>
      </c>
      <c r="W12">
        <f>IF(14&lt;=cc_nb,cc_D/2-rs_cc*COS((2*PI()*13/cc_nb+0.5*PI()/cc_nb)),cc_D/2)</f>
        <v/>
      </c>
      <c r="X12">
        <f>IF(15&lt;=cc_nb,cc_D/2-rs_cc*COS((2*PI()*14/cc_nb+0.5*PI()/cc_nb)),cc_D/2)</f>
        <v/>
      </c>
      <c r="Y12">
        <f>IF(16&lt;=cc_nb,cc_D/2-rs_cc*COS((2*PI()*15/cc_nb+0.5*PI()/cc_nb)),cc_D/2)</f>
        <v/>
      </c>
      <c r="Z12">
        <f>IF(17&lt;=cc_nb,cc_D/2-rs_cc*COS((2*PI()*16/cc_nb+0.5*PI()/cc_nb)),cc_D/2)</f>
        <v/>
      </c>
      <c r="AA12">
        <f>IF(18&lt;=cc_nb,cc_D/2-rs_cc*COS((2*PI()*17/cc_nb+0.5*PI()/cc_nb)),cc_D/2)</f>
        <v/>
      </c>
      <c r="AB12">
        <f>IF(19&lt;=cc_nb,cc_D/2-rs_cc*COS((2*PI()*18/cc_nb+0.5*PI()/cc_nb)),cc_D/2)</f>
        <v/>
      </c>
      <c r="AC12">
        <f>IF(20&lt;=cc_nb,cc_D/2-rs_cc*COS((2*PI()*19/cc_nb+0.5*PI()/cc_nb)),cc_D/2)</f>
        <v/>
      </c>
      <c r="AD12">
        <f>IF(21&lt;=cc_nb,cc_D/2-rs_cc*COS((2*PI()*20/cc_nb+0.5*PI()/cc_nb)),cc_D/2)</f>
        <v/>
      </c>
      <c r="AE12">
        <f>IF(22&lt;=cc_nb,cc_D/2-rs_cc*COS((2*PI()*21/cc_nb+0.5*PI()/cc_nb)),cc_D/2)</f>
        <v/>
      </c>
      <c r="AF12">
        <f>IF(23&lt;=cc_nb,cc_D/2-rs_cc*COS((2*PI()*22/cc_nb+0.5*PI()/cc_nb)),cc_D/2)</f>
        <v/>
      </c>
      <c r="AG12">
        <f>IF(24&lt;=cc_nb,cc_D/2-rs_cc*COS((2*PI()*23/cc_nb+0.5*PI()/cc_nb)),cc_D/2)</f>
        <v/>
      </c>
    </row>
    <row r="13" hidden="1">
      <c r="J13">
        <f>cc_D/2-J12</f>
        <v/>
      </c>
      <c r="K13">
        <f>cc_D/2-K12</f>
        <v/>
      </c>
      <c r="L13">
        <f>cc_D/2-L12</f>
        <v/>
      </c>
      <c r="M13">
        <f>cc_D/2-M12</f>
        <v/>
      </c>
      <c r="N13">
        <f>cc_D/2-N12</f>
        <v/>
      </c>
      <c r="O13">
        <f>cc_D/2-O12</f>
        <v/>
      </c>
      <c r="P13">
        <f>cc_D/2-P12</f>
        <v/>
      </c>
      <c r="Q13">
        <f>cc_D/2-Q12</f>
        <v/>
      </c>
      <c r="R13">
        <f>cc_D/2-R12</f>
        <v/>
      </c>
      <c r="S13">
        <f>cc_D/2-S12</f>
        <v/>
      </c>
      <c r="T13">
        <f>cc_D/2-T12</f>
        <v/>
      </c>
      <c r="U13">
        <f>cc_D/2-U12</f>
        <v/>
      </c>
      <c r="V13">
        <f>cc_D/2-V12</f>
        <v/>
      </c>
      <c r="W13">
        <f>cc_D/2-W12</f>
        <v/>
      </c>
      <c r="X13">
        <f>cc_D/2-X12</f>
        <v/>
      </c>
      <c r="Y13">
        <f>cc_D/2-Y12</f>
        <v/>
      </c>
      <c r="Z13">
        <f>cc_D/2-Z12</f>
        <v/>
      </c>
      <c r="AA13">
        <f>cc_D/2-AA12</f>
        <v/>
      </c>
      <c r="AB13">
        <f>cc_D/2-AB12</f>
        <v/>
      </c>
      <c r="AC13">
        <f>cc_D/2-AC12</f>
        <v/>
      </c>
      <c r="AD13">
        <f>cc_D/2-AD12</f>
        <v/>
      </c>
      <c r="AE13">
        <f>cc_D/2-AE12</f>
        <v/>
      </c>
      <c r="AF13">
        <f>cc_D/2-AF12</f>
        <v/>
      </c>
      <c r="AG13">
        <f>cc_D/2-AG12</f>
        <v/>
      </c>
    </row>
    <row r="14" hidden="1">
      <c r="J14">
        <f>IF(1&lt;=cc_nb,rs_cc*SIN((2*PI()*0/cc_nb+0.5*PI()/cc_nb)),0)</f>
        <v/>
      </c>
      <c r="K14">
        <f>IF(2&lt;=cc_nb,rs_cc*SIN((2*PI()*1/cc_nb+0.5*PI()/cc_nb)),0)</f>
        <v/>
      </c>
      <c r="L14">
        <f>IF(3&lt;=cc_nb,rs_cc*SIN((2*PI()*2/cc_nb+0.5*PI()/cc_nb)),0)</f>
        <v/>
      </c>
      <c r="M14">
        <f>IF(4&lt;=cc_nb,rs_cc*SIN((2*PI()*3/cc_nb+0.5*PI()/cc_nb)),0)</f>
        <v/>
      </c>
      <c r="N14">
        <f>IF(5&lt;=cc_nb,rs_cc*SIN((2*PI()*4/cc_nb+0.5*PI()/cc_nb)),0)</f>
        <v/>
      </c>
      <c r="O14">
        <f>IF(6&lt;=cc_nb,rs_cc*SIN((2*PI()*5/cc_nb+0.5*PI()/cc_nb)),0)</f>
        <v/>
      </c>
      <c r="P14">
        <f>IF(7&lt;=cc_nb,rs_cc*SIN((2*PI()*6/cc_nb+0.5*PI()/cc_nb)),0)</f>
        <v/>
      </c>
      <c r="Q14">
        <f>IF(8&lt;=cc_nb,rs_cc*SIN((2*PI()*7/cc_nb+0.5*PI()/cc_nb)),0)</f>
        <v/>
      </c>
      <c r="R14">
        <f>IF(9&lt;=cc_nb,rs_cc*SIN((2*PI()*8/cc_nb+0.5*PI()/cc_nb)),0)</f>
        <v/>
      </c>
      <c r="S14">
        <f>IF(10&lt;=cc_nb,rs_cc*SIN((2*PI()*9/cc_nb+0.5*PI()/cc_nb)),0)</f>
        <v/>
      </c>
      <c r="T14">
        <f>IF(11&lt;=cc_nb,rs_cc*SIN((2*PI()*10/cc_nb+0.5*PI()/cc_nb)),0)</f>
        <v/>
      </c>
      <c r="U14">
        <f>IF(12&lt;=cc_nb,rs_cc*SIN((2*PI()*11/cc_nb+0.5*PI()/cc_nb)),0)</f>
        <v/>
      </c>
      <c r="V14">
        <f>IF(13&lt;=cc_nb,rs_cc*SIN((2*PI()*12/cc_nb+0.5*PI()/cc_nb)),0)</f>
        <v/>
      </c>
      <c r="W14">
        <f>IF(14&lt;=cc_nb,rs_cc*SIN((2*PI()*13/cc_nb+0.5*PI()/cc_nb)),0)</f>
        <v/>
      </c>
      <c r="X14">
        <f>IF(15&lt;=cc_nb,rs_cc*SIN((2*PI()*14/cc_nb+0.5*PI()/cc_nb)),0)</f>
        <v/>
      </c>
      <c r="Y14">
        <f>IF(16&lt;=cc_nb,rs_cc*SIN((2*PI()*15/cc_nb+0.5*PI()/cc_nb)),0)</f>
        <v/>
      </c>
      <c r="Z14">
        <f>IF(17&lt;=cc_nb,rs_cc*SIN((2*PI()*16/cc_nb+0.5*PI()/cc_nb)),0)</f>
        <v/>
      </c>
      <c r="AA14">
        <f>IF(18&lt;=cc_nb,rs_cc*SIN((2*PI()*17/cc_nb+0.5*PI()/cc_nb)),0)</f>
        <v/>
      </c>
      <c r="AB14">
        <f>IF(19&lt;=cc_nb,rs_cc*SIN((2*PI()*18/cc_nb+0.5*PI()/cc_nb)),0)</f>
        <v/>
      </c>
      <c r="AC14">
        <f>IF(20&lt;=cc_nb,rs_cc*SIN((2*PI()*19/cc_nb+0.5*PI()/cc_nb)),0)</f>
        <v/>
      </c>
      <c r="AD14">
        <f>IF(21&lt;=cc_nb,rs_cc*SIN((2*PI()*20/cc_nb+0.5*PI()/cc_nb)),0)</f>
        <v/>
      </c>
      <c r="AE14">
        <f>IF(22&lt;=cc_nb,rs_cc*SIN((2*PI()*21/cc_nb+0.5*PI()/cc_nb)),0)</f>
        <v/>
      </c>
      <c r="AF14">
        <f>IF(23&lt;=cc_nb,rs_cc*SIN((2*PI()*22/cc_nb+0.5*PI()/cc_nb)),0)</f>
        <v/>
      </c>
      <c r="AG14">
        <f>IF(24&lt;=cc_nb,rs_cc*SIN((2*PI()*23/cc_nb+0.5*PI()/cc_nb)),0)</f>
        <v/>
      </c>
    </row>
    <row r="15" hidden="1">
      <c r="J15">
        <f>IF(1&lt;=cc_nb,cc_D/2-rs_cc*COS((2*PI()*0/cc_nb+0.75*PI()/cc_nb)),cc_D/2)</f>
        <v/>
      </c>
      <c r="K15">
        <f>IF(2&lt;=cc_nb,cc_D/2-rs_cc*COS((2*PI()*1/cc_nb+0.75*PI()/cc_nb)),cc_D/2)</f>
        <v/>
      </c>
      <c r="L15">
        <f>IF(3&lt;=cc_nb,cc_D/2-rs_cc*COS((2*PI()*2/cc_nb+0.75*PI()/cc_nb)),cc_D/2)</f>
        <v/>
      </c>
      <c r="M15">
        <f>IF(4&lt;=cc_nb,cc_D/2-rs_cc*COS((2*PI()*3/cc_nb+0.75*PI()/cc_nb)),cc_D/2)</f>
        <v/>
      </c>
      <c r="N15">
        <f>IF(5&lt;=cc_nb,cc_D/2-rs_cc*COS((2*PI()*4/cc_nb+0.75*PI()/cc_nb)),cc_D/2)</f>
        <v/>
      </c>
      <c r="O15">
        <f>IF(6&lt;=cc_nb,cc_D/2-rs_cc*COS((2*PI()*5/cc_nb+0.75*PI()/cc_nb)),cc_D/2)</f>
        <v/>
      </c>
      <c r="P15">
        <f>IF(7&lt;=cc_nb,cc_D/2-rs_cc*COS((2*PI()*6/cc_nb+0.75*PI()/cc_nb)),cc_D/2)</f>
        <v/>
      </c>
      <c r="Q15">
        <f>IF(8&lt;=cc_nb,cc_D/2-rs_cc*COS((2*PI()*7/cc_nb+0.75*PI()/cc_nb)),cc_D/2)</f>
        <v/>
      </c>
      <c r="R15">
        <f>IF(9&lt;=cc_nb,cc_D/2-rs_cc*COS((2*PI()*8/cc_nb+0.75*PI()/cc_nb)),cc_D/2)</f>
        <v/>
      </c>
      <c r="S15">
        <f>IF(10&lt;=cc_nb,cc_D/2-rs_cc*COS((2*PI()*9/cc_nb+0.75*PI()/cc_nb)),cc_D/2)</f>
        <v/>
      </c>
      <c r="T15">
        <f>IF(11&lt;=cc_nb,cc_D/2-rs_cc*COS((2*PI()*10/cc_nb+0.75*PI()/cc_nb)),cc_D/2)</f>
        <v/>
      </c>
      <c r="U15">
        <f>IF(12&lt;=cc_nb,cc_D/2-rs_cc*COS((2*PI()*11/cc_nb+0.75*PI()/cc_nb)),cc_D/2)</f>
        <v/>
      </c>
      <c r="V15">
        <f>IF(13&lt;=cc_nb,cc_D/2-rs_cc*COS((2*PI()*12/cc_nb+0.75*PI()/cc_nb)),cc_D/2)</f>
        <v/>
      </c>
      <c r="W15">
        <f>IF(14&lt;=cc_nb,cc_D/2-rs_cc*COS((2*PI()*13/cc_nb+0.75*PI()/cc_nb)),cc_D/2)</f>
        <v/>
      </c>
      <c r="X15">
        <f>IF(15&lt;=cc_nb,cc_D/2-rs_cc*COS((2*PI()*14/cc_nb+0.75*PI()/cc_nb)),cc_D/2)</f>
        <v/>
      </c>
      <c r="Y15">
        <f>IF(16&lt;=cc_nb,cc_D/2-rs_cc*COS((2*PI()*15/cc_nb+0.75*PI()/cc_nb)),cc_D/2)</f>
        <v/>
      </c>
      <c r="Z15">
        <f>IF(17&lt;=cc_nb,cc_D/2-rs_cc*COS((2*PI()*16/cc_nb+0.75*PI()/cc_nb)),cc_D/2)</f>
        <v/>
      </c>
      <c r="AA15">
        <f>IF(18&lt;=cc_nb,cc_D/2-rs_cc*COS((2*PI()*17/cc_nb+0.75*PI()/cc_nb)),cc_D/2)</f>
        <v/>
      </c>
      <c r="AB15">
        <f>IF(19&lt;=cc_nb,cc_D/2-rs_cc*COS((2*PI()*18/cc_nb+0.75*PI()/cc_nb)),cc_D/2)</f>
        <v/>
      </c>
      <c r="AC15">
        <f>IF(20&lt;=cc_nb,cc_D/2-rs_cc*COS((2*PI()*19/cc_nb+0.75*PI()/cc_nb)),cc_D/2)</f>
        <v/>
      </c>
      <c r="AD15">
        <f>IF(21&lt;=cc_nb,cc_D/2-rs_cc*COS((2*PI()*20/cc_nb+0.75*PI()/cc_nb)),cc_D/2)</f>
        <v/>
      </c>
      <c r="AE15">
        <f>IF(22&lt;=cc_nb,cc_D/2-rs_cc*COS((2*PI()*21/cc_nb+0.75*PI()/cc_nb)),cc_D/2)</f>
        <v/>
      </c>
      <c r="AF15">
        <f>IF(23&lt;=cc_nb,cc_D/2-rs_cc*COS((2*PI()*22/cc_nb+0.75*PI()/cc_nb)),cc_D/2)</f>
        <v/>
      </c>
      <c r="AG15">
        <f>IF(24&lt;=cc_nb,cc_D/2-rs_cc*COS((2*PI()*23/cc_nb+0.75*PI()/cc_nb)),cc_D/2)</f>
        <v/>
      </c>
    </row>
    <row r="16" hidden="1">
      <c r="J16">
        <f>cc_D/2-J15</f>
        <v/>
      </c>
      <c r="K16">
        <f>cc_D/2-K15</f>
        <v/>
      </c>
      <c r="L16">
        <f>cc_D/2-L15</f>
        <v/>
      </c>
      <c r="M16">
        <f>cc_D/2-M15</f>
        <v/>
      </c>
      <c r="N16">
        <f>cc_D/2-N15</f>
        <v/>
      </c>
      <c r="O16">
        <f>cc_D/2-O15</f>
        <v/>
      </c>
      <c r="P16">
        <f>cc_D/2-P15</f>
        <v/>
      </c>
      <c r="Q16">
        <f>cc_D/2-Q15</f>
        <v/>
      </c>
      <c r="R16">
        <f>cc_D/2-R15</f>
        <v/>
      </c>
      <c r="S16">
        <f>cc_D/2-S15</f>
        <v/>
      </c>
      <c r="T16">
        <f>cc_D/2-T15</f>
        <v/>
      </c>
      <c r="U16">
        <f>cc_D/2-U15</f>
        <v/>
      </c>
      <c r="V16">
        <f>cc_D/2-V15</f>
        <v/>
      </c>
      <c r="W16">
        <f>cc_D/2-W15</f>
        <v/>
      </c>
      <c r="X16">
        <f>cc_D/2-X15</f>
        <v/>
      </c>
      <c r="Y16">
        <f>cc_D/2-Y15</f>
        <v/>
      </c>
      <c r="Z16">
        <f>cc_D/2-Z15</f>
        <v/>
      </c>
      <c r="AA16">
        <f>cc_D/2-AA15</f>
        <v/>
      </c>
      <c r="AB16">
        <f>cc_D/2-AB15</f>
        <v/>
      </c>
      <c r="AC16">
        <f>cc_D/2-AC15</f>
        <v/>
      </c>
      <c r="AD16">
        <f>cc_D/2-AD15</f>
        <v/>
      </c>
      <c r="AE16">
        <f>cc_D/2-AE15</f>
        <v/>
      </c>
      <c r="AF16">
        <f>cc_D/2-AF15</f>
        <v/>
      </c>
      <c r="AG16">
        <f>cc_D/2-AG15</f>
        <v/>
      </c>
    </row>
    <row r="17" hidden="1">
      <c r="J17">
        <f>IF(1&lt;=cc_nb,rs_cc*SIN((2*PI()*0/cc_nb+0.75*PI()/cc_nb)),0)</f>
        <v/>
      </c>
      <c r="K17">
        <f>IF(2&lt;=cc_nb,rs_cc*SIN((2*PI()*1/cc_nb+0.75*PI()/cc_nb)),0)</f>
        <v/>
      </c>
      <c r="L17">
        <f>IF(3&lt;=cc_nb,rs_cc*SIN((2*PI()*2/cc_nb+0.75*PI()/cc_nb)),0)</f>
        <v/>
      </c>
      <c r="M17">
        <f>IF(4&lt;=cc_nb,rs_cc*SIN((2*PI()*3/cc_nb+0.75*PI()/cc_nb)),0)</f>
        <v/>
      </c>
      <c r="N17">
        <f>IF(5&lt;=cc_nb,rs_cc*SIN((2*PI()*4/cc_nb+0.75*PI()/cc_nb)),0)</f>
        <v/>
      </c>
      <c r="O17">
        <f>IF(6&lt;=cc_nb,rs_cc*SIN((2*PI()*5/cc_nb+0.75*PI()/cc_nb)),0)</f>
        <v/>
      </c>
      <c r="P17">
        <f>IF(7&lt;=cc_nb,rs_cc*SIN((2*PI()*6/cc_nb+0.75*PI()/cc_nb)),0)</f>
        <v/>
      </c>
      <c r="Q17">
        <f>IF(8&lt;=cc_nb,rs_cc*SIN((2*PI()*7/cc_nb+0.75*PI()/cc_nb)),0)</f>
        <v/>
      </c>
      <c r="R17">
        <f>IF(9&lt;=cc_nb,rs_cc*SIN((2*PI()*8/cc_nb+0.75*PI()/cc_nb)),0)</f>
        <v/>
      </c>
      <c r="S17">
        <f>IF(10&lt;=cc_nb,rs_cc*SIN((2*PI()*9/cc_nb+0.75*PI()/cc_nb)),0)</f>
        <v/>
      </c>
      <c r="T17">
        <f>IF(11&lt;=cc_nb,rs_cc*SIN((2*PI()*10/cc_nb+0.75*PI()/cc_nb)),0)</f>
        <v/>
      </c>
      <c r="U17">
        <f>IF(12&lt;=cc_nb,rs_cc*SIN((2*PI()*11/cc_nb+0.75*PI()/cc_nb)),0)</f>
        <v/>
      </c>
      <c r="V17">
        <f>IF(13&lt;=cc_nb,rs_cc*SIN((2*PI()*12/cc_nb+0.75*PI()/cc_nb)),0)</f>
        <v/>
      </c>
      <c r="W17">
        <f>IF(14&lt;=cc_nb,rs_cc*SIN((2*PI()*13/cc_nb+0.75*PI()/cc_nb)),0)</f>
        <v/>
      </c>
      <c r="X17">
        <f>IF(15&lt;=cc_nb,rs_cc*SIN((2*PI()*14/cc_nb+0.75*PI()/cc_nb)),0)</f>
        <v/>
      </c>
      <c r="Y17">
        <f>IF(16&lt;=cc_nb,rs_cc*SIN((2*PI()*15/cc_nb+0.75*PI()/cc_nb)),0)</f>
        <v/>
      </c>
      <c r="Z17">
        <f>IF(17&lt;=cc_nb,rs_cc*SIN((2*PI()*16/cc_nb+0.75*PI()/cc_nb)),0)</f>
        <v/>
      </c>
      <c r="AA17">
        <f>IF(18&lt;=cc_nb,rs_cc*SIN((2*PI()*17/cc_nb+0.75*PI()/cc_nb)),0)</f>
        <v/>
      </c>
      <c r="AB17">
        <f>IF(19&lt;=cc_nb,rs_cc*SIN((2*PI()*18/cc_nb+0.75*PI()/cc_nb)),0)</f>
        <v/>
      </c>
      <c r="AC17">
        <f>IF(20&lt;=cc_nb,rs_cc*SIN((2*PI()*19/cc_nb+0.75*PI()/cc_nb)),0)</f>
        <v/>
      </c>
      <c r="AD17">
        <f>IF(21&lt;=cc_nb,rs_cc*SIN((2*PI()*20/cc_nb+0.75*PI()/cc_nb)),0)</f>
        <v/>
      </c>
      <c r="AE17">
        <f>IF(22&lt;=cc_nb,rs_cc*SIN((2*PI()*21/cc_nb+0.75*PI()/cc_nb)),0)</f>
        <v/>
      </c>
      <c r="AF17">
        <f>IF(23&lt;=cc_nb,rs_cc*SIN((2*PI()*22/cc_nb+0.75*PI()/cc_nb)),0)</f>
        <v/>
      </c>
      <c r="AG17">
        <f>IF(24&lt;=cc_nb,rs_cc*SIN((2*PI()*23/cc_nb+0.75*PI()/cc_nb)),0)</f>
        <v/>
      </c>
    </row>
    <row r="18" hidden="1">
      <c r="J18">
        <f>IF(1&lt;=cc_nb,cc_D/2-rs_cc*COS((2*PI()*0/cc_nb+1*PI()/cc_nb)),cc_D/2)</f>
        <v/>
      </c>
      <c r="K18">
        <f>IF(2&lt;=cc_nb,cc_D/2-rs_cc*COS((2*PI()*1/cc_nb+1*PI()/cc_nb)),cc_D/2)</f>
        <v/>
      </c>
      <c r="L18">
        <f>IF(3&lt;=cc_nb,cc_D/2-rs_cc*COS((2*PI()*2/cc_nb+1*PI()/cc_nb)),cc_D/2)</f>
        <v/>
      </c>
      <c r="M18">
        <f>IF(4&lt;=cc_nb,cc_D/2-rs_cc*COS((2*PI()*3/cc_nb+1*PI()/cc_nb)),cc_D/2)</f>
        <v/>
      </c>
      <c r="N18">
        <f>IF(5&lt;=cc_nb,cc_D/2-rs_cc*COS((2*PI()*4/cc_nb+1*PI()/cc_nb)),cc_D/2)</f>
        <v/>
      </c>
      <c r="O18">
        <f>IF(6&lt;=cc_nb,cc_D/2-rs_cc*COS((2*PI()*5/cc_nb+1*PI()/cc_nb)),cc_D/2)</f>
        <v/>
      </c>
      <c r="P18">
        <f>IF(7&lt;=cc_nb,cc_D/2-rs_cc*COS((2*PI()*6/cc_nb+1*PI()/cc_nb)),cc_D/2)</f>
        <v/>
      </c>
      <c r="Q18">
        <f>IF(8&lt;=cc_nb,cc_D/2-rs_cc*COS((2*PI()*7/cc_nb+1*PI()/cc_nb)),cc_D/2)</f>
        <v/>
      </c>
      <c r="R18">
        <f>IF(9&lt;=cc_nb,cc_D/2-rs_cc*COS((2*PI()*8/cc_nb+1*PI()/cc_nb)),cc_D/2)</f>
        <v/>
      </c>
      <c r="S18">
        <f>IF(10&lt;=cc_nb,cc_D/2-rs_cc*COS((2*PI()*9/cc_nb+1*PI()/cc_nb)),cc_D/2)</f>
        <v/>
      </c>
      <c r="T18">
        <f>IF(11&lt;=cc_nb,cc_D/2-rs_cc*COS((2*PI()*10/cc_nb+1*PI()/cc_nb)),cc_D/2)</f>
        <v/>
      </c>
      <c r="U18">
        <f>IF(12&lt;=cc_nb,cc_D/2-rs_cc*COS((2*PI()*11/cc_nb+1*PI()/cc_nb)),cc_D/2)</f>
        <v/>
      </c>
      <c r="V18">
        <f>IF(13&lt;=cc_nb,cc_D/2-rs_cc*COS((2*PI()*12/cc_nb+1*PI()/cc_nb)),cc_D/2)</f>
        <v/>
      </c>
      <c r="W18">
        <f>IF(14&lt;=cc_nb,cc_D/2-rs_cc*COS((2*PI()*13/cc_nb+1*PI()/cc_nb)),cc_D/2)</f>
        <v/>
      </c>
      <c r="X18">
        <f>IF(15&lt;=cc_nb,cc_D/2-rs_cc*COS((2*PI()*14/cc_nb+1*PI()/cc_nb)),cc_D/2)</f>
        <v/>
      </c>
      <c r="Y18">
        <f>IF(16&lt;=cc_nb,cc_D/2-rs_cc*COS((2*PI()*15/cc_nb+1*PI()/cc_nb)),cc_D/2)</f>
        <v/>
      </c>
      <c r="Z18">
        <f>IF(17&lt;=cc_nb,cc_D/2-rs_cc*COS((2*PI()*16/cc_nb+1*PI()/cc_nb)),cc_D/2)</f>
        <v/>
      </c>
      <c r="AA18">
        <f>IF(18&lt;=cc_nb,cc_D/2-rs_cc*COS((2*PI()*17/cc_nb+1*PI()/cc_nb)),cc_D/2)</f>
        <v/>
      </c>
      <c r="AB18">
        <f>IF(19&lt;=cc_nb,cc_D/2-rs_cc*COS((2*PI()*18/cc_nb+1*PI()/cc_nb)),cc_D/2)</f>
        <v/>
      </c>
      <c r="AC18">
        <f>IF(20&lt;=cc_nb,cc_D/2-rs_cc*COS((2*PI()*19/cc_nb+1*PI()/cc_nb)),cc_D/2)</f>
        <v/>
      </c>
      <c r="AD18">
        <f>IF(21&lt;=cc_nb,cc_D/2-rs_cc*COS((2*PI()*20/cc_nb+1*PI()/cc_nb)),cc_D/2)</f>
        <v/>
      </c>
      <c r="AE18">
        <f>IF(22&lt;=cc_nb,cc_D/2-rs_cc*COS((2*PI()*21/cc_nb+1*PI()/cc_nb)),cc_D/2)</f>
        <v/>
      </c>
      <c r="AF18">
        <f>IF(23&lt;=cc_nb,cc_D/2-rs_cc*COS((2*PI()*22/cc_nb+1*PI()/cc_nb)),cc_D/2)</f>
        <v/>
      </c>
      <c r="AG18">
        <f>IF(24&lt;=cc_nb,cc_D/2-rs_cc*COS((2*PI()*23/cc_nb+1*PI()/cc_nb)),cc_D/2)</f>
        <v/>
      </c>
    </row>
    <row r="19" hidden="1">
      <c r="J19">
        <f>cc_D/2-J18</f>
        <v/>
      </c>
      <c r="K19">
        <f>cc_D/2-K18</f>
        <v/>
      </c>
      <c r="L19">
        <f>cc_D/2-L18</f>
        <v/>
      </c>
      <c r="M19">
        <f>cc_D/2-M18</f>
        <v/>
      </c>
      <c r="N19">
        <f>cc_D/2-N18</f>
        <v/>
      </c>
      <c r="O19">
        <f>cc_D/2-O18</f>
        <v/>
      </c>
      <c r="P19">
        <f>cc_D/2-P18</f>
        <v/>
      </c>
      <c r="Q19">
        <f>cc_D/2-Q18</f>
        <v/>
      </c>
      <c r="R19">
        <f>cc_D/2-R18</f>
        <v/>
      </c>
      <c r="S19">
        <f>cc_D/2-S18</f>
        <v/>
      </c>
      <c r="T19">
        <f>cc_D/2-T18</f>
        <v/>
      </c>
      <c r="U19">
        <f>cc_D/2-U18</f>
        <v/>
      </c>
      <c r="V19">
        <f>cc_D/2-V18</f>
        <v/>
      </c>
      <c r="W19">
        <f>cc_D/2-W18</f>
        <v/>
      </c>
      <c r="X19">
        <f>cc_D/2-X18</f>
        <v/>
      </c>
      <c r="Y19">
        <f>cc_D/2-Y18</f>
        <v/>
      </c>
      <c r="Z19">
        <f>cc_D/2-Z18</f>
        <v/>
      </c>
      <c r="AA19">
        <f>cc_D/2-AA18</f>
        <v/>
      </c>
      <c r="AB19">
        <f>cc_D/2-AB18</f>
        <v/>
      </c>
      <c r="AC19">
        <f>cc_D/2-AC18</f>
        <v/>
      </c>
      <c r="AD19">
        <f>cc_D/2-AD18</f>
        <v/>
      </c>
      <c r="AE19">
        <f>cc_D/2-AE18</f>
        <v/>
      </c>
      <c r="AF19">
        <f>cc_D/2-AF18</f>
        <v/>
      </c>
      <c r="AG19">
        <f>cc_D/2-AG18</f>
        <v/>
      </c>
    </row>
    <row r="20" hidden="1">
      <c r="J20">
        <f>IF(1&lt;=cc_nb,rs_cc*SIN((2*PI()*0/cc_nb+1*PI()/cc_nb)),0)</f>
        <v/>
      </c>
      <c r="K20">
        <f>IF(2&lt;=cc_nb,rs_cc*SIN((2*PI()*1/cc_nb+1*PI()/cc_nb)),0)</f>
        <v/>
      </c>
      <c r="L20">
        <f>IF(3&lt;=cc_nb,rs_cc*SIN((2*PI()*2/cc_nb+1*PI()/cc_nb)),0)</f>
        <v/>
      </c>
      <c r="M20">
        <f>IF(4&lt;=cc_nb,rs_cc*SIN((2*PI()*3/cc_nb+1*PI()/cc_nb)),0)</f>
        <v/>
      </c>
      <c r="N20">
        <f>IF(5&lt;=cc_nb,rs_cc*SIN((2*PI()*4/cc_nb+1*PI()/cc_nb)),0)</f>
        <v/>
      </c>
      <c r="O20">
        <f>IF(6&lt;=cc_nb,rs_cc*SIN((2*PI()*5/cc_nb+1*PI()/cc_nb)),0)</f>
        <v/>
      </c>
      <c r="P20">
        <f>IF(7&lt;=cc_nb,rs_cc*SIN((2*PI()*6/cc_nb+1*PI()/cc_nb)),0)</f>
        <v/>
      </c>
      <c r="Q20">
        <f>IF(8&lt;=cc_nb,rs_cc*SIN((2*PI()*7/cc_nb+1*PI()/cc_nb)),0)</f>
        <v/>
      </c>
      <c r="R20">
        <f>IF(9&lt;=cc_nb,rs_cc*SIN((2*PI()*8/cc_nb+1*PI()/cc_nb)),0)</f>
        <v/>
      </c>
      <c r="S20">
        <f>IF(10&lt;=cc_nb,rs_cc*SIN((2*PI()*9/cc_nb+1*PI()/cc_nb)),0)</f>
        <v/>
      </c>
      <c r="T20">
        <f>IF(11&lt;=cc_nb,rs_cc*SIN((2*PI()*10/cc_nb+1*PI()/cc_nb)),0)</f>
        <v/>
      </c>
      <c r="U20">
        <f>IF(12&lt;=cc_nb,rs_cc*SIN((2*PI()*11/cc_nb+1*PI()/cc_nb)),0)</f>
        <v/>
      </c>
      <c r="V20">
        <f>IF(13&lt;=cc_nb,rs_cc*SIN((2*PI()*12/cc_nb+1*PI()/cc_nb)),0)</f>
        <v/>
      </c>
      <c r="W20">
        <f>IF(14&lt;=cc_nb,rs_cc*SIN((2*PI()*13/cc_nb+1*PI()/cc_nb)),0)</f>
        <v/>
      </c>
      <c r="X20">
        <f>IF(15&lt;=cc_nb,rs_cc*SIN((2*PI()*14/cc_nb+1*PI()/cc_nb)),0)</f>
        <v/>
      </c>
      <c r="Y20">
        <f>IF(16&lt;=cc_nb,rs_cc*SIN((2*PI()*15/cc_nb+1*PI()/cc_nb)),0)</f>
        <v/>
      </c>
      <c r="Z20">
        <f>IF(17&lt;=cc_nb,rs_cc*SIN((2*PI()*16/cc_nb+1*PI()/cc_nb)),0)</f>
        <v/>
      </c>
      <c r="AA20">
        <f>IF(18&lt;=cc_nb,rs_cc*SIN((2*PI()*17/cc_nb+1*PI()/cc_nb)),0)</f>
        <v/>
      </c>
      <c r="AB20">
        <f>IF(19&lt;=cc_nb,rs_cc*SIN((2*PI()*18/cc_nb+1*PI()/cc_nb)),0)</f>
        <v/>
      </c>
      <c r="AC20">
        <f>IF(20&lt;=cc_nb,rs_cc*SIN((2*PI()*19/cc_nb+1*PI()/cc_nb)),0)</f>
        <v/>
      </c>
      <c r="AD20">
        <f>IF(21&lt;=cc_nb,rs_cc*SIN((2*PI()*20/cc_nb+1*PI()/cc_nb)),0)</f>
        <v/>
      </c>
      <c r="AE20">
        <f>IF(22&lt;=cc_nb,rs_cc*SIN((2*PI()*21/cc_nb+1*PI()/cc_nb)),0)</f>
        <v/>
      </c>
      <c r="AF20">
        <f>IF(23&lt;=cc_nb,rs_cc*SIN((2*PI()*22/cc_nb+1*PI()/cc_nb)),0)</f>
        <v/>
      </c>
      <c r="AG20">
        <f>IF(24&lt;=cc_nb,rs_cc*SIN((2*PI()*23/cc_nb+1*PI()/cc_nb)),0)</f>
        <v/>
      </c>
    </row>
    <row r="21" hidden="1">
      <c r="J21">
        <f>IF(1&lt;=cc_nb,cc_D/2-rs_cc*COS((2*PI()*0/cc_nb+turn_P*PI()/cc_nb)),cc_D/2)</f>
        <v/>
      </c>
      <c r="K21">
        <f>IF(2&lt;=cc_nb,cc_D/2-rs_cc*COS((2*PI()*1/cc_nb+turn_P*PI()/cc_nb)),cc_D/2)</f>
        <v/>
      </c>
      <c r="L21">
        <f>IF(3&lt;=cc_nb,cc_D/2-rs_cc*COS((2*PI()*2/cc_nb+turn_P*PI()/cc_nb)),cc_D/2)</f>
        <v/>
      </c>
      <c r="M21">
        <f>IF(4&lt;=cc_nb,cc_D/2-rs_cc*COS((2*PI()*3/cc_nb+turn_P*PI()/cc_nb)),cc_D/2)</f>
        <v/>
      </c>
      <c r="N21">
        <f>IF(5&lt;=cc_nb,cc_D/2-rs_cc*COS((2*PI()*4/cc_nb+turn_P*PI()/cc_nb)),cc_D/2)</f>
        <v/>
      </c>
      <c r="O21">
        <f>IF(6&lt;=cc_nb,cc_D/2-rs_cc*COS((2*PI()*5/cc_nb+turn_P*PI()/cc_nb)),cc_D/2)</f>
        <v/>
      </c>
      <c r="P21">
        <f>IF(7&lt;=cc_nb,cc_D/2-rs_cc*COS((2*PI()*6/cc_nb+turn_P*PI()/cc_nb)),cc_D/2)</f>
        <v/>
      </c>
      <c r="Q21">
        <f>IF(8&lt;=cc_nb,cc_D/2-rs_cc*COS((2*PI()*7/cc_nb+turn_P*PI()/cc_nb)),cc_D/2)</f>
        <v/>
      </c>
      <c r="R21">
        <f>IF(9&lt;=cc_nb,cc_D/2-rs_cc*COS((2*PI()*8/cc_nb+turn_P*PI()/cc_nb)),cc_D/2)</f>
        <v/>
      </c>
      <c r="S21">
        <f>IF(10&lt;=cc_nb,cc_D/2-rs_cc*COS((2*PI()*9/cc_nb+turn_P*PI()/cc_nb)),cc_D/2)</f>
        <v/>
      </c>
      <c r="T21">
        <f>IF(11&lt;=cc_nb,cc_D/2-rs_cc*COS((2*PI()*10/cc_nb+turn_P*PI()/cc_nb)),cc_D/2)</f>
        <v/>
      </c>
      <c r="U21">
        <f>IF(12&lt;=cc_nb,cc_D/2-rs_cc*COS((2*PI()*11/cc_nb+turn_P*PI()/cc_nb)),cc_D/2)</f>
        <v/>
      </c>
      <c r="V21">
        <f>IF(13&lt;=cc_nb,cc_D/2-rs_cc*COS((2*PI()*12/cc_nb+turn_P*PI()/cc_nb)),cc_D/2)</f>
        <v/>
      </c>
      <c r="W21">
        <f>IF(14&lt;=cc_nb,cc_D/2-rs_cc*COS((2*PI()*13/cc_nb+turn_P*PI()/cc_nb)),cc_D/2)</f>
        <v/>
      </c>
      <c r="X21">
        <f>IF(15&lt;=cc_nb,cc_D/2-rs_cc*COS((2*PI()*14/cc_nb+turn_P*PI()/cc_nb)),cc_D/2)</f>
        <v/>
      </c>
      <c r="Y21">
        <f>IF(16&lt;=cc_nb,cc_D/2-rs_cc*COS((2*PI()*15/cc_nb+turn_P*PI()/cc_nb)),cc_D/2)</f>
        <v/>
      </c>
      <c r="Z21">
        <f>IF(17&lt;=cc_nb,cc_D/2-rs_cc*COS((2*PI()*16/cc_nb+turn_P*PI()/cc_nb)),cc_D/2)</f>
        <v/>
      </c>
      <c r="AA21">
        <f>IF(18&lt;=cc_nb,cc_D/2-rs_cc*COS((2*PI()*17/cc_nb+turn_P*PI()/cc_nb)),cc_D/2)</f>
        <v/>
      </c>
      <c r="AB21">
        <f>IF(19&lt;=cc_nb,cc_D/2-rs_cc*COS((2*PI()*18/cc_nb+turn_P*PI()/cc_nb)),cc_D/2)</f>
        <v/>
      </c>
      <c r="AC21">
        <f>IF(20&lt;=cc_nb,cc_D/2-rs_cc*COS((2*PI()*19/cc_nb+turn_P*PI()/cc_nb)),cc_D/2)</f>
        <v/>
      </c>
      <c r="AD21">
        <f>IF(21&lt;=cc_nb,cc_D/2-rs_cc*COS((2*PI()*20/cc_nb+turn_P*PI()/cc_nb)),cc_D/2)</f>
        <v/>
      </c>
      <c r="AE21">
        <f>IF(22&lt;=cc_nb,cc_D/2-rs_cc*COS((2*PI()*21/cc_nb+turn_P*PI()/cc_nb)),cc_D/2)</f>
        <v/>
      </c>
      <c r="AF21">
        <f>IF(23&lt;=cc_nb,cc_D/2-rs_cc*COS((2*PI()*22/cc_nb+turn_P*PI()/cc_nb)),cc_D/2)</f>
        <v/>
      </c>
      <c r="AG21">
        <f>IF(24&lt;=cc_nb,cc_D/2-rs_cc*COS((2*PI()*23/cc_nb+turn_P*PI()/cc_nb)),cc_D/2)</f>
        <v/>
      </c>
    </row>
    <row r="22" hidden="1">
      <c r="J22">
        <f>cc_D/2-J21</f>
        <v/>
      </c>
      <c r="K22">
        <f>cc_D/2-K21</f>
        <v/>
      </c>
      <c r="L22">
        <f>cc_D/2-L21</f>
        <v/>
      </c>
      <c r="M22">
        <f>cc_D/2-M21</f>
        <v/>
      </c>
      <c r="N22">
        <f>cc_D/2-N21</f>
        <v/>
      </c>
      <c r="O22">
        <f>cc_D/2-O21</f>
        <v/>
      </c>
      <c r="P22">
        <f>cc_D/2-P21</f>
        <v/>
      </c>
      <c r="Q22">
        <f>cc_D/2-Q21</f>
        <v/>
      </c>
      <c r="R22">
        <f>cc_D/2-R21</f>
        <v/>
      </c>
      <c r="S22">
        <f>cc_D/2-S21</f>
        <v/>
      </c>
      <c r="T22">
        <f>cc_D/2-T21</f>
        <v/>
      </c>
      <c r="U22">
        <f>cc_D/2-U21</f>
        <v/>
      </c>
      <c r="V22">
        <f>cc_D/2-V21</f>
        <v/>
      </c>
      <c r="W22">
        <f>cc_D/2-W21</f>
        <v/>
      </c>
      <c r="X22">
        <f>cc_D/2-X21</f>
        <v/>
      </c>
      <c r="Y22">
        <f>cc_D/2-Y21</f>
        <v/>
      </c>
      <c r="Z22">
        <f>cc_D/2-Z21</f>
        <v/>
      </c>
      <c r="AA22">
        <f>cc_D/2-AA21</f>
        <v/>
      </c>
      <c r="AB22">
        <f>cc_D/2-AB21</f>
        <v/>
      </c>
      <c r="AC22">
        <f>cc_D/2-AC21</f>
        <v/>
      </c>
      <c r="AD22">
        <f>cc_D/2-AD21</f>
        <v/>
      </c>
      <c r="AE22">
        <f>cc_D/2-AE21</f>
        <v/>
      </c>
      <c r="AF22">
        <f>cc_D/2-AF21</f>
        <v/>
      </c>
      <c r="AG22">
        <f>cc_D/2-AG21</f>
        <v/>
      </c>
    </row>
    <row r="23" hidden="1">
      <c r="J23">
        <f>IF(1&lt;=cc_nb,rs_cc*SIN((2*PI()*0/cc_nb+turn_P*PI()/cc_nb)),0)</f>
        <v/>
      </c>
      <c r="K23">
        <f>IF(2&lt;=cc_nb,rs_cc*SIN((2*PI()*1/cc_nb+turn_P*PI()/cc_nb)),0)</f>
        <v/>
      </c>
      <c r="L23">
        <f>IF(3&lt;=cc_nb,rs_cc*SIN((2*PI()*2/cc_nb+turn_P*PI()/cc_nb)),0)</f>
        <v/>
      </c>
      <c r="M23">
        <f>IF(4&lt;=cc_nb,rs_cc*SIN((2*PI()*3/cc_nb+turn_P*PI()/cc_nb)),0)</f>
        <v/>
      </c>
      <c r="N23">
        <f>IF(5&lt;=cc_nb,rs_cc*SIN((2*PI()*4/cc_nb+turn_P*PI()/cc_nb)),0)</f>
        <v/>
      </c>
      <c r="O23">
        <f>IF(6&lt;=cc_nb,rs_cc*SIN((2*PI()*5/cc_nb+turn_P*PI()/cc_nb)),0)</f>
        <v/>
      </c>
      <c r="P23">
        <f>IF(7&lt;=cc_nb,rs_cc*SIN((2*PI()*6/cc_nb+turn_P*PI()/cc_nb)),0)</f>
        <v/>
      </c>
      <c r="Q23">
        <f>IF(8&lt;=cc_nb,rs_cc*SIN((2*PI()*7/cc_nb+turn_P*PI()/cc_nb)),0)</f>
        <v/>
      </c>
      <c r="R23">
        <f>IF(9&lt;=cc_nb,rs_cc*SIN((2*PI()*8/cc_nb+turn_P*PI()/cc_nb)),0)</f>
        <v/>
      </c>
      <c r="S23">
        <f>IF(10&lt;=cc_nb,rs_cc*SIN((2*PI()*9/cc_nb+turn_P*PI()/cc_nb)),0)</f>
        <v/>
      </c>
      <c r="T23">
        <f>IF(11&lt;=cc_nb,rs_cc*SIN((2*PI()*10/cc_nb+turn_P*PI()/cc_nb)),0)</f>
        <v/>
      </c>
      <c r="U23">
        <f>IF(12&lt;=cc_nb,rs_cc*SIN((2*PI()*11/cc_nb+turn_P*PI()/cc_nb)),0)</f>
        <v/>
      </c>
      <c r="V23">
        <f>IF(13&lt;=cc_nb,rs_cc*SIN((2*PI()*12/cc_nb+turn_P*PI()/cc_nb)),0)</f>
        <v/>
      </c>
      <c r="W23">
        <f>IF(14&lt;=cc_nb,rs_cc*SIN((2*PI()*13/cc_nb+turn_P*PI()/cc_nb)),0)</f>
        <v/>
      </c>
      <c r="X23">
        <f>IF(15&lt;=cc_nb,rs_cc*SIN((2*PI()*14/cc_nb+turn_P*PI()/cc_nb)),0)</f>
        <v/>
      </c>
      <c r="Y23">
        <f>IF(16&lt;=cc_nb,rs_cc*SIN((2*PI()*15/cc_nb+turn_P*PI()/cc_nb)),0)</f>
        <v/>
      </c>
      <c r="Z23">
        <f>IF(17&lt;=cc_nb,rs_cc*SIN((2*PI()*16/cc_nb+turn_P*PI()/cc_nb)),0)</f>
        <v/>
      </c>
      <c r="AA23">
        <f>IF(18&lt;=cc_nb,rs_cc*SIN((2*PI()*17/cc_nb+turn_P*PI()/cc_nb)),0)</f>
        <v/>
      </c>
      <c r="AB23">
        <f>IF(19&lt;=cc_nb,rs_cc*SIN((2*PI()*18/cc_nb+turn_P*PI()/cc_nb)),0)</f>
        <v/>
      </c>
      <c r="AC23">
        <f>IF(20&lt;=cc_nb,rs_cc*SIN((2*PI()*19/cc_nb+turn_P*PI()/cc_nb)),0)</f>
        <v/>
      </c>
      <c r="AD23">
        <f>IF(21&lt;=cc_nb,rs_cc*SIN((2*PI()*20/cc_nb+turn_P*PI()/cc_nb)),0)</f>
        <v/>
      </c>
      <c r="AE23">
        <f>IF(22&lt;=cc_nb,rs_cc*SIN((2*PI()*21/cc_nb+turn_P*PI()/cc_nb)),0)</f>
        <v/>
      </c>
      <c r="AF23">
        <f>IF(23&lt;=cc_nb,rs_cc*SIN((2*PI()*22/cc_nb+turn_P*PI()/cc_nb)),0)</f>
        <v/>
      </c>
      <c r="AG23">
        <f>IF(24&lt;=cc_nb,rs_cc*SIN((2*PI()*23/cc_nb+turn_P*PI()/cc_nb)),0)</f>
        <v/>
      </c>
    </row>
    <row r="25">
      <c r="B25" s="52" t="inlineStr"/>
      <c r="C25" s="52" t="inlineStr">
        <is>
          <t>x (mm)</t>
        </is>
      </c>
      <c r="D25" s="52" t="inlineStr">
        <is>
          <t>εc top (‰)</t>
        </is>
      </c>
      <c r="E25" s="52" t="inlineStr">
        <is>
          <t>N A (kN)</t>
        </is>
      </c>
      <c r="F25" s="52" t="inlineStr">
        <is>
          <t>M A (kNm)</t>
        </is>
      </c>
      <c r="G25" s="52" t="inlineStr">
        <is>
          <t>N B (kN)</t>
        </is>
      </c>
      <c r="H25" s="52" t="inlineStr">
        <is>
          <t>M B (kNm)</t>
        </is>
      </c>
    </row>
    <row r="26">
      <c r="B26" s="53" t="n">
        <v>1</v>
      </c>
      <c r="C26" s="54" t="inlineStr">
        <is>
          <t>tension</t>
        </is>
      </c>
      <c r="D26" s="55" t="inlineStr">
        <is>
          <t>–</t>
        </is>
      </c>
      <c r="E26" s="56">
        <f>-As_cc*fyd_cc/1000</f>
        <v/>
      </c>
      <c r="F26" s="56">
        <f>-fyd_cc*SUMPRODUCT($J$5:$AG$5,$J$7:$AG$7)/1E6</f>
        <v/>
      </c>
      <c r="G26" s="56">
        <f>-As_cc*fyd_cc/1000</f>
        <v/>
      </c>
      <c r="H26" s="56">
        <f>-fyd_cc*SUMPRODUCT($J$5:$AG$5,$J$19:$AG$19)/1E6</f>
        <v/>
      </c>
    </row>
    <row r="27">
      <c r="B27" s="53" t="n">
        <v>2</v>
      </c>
      <c r="C27" s="54">
        <f>0.01*cc_D</f>
        <v/>
      </c>
      <c r="D27" s="55">
        <f>IF($C27&lt;=cc_D,3.5,2*$C27/($C27-3*cc_D/7))</f>
        <v/>
      </c>
      <c r="E27" s="56">
        <f>(fcd_cc*((cc_D/2)^2*($BI27-COS($BI27)*SIN($BI27))-2*(cc_D/2)^2*($BI27-$BH27)/12/3*SUMPRODUCT($BJ$4:$BV$4,$BJ27:$BV27))+SUMPRODUCT($J$5:$AG$5,$J27:$AG27))/1000</f>
        <v/>
      </c>
      <c r="F27" s="56">
        <f>(fcd_cc*(2/3*(cc_D/2)^3*SIN($BI27)^3-2*(cc_D/2)^3*($BI27-$BH27)/12/3*SUMPRODUCT($BW$4:$CI$4,$BW27:$CI27))+SUMPRODUCT($J$5:$AG$5,$J27:$AG27,$J$7:$AG$7))/1E6</f>
        <v/>
      </c>
      <c r="G27" s="56">
        <f>(fcd_cc*((cc_D/2)^2*($BI27-COS($BI27)*SIN($BI27))-2*(cc_D/2)^2*($BI27-$BH27)/12/3*SUMPRODUCT($BJ$4:$BV$4,$BJ27:$BV27))+SUMPRODUCT($J$5:$AG$5,$AH27:$BE27))/1000</f>
        <v/>
      </c>
      <c r="H27" s="56">
        <f>(fcd_cc*(2/3*(cc_D/2)^3*SIN($BI27)^3-2*(cc_D/2)^3*($BI27-$BH27)/12/3*SUMPRODUCT($BW$4:$CI$4,$BW27:$CI27))+SUMPRODUCT($J$5:$AG$5,$AH27:$BE27,$J$19:$AG$19))/1E6</f>
        <v/>
      </c>
      <c r="J27">
        <f>MAX(-fyd_cc,MIN(fyd_cc,Es_cc*IF($C27&lt;=cc_D,0.0035*($C27-J$6)/$C27,0.002*($C27-J$6)/($C27-3*cc_D/7))))-fcd_cc*(1-(1-MAX(0,MIN(1,IF($C27&lt;=cc_D,0.0035*($C27-J$6)/$C27,0.002*($C27-J$6)/($C27-3*cc_D/7))/0.002)))^2)</f>
        <v/>
      </c>
      <c r="K27">
        <f>MAX(-fyd_cc,MIN(fyd_cc,Es_cc*IF($C27&lt;=cc_D,0.0035*($C27-K$6)/$C27,0.002*($C27-K$6)/($C27-3*cc_D/7))))-fcd_cc*(1-(1-MAX(0,MIN(1,IF($C27&lt;=cc_D,0.0035*($C27-K$6)/$C27,0.002*($C27-K$6)/($C27-3*cc_D/7))/0.002)))^2)</f>
        <v/>
      </c>
      <c r="L27">
        <f>MAX(-fyd_cc,MIN(fyd_cc,Es_cc*IF($C27&lt;=cc_D,0.0035*($C27-L$6)/$C27,0.002*($C27-L$6)/($C27-3*cc_D/7))))-fcd_cc*(1-(1-MAX(0,MIN(1,IF($C27&lt;=cc_D,0.0035*($C27-L$6)/$C27,0.002*($C27-L$6)/($C27-3*cc_D/7))/0.002)))^2)</f>
        <v/>
      </c>
      <c r="M27">
        <f>MAX(-fyd_cc,MIN(fyd_cc,Es_cc*IF($C27&lt;=cc_D,0.0035*($C27-M$6)/$C27,0.002*($C27-M$6)/($C27-3*cc_D/7))))-fcd_cc*(1-(1-MAX(0,MIN(1,IF($C27&lt;=cc_D,0.0035*($C27-M$6)/$C27,0.002*($C27-M$6)/($C27-3*cc_D/7))/0.002)))^2)</f>
        <v/>
      </c>
      <c r="N27">
        <f>MAX(-fyd_cc,MIN(fyd_cc,Es_cc*IF($C27&lt;=cc_D,0.0035*($C27-N$6)/$C27,0.002*($C27-N$6)/($C27-3*cc_D/7))))-fcd_cc*(1-(1-MAX(0,MIN(1,IF($C27&lt;=cc_D,0.0035*($C27-N$6)/$C27,0.002*($C27-N$6)/($C27-3*cc_D/7))/0.002)))^2)</f>
        <v/>
      </c>
      <c r="O27">
        <f>MAX(-fyd_cc,MIN(fyd_cc,Es_cc*IF($C27&lt;=cc_D,0.0035*($C27-O$6)/$C27,0.002*($C27-O$6)/($C27-3*cc_D/7))))-fcd_cc*(1-(1-MAX(0,MIN(1,IF($C27&lt;=cc_D,0.0035*($C27-O$6)/$C27,0.002*($C27-O$6)/($C27-3*cc_D/7))/0.002)))^2)</f>
        <v/>
      </c>
      <c r="P27">
        <f>MAX(-fyd_cc,MIN(fyd_cc,Es_cc*IF($C27&lt;=cc_D,0.0035*($C27-P$6)/$C27,0.002*($C27-P$6)/($C27-3*cc_D/7))))-fcd_cc*(1-(1-MAX(0,MIN(1,IF($C27&lt;=cc_D,0.0035*($C27-P$6)/$C27,0.002*($C27-P$6)/($C27-3*cc_D/7))/0.002)))^2)</f>
        <v/>
      </c>
      <c r="Q27">
        <f>MAX(-fyd_cc,MIN(fyd_cc,Es_cc*IF($C27&lt;=cc_D,0.0035*($C27-Q$6)/$C27,0.002*($C27-Q$6)/($C27-3*cc_D/7))))-fcd_cc*(1-(1-MAX(0,MIN(1,IF($C27&lt;=cc_D,0.0035*($C27-Q$6)/$C27,0.002*($C27-Q$6)/($C27-3*cc_D/7))/0.002)))^2)</f>
        <v/>
      </c>
      <c r="R27">
        <f>MAX(-fyd_cc,MIN(fyd_cc,Es_cc*IF($C27&lt;=cc_D,0.0035*($C27-R$6)/$C27,0.002*($C27-R$6)/($C27-3*cc_D/7))))-fcd_cc*(1-(1-MAX(0,MIN(1,IF($C27&lt;=cc_D,0.0035*($C27-R$6)/$C27,0.002*($C27-R$6)/($C27-3*cc_D/7))/0.002)))^2)</f>
        <v/>
      </c>
      <c r="S27">
        <f>MAX(-fyd_cc,MIN(fyd_cc,Es_cc*IF($C27&lt;=cc_D,0.0035*($C27-S$6)/$C27,0.002*($C27-S$6)/($C27-3*cc_D/7))))-fcd_cc*(1-(1-MAX(0,MIN(1,IF($C27&lt;=cc_D,0.0035*($C27-S$6)/$C27,0.002*($C27-S$6)/($C27-3*cc_D/7))/0.002)))^2)</f>
        <v/>
      </c>
      <c r="T27">
        <f>MAX(-fyd_cc,MIN(fyd_cc,Es_cc*IF($C27&lt;=cc_D,0.0035*($C27-T$6)/$C27,0.002*($C27-T$6)/($C27-3*cc_D/7))))-fcd_cc*(1-(1-MAX(0,MIN(1,IF($C27&lt;=cc_D,0.0035*($C27-T$6)/$C27,0.002*($C27-T$6)/($C27-3*cc_D/7))/0.002)))^2)</f>
        <v/>
      </c>
      <c r="U27">
        <f>MAX(-fyd_cc,MIN(fyd_cc,Es_cc*IF($C27&lt;=cc_D,0.0035*($C27-U$6)/$C27,0.002*($C27-U$6)/($C27-3*cc_D/7))))-fcd_cc*(1-(1-MAX(0,MIN(1,IF($C27&lt;=cc_D,0.0035*($C27-U$6)/$C27,0.002*($C27-U$6)/($C27-3*cc_D/7))/0.002)))^2)</f>
        <v/>
      </c>
      <c r="V27">
        <f>MAX(-fyd_cc,MIN(fyd_cc,Es_cc*IF($C27&lt;=cc_D,0.0035*($C27-V$6)/$C27,0.002*($C27-V$6)/($C27-3*cc_D/7))))-fcd_cc*(1-(1-MAX(0,MIN(1,IF($C27&lt;=cc_D,0.0035*($C27-V$6)/$C27,0.002*($C27-V$6)/($C27-3*cc_D/7))/0.002)))^2)</f>
        <v/>
      </c>
      <c r="W27">
        <f>MAX(-fyd_cc,MIN(fyd_cc,Es_cc*IF($C27&lt;=cc_D,0.0035*($C27-W$6)/$C27,0.002*($C27-W$6)/($C27-3*cc_D/7))))-fcd_cc*(1-(1-MAX(0,MIN(1,IF($C27&lt;=cc_D,0.0035*($C27-W$6)/$C27,0.002*($C27-W$6)/($C27-3*cc_D/7))/0.002)))^2)</f>
        <v/>
      </c>
      <c r="X27">
        <f>MAX(-fyd_cc,MIN(fyd_cc,Es_cc*IF($C27&lt;=cc_D,0.0035*($C27-X$6)/$C27,0.002*($C27-X$6)/($C27-3*cc_D/7))))-fcd_cc*(1-(1-MAX(0,MIN(1,IF($C27&lt;=cc_D,0.0035*($C27-X$6)/$C27,0.002*($C27-X$6)/($C27-3*cc_D/7))/0.002)))^2)</f>
        <v/>
      </c>
      <c r="Y27">
        <f>MAX(-fyd_cc,MIN(fyd_cc,Es_cc*IF($C27&lt;=cc_D,0.0035*($C27-Y$6)/$C27,0.002*($C27-Y$6)/($C27-3*cc_D/7))))-fcd_cc*(1-(1-MAX(0,MIN(1,IF($C27&lt;=cc_D,0.0035*($C27-Y$6)/$C27,0.002*($C27-Y$6)/($C27-3*cc_D/7))/0.002)))^2)</f>
        <v/>
      </c>
      <c r="Z27">
        <f>MAX(-fyd_cc,MIN(fyd_cc,Es_cc*IF($C27&lt;=cc_D,0.0035*($C27-Z$6)/$C27,0.002*($C27-Z$6)/($C27-3*cc_D/7))))-fcd_cc*(1-(1-MAX(0,MIN(1,IF($C27&lt;=cc_D,0.0035*($C27-Z$6)/$C27,0.002*($C27-Z$6)/($C27-3*cc_D/7))/0.002)))^2)</f>
        <v/>
      </c>
      <c r="AA27">
        <f>MAX(-fyd_cc,MIN(fyd_cc,Es_cc*IF($C27&lt;=cc_D,0.0035*($C27-AA$6)/$C27,0.002*($C27-AA$6)/($C27-3*cc_D/7))))-fcd_cc*(1-(1-MAX(0,MIN(1,IF($C27&lt;=cc_D,0.0035*($C27-AA$6)/$C27,0.002*($C27-AA$6)/($C27-3*cc_D/7))/0.002)))^2)</f>
        <v/>
      </c>
      <c r="AB27">
        <f>MAX(-fyd_cc,MIN(fyd_cc,Es_cc*IF($C27&lt;=cc_D,0.0035*($C27-AB$6)/$C27,0.002*($C27-AB$6)/($C27-3*cc_D/7))))-fcd_cc*(1-(1-MAX(0,MIN(1,IF($C27&lt;=cc_D,0.0035*($C27-AB$6)/$C27,0.002*($C27-AB$6)/($C27-3*cc_D/7))/0.002)))^2)</f>
        <v/>
      </c>
      <c r="AC27">
        <f>MAX(-fyd_cc,MIN(fyd_cc,Es_cc*IF($C27&lt;=cc_D,0.0035*($C27-AC$6)/$C27,0.002*($C27-AC$6)/($C27-3*cc_D/7))))-fcd_cc*(1-(1-MAX(0,MIN(1,IF($C27&lt;=cc_D,0.0035*($C27-AC$6)/$C27,0.002*($C27-AC$6)/($C27-3*cc_D/7))/0.002)))^2)</f>
        <v/>
      </c>
      <c r="AD27">
        <f>MAX(-fyd_cc,MIN(fyd_cc,Es_cc*IF($C27&lt;=cc_D,0.0035*($C27-AD$6)/$C27,0.002*($C27-AD$6)/($C27-3*cc_D/7))))-fcd_cc*(1-(1-MAX(0,MIN(1,IF($C27&lt;=cc_D,0.0035*($C27-AD$6)/$C27,0.002*($C27-AD$6)/($C27-3*cc_D/7))/0.002)))^2)</f>
        <v/>
      </c>
      <c r="AE27">
        <f>MAX(-fyd_cc,MIN(fyd_cc,Es_cc*IF($C27&lt;=cc_D,0.0035*($C27-AE$6)/$C27,0.002*($C27-AE$6)/($C27-3*cc_D/7))))-fcd_cc*(1-(1-MAX(0,MIN(1,IF($C27&lt;=cc_D,0.0035*($C27-AE$6)/$C27,0.002*($C27-AE$6)/($C27-3*cc_D/7))/0.002)))^2)</f>
        <v/>
      </c>
      <c r="AF27">
        <f>MAX(-fyd_cc,MIN(fyd_cc,Es_cc*IF($C27&lt;=cc_D,0.0035*($C27-AF$6)/$C27,0.002*($C27-AF$6)/($C27-3*cc_D/7))))-fcd_cc*(1-(1-MAX(0,MIN(1,IF($C27&lt;=cc_D,0.0035*($C27-AF$6)/$C27,0.002*($C27-AF$6)/($C27-3*cc_D/7))/0.002)))^2)</f>
        <v/>
      </c>
      <c r="AG27">
        <f>MAX(-fyd_cc,MIN(fyd_cc,Es_cc*IF($C27&lt;=cc_D,0.0035*($C27-AG$6)/$C27,0.002*($C27-AG$6)/($C27-3*cc_D/7))))-fcd_cc*(1-(1-MAX(0,MIN(1,IF($C27&lt;=cc_D,0.0035*($C27-AG$6)/$C27,0.002*($C27-AG$6)/($C27-3*cc_D/7))/0.002)))^2)</f>
        <v/>
      </c>
      <c r="AH27">
        <f>MAX(-fyd_cc,MIN(fyd_cc,Es_cc*IF($C27&lt;=cc_D,0.0035*($C27-J$18)/$C27,0.002*($C27-J$18)/($C27-3*cc_D/7))))-fcd_cc*(1-(1-MAX(0,MIN(1,IF($C27&lt;=cc_D,0.0035*($C27-J$18)/$C27,0.002*($C27-J$18)/($C27-3*cc_D/7))/0.002)))^2)</f>
        <v/>
      </c>
      <c r="AI27">
        <f>MAX(-fyd_cc,MIN(fyd_cc,Es_cc*IF($C27&lt;=cc_D,0.0035*($C27-K$18)/$C27,0.002*($C27-K$18)/($C27-3*cc_D/7))))-fcd_cc*(1-(1-MAX(0,MIN(1,IF($C27&lt;=cc_D,0.0035*($C27-K$18)/$C27,0.002*($C27-K$18)/($C27-3*cc_D/7))/0.002)))^2)</f>
        <v/>
      </c>
      <c r="AJ27">
        <f>MAX(-fyd_cc,MIN(fyd_cc,Es_cc*IF($C27&lt;=cc_D,0.0035*($C27-L$18)/$C27,0.002*($C27-L$18)/($C27-3*cc_D/7))))-fcd_cc*(1-(1-MAX(0,MIN(1,IF($C27&lt;=cc_D,0.0035*($C27-L$18)/$C27,0.002*($C27-L$18)/($C27-3*cc_D/7))/0.002)))^2)</f>
        <v/>
      </c>
      <c r="AK27">
        <f>MAX(-fyd_cc,MIN(fyd_cc,Es_cc*IF($C27&lt;=cc_D,0.0035*($C27-M$18)/$C27,0.002*($C27-M$18)/($C27-3*cc_D/7))))-fcd_cc*(1-(1-MAX(0,MIN(1,IF($C27&lt;=cc_D,0.0035*($C27-M$18)/$C27,0.002*($C27-M$18)/($C27-3*cc_D/7))/0.002)))^2)</f>
        <v/>
      </c>
      <c r="AL27">
        <f>MAX(-fyd_cc,MIN(fyd_cc,Es_cc*IF($C27&lt;=cc_D,0.0035*($C27-N$18)/$C27,0.002*($C27-N$18)/($C27-3*cc_D/7))))-fcd_cc*(1-(1-MAX(0,MIN(1,IF($C27&lt;=cc_D,0.0035*($C27-N$18)/$C27,0.002*($C27-N$18)/($C27-3*cc_D/7))/0.002)))^2)</f>
        <v/>
      </c>
      <c r="AM27">
        <f>MAX(-fyd_cc,MIN(fyd_cc,Es_cc*IF($C27&lt;=cc_D,0.0035*($C27-O$18)/$C27,0.002*($C27-O$18)/($C27-3*cc_D/7))))-fcd_cc*(1-(1-MAX(0,MIN(1,IF($C27&lt;=cc_D,0.0035*($C27-O$18)/$C27,0.002*($C27-O$18)/($C27-3*cc_D/7))/0.002)))^2)</f>
        <v/>
      </c>
      <c r="AN27">
        <f>MAX(-fyd_cc,MIN(fyd_cc,Es_cc*IF($C27&lt;=cc_D,0.0035*($C27-P$18)/$C27,0.002*($C27-P$18)/($C27-3*cc_D/7))))-fcd_cc*(1-(1-MAX(0,MIN(1,IF($C27&lt;=cc_D,0.0035*($C27-P$18)/$C27,0.002*($C27-P$18)/($C27-3*cc_D/7))/0.002)))^2)</f>
        <v/>
      </c>
      <c r="AO27">
        <f>MAX(-fyd_cc,MIN(fyd_cc,Es_cc*IF($C27&lt;=cc_D,0.0035*($C27-Q$18)/$C27,0.002*($C27-Q$18)/($C27-3*cc_D/7))))-fcd_cc*(1-(1-MAX(0,MIN(1,IF($C27&lt;=cc_D,0.0035*($C27-Q$18)/$C27,0.002*($C27-Q$18)/($C27-3*cc_D/7))/0.002)))^2)</f>
        <v/>
      </c>
      <c r="AP27">
        <f>MAX(-fyd_cc,MIN(fyd_cc,Es_cc*IF($C27&lt;=cc_D,0.0035*($C27-R$18)/$C27,0.002*($C27-R$18)/($C27-3*cc_D/7))))-fcd_cc*(1-(1-MAX(0,MIN(1,IF($C27&lt;=cc_D,0.0035*($C27-R$18)/$C27,0.002*($C27-R$18)/($C27-3*cc_D/7))/0.002)))^2)</f>
        <v/>
      </c>
      <c r="AQ27">
        <f>MAX(-fyd_cc,MIN(fyd_cc,Es_cc*IF($C27&lt;=cc_D,0.0035*($C27-S$18)/$C27,0.002*($C27-S$18)/($C27-3*cc_D/7))))-fcd_cc*(1-(1-MAX(0,MIN(1,IF($C27&lt;=cc_D,0.0035*($C27-S$18)/$C27,0.002*($C27-S$18)/($C27-3*cc_D/7))/0.002)))^2)</f>
        <v/>
      </c>
      <c r="AR27">
        <f>MAX(-fyd_cc,MIN(fyd_cc,Es_cc*IF($C27&lt;=cc_D,0.0035*($C27-T$18)/$C27,0.002*($C27-T$18)/($C27-3*cc_D/7))))-fcd_cc*(1-(1-MAX(0,MIN(1,IF($C27&lt;=cc_D,0.0035*($C27-T$18)/$C27,0.002*($C27-T$18)/($C27-3*cc_D/7))/0.002)))^2)</f>
        <v/>
      </c>
      <c r="AS27">
        <f>MAX(-fyd_cc,MIN(fyd_cc,Es_cc*IF($C27&lt;=cc_D,0.0035*($C27-U$18)/$C27,0.002*($C27-U$18)/($C27-3*cc_D/7))))-fcd_cc*(1-(1-MAX(0,MIN(1,IF($C27&lt;=cc_D,0.0035*($C27-U$18)/$C27,0.002*($C27-U$18)/($C27-3*cc_D/7))/0.002)))^2)</f>
        <v/>
      </c>
      <c r="AT27">
        <f>MAX(-fyd_cc,MIN(fyd_cc,Es_cc*IF($C27&lt;=cc_D,0.0035*($C27-V$18)/$C27,0.002*($C27-V$18)/($C27-3*cc_D/7))))-fcd_cc*(1-(1-MAX(0,MIN(1,IF($C27&lt;=cc_D,0.0035*($C27-V$18)/$C27,0.002*($C27-V$18)/($C27-3*cc_D/7))/0.002)))^2)</f>
        <v/>
      </c>
      <c r="AU27">
        <f>MAX(-fyd_cc,MIN(fyd_cc,Es_cc*IF($C27&lt;=cc_D,0.0035*($C27-W$18)/$C27,0.002*($C27-W$18)/($C27-3*cc_D/7))))-fcd_cc*(1-(1-MAX(0,MIN(1,IF($C27&lt;=cc_D,0.0035*($C27-W$18)/$C27,0.002*($C27-W$18)/($C27-3*cc_D/7))/0.002)))^2)</f>
        <v/>
      </c>
      <c r="AV27">
        <f>MAX(-fyd_cc,MIN(fyd_cc,Es_cc*IF($C27&lt;=cc_D,0.0035*($C27-X$18)/$C27,0.002*($C27-X$18)/($C27-3*cc_D/7))))-fcd_cc*(1-(1-MAX(0,MIN(1,IF($C27&lt;=cc_D,0.0035*($C27-X$18)/$C27,0.002*($C27-X$18)/($C27-3*cc_D/7))/0.002)))^2)</f>
        <v/>
      </c>
      <c r="AW27">
        <f>MAX(-fyd_cc,MIN(fyd_cc,Es_cc*IF($C27&lt;=cc_D,0.0035*($C27-Y$18)/$C27,0.002*($C27-Y$18)/($C27-3*cc_D/7))))-fcd_cc*(1-(1-MAX(0,MIN(1,IF($C27&lt;=cc_D,0.0035*($C27-Y$18)/$C27,0.002*($C27-Y$18)/($C27-3*cc_D/7))/0.002)))^2)</f>
        <v/>
      </c>
      <c r="AX27">
        <f>MAX(-fyd_cc,MIN(fyd_cc,Es_cc*IF($C27&lt;=cc_D,0.0035*($C27-Z$18)/$C27,0.002*($C27-Z$18)/($C27-3*cc_D/7))))-fcd_cc*(1-(1-MAX(0,MIN(1,IF($C27&lt;=cc_D,0.0035*($C27-Z$18)/$C27,0.002*($C27-Z$18)/($C27-3*cc_D/7))/0.002)))^2)</f>
        <v/>
      </c>
      <c r="AY27">
        <f>MAX(-fyd_cc,MIN(fyd_cc,Es_cc*IF($C27&lt;=cc_D,0.0035*($C27-AA$18)/$C27,0.002*($C27-AA$18)/($C27-3*cc_D/7))))-fcd_cc*(1-(1-MAX(0,MIN(1,IF($C27&lt;=cc_D,0.0035*($C27-AA$18)/$C27,0.002*($C27-AA$18)/($C27-3*cc_D/7))/0.002)))^2)</f>
        <v/>
      </c>
      <c r="AZ27">
        <f>MAX(-fyd_cc,MIN(fyd_cc,Es_cc*IF($C27&lt;=cc_D,0.0035*($C27-AB$18)/$C27,0.002*($C27-AB$18)/($C27-3*cc_D/7))))-fcd_cc*(1-(1-MAX(0,MIN(1,IF($C27&lt;=cc_D,0.0035*($C27-AB$18)/$C27,0.002*($C27-AB$18)/($C27-3*cc_D/7))/0.002)))^2)</f>
        <v/>
      </c>
      <c r="BA27">
        <f>MAX(-fyd_cc,MIN(fyd_cc,Es_cc*IF($C27&lt;=cc_D,0.0035*($C27-AC$18)/$C27,0.002*($C27-AC$18)/($C27-3*cc_D/7))))-fcd_cc*(1-(1-MAX(0,MIN(1,IF($C27&lt;=cc_D,0.0035*($C27-AC$18)/$C27,0.002*($C27-AC$18)/($C27-3*cc_D/7))/0.002)))^2)</f>
        <v/>
      </c>
      <c r="BB27">
        <f>MAX(-fyd_cc,MIN(fyd_cc,Es_cc*IF($C27&lt;=cc_D,0.0035*($C27-AD$18)/$C27,0.002*($C27-AD$18)/($C27-3*cc_D/7))))-fcd_cc*(1-(1-MAX(0,MIN(1,IF($C27&lt;=cc_D,0.0035*($C27-AD$18)/$C27,0.002*($C27-AD$18)/($C27-3*cc_D/7))/0.002)))^2)</f>
        <v/>
      </c>
      <c r="BC27">
        <f>MAX(-fyd_cc,MIN(fyd_cc,Es_cc*IF($C27&lt;=cc_D,0.0035*($C27-AE$18)/$C27,0.002*($C27-AE$18)/($C27-3*cc_D/7))))-fcd_cc*(1-(1-MAX(0,MIN(1,IF($C27&lt;=cc_D,0.0035*($C27-AE$18)/$C27,0.002*($C27-AE$18)/($C27-3*cc_D/7))/0.002)))^2)</f>
        <v/>
      </c>
      <c r="BD27">
        <f>MAX(-fyd_cc,MIN(fyd_cc,Es_cc*IF($C27&lt;=cc_D,0.0035*($C27-AF$18)/$C27,0.002*($C27-AF$18)/($C27-3*cc_D/7))))-fcd_cc*(1-(1-MAX(0,MIN(1,IF($C27&lt;=cc_D,0.0035*($C27-AF$18)/$C27,0.002*($C27-AF$18)/($C27-3*cc_D/7))/0.002)))^2)</f>
        <v/>
      </c>
      <c r="BE27">
        <f>MAX(-fyd_cc,MIN(fyd_cc,Es_cc*IF($C27&lt;=cc_D,0.0035*($C27-AG$18)/$C27,0.002*($C27-AG$18)/($C27-3*cc_D/7))))-fcd_cc*(1-(1-MAX(0,MIN(1,IF($C27&lt;=cc_D,0.0035*($C27-AG$18)/$C27,0.002*($C27-AG$18)/($C27-3*cc_D/7))/0.002)))^2)</f>
        <v/>
      </c>
      <c r="BF27">
        <f>3*MIN($C27,cc_D)/7</f>
        <v/>
      </c>
      <c r="BG27">
        <f>$C27-$BF27</f>
        <v/>
      </c>
      <c r="BH27">
        <f>ACOS(MAX(-1,MIN(1,1-$BF27/(cc_D/2))))</f>
        <v/>
      </c>
      <c r="BI27">
        <f>ACOS(MAX(-1,MIN(1,1-MIN($C27,cc_D)/(cc_D/2))))</f>
        <v/>
      </c>
      <c r="BJ27">
        <f>((cc_D/2*(1-COS(($BH27+0*($BI27-$BH27)/12)))-$BF27)/$BG27)^2*SIN(($BH27+0*($BI27-$BH27)/12))^2</f>
        <v/>
      </c>
      <c r="BK27">
        <f>((cc_D/2*(1-COS(($BH27+1*($BI27-$BH27)/12)))-$BF27)/$BG27)^2*SIN(($BH27+1*($BI27-$BH27)/12))^2</f>
        <v/>
      </c>
      <c r="BL27">
        <f>((cc_D/2*(1-COS(($BH27+2*($BI27-$BH27)/12)))-$BF27)/$BG27)^2*SIN(($BH27+2*($BI27-$BH27)/12))^2</f>
        <v/>
      </c>
      <c r="BM27">
        <f>((cc_D/2*(1-COS(($BH27+3*($BI27-$BH27)/12)))-$BF27)/$BG27)^2*SIN(($BH27+3*($BI27-$BH27)/12))^2</f>
        <v/>
      </c>
      <c r="BN27">
        <f>((cc_D/2*(1-COS(($BH27+4*($BI27-$BH27)/12)))-$BF27)/$BG27)^2*SIN(($BH27+4*($BI27-$BH27)/12))^2</f>
        <v/>
      </c>
      <c r="BO27">
        <f>((cc_D/2*(1-COS(($BH27+5*($BI27-$BH27)/12)))-$BF27)/$BG27)^2*SIN(($BH27+5*($BI27-$BH27)/12))^2</f>
        <v/>
      </c>
      <c r="BP27">
        <f>((cc_D/2*(1-COS(($BH27+6*($BI27-$BH27)/12)))-$BF27)/$BG27)^2*SIN(($BH27+6*($BI27-$BH27)/12))^2</f>
        <v/>
      </c>
      <c r="BQ27">
        <f>((cc_D/2*(1-COS(($BH27+7*($BI27-$BH27)/12)))-$BF27)/$BG27)^2*SIN(($BH27+7*($BI27-$BH27)/12))^2</f>
        <v/>
      </c>
      <c r="BR27">
        <f>((cc_D/2*(1-COS(($BH27+8*($BI27-$BH27)/12)))-$BF27)/$BG27)^2*SIN(($BH27+8*($BI27-$BH27)/12))^2</f>
        <v/>
      </c>
      <c r="BS27">
        <f>((cc_D/2*(1-COS(($BH27+9*($BI27-$BH27)/12)))-$BF27)/$BG27)^2*SIN(($BH27+9*($BI27-$BH27)/12))^2</f>
        <v/>
      </c>
      <c r="BT27">
        <f>((cc_D/2*(1-COS(($BH27+10*($BI27-$BH27)/12)))-$BF27)/$BG27)^2*SIN(($BH27+10*($BI27-$BH27)/12))^2</f>
        <v/>
      </c>
      <c r="BU27">
        <f>((cc_D/2*(1-COS(($BH27+11*($BI27-$BH27)/12)))-$BF27)/$BG27)^2*SIN(($BH27+11*($BI27-$BH27)/12))^2</f>
        <v/>
      </c>
      <c r="BV27">
        <f>((cc_D/2*(1-COS(($BH27+12*($BI27-$BH27)/12)))-$BF27)/$BG27)^2*SIN(($BH27+12*($BI27-$BH27)/12))^2</f>
        <v/>
      </c>
      <c r="BW27">
        <f>BJ27*COS(($BH27+0*($BI27-$BH27)/12))</f>
        <v/>
      </c>
      <c r="BX27">
        <f>BK27*COS(($BH27+1*($BI27-$BH27)/12))</f>
        <v/>
      </c>
      <c r="BY27">
        <f>BL27*COS(($BH27+2*($BI27-$BH27)/12))</f>
        <v/>
      </c>
      <c r="BZ27">
        <f>BM27*COS(($BH27+3*($BI27-$BH27)/12))</f>
        <v/>
      </c>
      <c r="CA27">
        <f>BN27*COS(($BH27+4*($BI27-$BH27)/12))</f>
        <v/>
      </c>
      <c r="CB27">
        <f>BO27*COS(($BH27+5*($BI27-$BH27)/12))</f>
        <v/>
      </c>
      <c r="CC27">
        <f>BP27*COS(($BH27+6*($BI27-$BH27)/12))</f>
        <v/>
      </c>
      <c r="CD27">
        <f>BQ27*COS(($BH27+7*($BI27-$BH27)/12))</f>
        <v/>
      </c>
      <c r="CE27">
        <f>BR27*COS(($BH27+8*($BI27-$BH27)/12))</f>
        <v/>
      </c>
      <c r="CF27">
        <f>BS27*COS(($BH27+9*($BI27-$BH27)/12))</f>
        <v/>
      </c>
      <c r="CG27">
        <f>BT27*COS(($BH27+10*($BI27-$BH27)/12))</f>
        <v/>
      </c>
      <c r="CH27">
        <f>BU27*COS(($BH27+11*($BI27-$BH27)/12))</f>
        <v/>
      </c>
      <c r="CI27">
        <f>BV27*COS(($BH27+12*($BI27-$BH27)/12))</f>
        <v/>
      </c>
    </row>
    <row r="28">
      <c r="B28" s="53" t="n">
        <v>3</v>
      </c>
      <c r="C28" s="54">
        <f>0.03*cc_D</f>
        <v/>
      </c>
      <c r="D28" s="55">
        <f>IF($C28&lt;=cc_D,3.5,2*$C28/($C28-3*cc_D/7))</f>
        <v/>
      </c>
      <c r="E28" s="56">
        <f>(fcd_cc*((cc_D/2)^2*($BI28-COS($BI28)*SIN($BI28))-2*(cc_D/2)^2*($BI28-$BH28)/12/3*SUMPRODUCT($BJ$4:$BV$4,$BJ28:$BV28))+SUMPRODUCT($J$5:$AG$5,$J28:$AG28))/1000</f>
        <v/>
      </c>
      <c r="F28" s="56">
        <f>(fcd_cc*(2/3*(cc_D/2)^3*SIN($BI28)^3-2*(cc_D/2)^3*($BI28-$BH28)/12/3*SUMPRODUCT($BW$4:$CI$4,$BW28:$CI28))+SUMPRODUCT($J$5:$AG$5,$J28:$AG28,$J$7:$AG$7))/1E6</f>
        <v/>
      </c>
      <c r="G28" s="56">
        <f>(fcd_cc*((cc_D/2)^2*($BI28-COS($BI28)*SIN($BI28))-2*(cc_D/2)^2*($BI28-$BH28)/12/3*SUMPRODUCT($BJ$4:$BV$4,$BJ28:$BV28))+SUMPRODUCT($J$5:$AG$5,$AH28:$BE28))/1000</f>
        <v/>
      </c>
      <c r="H28" s="56">
        <f>(fcd_cc*(2/3*(cc_D/2)^3*SIN($BI28)^3-2*(cc_D/2)^3*($BI28-$BH28)/12/3*SUMPRODUCT($BW$4:$CI$4,$BW28:$CI28))+SUMPRODUCT($J$5:$AG$5,$AH28:$BE28,$J$19:$AG$19))/1E6</f>
        <v/>
      </c>
      <c r="J28">
        <f>MAX(-fyd_cc,MIN(fyd_cc,Es_cc*IF($C28&lt;=cc_D,0.0035*($C28-J$6)/$C28,0.002*($C28-J$6)/($C28-3*cc_D/7))))-fcd_cc*(1-(1-MAX(0,MIN(1,IF($C28&lt;=cc_D,0.0035*($C28-J$6)/$C28,0.002*($C28-J$6)/($C28-3*cc_D/7))/0.002)))^2)</f>
        <v/>
      </c>
      <c r="K28">
        <f>MAX(-fyd_cc,MIN(fyd_cc,Es_cc*IF($C28&lt;=cc_D,0.0035*($C28-K$6)/$C28,0.002*($C28-K$6)/($C28-3*cc_D/7))))-fcd_cc*(1-(1-MAX(0,MIN(1,IF($C28&lt;=cc_D,0.0035*($C28-K$6)/$C28,0.002*($C28-K$6)/($C28-3*cc_D/7))/0.002)))^2)</f>
        <v/>
      </c>
      <c r="L28">
        <f>MAX(-fyd_cc,MIN(fyd_cc,Es_cc*IF($C28&lt;=cc_D,0.0035*($C28-L$6)/$C28,0.002*($C28-L$6)/($C28-3*cc_D/7))))-fcd_cc*(1-(1-MAX(0,MIN(1,IF($C28&lt;=cc_D,0.0035*($C28-L$6)/$C28,0.002*($C28-L$6)/($C28-3*cc_D/7))/0.002)))^2)</f>
        <v/>
      </c>
      <c r="M28">
        <f>MAX(-fyd_cc,MIN(fyd_cc,Es_cc*IF($C28&lt;=cc_D,0.0035*($C28-M$6)/$C28,0.002*($C28-M$6)/($C28-3*cc_D/7))))-fcd_cc*(1-(1-MAX(0,MIN(1,IF($C28&lt;=cc_D,0.0035*($C28-M$6)/$C28,0.002*($C28-M$6)/($C28-3*cc_D/7))/0.002)))^2)</f>
        <v/>
      </c>
      <c r="N28">
        <f>MAX(-fyd_cc,MIN(fyd_cc,Es_cc*IF($C28&lt;=cc_D,0.0035*($C28-N$6)/$C28,0.002*($C28-N$6)/($C28-3*cc_D/7))))-fcd_cc*(1-(1-MAX(0,MIN(1,IF($C28&lt;=cc_D,0.0035*($C28-N$6)/$C28,0.002*($C28-N$6)/($C28-3*cc_D/7))/0.002)))^2)</f>
        <v/>
      </c>
      <c r="O28">
        <f>MAX(-fyd_cc,MIN(fyd_cc,Es_cc*IF($C28&lt;=cc_D,0.0035*($C28-O$6)/$C28,0.002*($C28-O$6)/($C28-3*cc_D/7))))-fcd_cc*(1-(1-MAX(0,MIN(1,IF($C28&lt;=cc_D,0.0035*($C28-O$6)/$C28,0.002*($C28-O$6)/($C28-3*cc_D/7))/0.002)))^2)</f>
        <v/>
      </c>
      <c r="P28">
        <f>MAX(-fyd_cc,MIN(fyd_cc,Es_cc*IF($C28&lt;=cc_D,0.0035*($C28-P$6)/$C28,0.002*($C28-P$6)/($C28-3*cc_D/7))))-fcd_cc*(1-(1-MAX(0,MIN(1,IF($C28&lt;=cc_D,0.0035*($C28-P$6)/$C28,0.002*($C28-P$6)/($C28-3*cc_D/7))/0.002)))^2)</f>
        <v/>
      </c>
      <c r="Q28">
        <f>MAX(-fyd_cc,MIN(fyd_cc,Es_cc*IF($C28&lt;=cc_D,0.0035*($C28-Q$6)/$C28,0.002*($C28-Q$6)/($C28-3*cc_D/7))))-fcd_cc*(1-(1-MAX(0,MIN(1,IF($C28&lt;=cc_D,0.0035*($C28-Q$6)/$C28,0.002*($C28-Q$6)/($C28-3*cc_D/7))/0.002)))^2)</f>
        <v/>
      </c>
      <c r="R28">
        <f>MAX(-fyd_cc,MIN(fyd_cc,Es_cc*IF($C28&lt;=cc_D,0.0035*($C28-R$6)/$C28,0.002*($C28-R$6)/($C28-3*cc_D/7))))-fcd_cc*(1-(1-MAX(0,MIN(1,IF($C28&lt;=cc_D,0.0035*($C28-R$6)/$C28,0.002*($C28-R$6)/($C28-3*cc_D/7))/0.002)))^2)</f>
        <v/>
      </c>
      <c r="S28">
        <f>MAX(-fyd_cc,MIN(fyd_cc,Es_cc*IF($C28&lt;=cc_D,0.0035*($C28-S$6)/$C28,0.002*($C28-S$6)/($C28-3*cc_D/7))))-fcd_cc*(1-(1-MAX(0,MIN(1,IF($C28&lt;=cc_D,0.0035*($C28-S$6)/$C28,0.002*($C28-S$6)/($C28-3*cc_D/7))/0.002)))^2)</f>
        <v/>
      </c>
      <c r="T28">
        <f>MAX(-fyd_cc,MIN(fyd_cc,Es_cc*IF($C28&lt;=cc_D,0.0035*($C28-T$6)/$C28,0.002*($C28-T$6)/($C28-3*cc_D/7))))-fcd_cc*(1-(1-MAX(0,MIN(1,IF($C28&lt;=cc_D,0.0035*($C28-T$6)/$C28,0.002*($C28-T$6)/($C28-3*cc_D/7))/0.002)))^2)</f>
        <v/>
      </c>
      <c r="U28">
        <f>MAX(-fyd_cc,MIN(fyd_cc,Es_cc*IF($C28&lt;=cc_D,0.0035*($C28-U$6)/$C28,0.002*($C28-U$6)/($C28-3*cc_D/7))))-fcd_cc*(1-(1-MAX(0,MIN(1,IF($C28&lt;=cc_D,0.0035*($C28-U$6)/$C28,0.002*($C28-U$6)/($C28-3*cc_D/7))/0.002)))^2)</f>
        <v/>
      </c>
      <c r="V28">
        <f>MAX(-fyd_cc,MIN(fyd_cc,Es_cc*IF($C28&lt;=cc_D,0.0035*($C28-V$6)/$C28,0.002*($C28-V$6)/($C28-3*cc_D/7))))-fcd_cc*(1-(1-MAX(0,MIN(1,IF($C28&lt;=cc_D,0.0035*($C28-V$6)/$C28,0.002*($C28-V$6)/($C28-3*cc_D/7))/0.002)))^2)</f>
        <v/>
      </c>
      <c r="W28">
        <f>MAX(-fyd_cc,MIN(fyd_cc,Es_cc*IF($C28&lt;=cc_D,0.0035*($C28-W$6)/$C28,0.002*($C28-W$6)/($C28-3*cc_D/7))))-fcd_cc*(1-(1-MAX(0,MIN(1,IF($C28&lt;=cc_D,0.0035*($C28-W$6)/$C28,0.002*($C28-W$6)/($C28-3*cc_D/7))/0.002)))^2)</f>
        <v/>
      </c>
      <c r="X28">
        <f>MAX(-fyd_cc,MIN(fyd_cc,Es_cc*IF($C28&lt;=cc_D,0.0035*($C28-X$6)/$C28,0.002*($C28-X$6)/($C28-3*cc_D/7))))-fcd_cc*(1-(1-MAX(0,MIN(1,IF($C28&lt;=cc_D,0.0035*($C28-X$6)/$C28,0.002*($C28-X$6)/($C28-3*cc_D/7))/0.002)))^2)</f>
        <v/>
      </c>
      <c r="Y28">
        <f>MAX(-fyd_cc,MIN(fyd_cc,Es_cc*IF($C28&lt;=cc_D,0.0035*($C28-Y$6)/$C28,0.002*($C28-Y$6)/($C28-3*cc_D/7))))-fcd_cc*(1-(1-MAX(0,MIN(1,IF($C28&lt;=cc_D,0.0035*($C28-Y$6)/$C28,0.002*($C28-Y$6)/($C28-3*cc_D/7))/0.002)))^2)</f>
        <v/>
      </c>
      <c r="Z28">
        <f>MAX(-fyd_cc,MIN(fyd_cc,Es_cc*IF($C28&lt;=cc_D,0.0035*($C28-Z$6)/$C28,0.002*($C28-Z$6)/($C28-3*cc_D/7))))-fcd_cc*(1-(1-MAX(0,MIN(1,IF($C28&lt;=cc_D,0.0035*($C28-Z$6)/$C28,0.002*($C28-Z$6)/($C28-3*cc_D/7))/0.002)))^2)</f>
        <v/>
      </c>
      <c r="AA28">
        <f>MAX(-fyd_cc,MIN(fyd_cc,Es_cc*IF($C28&lt;=cc_D,0.0035*($C28-AA$6)/$C28,0.002*($C28-AA$6)/($C28-3*cc_D/7))))-fcd_cc*(1-(1-MAX(0,MIN(1,IF($C28&lt;=cc_D,0.0035*($C28-AA$6)/$C28,0.002*($C28-AA$6)/($C28-3*cc_D/7))/0.002)))^2)</f>
        <v/>
      </c>
      <c r="AB28">
        <f>MAX(-fyd_cc,MIN(fyd_cc,Es_cc*IF($C28&lt;=cc_D,0.0035*($C28-AB$6)/$C28,0.002*($C28-AB$6)/($C28-3*cc_D/7))))-fcd_cc*(1-(1-MAX(0,MIN(1,IF($C28&lt;=cc_D,0.0035*($C28-AB$6)/$C28,0.002*($C28-AB$6)/($C28-3*cc_D/7))/0.002)))^2)</f>
        <v/>
      </c>
      <c r="AC28">
        <f>MAX(-fyd_cc,MIN(fyd_cc,Es_cc*IF($C28&lt;=cc_D,0.0035*($C28-AC$6)/$C28,0.002*($C28-AC$6)/($C28-3*cc_D/7))))-fcd_cc*(1-(1-MAX(0,MIN(1,IF($C28&lt;=cc_D,0.0035*($C28-AC$6)/$C28,0.002*($C28-AC$6)/($C28-3*cc_D/7))/0.002)))^2)</f>
        <v/>
      </c>
      <c r="AD28">
        <f>MAX(-fyd_cc,MIN(fyd_cc,Es_cc*IF($C28&lt;=cc_D,0.0035*($C28-AD$6)/$C28,0.002*($C28-AD$6)/($C28-3*cc_D/7))))-fcd_cc*(1-(1-MAX(0,MIN(1,IF($C28&lt;=cc_D,0.0035*($C28-AD$6)/$C28,0.002*($C28-AD$6)/($C28-3*cc_D/7))/0.002)))^2)</f>
        <v/>
      </c>
      <c r="AE28">
        <f>MAX(-fyd_cc,MIN(fyd_cc,Es_cc*IF($C28&lt;=cc_D,0.0035*($C28-AE$6)/$C28,0.002*($C28-AE$6)/($C28-3*cc_D/7))))-fcd_cc*(1-(1-MAX(0,MIN(1,IF($C28&lt;=cc_D,0.0035*($C28-AE$6)/$C28,0.002*($C28-AE$6)/($C28-3*cc_D/7))/0.002)))^2)</f>
        <v/>
      </c>
      <c r="AF28">
        <f>MAX(-fyd_cc,MIN(fyd_cc,Es_cc*IF($C28&lt;=cc_D,0.0035*($C28-AF$6)/$C28,0.002*($C28-AF$6)/($C28-3*cc_D/7))))-fcd_cc*(1-(1-MAX(0,MIN(1,IF($C28&lt;=cc_D,0.0035*($C28-AF$6)/$C28,0.002*($C28-AF$6)/($C28-3*cc_D/7))/0.002)))^2)</f>
        <v/>
      </c>
      <c r="AG28">
        <f>MAX(-fyd_cc,MIN(fyd_cc,Es_cc*IF($C28&lt;=cc_D,0.0035*($C28-AG$6)/$C28,0.002*($C28-AG$6)/($C28-3*cc_D/7))))-fcd_cc*(1-(1-MAX(0,MIN(1,IF($C28&lt;=cc_D,0.0035*($C28-AG$6)/$C28,0.002*($C28-AG$6)/($C28-3*cc_D/7))/0.002)))^2)</f>
        <v/>
      </c>
      <c r="AH28">
        <f>MAX(-fyd_cc,MIN(fyd_cc,Es_cc*IF($C28&lt;=cc_D,0.0035*($C28-J$18)/$C28,0.002*($C28-J$18)/($C28-3*cc_D/7))))-fcd_cc*(1-(1-MAX(0,MIN(1,IF($C28&lt;=cc_D,0.0035*($C28-J$18)/$C28,0.002*($C28-J$18)/($C28-3*cc_D/7))/0.002)))^2)</f>
        <v/>
      </c>
      <c r="AI28">
        <f>MAX(-fyd_cc,MIN(fyd_cc,Es_cc*IF($C28&lt;=cc_D,0.0035*($C28-K$18)/$C28,0.002*($C28-K$18)/($C28-3*cc_D/7))))-fcd_cc*(1-(1-MAX(0,MIN(1,IF($C28&lt;=cc_D,0.0035*($C28-K$18)/$C28,0.002*($C28-K$18)/($C28-3*cc_D/7))/0.002)))^2)</f>
        <v/>
      </c>
      <c r="AJ28">
        <f>MAX(-fyd_cc,MIN(fyd_cc,Es_cc*IF($C28&lt;=cc_D,0.0035*($C28-L$18)/$C28,0.002*($C28-L$18)/($C28-3*cc_D/7))))-fcd_cc*(1-(1-MAX(0,MIN(1,IF($C28&lt;=cc_D,0.0035*($C28-L$18)/$C28,0.002*($C28-L$18)/($C28-3*cc_D/7))/0.002)))^2)</f>
        <v/>
      </c>
      <c r="AK28">
        <f>MAX(-fyd_cc,MIN(fyd_cc,Es_cc*IF($C28&lt;=cc_D,0.0035*($C28-M$18)/$C28,0.002*($C28-M$18)/($C28-3*cc_D/7))))-fcd_cc*(1-(1-MAX(0,MIN(1,IF($C28&lt;=cc_D,0.0035*($C28-M$18)/$C28,0.002*($C28-M$18)/($C28-3*cc_D/7))/0.002)))^2)</f>
        <v/>
      </c>
      <c r="AL28">
        <f>MAX(-fyd_cc,MIN(fyd_cc,Es_cc*IF($C28&lt;=cc_D,0.0035*($C28-N$18)/$C28,0.002*($C28-N$18)/($C28-3*cc_D/7))))-fcd_cc*(1-(1-MAX(0,MIN(1,IF($C28&lt;=cc_D,0.0035*($C28-N$18)/$C28,0.002*($C28-N$18)/($C28-3*cc_D/7))/0.002)))^2)</f>
        <v/>
      </c>
      <c r="AM28">
        <f>MAX(-fyd_cc,MIN(fyd_cc,Es_cc*IF($C28&lt;=cc_D,0.0035*($C28-O$18)/$C28,0.002*($C28-O$18)/($C28-3*cc_D/7))))-fcd_cc*(1-(1-MAX(0,MIN(1,IF($C28&lt;=cc_D,0.0035*($C28-O$18)/$C28,0.002*($C28-O$18)/($C28-3*cc_D/7))/0.002)))^2)</f>
        <v/>
      </c>
      <c r="AN28">
        <f>MAX(-fyd_cc,MIN(fyd_cc,Es_cc*IF($C28&lt;=cc_D,0.0035*($C28-P$18)/$C28,0.002*($C28-P$18)/($C28-3*cc_D/7))))-fcd_cc*(1-(1-MAX(0,MIN(1,IF($C28&lt;=cc_D,0.0035*($C28-P$18)/$C28,0.002*($C28-P$18)/($C28-3*cc_D/7))/0.002)))^2)</f>
        <v/>
      </c>
      <c r="AO28">
        <f>MAX(-fyd_cc,MIN(fyd_cc,Es_cc*IF($C28&lt;=cc_D,0.0035*($C28-Q$18)/$C28,0.002*($C28-Q$18)/($C28-3*cc_D/7))))-fcd_cc*(1-(1-MAX(0,MIN(1,IF($C28&lt;=cc_D,0.0035*($C28-Q$18)/$C28,0.002*($C28-Q$18)/($C28-3*cc_D/7))/0.002)))^2)</f>
        <v/>
      </c>
      <c r="AP28">
        <f>MAX(-fyd_cc,MIN(fyd_cc,Es_cc*IF($C28&lt;=cc_D,0.0035*($C28-R$18)/$C28,0.002*($C28-R$18)/($C28-3*cc_D/7))))-fcd_cc*(1-(1-MAX(0,MIN(1,IF($C28&lt;=cc_D,0.0035*($C28-R$18)/$C28,0.002*($C28-R$18)/($C28-3*cc_D/7))/0.002)))^2)</f>
        <v/>
      </c>
      <c r="AQ28">
        <f>MAX(-fyd_cc,MIN(fyd_cc,Es_cc*IF($C28&lt;=cc_D,0.0035*($C28-S$18)/$C28,0.002*($C28-S$18)/($C28-3*cc_D/7))))-fcd_cc*(1-(1-MAX(0,MIN(1,IF($C28&lt;=cc_D,0.0035*($C28-S$18)/$C28,0.002*($C28-S$18)/($C28-3*cc_D/7))/0.002)))^2)</f>
        <v/>
      </c>
      <c r="AR28">
        <f>MAX(-fyd_cc,MIN(fyd_cc,Es_cc*IF($C28&lt;=cc_D,0.0035*($C28-T$18)/$C28,0.002*($C28-T$18)/($C28-3*cc_D/7))))-fcd_cc*(1-(1-MAX(0,MIN(1,IF($C28&lt;=cc_D,0.0035*($C28-T$18)/$C28,0.002*($C28-T$18)/($C28-3*cc_D/7))/0.002)))^2)</f>
        <v/>
      </c>
      <c r="AS28">
        <f>MAX(-fyd_cc,MIN(fyd_cc,Es_cc*IF($C28&lt;=cc_D,0.0035*($C28-U$18)/$C28,0.002*($C28-U$18)/($C28-3*cc_D/7))))-fcd_cc*(1-(1-MAX(0,MIN(1,IF($C28&lt;=cc_D,0.0035*($C28-U$18)/$C28,0.002*($C28-U$18)/($C28-3*cc_D/7))/0.002)))^2)</f>
        <v/>
      </c>
      <c r="AT28">
        <f>MAX(-fyd_cc,MIN(fyd_cc,Es_cc*IF($C28&lt;=cc_D,0.0035*($C28-V$18)/$C28,0.002*($C28-V$18)/($C28-3*cc_D/7))))-fcd_cc*(1-(1-MAX(0,MIN(1,IF($C28&lt;=cc_D,0.0035*($C28-V$18)/$C28,0.002*($C28-V$18)/($C28-3*cc_D/7))/0.002)))^2)</f>
        <v/>
      </c>
      <c r="AU28">
        <f>MAX(-fyd_cc,MIN(fyd_cc,Es_cc*IF($C28&lt;=cc_D,0.0035*($C28-W$18)/$C28,0.002*($C28-W$18)/($C28-3*cc_D/7))))-fcd_cc*(1-(1-MAX(0,MIN(1,IF($C28&lt;=cc_D,0.0035*($C28-W$18)/$C28,0.002*($C28-W$18)/($C28-3*cc_D/7))/0.002)))^2)</f>
        <v/>
      </c>
      <c r="AV28">
        <f>MAX(-fyd_cc,MIN(fyd_cc,Es_cc*IF($C28&lt;=cc_D,0.0035*($C28-X$18)/$C28,0.002*($C28-X$18)/($C28-3*cc_D/7))))-fcd_cc*(1-(1-MAX(0,MIN(1,IF($C28&lt;=cc_D,0.0035*($C28-X$18)/$C28,0.002*($C28-X$18)/($C28-3*cc_D/7))/0.002)))^2)</f>
        <v/>
      </c>
      <c r="AW28">
        <f>MAX(-fyd_cc,MIN(fyd_cc,Es_cc*IF($C28&lt;=cc_D,0.0035*($C28-Y$18)/$C28,0.002*($C28-Y$18)/($C28-3*cc_D/7))))-fcd_cc*(1-(1-MAX(0,MIN(1,IF($C28&lt;=cc_D,0.0035*($C28-Y$18)/$C28,0.002*($C28-Y$18)/($C28-3*cc_D/7))/0.002)))^2)</f>
        <v/>
      </c>
      <c r="AX28">
        <f>MAX(-fyd_cc,MIN(fyd_cc,Es_cc*IF($C28&lt;=cc_D,0.0035*($C28-Z$18)/$C28,0.002*($C28-Z$18)/($C28-3*cc_D/7))))-fcd_cc*(1-(1-MAX(0,MIN(1,IF($C28&lt;=cc_D,0.0035*($C28-Z$18)/$C28,0.002*($C28-Z$18)/($C28-3*cc_D/7))/0.002)))^2)</f>
        <v/>
      </c>
      <c r="AY28">
        <f>MAX(-fyd_cc,MIN(fyd_cc,Es_cc*IF($C28&lt;=cc_D,0.0035*($C28-AA$18)/$C28,0.002*($C28-AA$18)/($C28-3*cc_D/7))))-fcd_cc*(1-(1-MAX(0,MIN(1,IF($C28&lt;=cc_D,0.0035*($C28-AA$18)/$C28,0.002*($C28-AA$18)/($C28-3*cc_D/7))/0.002)))^2)</f>
        <v/>
      </c>
      <c r="AZ28">
        <f>MAX(-fyd_cc,MIN(fyd_cc,Es_cc*IF($C28&lt;=cc_D,0.0035*($C28-AB$18)/$C28,0.002*($C28-AB$18)/($C28-3*cc_D/7))))-fcd_cc*(1-(1-MAX(0,MIN(1,IF($C28&lt;=cc_D,0.0035*($C28-AB$18)/$C28,0.002*($C28-AB$18)/($C28-3*cc_D/7))/0.002)))^2)</f>
        <v/>
      </c>
      <c r="BA28">
        <f>MAX(-fyd_cc,MIN(fyd_cc,Es_cc*IF($C28&lt;=cc_D,0.0035*($C28-AC$18)/$C28,0.002*($C28-AC$18)/($C28-3*cc_D/7))))-fcd_cc*(1-(1-MAX(0,MIN(1,IF($C28&lt;=cc_D,0.0035*($C28-AC$18)/$C28,0.002*($C28-AC$18)/($C28-3*cc_D/7))/0.002)))^2)</f>
        <v/>
      </c>
      <c r="BB28">
        <f>MAX(-fyd_cc,MIN(fyd_cc,Es_cc*IF($C28&lt;=cc_D,0.0035*($C28-AD$18)/$C28,0.002*($C28-AD$18)/($C28-3*cc_D/7))))-fcd_cc*(1-(1-MAX(0,MIN(1,IF($C28&lt;=cc_D,0.0035*($C28-AD$18)/$C28,0.002*($C28-AD$18)/($C28-3*cc_D/7))/0.002)))^2)</f>
        <v/>
      </c>
      <c r="BC28">
        <f>MAX(-fyd_cc,MIN(fyd_cc,Es_cc*IF($C28&lt;=cc_D,0.0035*($C28-AE$18)/$C28,0.002*($C28-AE$18)/($C28-3*cc_D/7))))-fcd_cc*(1-(1-MAX(0,MIN(1,IF($C28&lt;=cc_D,0.0035*($C28-AE$18)/$C28,0.002*($C28-AE$18)/($C28-3*cc_D/7))/0.002)))^2)</f>
        <v/>
      </c>
      <c r="BD28">
        <f>MAX(-fyd_cc,MIN(fyd_cc,Es_cc*IF($C28&lt;=cc_D,0.0035*($C28-AF$18)/$C28,0.002*($C28-AF$18)/($C28-3*cc_D/7))))-fcd_cc*(1-(1-MAX(0,MIN(1,IF($C28&lt;=cc_D,0.0035*($C28-AF$18)/$C28,0.002*($C28-AF$18)/($C28-3*cc_D/7))/0.002)))^2)</f>
        <v/>
      </c>
      <c r="BE28">
        <f>MAX(-fyd_cc,MIN(fyd_cc,Es_cc*IF($C28&lt;=cc_D,0.0035*($C28-AG$18)/$C28,0.002*($C28-AG$18)/($C28-3*cc_D/7))))-fcd_cc*(1-(1-MAX(0,MIN(1,IF($C28&lt;=cc_D,0.0035*($C28-AG$18)/$C28,0.002*($C28-AG$18)/($C28-3*cc_D/7))/0.002)))^2)</f>
        <v/>
      </c>
      <c r="BF28">
        <f>3*MIN($C28,cc_D)/7</f>
        <v/>
      </c>
      <c r="BG28">
        <f>$C28-$BF28</f>
        <v/>
      </c>
      <c r="BH28">
        <f>ACOS(MAX(-1,MIN(1,1-$BF28/(cc_D/2))))</f>
        <v/>
      </c>
      <c r="BI28">
        <f>ACOS(MAX(-1,MIN(1,1-MIN($C28,cc_D)/(cc_D/2))))</f>
        <v/>
      </c>
      <c r="BJ28">
        <f>((cc_D/2*(1-COS(($BH28+0*($BI28-$BH28)/12)))-$BF28)/$BG28)^2*SIN(($BH28+0*($BI28-$BH28)/12))^2</f>
        <v/>
      </c>
      <c r="BK28">
        <f>((cc_D/2*(1-COS(($BH28+1*($BI28-$BH28)/12)))-$BF28)/$BG28)^2*SIN(($BH28+1*($BI28-$BH28)/12))^2</f>
        <v/>
      </c>
      <c r="BL28">
        <f>((cc_D/2*(1-COS(($BH28+2*($BI28-$BH28)/12)))-$BF28)/$BG28)^2*SIN(($BH28+2*($BI28-$BH28)/12))^2</f>
        <v/>
      </c>
      <c r="BM28">
        <f>((cc_D/2*(1-COS(($BH28+3*($BI28-$BH28)/12)))-$BF28)/$BG28)^2*SIN(($BH28+3*($BI28-$BH28)/12))^2</f>
        <v/>
      </c>
      <c r="BN28">
        <f>((cc_D/2*(1-COS(($BH28+4*($BI28-$BH28)/12)))-$BF28)/$BG28)^2*SIN(($BH28+4*($BI28-$BH28)/12))^2</f>
        <v/>
      </c>
      <c r="BO28">
        <f>((cc_D/2*(1-COS(($BH28+5*($BI28-$BH28)/12)))-$BF28)/$BG28)^2*SIN(($BH28+5*($BI28-$BH28)/12))^2</f>
        <v/>
      </c>
      <c r="BP28">
        <f>((cc_D/2*(1-COS(($BH28+6*($BI28-$BH28)/12)))-$BF28)/$BG28)^2*SIN(($BH28+6*($BI28-$BH28)/12))^2</f>
        <v/>
      </c>
      <c r="BQ28">
        <f>((cc_D/2*(1-COS(($BH28+7*($BI28-$BH28)/12)))-$BF28)/$BG28)^2*SIN(($BH28+7*($BI28-$BH28)/12))^2</f>
        <v/>
      </c>
      <c r="BR28">
        <f>((cc_D/2*(1-COS(($BH28+8*($BI28-$BH28)/12)))-$BF28)/$BG28)^2*SIN(($BH28+8*($BI28-$BH28)/12))^2</f>
        <v/>
      </c>
      <c r="BS28">
        <f>((cc_D/2*(1-COS(($BH28+9*($BI28-$BH28)/12)))-$BF28)/$BG28)^2*SIN(($BH28+9*($BI28-$BH28)/12))^2</f>
        <v/>
      </c>
      <c r="BT28">
        <f>((cc_D/2*(1-COS(($BH28+10*($BI28-$BH28)/12)))-$BF28)/$BG28)^2*SIN(($BH28+10*($BI28-$BH28)/12))^2</f>
        <v/>
      </c>
      <c r="BU28">
        <f>((cc_D/2*(1-COS(($BH28+11*($BI28-$BH28)/12)))-$BF28)/$BG28)^2*SIN(($BH28+11*($BI28-$BH28)/12))^2</f>
        <v/>
      </c>
      <c r="BV28">
        <f>((cc_D/2*(1-COS(($BH28+12*($BI28-$BH28)/12)))-$BF28)/$BG28)^2*SIN(($BH28+12*($BI28-$BH28)/12))^2</f>
        <v/>
      </c>
      <c r="BW28">
        <f>BJ28*COS(($BH28+0*($BI28-$BH28)/12))</f>
        <v/>
      </c>
      <c r="BX28">
        <f>BK28*COS(($BH28+1*($BI28-$BH28)/12))</f>
        <v/>
      </c>
      <c r="BY28">
        <f>BL28*COS(($BH28+2*($BI28-$BH28)/12))</f>
        <v/>
      </c>
      <c r="BZ28">
        <f>BM28*COS(($BH28+3*($BI28-$BH28)/12))</f>
        <v/>
      </c>
      <c r="CA28">
        <f>BN28*COS(($BH28+4*($BI28-$BH28)/12))</f>
        <v/>
      </c>
      <c r="CB28">
        <f>BO28*COS(($BH28+5*($BI28-$BH28)/12))</f>
        <v/>
      </c>
      <c r="CC28">
        <f>BP28*COS(($BH28+6*($BI28-$BH28)/12))</f>
        <v/>
      </c>
      <c r="CD28">
        <f>BQ28*COS(($BH28+7*($BI28-$BH28)/12))</f>
        <v/>
      </c>
      <c r="CE28">
        <f>BR28*COS(($BH28+8*($BI28-$BH28)/12))</f>
        <v/>
      </c>
      <c r="CF28">
        <f>BS28*COS(($BH28+9*($BI28-$BH28)/12))</f>
        <v/>
      </c>
      <c r="CG28">
        <f>BT28*COS(($BH28+10*($BI28-$BH28)/12))</f>
        <v/>
      </c>
      <c r="CH28">
        <f>BU28*COS(($BH28+11*($BI28-$BH28)/12))</f>
        <v/>
      </c>
      <c r="CI28">
        <f>BV28*COS(($BH28+12*($BI28-$BH28)/12))</f>
        <v/>
      </c>
    </row>
    <row r="29">
      <c r="B29" s="53" t="n">
        <v>4</v>
      </c>
      <c r="C29" s="54">
        <f>0.05*cc_D</f>
        <v/>
      </c>
      <c r="D29" s="55">
        <f>IF($C29&lt;=cc_D,3.5,2*$C29/($C29-3*cc_D/7))</f>
        <v/>
      </c>
      <c r="E29" s="56">
        <f>(fcd_cc*((cc_D/2)^2*($BI29-COS($BI29)*SIN($BI29))-2*(cc_D/2)^2*($BI29-$BH29)/12/3*SUMPRODUCT($BJ$4:$BV$4,$BJ29:$BV29))+SUMPRODUCT($J$5:$AG$5,$J29:$AG29))/1000</f>
        <v/>
      </c>
      <c r="F29" s="56">
        <f>(fcd_cc*(2/3*(cc_D/2)^3*SIN($BI29)^3-2*(cc_D/2)^3*($BI29-$BH29)/12/3*SUMPRODUCT($BW$4:$CI$4,$BW29:$CI29))+SUMPRODUCT($J$5:$AG$5,$J29:$AG29,$J$7:$AG$7))/1E6</f>
        <v/>
      </c>
      <c r="G29" s="56">
        <f>(fcd_cc*((cc_D/2)^2*($BI29-COS($BI29)*SIN($BI29))-2*(cc_D/2)^2*($BI29-$BH29)/12/3*SUMPRODUCT($BJ$4:$BV$4,$BJ29:$BV29))+SUMPRODUCT($J$5:$AG$5,$AH29:$BE29))/1000</f>
        <v/>
      </c>
      <c r="H29" s="56">
        <f>(fcd_cc*(2/3*(cc_D/2)^3*SIN($BI29)^3-2*(cc_D/2)^3*($BI29-$BH29)/12/3*SUMPRODUCT($BW$4:$CI$4,$BW29:$CI29))+SUMPRODUCT($J$5:$AG$5,$AH29:$BE29,$J$19:$AG$19))/1E6</f>
        <v/>
      </c>
      <c r="J29">
        <f>MAX(-fyd_cc,MIN(fyd_cc,Es_cc*IF($C29&lt;=cc_D,0.0035*($C29-J$6)/$C29,0.002*($C29-J$6)/($C29-3*cc_D/7))))-fcd_cc*(1-(1-MAX(0,MIN(1,IF($C29&lt;=cc_D,0.0035*($C29-J$6)/$C29,0.002*($C29-J$6)/($C29-3*cc_D/7))/0.002)))^2)</f>
        <v/>
      </c>
      <c r="K29">
        <f>MAX(-fyd_cc,MIN(fyd_cc,Es_cc*IF($C29&lt;=cc_D,0.0035*($C29-K$6)/$C29,0.002*($C29-K$6)/($C29-3*cc_D/7))))-fcd_cc*(1-(1-MAX(0,MIN(1,IF($C29&lt;=cc_D,0.0035*($C29-K$6)/$C29,0.002*($C29-K$6)/($C29-3*cc_D/7))/0.002)))^2)</f>
        <v/>
      </c>
      <c r="L29">
        <f>MAX(-fyd_cc,MIN(fyd_cc,Es_cc*IF($C29&lt;=cc_D,0.0035*($C29-L$6)/$C29,0.002*($C29-L$6)/($C29-3*cc_D/7))))-fcd_cc*(1-(1-MAX(0,MIN(1,IF($C29&lt;=cc_D,0.0035*($C29-L$6)/$C29,0.002*($C29-L$6)/($C29-3*cc_D/7))/0.002)))^2)</f>
        <v/>
      </c>
      <c r="M29">
        <f>MAX(-fyd_cc,MIN(fyd_cc,Es_cc*IF($C29&lt;=cc_D,0.0035*($C29-M$6)/$C29,0.002*($C29-M$6)/($C29-3*cc_D/7))))-fcd_cc*(1-(1-MAX(0,MIN(1,IF($C29&lt;=cc_D,0.0035*($C29-M$6)/$C29,0.002*($C29-M$6)/($C29-3*cc_D/7))/0.002)))^2)</f>
        <v/>
      </c>
      <c r="N29">
        <f>MAX(-fyd_cc,MIN(fyd_cc,Es_cc*IF($C29&lt;=cc_D,0.0035*($C29-N$6)/$C29,0.002*($C29-N$6)/($C29-3*cc_D/7))))-fcd_cc*(1-(1-MAX(0,MIN(1,IF($C29&lt;=cc_D,0.0035*($C29-N$6)/$C29,0.002*($C29-N$6)/($C29-3*cc_D/7))/0.002)))^2)</f>
        <v/>
      </c>
      <c r="O29">
        <f>MAX(-fyd_cc,MIN(fyd_cc,Es_cc*IF($C29&lt;=cc_D,0.0035*($C29-O$6)/$C29,0.002*($C29-O$6)/($C29-3*cc_D/7))))-fcd_cc*(1-(1-MAX(0,MIN(1,IF($C29&lt;=cc_D,0.0035*($C29-O$6)/$C29,0.002*($C29-O$6)/($C29-3*cc_D/7))/0.002)))^2)</f>
        <v/>
      </c>
      <c r="P29">
        <f>MAX(-fyd_cc,MIN(fyd_cc,Es_cc*IF($C29&lt;=cc_D,0.0035*($C29-P$6)/$C29,0.002*($C29-P$6)/($C29-3*cc_D/7))))-fcd_cc*(1-(1-MAX(0,MIN(1,IF($C29&lt;=cc_D,0.0035*($C29-P$6)/$C29,0.002*($C29-P$6)/($C29-3*cc_D/7))/0.002)))^2)</f>
        <v/>
      </c>
      <c r="Q29">
        <f>MAX(-fyd_cc,MIN(fyd_cc,Es_cc*IF($C29&lt;=cc_D,0.0035*($C29-Q$6)/$C29,0.002*($C29-Q$6)/($C29-3*cc_D/7))))-fcd_cc*(1-(1-MAX(0,MIN(1,IF($C29&lt;=cc_D,0.0035*($C29-Q$6)/$C29,0.002*($C29-Q$6)/($C29-3*cc_D/7))/0.002)))^2)</f>
        <v/>
      </c>
      <c r="R29">
        <f>MAX(-fyd_cc,MIN(fyd_cc,Es_cc*IF($C29&lt;=cc_D,0.0035*($C29-R$6)/$C29,0.002*($C29-R$6)/($C29-3*cc_D/7))))-fcd_cc*(1-(1-MAX(0,MIN(1,IF($C29&lt;=cc_D,0.0035*($C29-R$6)/$C29,0.002*($C29-R$6)/($C29-3*cc_D/7))/0.002)))^2)</f>
        <v/>
      </c>
      <c r="S29">
        <f>MAX(-fyd_cc,MIN(fyd_cc,Es_cc*IF($C29&lt;=cc_D,0.0035*($C29-S$6)/$C29,0.002*($C29-S$6)/($C29-3*cc_D/7))))-fcd_cc*(1-(1-MAX(0,MIN(1,IF($C29&lt;=cc_D,0.0035*($C29-S$6)/$C29,0.002*($C29-S$6)/($C29-3*cc_D/7))/0.002)))^2)</f>
        <v/>
      </c>
      <c r="T29">
        <f>MAX(-fyd_cc,MIN(fyd_cc,Es_cc*IF($C29&lt;=cc_D,0.0035*($C29-T$6)/$C29,0.002*($C29-T$6)/($C29-3*cc_D/7))))-fcd_cc*(1-(1-MAX(0,MIN(1,IF($C29&lt;=cc_D,0.0035*($C29-T$6)/$C29,0.002*($C29-T$6)/($C29-3*cc_D/7))/0.002)))^2)</f>
        <v/>
      </c>
      <c r="U29">
        <f>MAX(-fyd_cc,MIN(fyd_cc,Es_cc*IF($C29&lt;=cc_D,0.0035*($C29-U$6)/$C29,0.002*($C29-U$6)/($C29-3*cc_D/7))))-fcd_cc*(1-(1-MAX(0,MIN(1,IF($C29&lt;=cc_D,0.0035*($C29-U$6)/$C29,0.002*($C29-U$6)/($C29-3*cc_D/7))/0.002)))^2)</f>
        <v/>
      </c>
      <c r="V29">
        <f>MAX(-fyd_cc,MIN(fyd_cc,Es_cc*IF($C29&lt;=cc_D,0.0035*($C29-V$6)/$C29,0.002*($C29-V$6)/($C29-3*cc_D/7))))-fcd_cc*(1-(1-MAX(0,MIN(1,IF($C29&lt;=cc_D,0.0035*($C29-V$6)/$C29,0.002*($C29-V$6)/($C29-3*cc_D/7))/0.002)))^2)</f>
        <v/>
      </c>
      <c r="W29">
        <f>MAX(-fyd_cc,MIN(fyd_cc,Es_cc*IF($C29&lt;=cc_D,0.0035*($C29-W$6)/$C29,0.002*($C29-W$6)/($C29-3*cc_D/7))))-fcd_cc*(1-(1-MAX(0,MIN(1,IF($C29&lt;=cc_D,0.0035*($C29-W$6)/$C29,0.002*($C29-W$6)/($C29-3*cc_D/7))/0.002)))^2)</f>
        <v/>
      </c>
      <c r="X29">
        <f>MAX(-fyd_cc,MIN(fyd_cc,Es_cc*IF($C29&lt;=cc_D,0.0035*($C29-X$6)/$C29,0.002*($C29-X$6)/($C29-3*cc_D/7))))-fcd_cc*(1-(1-MAX(0,MIN(1,IF($C29&lt;=cc_D,0.0035*($C29-X$6)/$C29,0.002*($C29-X$6)/($C29-3*cc_D/7))/0.002)))^2)</f>
        <v/>
      </c>
      <c r="Y29">
        <f>MAX(-fyd_cc,MIN(fyd_cc,Es_cc*IF($C29&lt;=cc_D,0.0035*($C29-Y$6)/$C29,0.002*($C29-Y$6)/($C29-3*cc_D/7))))-fcd_cc*(1-(1-MAX(0,MIN(1,IF($C29&lt;=cc_D,0.0035*($C29-Y$6)/$C29,0.002*($C29-Y$6)/($C29-3*cc_D/7))/0.002)))^2)</f>
        <v/>
      </c>
      <c r="Z29">
        <f>MAX(-fyd_cc,MIN(fyd_cc,Es_cc*IF($C29&lt;=cc_D,0.0035*($C29-Z$6)/$C29,0.002*($C29-Z$6)/($C29-3*cc_D/7))))-fcd_cc*(1-(1-MAX(0,MIN(1,IF($C29&lt;=cc_D,0.0035*($C29-Z$6)/$C29,0.002*($C29-Z$6)/($C29-3*cc_D/7))/0.002)))^2)</f>
        <v/>
      </c>
      <c r="AA29">
        <f>MAX(-fyd_cc,MIN(fyd_cc,Es_cc*IF($C29&lt;=cc_D,0.0035*($C29-AA$6)/$C29,0.002*($C29-AA$6)/($C29-3*cc_D/7))))-fcd_cc*(1-(1-MAX(0,MIN(1,IF($C29&lt;=cc_D,0.0035*($C29-AA$6)/$C29,0.002*($C29-AA$6)/($C29-3*cc_D/7))/0.002)))^2)</f>
        <v/>
      </c>
      <c r="AB29">
        <f>MAX(-fyd_cc,MIN(fyd_cc,Es_cc*IF($C29&lt;=cc_D,0.0035*($C29-AB$6)/$C29,0.002*($C29-AB$6)/($C29-3*cc_D/7))))-fcd_cc*(1-(1-MAX(0,MIN(1,IF($C29&lt;=cc_D,0.0035*($C29-AB$6)/$C29,0.002*($C29-AB$6)/($C29-3*cc_D/7))/0.002)))^2)</f>
        <v/>
      </c>
      <c r="AC29">
        <f>MAX(-fyd_cc,MIN(fyd_cc,Es_cc*IF($C29&lt;=cc_D,0.0035*($C29-AC$6)/$C29,0.002*($C29-AC$6)/($C29-3*cc_D/7))))-fcd_cc*(1-(1-MAX(0,MIN(1,IF($C29&lt;=cc_D,0.0035*($C29-AC$6)/$C29,0.002*($C29-AC$6)/($C29-3*cc_D/7))/0.002)))^2)</f>
        <v/>
      </c>
      <c r="AD29">
        <f>MAX(-fyd_cc,MIN(fyd_cc,Es_cc*IF($C29&lt;=cc_D,0.0035*($C29-AD$6)/$C29,0.002*($C29-AD$6)/($C29-3*cc_D/7))))-fcd_cc*(1-(1-MAX(0,MIN(1,IF($C29&lt;=cc_D,0.0035*($C29-AD$6)/$C29,0.002*($C29-AD$6)/($C29-3*cc_D/7))/0.002)))^2)</f>
        <v/>
      </c>
      <c r="AE29">
        <f>MAX(-fyd_cc,MIN(fyd_cc,Es_cc*IF($C29&lt;=cc_D,0.0035*($C29-AE$6)/$C29,0.002*($C29-AE$6)/($C29-3*cc_D/7))))-fcd_cc*(1-(1-MAX(0,MIN(1,IF($C29&lt;=cc_D,0.0035*($C29-AE$6)/$C29,0.002*($C29-AE$6)/($C29-3*cc_D/7))/0.002)))^2)</f>
        <v/>
      </c>
      <c r="AF29">
        <f>MAX(-fyd_cc,MIN(fyd_cc,Es_cc*IF($C29&lt;=cc_D,0.0035*($C29-AF$6)/$C29,0.002*($C29-AF$6)/($C29-3*cc_D/7))))-fcd_cc*(1-(1-MAX(0,MIN(1,IF($C29&lt;=cc_D,0.0035*($C29-AF$6)/$C29,0.002*($C29-AF$6)/($C29-3*cc_D/7))/0.002)))^2)</f>
        <v/>
      </c>
      <c r="AG29">
        <f>MAX(-fyd_cc,MIN(fyd_cc,Es_cc*IF($C29&lt;=cc_D,0.0035*($C29-AG$6)/$C29,0.002*($C29-AG$6)/($C29-3*cc_D/7))))-fcd_cc*(1-(1-MAX(0,MIN(1,IF($C29&lt;=cc_D,0.0035*($C29-AG$6)/$C29,0.002*($C29-AG$6)/($C29-3*cc_D/7))/0.002)))^2)</f>
        <v/>
      </c>
      <c r="AH29">
        <f>MAX(-fyd_cc,MIN(fyd_cc,Es_cc*IF($C29&lt;=cc_D,0.0035*($C29-J$18)/$C29,0.002*($C29-J$18)/($C29-3*cc_D/7))))-fcd_cc*(1-(1-MAX(0,MIN(1,IF($C29&lt;=cc_D,0.0035*($C29-J$18)/$C29,0.002*($C29-J$18)/($C29-3*cc_D/7))/0.002)))^2)</f>
        <v/>
      </c>
      <c r="AI29">
        <f>MAX(-fyd_cc,MIN(fyd_cc,Es_cc*IF($C29&lt;=cc_D,0.0035*($C29-K$18)/$C29,0.002*($C29-K$18)/($C29-3*cc_D/7))))-fcd_cc*(1-(1-MAX(0,MIN(1,IF($C29&lt;=cc_D,0.0035*($C29-K$18)/$C29,0.002*($C29-K$18)/($C29-3*cc_D/7))/0.002)))^2)</f>
        <v/>
      </c>
      <c r="AJ29">
        <f>MAX(-fyd_cc,MIN(fyd_cc,Es_cc*IF($C29&lt;=cc_D,0.0035*($C29-L$18)/$C29,0.002*($C29-L$18)/($C29-3*cc_D/7))))-fcd_cc*(1-(1-MAX(0,MIN(1,IF($C29&lt;=cc_D,0.0035*($C29-L$18)/$C29,0.002*($C29-L$18)/($C29-3*cc_D/7))/0.002)))^2)</f>
        <v/>
      </c>
      <c r="AK29">
        <f>MAX(-fyd_cc,MIN(fyd_cc,Es_cc*IF($C29&lt;=cc_D,0.0035*($C29-M$18)/$C29,0.002*($C29-M$18)/($C29-3*cc_D/7))))-fcd_cc*(1-(1-MAX(0,MIN(1,IF($C29&lt;=cc_D,0.0035*($C29-M$18)/$C29,0.002*($C29-M$18)/($C29-3*cc_D/7))/0.002)))^2)</f>
        <v/>
      </c>
      <c r="AL29">
        <f>MAX(-fyd_cc,MIN(fyd_cc,Es_cc*IF($C29&lt;=cc_D,0.0035*($C29-N$18)/$C29,0.002*($C29-N$18)/($C29-3*cc_D/7))))-fcd_cc*(1-(1-MAX(0,MIN(1,IF($C29&lt;=cc_D,0.0035*($C29-N$18)/$C29,0.002*($C29-N$18)/($C29-3*cc_D/7))/0.002)))^2)</f>
        <v/>
      </c>
      <c r="AM29">
        <f>MAX(-fyd_cc,MIN(fyd_cc,Es_cc*IF($C29&lt;=cc_D,0.0035*($C29-O$18)/$C29,0.002*($C29-O$18)/($C29-3*cc_D/7))))-fcd_cc*(1-(1-MAX(0,MIN(1,IF($C29&lt;=cc_D,0.0035*($C29-O$18)/$C29,0.002*($C29-O$18)/($C29-3*cc_D/7))/0.002)))^2)</f>
        <v/>
      </c>
      <c r="AN29">
        <f>MAX(-fyd_cc,MIN(fyd_cc,Es_cc*IF($C29&lt;=cc_D,0.0035*($C29-P$18)/$C29,0.002*($C29-P$18)/($C29-3*cc_D/7))))-fcd_cc*(1-(1-MAX(0,MIN(1,IF($C29&lt;=cc_D,0.0035*($C29-P$18)/$C29,0.002*($C29-P$18)/($C29-3*cc_D/7))/0.002)))^2)</f>
        <v/>
      </c>
      <c r="AO29">
        <f>MAX(-fyd_cc,MIN(fyd_cc,Es_cc*IF($C29&lt;=cc_D,0.0035*($C29-Q$18)/$C29,0.002*($C29-Q$18)/($C29-3*cc_D/7))))-fcd_cc*(1-(1-MAX(0,MIN(1,IF($C29&lt;=cc_D,0.0035*($C29-Q$18)/$C29,0.002*($C29-Q$18)/($C29-3*cc_D/7))/0.002)))^2)</f>
        <v/>
      </c>
      <c r="AP29">
        <f>MAX(-fyd_cc,MIN(fyd_cc,Es_cc*IF($C29&lt;=cc_D,0.0035*($C29-R$18)/$C29,0.002*($C29-R$18)/($C29-3*cc_D/7))))-fcd_cc*(1-(1-MAX(0,MIN(1,IF($C29&lt;=cc_D,0.0035*($C29-R$18)/$C29,0.002*($C29-R$18)/($C29-3*cc_D/7))/0.002)))^2)</f>
        <v/>
      </c>
      <c r="AQ29">
        <f>MAX(-fyd_cc,MIN(fyd_cc,Es_cc*IF($C29&lt;=cc_D,0.0035*($C29-S$18)/$C29,0.002*($C29-S$18)/($C29-3*cc_D/7))))-fcd_cc*(1-(1-MAX(0,MIN(1,IF($C29&lt;=cc_D,0.0035*($C29-S$18)/$C29,0.002*($C29-S$18)/($C29-3*cc_D/7))/0.002)))^2)</f>
        <v/>
      </c>
      <c r="AR29">
        <f>MAX(-fyd_cc,MIN(fyd_cc,Es_cc*IF($C29&lt;=cc_D,0.0035*($C29-T$18)/$C29,0.002*($C29-T$18)/($C29-3*cc_D/7))))-fcd_cc*(1-(1-MAX(0,MIN(1,IF($C29&lt;=cc_D,0.0035*($C29-T$18)/$C29,0.002*($C29-T$18)/($C29-3*cc_D/7))/0.002)))^2)</f>
        <v/>
      </c>
      <c r="AS29">
        <f>MAX(-fyd_cc,MIN(fyd_cc,Es_cc*IF($C29&lt;=cc_D,0.0035*($C29-U$18)/$C29,0.002*($C29-U$18)/($C29-3*cc_D/7))))-fcd_cc*(1-(1-MAX(0,MIN(1,IF($C29&lt;=cc_D,0.0035*($C29-U$18)/$C29,0.002*($C29-U$18)/($C29-3*cc_D/7))/0.002)))^2)</f>
        <v/>
      </c>
      <c r="AT29">
        <f>MAX(-fyd_cc,MIN(fyd_cc,Es_cc*IF($C29&lt;=cc_D,0.0035*($C29-V$18)/$C29,0.002*($C29-V$18)/($C29-3*cc_D/7))))-fcd_cc*(1-(1-MAX(0,MIN(1,IF($C29&lt;=cc_D,0.0035*($C29-V$18)/$C29,0.002*($C29-V$18)/($C29-3*cc_D/7))/0.002)))^2)</f>
        <v/>
      </c>
      <c r="AU29">
        <f>MAX(-fyd_cc,MIN(fyd_cc,Es_cc*IF($C29&lt;=cc_D,0.0035*($C29-W$18)/$C29,0.002*($C29-W$18)/($C29-3*cc_D/7))))-fcd_cc*(1-(1-MAX(0,MIN(1,IF($C29&lt;=cc_D,0.0035*($C29-W$18)/$C29,0.002*($C29-W$18)/($C29-3*cc_D/7))/0.002)))^2)</f>
        <v/>
      </c>
      <c r="AV29">
        <f>MAX(-fyd_cc,MIN(fyd_cc,Es_cc*IF($C29&lt;=cc_D,0.0035*($C29-X$18)/$C29,0.002*($C29-X$18)/($C29-3*cc_D/7))))-fcd_cc*(1-(1-MAX(0,MIN(1,IF($C29&lt;=cc_D,0.0035*($C29-X$18)/$C29,0.002*($C29-X$18)/($C29-3*cc_D/7))/0.002)))^2)</f>
        <v/>
      </c>
      <c r="AW29">
        <f>MAX(-fyd_cc,MIN(fyd_cc,Es_cc*IF($C29&lt;=cc_D,0.0035*($C29-Y$18)/$C29,0.002*($C29-Y$18)/($C29-3*cc_D/7))))-fcd_cc*(1-(1-MAX(0,MIN(1,IF($C29&lt;=cc_D,0.0035*($C29-Y$18)/$C29,0.002*($C29-Y$18)/($C29-3*cc_D/7))/0.002)))^2)</f>
        <v/>
      </c>
      <c r="AX29">
        <f>MAX(-fyd_cc,MIN(fyd_cc,Es_cc*IF($C29&lt;=cc_D,0.0035*($C29-Z$18)/$C29,0.002*($C29-Z$18)/($C29-3*cc_D/7))))-fcd_cc*(1-(1-MAX(0,MIN(1,IF($C29&lt;=cc_D,0.0035*($C29-Z$18)/$C29,0.002*($C29-Z$18)/($C29-3*cc_D/7))/0.002)))^2)</f>
        <v/>
      </c>
      <c r="AY29">
        <f>MAX(-fyd_cc,MIN(fyd_cc,Es_cc*IF($C29&lt;=cc_D,0.0035*($C29-AA$18)/$C29,0.002*($C29-AA$18)/($C29-3*cc_D/7))))-fcd_cc*(1-(1-MAX(0,MIN(1,IF($C29&lt;=cc_D,0.0035*($C29-AA$18)/$C29,0.002*($C29-AA$18)/($C29-3*cc_D/7))/0.002)))^2)</f>
        <v/>
      </c>
      <c r="AZ29">
        <f>MAX(-fyd_cc,MIN(fyd_cc,Es_cc*IF($C29&lt;=cc_D,0.0035*($C29-AB$18)/$C29,0.002*($C29-AB$18)/($C29-3*cc_D/7))))-fcd_cc*(1-(1-MAX(0,MIN(1,IF($C29&lt;=cc_D,0.0035*($C29-AB$18)/$C29,0.002*($C29-AB$18)/($C29-3*cc_D/7))/0.002)))^2)</f>
        <v/>
      </c>
      <c r="BA29">
        <f>MAX(-fyd_cc,MIN(fyd_cc,Es_cc*IF($C29&lt;=cc_D,0.0035*($C29-AC$18)/$C29,0.002*($C29-AC$18)/($C29-3*cc_D/7))))-fcd_cc*(1-(1-MAX(0,MIN(1,IF($C29&lt;=cc_D,0.0035*($C29-AC$18)/$C29,0.002*($C29-AC$18)/($C29-3*cc_D/7))/0.002)))^2)</f>
        <v/>
      </c>
      <c r="BB29">
        <f>MAX(-fyd_cc,MIN(fyd_cc,Es_cc*IF($C29&lt;=cc_D,0.0035*($C29-AD$18)/$C29,0.002*($C29-AD$18)/($C29-3*cc_D/7))))-fcd_cc*(1-(1-MAX(0,MIN(1,IF($C29&lt;=cc_D,0.0035*($C29-AD$18)/$C29,0.002*($C29-AD$18)/($C29-3*cc_D/7))/0.002)))^2)</f>
        <v/>
      </c>
      <c r="BC29">
        <f>MAX(-fyd_cc,MIN(fyd_cc,Es_cc*IF($C29&lt;=cc_D,0.0035*($C29-AE$18)/$C29,0.002*($C29-AE$18)/($C29-3*cc_D/7))))-fcd_cc*(1-(1-MAX(0,MIN(1,IF($C29&lt;=cc_D,0.0035*($C29-AE$18)/$C29,0.002*($C29-AE$18)/($C29-3*cc_D/7))/0.002)))^2)</f>
        <v/>
      </c>
      <c r="BD29">
        <f>MAX(-fyd_cc,MIN(fyd_cc,Es_cc*IF($C29&lt;=cc_D,0.0035*($C29-AF$18)/$C29,0.002*($C29-AF$18)/($C29-3*cc_D/7))))-fcd_cc*(1-(1-MAX(0,MIN(1,IF($C29&lt;=cc_D,0.0035*($C29-AF$18)/$C29,0.002*($C29-AF$18)/($C29-3*cc_D/7))/0.002)))^2)</f>
        <v/>
      </c>
      <c r="BE29">
        <f>MAX(-fyd_cc,MIN(fyd_cc,Es_cc*IF($C29&lt;=cc_D,0.0035*($C29-AG$18)/$C29,0.002*($C29-AG$18)/($C29-3*cc_D/7))))-fcd_cc*(1-(1-MAX(0,MIN(1,IF($C29&lt;=cc_D,0.0035*($C29-AG$18)/$C29,0.002*($C29-AG$18)/($C29-3*cc_D/7))/0.002)))^2)</f>
        <v/>
      </c>
      <c r="BF29">
        <f>3*MIN($C29,cc_D)/7</f>
        <v/>
      </c>
      <c r="BG29">
        <f>$C29-$BF29</f>
        <v/>
      </c>
      <c r="BH29">
        <f>ACOS(MAX(-1,MIN(1,1-$BF29/(cc_D/2))))</f>
        <v/>
      </c>
      <c r="BI29">
        <f>ACOS(MAX(-1,MIN(1,1-MIN($C29,cc_D)/(cc_D/2))))</f>
        <v/>
      </c>
      <c r="BJ29">
        <f>((cc_D/2*(1-COS(($BH29+0*($BI29-$BH29)/12)))-$BF29)/$BG29)^2*SIN(($BH29+0*($BI29-$BH29)/12))^2</f>
        <v/>
      </c>
      <c r="BK29">
        <f>((cc_D/2*(1-COS(($BH29+1*($BI29-$BH29)/12)))-$BF29)/$BG29)^2*SIN(($BH29+1*($BI29-$BH29)/12))^2</f>
        <v/>
      </c>
      <c r="BL29">
        <f>((cc_D/2*(1-COS(($BH29+2*($BI29-$BH29)/12)))-$BF29)/$BG29)^2*SIN(($BH29+2*($BI29-$BH29)/12))^2</f>
        <v/>
      </c>
      <c r="BM29">
        <f>((cc_D/2*(1-COS(($BH29+3*($BI29-$BH29)/12)))-$BF29)/$BG29)^2*SIN(($BH29+3*($BI29-$BH29)/12))^2</f>
        <v/>
      </c>
      <c r="BN29">
        <f>((cc_D/2*(1-COS(($BH29+4*($BI29-$BH29)/12)))-$BF29)/$BG29)^2*SIN(($BH29+4*($BI29-$BH29)/12))^2</f>
        <v/>
      </c>
      <c r="BO29">
        <f>((cc_D/2*(1-COS(($BH29+5*($BI29-$BH29)/12)))-$BF29)/$BG29)^2*SIN(($BH29+5*($BI29-$BH29)/12))^2</f>
        <v/>
      </c>
      <c r="BP29">
        <f>((cc_D/2*(1-COS(($BH29+6*($BI29-$BH29)/12)))-$BF29)/$BG29)^2*SIN(($BH29+6*($BI29-$BH29)/12))^2</f>
        <v/>
      </c>
      <c r="BQ29">
        <f>((cc_D/2*(1-COS(($BH29+7*($BI29-$BH29)/12)))-$BF29)/$BG29)^2*SIN(($BH29+7*($BI29-$BH29)/12))^2</f>
        <v/>
      </c>
      <c r="BR29">
        <f>((cc_D/2*(1-COS(($BH29+8*($BI29-$BH29)/12)))-$BF29)/$BG29)^2*SIN(($BH29+8*($BI29-$BH29)/12))^2</f>
        <v/>
      </c>
      <c r="BS29">
        <f>((cc_D/2*(1-COS(($BH29+9*($BI29-$BH29)/12)))-$BF29)/$BG29)^2*SIN(($BH29+9*($BI29-$BH29)/12))^2</f>
        <v/>
      </c>
      <c r="BT29">
        <f>((cc_D/2*(1-COS(($BH29+10*($BI29-$BH29)/12)))-$BF29)/$BG29)^2*SIN(($BH29+10*($BI29-$BH29)/12))^2</f>
        <v/>
      </c>
      <c r="BU29">
        <f>((cc_D/2*(1-COS(($BH29+11*($BI29-$BH29)/12)))-$BF29)/$BG29)^2*SIN(($BH29+11*($BI29-$BH29)/12))^2</f>
        <v/>
      </c>
      <c r="BV29">
        <f>((cc_D/2*(1-COS(($BH29+12*($BI29-$BH29)/12)))-$BF29)/$BG29)^2*SIN(($BH29+12*($BI29-$BH29)/12))^2</f>
        <v/>
      </c>
      <c r="BW29">
        <f>BJ29*COS(($BH29+0*($BI29-$BH29)/12))</f>
        <v/>
      </c>
      <c r="BX29">
        <f>BK29*COS(($BH29+1*($BI29-$BH29)/12))</f>
        <v/>
      </c>
      <c r="BY29">
        <f>BL29*COS(($BH29+2*($BI29-$BH29)/12))</f>
        <v/>
      </c>
      <c r="BZ29">
        <f>BM29*COS(($BH29+3*($BI29-$BH29)/12))</f>
        <v/>
      </c>
      <c r="CA29">
        <f>BN29*COS(($BH29+4*($BI29-$BH29)/12))</f>
        <v/>
      </c>
      <c r="CB29">
        <f>BO29*COS(($BH29+5*($BI29-$BH29)/12))</f>
        <v/>
      </c>
      <c r="CC29">
        <f>BP29*COS(($BH29+6*($BI29-$BH29)/12))</f>
        <v/>
      </c>
      <c r="CD29">
        <f>BQ29*COS(($BH29+7*($BI29-$BH29)/12))</f>
        <v/>
      </c>
      <c r="CE29">
        <f>BR29*COS(($BH29+8*($BI29-$BH29)/12))</f>
        <v/>
      </c>
      <c r="CF29">
        <f>BS29*COS(($BH29+9*($BI29-$BH29)/12))</f>
        <v/>
      </c>
      <c r="CG29">
        <f>BT29*COS(($BH29+10*($BI29-$BH29)/12))</f>
        <v/>
      </c>
      <c r="CH29">
        <f>BU29*COS(($BH29+11*($BI29-$BH29)/12))</f>
        <v/>
      </c>
      <c r="CI29">
        <f>BV29*COS(($BH29+12*($BI29-$BH29)/12))</f>
        <v/>
      </c>
    </row>
    <row r="30">
      <c r="B30" s="53" t="n">
        <v>5</v>
      </c>
      <c r="C30" s="54">
        <f>0.075*cc_D</f>
        <v/>
      </c>
      <c r="D30" s="55">
        <f>IF($C30&lt;=cc_D,3.5,2*$C30/($C30-3*cc_D/7))</f>
        <v/>
      </c>
      <c r="E30" s="56">
        <f>(fcd_cc*((cc_D/2)^2*($BI30-COS($BI30)*SIN($BI30))-2*(cc_D/2)^2*($BI30-$BH30)/12/3*SUMPRODUCT($BJ$4:$BV$4,$BJ30:$BV30))+SUMPRODUCT($J$5:$AG$5,$J30:$AG30))/1000</f>
        <v/>
      </c>
      <c r="F30" s="56">
        <f>(fcd_cc*(2/3*(cc_D/2)^3*SIN($BI30)^3-2*(cc_D/2)^3*($BI30-$BH30)/12/3*SUMPRODUCT($BW$4:$CI$4,$BW30:$CI30))+SUMPRODUCT($J$5:$AG$5,$J30:$AG30,$J$7:$AG$7))/1E6</f>
        <v/>
      </c>
      <c r="G30" s="56">
        <f>(fcd_cc*((cc_D/2)^2*($BI30-COS($BI30)*SIN($BI30))-2*(cc_D/2)^2*($BI30-$BH30)/12/3*SUMPRODUCT($BJ$4:$BV$4,$BJ30:$BV30))+SUMPRODUCT($J$5:$AG$5,$AH30:$BE30))/1000</f>
        <v/>
      </c>
      <c r="H30" s="56">
        <f>(fcd_cc*(2/3*(cc_D/2)^3*SIN($BI30)^3-2*(cc_D/2)^3*($BI30-$BH30)/12/3*SUMPRODUCT($BW$4:$CI$4,$BW30:$CI30))+SUMPRODUCT($J$5:$AG$5,$AH30:$BE30,$J$19:$AG$19))/1E6</f>
        <v/>
      </c>
      <c r="J30">
        <f>MAX(-fyd_cc,MIN(fyd_cc,Es_cc*IF($C30&lt;=cc_D,0.0035*($C30-J$6)/$C30,0.002*($C30-J$6)/($C30-3*cc_D/7))))-fcd_cc*(1-(1-MAX(0,MIN(1,IF($C30&lt;=cc_D,0.0035*($C30-J$6)/$C30,0.002*($C30-J$6)/($C30-3*cc_D/7))/0.002)))^2)</f>
        <v/>
      </c>
      <c r="K30">
        <f>MAX(-fyd_cc,MIN(fyd_cc,Es_cc*IF($C30&lt;=cc_D,0.0035*($C30-K$6)/$C30,0.002*($C30-K$6)/($C30-3*cc_D/7))))-fcd_cc*(1-(1-MAX(0,MIN(1,IF($C30&lt;=cc_D,0.0035*($C30-K$6)/$C30,0.002*($C30-K$6)/($C30-3*cc_D/7))/0.002)))^2)</f>
        <v/>
      </c>
      <c r="L30">
        <f>MAX(-fyd_cc,MIN(fyd_cc,Es_cc*IF($C30&lt;=cc_D,0.0035*($C30-L$6)/$C30,0.002*($C30-L$6)/($C30-3*cc_D/7))))-fcd_cc*(1-(1-MAX(0,MIN(1,IF($C30&lt;=cc_D,0.0035*($C30-L$6)/$C30,0.002*($C30-L$6)/($C30-3*cc_D/7))/0.002)))^2)</f>
        <v/>
      </c>
      <c r="M30">
        <f>MAX(-fyd_cc,MIN(fyd_cc,Es_cc*IF($C30&lt;=cc_D,0.0035*($C30-M$6)/$C30,0.002*($C30-M$6)/($C30-3*cc_D/7))))-fcd_cc*(1-(1-MAX(0,MIN(1,IF($C30&lt;=cc_D,0.0035*($C30-M$6)/$C30,0.002*($C30-M$6)/($C30-3*cc_D/7))/0.002)))^2)</f>
        <v/>
      </c>
      <c r="N30">
        <f>MAX(-fyd_cc,MIN(fyd_cc,Es_cc*IF($C30&lt;=cc_D,0.0035*($C30-N$6)/$C30,0.002*($C30-N$6)/($C30-3*cc_D/7))))-fcd_cc*(1-(1-MAX(0,MIN(1,IF($C30&lt;=cc_D,0.0035*($C30-N$6)/$C30,0.002*($C30-N$6)/($C30-3*cc_D/7))/0.002)))^2)</f>
        <v/>
      </c>
      <c r="O30">
        <f>MAX(-fyd_cc,MIN(fyd_cc,Es_cc*IF($C30&lt;=cc_D,0.0035*($C30-O$6)/$C30,0.002*($C30-O$6)/($C30-3*cc_D/7))))-fcd_cc*(1-(1-MAX(0,MIN(1,IF($C30&lt;=cc_D,0.0035*($C30-O$6)/$C30,0.002*($C30-O$6)/($C30-3*cc_D/7))/0.002)))^2)</f>
        <v/>
      </c>
      <c r="P30">
        <f>MAX(-fyd_cc,MIN(fyd_cc,Es_cc*IF($C30&lt;=cc_D,0.0035*($C30-P$6)/$C30,0.002*($C30-P$6)/($C30-3*cc_D/7))))-fcd_cc*(1-(1-MAX(0,MIN(1,IF($C30&lt;=cc_D,0.0035*($C30-P$6)/$C30,0.002*($C30-P$6)/($C30-3*cc_D/7))/0.002)))^2)</f>
        <v/>
      </c>
      <c r="Q30">
        <f>MAX(-fyd_cc,MIN(fyd_cc,Es_cc*IF($C30&lt;=cc_D,0.0035*($C30-Q$6)/$C30,0.002*($C30-Q$6)/($C30-3*cc_D/7))))-fcd_cc*(1-(1-MAX(0,MIN(1,IF($C30&lt;=cc_D,0.0035*($C30-Q$6)/$C30,0.002*($C30-Q$6)/($C30-3*cc_D/7))/0.002)))^2)</f>
        <v/>
      </c>
      <c r="R30">
        <f>MAX(-fyd_cc,MIN(fyd_cc,Es_cc*IF($C30&lt;=cc_D,0.0035*($C30-R$6)/$C30,0.002*($C30-R$6)/($C30-3*cc_D/7))))-fcd_cc*(1-(1-MAX(0,MIN(1,IF($C30&lt;=cc_D,0.0035*($C30-R$6)/$C30,0.002*($C30-R$6)/($C30-3*cc_D/7))/0.002)))^2)</f>
        <v/>
      </c>
      <c r="S30">
        <f>MAX(-fyd_cc,MIN(fyd_cc,Es_cc*IF($C30&lt;=cc_D,0.0035*($C30-S$6)/$C30,0.002*($C30-S$6)/($C30-3*cc_D/7))))-fcd_cc*(1-(1-MAX(0,MIN(1,IF($C30&lt;=cc_D,0.0035*($C30-S$6)/$C30,0.002*($C30-S$6)/($C30-3*cc_D/7))/0.002)))^2)</f>
        <v/>
      </c>
      <c r="T30">
        <f>MAX(-fyd_cc,MIN(fyd_cc,Es_cc*IF($C30&lt;=cc_D,0.0035*($C30-T$6)/$C30,0.002*($C30-T$6)/($C30-3*cc_D/7))))-fcd_cc*(1-(1-MAX(0,MIN(1,IF($C30&lt;=cc_D,0.0035*($C30-T$6)/$C30,0.002*($C30-T$6)/($C30-3*cc_D/7))/0.002)))^2)</f>
        <v/>
      </c>
      <c r="U30">
        <f>MAX(-fyd_cc,MIN(fyd_cc,Es_cc*IF($C30&lt;=cc_D,0.0035*($C30-U$6)/$C30,0.002*($C30-U$6)/($C30-3*cc_D/7))))-fcd_cc*(1-(1-MAX(0,MIN(1,IF($C30&lt;=cc_D,0.0035*($C30-U$6)/$C30,0.002*($C30-U$6)/($C30-3*cc_D/7))/0.002)))^2)</f>
        <v/>
      </c>
      <c r="V30">
        <f>MAX(-fyd_cc,MIN(fyd_cc,Es_cc*IF($C30&lt;=cc_D,0.0035*($C30-V$6)/$C30,0.002*($C30-V$6)/($C30-3*cc_D/7))))-fcd_cc*(1-(1-MAX(0,MIN(1,IF($C30&lt;=cc_D,0.0035*($C30-V$6)/$C30,0.002*($C30-V$6)/($C30-3*cc_D/7))/0.002)))^2)</f>
        <v/>
      </c>
      <c r="W30">
        <f>MAX(-fyd_cc,MIN(fyd_cc,Es_cc*IF($C30&lt;=cc_D,0.0035*($C30-W$6)/$C30,0.002*($C30-W$6)/($C30-3*cc_D/7))))-fcd_cc*(1-(1-MAX(0,MIN(1,IF($C30&lt;=cc_D,0.0035*($C30-W$6)/$C30,0.002*($C30-W$6)/($C30-3*cc_D/7))/0.002)))^2)</f>
        <v/>
      </c>
      <c r="X30">
        <f>MAX(-fyd_cc,MIN(fyd_cc,Es_cc*IF($C30&lt;=cc_D,0.0035*($C30-X$6)/$C30,0.002*($C30-X$6)/($C30-3*cc_D/7))))-fcd_cc*(1-(1-MAX(0,MIN(1,IF($C30&lt;=cc_D,0.0035*($C30-X$6)/$C30,0.002*($C30-X$6)/($C30-3*cc_D/7))/0.002)))^2)</f>
        <v/>
      </c>
      <c r="Y30">
        <f>MAX(-fyd_cc,MIN(fyd_cc,Es_cc*IF($C30&lt;=cc_D,0.0035*($C30-Y$6)/$C30,0.002*($C30-Y$6)/($C30-3*cc_D/7))))-fcd_cc*(1-(1-MAX(0,MIN(1,IF($C30&lt;=cc_D,0.0035*($C30-Y$6)/$C30,0.002*($C30-Y$6)/($C30-3*cc_D/7))/0.002)))^2)</f>
        <v/>
      </c>
      <c r="Z30">
        <f>MAX(-fyd_cc,MIN(fyd_cc,Es_cc*IF($C30&lt;=cc_D,0.0035*($C30-Z$6)/$C30,0.002*($C30-Z$6)/($C30-3*cc_D/7))))-fcd_cc*(1-(1-MAX(0,MIN(1,IF($C30&lt;=cc_D,0.0035*($C30-Z$6)/$C30,0.002*($C30-Z$6)/($C30-3*cc_D/7))/0.002)))^2)</f>
        <v/>
      </c>
      <c r="AA30">
        <f>MAX(-fyd_cc,MIN(fyd_cc,Es_cc*IF($C30&lt;=cc_D,0.0035*($C30-AA$6)/$C30,0.002*($C30-AA$6)/($C30-3*cc_D/7))))-fcd_cc*(1-(1-MAX(0,MIN(1,IF($C30&lt;=cc_D,0.0035*($C30-AA$6)/$C30,0.002*($C30-AA$6)/($C30-3*cc_D/7))/0.002)))^2)</f>
        <v/>
      </c>
      <c r="AB30">
        <f>MAX(-fyd_cc,MIN(fyd_cc,Es_cc*IF($C30&lt;=cc_D,0.0035*($C30-AB$6)/$C30,0.002*($C30-AB$6)/($C30-3*cc_D/7))))-fcd_cc*(1-(1-MAX(0,MIN(1,IF($C30&lt;=cc_D,0.0035*($C30-AB$6)/$C30,0.002*($C30-AB$6)/($C30-3*cc_D/7))/0.002)))^2)</f>
        <v/>
      </c>
      <c r="AC30">
        <f>MAX(-fyd_cc,MIN(fyd_cc,Es_cc*IF($C30&lt;=cc_D,0.0035*($C30-AC$6)/$C30,0.002*($C30-AC$6)/($C30-3*cc_D/7))))-fcd_cc*(1-(1-MAX(0,MIN(1,IF($C30&lt;=cc_D,0.0035*($C30-AC$6)/$C30,0.002*($C30-AC$6)/($C30-3*cc_D/7))/0.002)))^2)</f>
        <v/>
      </c>
      <c r="AD30">
        <f>MAX(-fyd_cc,MIN(fyd_cc,Es_cc*IF($C30&lt;=cc_D,0.0035*($C30-AD$6)/$C30,0.002*($C30-AD$6)/($C30-3*cc_D/7))))-fcd_cc*(1-(1-MAX(0,MIN(1,IF($C30&lt;=cc_D,0.0035*($C30-AD$6)/$C30,0.002*($C30-AD$6)/($C30-3*cc_D/7))/0.002)))^2)</f>
        <v/>
      </c>
      <c r="AE30">
        <f>MAX(-fyd_cc,MIN(fyd_cc,Es_cc*IF($C30&lt;=cc_D,0.0035*($C30-AE$6)/$C30,0.002*($C30-AE$6)/($C30-3*cc_D/7))))-fcd_cc*(1-(1-MAX(0,MIN(1,IF($C30&lt;=cc_D,0.0035*($C30-AE$6)/$C30,0.002*($C30-AE$6)/($C30-3*cc_D/7))/0.002)))^2)</f>
        <v/>
      </c>
      <c r="AF30">
        <f>MAX(-fyd_cc,MIN(fyd_cc,Es_cc*IF($C30&lt;=cc_D,0.0035*($C30-AF$6)/$C30,0.002*($C30-AF$6)/($C30-3*cc_D/7))))-fcd_cc*(1-(1-MAX(0,MIN(1,IF($C30&lt;=cc_D,0.0035*($C30-AF$6)/$C30,0.002*($C30-AF$6)/($C30-3*cc_D/7))/0.002)))^2)</f>
        <v/>
      </c>
      <c r="AG30">
        <f>MAX(-fyd_cc,MIN(fyd_cc,Es_cc*IF($C30&lt;=cc_D,0.0035*($C30-AG$6)/$C30,0.002*($C30-AG$6)/($C30-3*cc_D/7))))-fcd_cc*(1-(1-MAX(0,MIN(1,IF($C30&lt;=cc_D,0.0035*($C30-AG$6)/$C30,0.002*($C30-AG$6)/($C30-3*cc_D/7))/0.002)))^2)</f>
        <v/>
      </c>
      <c r="AH30">
        <f>MAX(-fyd_cc,MIN(fyd_cc,Es_cc*IF($C30&lt;=cc_D,0.0035*($C30-J$18)/$C30,0.002*($C30-J$18)/($C30-3*cc_D/7))))-fcd_cc*(1-(1-MAX(0,MIN(1,IF($C30&lt;=cc_D,0.0035*($C30-J$18)/$C30,0.002*($C30-J$18)/($C30-3*cc_D/7))/0.002)))^2)</f>
        <v/>
      </c>
      <c r="AI30">
        <f>MAX(-fyd_cc,MIN(fyd_cc,Es_cc*IF($C30&lt;=cc_D,0.0035*($C30-K$18)/$C30,0.002*($C30-K$18)/($C30-3*cc_D/7))))-fcd_cc*(1-(1-MAX(0,MIN(1,IF($C30&lt;=cc_D,0.0035*($C30-K$18)/$C30,0.002*($C30-K$18)/($C30-3*cc_D/7))/0.002)))^2)</f>
        <v/>
      </c>
      <c r="AJ30">
        <f>MAX(-fyd_cc,MIN(fyd_cc,Es_cc*IF($C30&lt;=cc_D,0.0035*($C30-L$18)/$C30,0.002*($C30-L$18)/($C30-3*cc_D/7))))-fcd_cc*(1-(1-MAX(0,MIN(1,IF($C30&lt;=cc_D,0.0035*($C30-L$18)/$C30,0.002*($C30-L$18)/($C30-3*cc_D/7))/0.002)))^2)</f>
        <v/>
      </c>
      <c r="AK30">
        <f>MAX(-fyd_cc,MIN(fyd_cc,Es_cc*IF($C30&lt;=cc_D,0.0035*($C30-M$18)/$C30,0.002*($C30-M$18)/($C30-3*cc_D/7))))-fcd_cc*(1-(1-MAX(0,MIN(1,IF($C30&lt;=cc_D,0.0035*($C30-M$18)/$C30,0.002*($C30-M$18)/($C30-3*cc_D/7))/0.002)))^2)</f>
        <v/>
      </c>
      <c r="AL30">
        <f>MAX(-fyd_cc,MIN(fyd_cc,Es_cc*IF($C30&lt;=cc_D,0.0035*($C30-N$18)/$C30,0.002*($C30-N$18)/($C30-3*cc_D/7))))-fcd_cc*(1-(1-MAX(0,MIN(1,IF($C30&lt;=cc_D,0.0035*($C30-N$18)/$C30,0.002*($C30-N$18)/($C30-3*cc_D/7))/0.002)))^2)</f>
        <v/>
      </c>
      <c r="AM30">
        <f>MAX(-fyd_cc,MIN(fyd_cc,Es_cc*IF($C30&lt;=cc_D,0.0035*($C30-O$18)/$C30,0.002*($C30-O$18)/($C30-3*cc_D/7))))-fcd_cc*(1-(1-MAX(0,MIN(1,IF($C30&lt;=cc_D,0.0035*($C30-O$18)/$C30,0.002*($C30-O$18)/($C30-3*cc_D/7))/0.002)))^2)</f>
        <v/>
      </c>
      <c r="AN30">
        <f>MAX(-fyd_cc,MIN(fyd_cc,Es_cc*IF($C30&lt;=cc_D,0.0035*($C30-P$18)/$C30,0.002*($C30-P$18)/($C30-3*cc_D/7))))-fcd_cc*(1-(1-MAX(0,MIN(1,IF($C30&lt;=cc_D,0.0035*($C30-P$18)/$C30,0.002*($C30-P$18)/($C30-3*cc_D/7))/0.002)))^2)</f>
        <v/>
      </c>
      <c r="AO30">
        <f>MAX(-fyd_cc,MIN(fyd_cc,Es_cc*IF($C30&lt;=cc_D,0.0035*($C30-Q$18)/$C30,0.002*($C30-Q$18)/($C30-3*cc_D/7))))-fcd_cc*(1-(1-MAX(0,MIN(1,IF($C30&lt;=cc_D,0.0035*($C30-Q$18)/$C30,0.002*($C30-Q$18)/($C30-3*cc_D/7))/0.002)))^2)</f>
        <v/>
      </c>
      <c r="AP30">
        <f>MAX(-fyd_cc,MIN(fyd_cc,Es_cc*IF($C30&lt;=cc_D,0.0035*($C30-R$18)/$C30,0.002*($C30-R$18)/($C30-3*cc_D/7))))-fcd_cc*(1-(1-MAX(0,MIN(1,IF($C30&lt;=cc_D,0.0035*($C30-R$18)/$C30,0.002*($C30-R$18)/($C30-3*cc_D/7))/0.002)))^2)</f>
        <v/>
      </c>
      <c r="AQ30">
        <f>MAX(-fyd_cc,MIN(fyd_cc,Es_cc*IF($C30&lt;=cc_D,0.0035*($C30-S$18)/$C30,0.002*($C30-S$18)/($C30-3*cc_D/7))))-fcd_cc*(1-(1-MAX(0,MIN(1,IF($C30&lt;=cc_D,0.0035*($C30-S$18)/$C30,0.002*($C30-S$18)/($C30-3*cc_D/7))/0.002)))^2)</f>
        <v/>
      </c>
      <c r="AR30">
        <f>MAX(-fyd_cc,MIN(fyd_cc,Es_cc*IF($C30&lt;=cc_D,0.0035*($C30-T$18)/$C30,0.002*($C30-T$18)/($C30-3*cc_D/7))))-fcd_cc*(1-(1-MAX(0,MIN(1,IF($C30&lt;=cc_D,0.0035*($C30-T$18)/$C30,0.002*($C30-T$18)/($C30-3*cc_D/7))/0.002)))^2)</f>
        <v/>
      </c>
      <c r="AS30">
        <f>MAX(-fyd_cc,MIN(fyd_cc,Es_cc*IF($C30&lt;=cc_D,0.0035*($C30-U$18)/$C30,0.002*($C30-U$18)/($C30-3*cc_D/7))))-fcd_cc*(1-(1-MAX(0,MIN(1,IF($C30&lt;=cc_D,0.0035*($C30-U$18)/$C30,0.002*($C30-U$18)/($C30-3*cc_D/7))/0.002)))^2)</f>
        <v/>
      </c>
      <c r="AT30">
        <f>MAX(-fyd_cc,MIN(fyd_cc,Es_cc*IF($C30&lt;=cc_D,0.0035*($C30-V$18)/$C30,0.002*($C30-V$18)/($C30-3*cc_D/7))))-fcd_cc*(1-(1-MAX(0,MIN(1,IF($C30&lt;=cc_D,0.0035*($C30-V$18)/$C30,0.002*($C30-V$18)/($C30-3*cc_D/7))/0.002)))^2)</f>
        <v/>
      </c>
      <c r="AU30">
        <f>MAX(-fyd_cc,MIN(fyd_cc,Es_cc*IF($C30&lt;=cc_D,0.0035*($C30-W$18)/$C30,0.002*($C30-W$18)/($C30-3*cc_D/7))))-fcd_cc*(1-(1-MAX(0,MIN(1,IF($C30&lt;=cc_D,0.0035*($C30-W$18)/$C30,0.002*($C30-W$18)/($C30-3*cc_D/7))/0.002)))^2)</f>
        <v/>
      </c>
      <c r="AV30">
        <f>MAX(-fyd_cc,MIN(fyd_cc,Es_cc*IF($C30&lt;=cc_D,0.0035*($C30-X$18)/$C30,0.002*($C30-X$18)/($C30-3*cc_D/7))))-fcd_cc*(1-(1-MAX(0,MIN(1,IF($C30&lt;=cc_D,0.0035*($C30-X$18)/$C30,0.002*($C30-X$18)/($C30-3*cc_D/7))/0.002)))^2)</f>
        <v/>
      </c>
      <c r="AW30">
        <f>MAX(-fyd_cc,MIN(fyd_cc,Es_cc*IF($C30&lt;=cc_D,0.0035*($C30-Y$18)/$C30,0.002*($C30-Y$18)/($C30-3*cc_D/7))))-fcd_cc*(1-(1-MAX(0,MIN(1,IF($C30&lt;=cc_D,0.0035*($C30-Y$18)/$C30,0.002*($C30-Y$18)/($C30-3*cc_D/7))/0.002)))^2)</f>
        <v/>
      </c>
      <c r="AX30">
        <f>MAX(-fyd_cc,MIN(fyd_cc,Es_cc*IF($C30&lt;=cc_D,0.0035*($C30-Z$18)/$C30,0.002*($C30-Z$18)/($C30-3*cc_D/7))))-fcd_cc*(1-(1-MAX(0,MIN(1,IF($C30&lt;=cc_D,0.0035*($C30-Z$18)/$C30,0.002*($C30-Z$18)/($C30-3*cc_D/7))/0.002)))^2)</f>
        <v/>
      </c>
      <c r="AY30">
        <f>MAX(-fyd_cc,MIN(fyd_cc,Es_cc*IF($C30&lt;=cc_D,0.0035*($C30-AA$18)/$C30,0.002*($C30-AA$18)/($C30-3*cc_D/7))))-fcd_cc*(1-(1-MAX(0,MIN(1,IF($C30&lt;=cc_D,0.0035*($C30-AA$18)/$C30,0.002*($C30-AA$18)/($C30-3*cc_D/7))/0.002)))^2)</f>
        <v/>
      </c>
      <c r="AZ30">
        <f>MAX(-fyd_cc,MIN(fyd_cc,Es_cc*IF($C30&lt;=cc_D,0.0035*($C30-AB$18)/$C30,0.002*($C30-AB$18)/($C30-3*cc_D/7))))-fcd_cc*(1-(1-MAX(0,MIN(1,IF($C30&lt;=cc_D,0.0035*($C30-AB$18)/$C30,0.002*($C30-AB$18)/($C30-3*cc_D/7))/0.002)))^2)</f>
        <v/>
      </c>
      <c r="BA30">
        <f>MAX(-fyd_cc,MIN(fyd_cc,Es_cc*IF($C30&lt;=cc_D,0.0035*($C30-AC$18)/$C30,0.002*($C30-AC$18)/($C30-3*cc_D/7))))-fcd_cc*(1-(1-MAX(0,MIN(1,IF($C30&lt;=cc_D,0.0035*($C30-AC$18)/$C30,0.002*($C30-AC$18)/($C30-3*cc_D/7))/0.002)))^2)</f>
        <v/>
      </c>
      <c r="BB30">
        <f>MAX(-fyd_cc,MIN(fyd_cc,Es_cc*IF($C30&lt;=cc_D,0.0035*($C30-AD$18)/$C30,0.002*($C30-AD$18)/($C30-3*cc_D/7))))-fcd_cc*(1-(1-MAX(0,MIN(1,IF($C30&lt;=cc_D,0.0035*($C30-AD$18)/$C30,0.002*($C30-AD$18)/($C30-3*cc_D/7))/0.002)))^2)</f>
        <v/>
      </c>
      <c r="BC30">
        <f>MAX(-fyd_cc,MIN(fyd_cc,Es_cc*IF($C30&lt;=cc_D,0.0035*($C30-AE$18)/$C30,0.002*($C30-AE$18)/($C30-3*cc_D/7))))-fcd_cc*(1-(1-MAX(0,MIN(1,IF($C30&lt;=cc_D,0.0035*($C30-AE$18)/$C30,0.002*($C30-AE$18)/($C30-3*cc_D/7))/0.002)))^2)</f>
        <v/>
      </c>
      <c r="BD30">
        <f>MAX(-fyd_cc,MIN(fyd_cc,Es_cc*IF($C30&lt;=cc_D,0.0035*($C30-AF$18)/$C30,0.002*($C30-AF$18)/($C30-3*cc_D/7))))-fcd_cc*(1-(1-MAX(0,MIN(1,IF($C30&lt;=cc_D,0.0035*($C30-AF$18)/$C30,0.002*($C30-AF$18)/($C30-3*cc_D/7))/0.002)))^2)</f>
        <v/>
      </c>
      <c r="BE30">
        <f>MAX(-fyd_cc,MIN(fyd_cc,Es_cc*IF($C30&lt;=cc_D,0.0035*($C30-AG$18)/$C30,0.002*($C30-AG$18)/($C30-3*cc_D/7))))-fcd_cc*(1-(1-MAX(0,MIN(1,IF($C30&lt;=cc_D,0.0035*($C30-AG$18)/$C30,0.002*($C30-AG$18)/($C30-3*cc_D/7))/0.002)))^2)</f>
        <v/>
      </c>
      <c r="BF30">
        <f>3*MIN($C30,cc_D)/7</f>
        <v/>
      </c>
      <c r="BG30">
        <f>$C30-$BF30</f>
        <v/>
      </c>
      <c r="BH30">
        <f>ACOS(MAX(-1,MIN(1,1-$BF30/(cc_D/2))))</f>
        <v/>
      </c>
      <c r="BI30">
        <f>ACOS(MAX(-1,MIN(1,1-MIN($C30,cc_D)/(cc_D/2))))</f>
        <v/>
      </c>
      <c r="BJ30">
        <f>((cc_D/2*(1-COS(($BH30+0*($BI30-$BH30)/12)))-$BF30)/$BG30)^2*SIN(($BH30+0*($BI30-$BH30)/12))^2</f>
        <v/>
      </c>
      <c r="BK30">
        <f>((cc_D/2*(1-COS(($BH30+1*($BI30-$BH30)/12)))-$BF30)/$BG30)^2*SIN(($BH30+1*($BI30-$BH30)/12))^2</f>
        <v/>
      </c>
      <c r="BL30">
        <f>((cc_D/2*(1-COS(($BH30+2*($BI30-$BH30)/12)))-$BF30)/$BG30)^2*SIN(($BH30+2*($BI30-$BH30)/12))^2</f>
        <v/>
      </c>
      <c r="BM30">
        <f>((cc_D/2*(1-COS(($BH30+3*($BI30-$BH30)/12)))-$BF30)/$BG30)^2*SIN(($BH30+3*($BI30-$BH30)/12))^2</f>
        <v/>
      </c>
      <c r="BN30">
        <f>((cc_D/2*(1-COS(($BH30+4*($BI30-$BH30)/12)))-$BF30)/$BG30)^2*SIN(($BH30+4*($BI30-$BH30)/12))^2</f>
        <v/>
      </c>
      <c r="BO30">
        <f>((cc_D/2*(1-COS(($BH30+5*($BI30-$BH30)/12)))-$BF30)/$BG30)^2*SIN(($BH30+5*($BI30-$BH30)/12))^2</f>
        <v/>
      </c>
      <c r="BP30">
        <f>((cc_D/2*(1-COS(($BH30+6*($BI30-$BH30)/12)))-$BF30)/$BG30)^2*SIN(($BH30+6*($BI30-$BH30)/12))^2</f>
        <v/>
      </c>
      <c r="BQ30">
        <f>((cc_D/2*(1-COS(($BH30+7*($BI30-$BH30)/12)))-$BF30)/$BG30)^2*SIN(($BH30+7*($BI30-$BH30)/12))^2</f>
        <v/>
      </c>
      <c r="BR30">
        <f>((cc_D/2*(1-COS(($BH30+8*($BI30-$BH30)/12)))-$BF30)/$BG30)^2*SIN(($BH30+8*($BI30-$BH30)/12))^2</f>
        <v/>
      </c>
      <c r="BS30">
        <f>((cc_D/2*(1-COS(($BH30+9*($BI30-$BH30)/12)))-$BF30)/$BG30)^2*SIN(($BH30+9*($BI30-$BH30)/12))^2</f>
        <v/>
      </c>
      <c r="BT30">
        <f>((cc_D/2*(1-COS(($BH30+10*($BI30-$BH30)/12)))-$BF30)/$BG30)^2*SIN(($BH30+10*($BI30-$BH30)/12))^2</f>
        <v/>
      </c>
      <c r="BU30">
        <f>((cc_D/2*(1-COS(($BH30+11*($BI30-$BH30)/12)))-$BF30)/$BG30)^2*SIN(($BH30+11*($BI30-$BH30)/12))^2</f>
        <v/>
      </c>
      <c r="BV30">
        <f>((cc_D/2*(1-COS(($BH30+12*($BI30-$BH30)/12)))-$BF30)/$BG30)^2*SIN(($BH30+12*($BI30-$BH30)/12))^2</f>
        <v/>
      </c>
      <c r="BW30">
        <f>BJ30*COS(($BH30+0*($BI30-$BH30)/12))</f>
        <v/>
      </c>
      <c r="BX30">
        <f>BK30*COS(($BH30+1*($BI30-$BH30)/12))</f>
        <v/>
      </c>
      <c r="BY30">
        <f>BL30*COS(($BH30+2*($BI30-$BH30)/12))</f>
        <v/>
      </c>
      <c r="BZ30">
        <f>BM30*COS(($BH30+3*($BI30-$BH30)/12))</f>
        <v/>
      </c>
      <c r="CA30">
        <f>BN30*COS(($BH30+4*($BI30-$BH30)/12))</f>
        <v/>
      </c>
      <c r="CB30">
        <f>BO30*COS(($BH30+5*($BI30-$BH30)/12))</f>
        <v/>
      </c>
      <c r="CC30">
        <f>BP30*COS(($BH30+6*($BI30-$BH30)/12))</f>
        <v/>
      </c>
      <c r="CD30">
        <f>BQ30*COS(($BH30+7*($BI30-$BH30)/12))</f>
        <v/>
      </c>
      <c r="CE30">
        <f>BR30*COS(($BH30+8*($BI30-$BH30)/12))</f>
        <v/>
      </c>
      <c r="CF30">
        <f>BS30*COS(($BH30+9*($BI30-$BH30)/12))</f>
        <v/>
      </c>
      <c r="CG30">
        <f>BT30*COS(($BH30+10*($BI30-$BH30)/12))</f>
        <v/>
      </c>
      <c r="CH30">
        <f>BU30*COS(($BH30+11*($BI30-$BH30)/12))</f>
        <v/>
      </c>
      <c r="CI30">
        <f>BV30*COS(($BH30+12*($BI30-$BH30)/12))</f>
        <v/>
      </c>
    </row>
    <row r="31">
      <c r="B31" s="53" t="n">
        <v>6</v>
      </c>
      <c r="C31" s="54">
        <f>0.1*cc_D</f>
        <v/>
      </c>
      <c r="D31" s="55">
        <f>IF($C31&lt;=cc_D,3.5,2*$C31/($C31-3*cc_D/7))</f>
        <v/>
      </c>
      <c r="E31" s="56">
        <f>(fcd_cc*((cc_D/2)^2*($BI31-COS($BI31)*SIN($BI31))-2*(cc_D/2)^2*($BI31-$BH31)/12/3*SUMPRODUCT($BJ$4:$BV$4,$BJ31:$BV31))+SUMPRODUCT($J$5:$AG$5,$J31:$AG31))/1000</f>
        <v/>
      </c>
      <c r="F31" s="56">
        <f>(fcd_cc*(2/3*(cc_D/2)^3*SIN($BI31)^3-2*(cc_D/2)^3*($BI31-$BH31)/12/3*SUMPRODUCT($BW$4:$CI$4,$BW31:$CI31))+SUMPRODUCT($J$5:$AG$5,$J31:$AG31,$J$7:$AG$7))/1E6</f>
        <v/>
      </c>
      <c r="G31" s="56">
        <f>(fcd_cc*((cc_D/2)^2*($BI31-COS($BI31)*SIN($BI31))-2*(cc_D/2)^2*($BI31-$BH31)/12/3*SUMPRODUCT($BJ$4:$BV$4,$BJ31:$BV31))+SUMPRODUCT($J$5:$AG$5,$AH31:$BE31))/1000</f>
        <v/>
      </c>
      <c r="H31" s="56">
        <f>(fcd_cc*(2/3*(cc_D/2)^3*SIN($BI31)^3-2*(cc_D/2)^3*($BI31-$BH31)/12/3*SUMPRODUCT($BW$4:$CI$4,$BW31:$CI31))+SUMPRODUCT($J$5:$AG$5,$AH31:$BE31,$J$19:$AG$19))/1E6</f>
        <v/>
      </c>
      <c r="J31">
        <f>MAX(-fyd_cc,MIN(fyd_cc,Es_cc*IF($C31&lt;=cc_D,0.0035*($C31-J$6)/$C31,0.002*($C31-J$6)/($C31-3*cc_D/7))))-fcd_cc*(1-(1-MAX(0,MIN(1,IF($C31&lt;=cc_D,0.0035*($C31-J$6)/$C31,0.002*($C31-J$6)/($C31-3*cc_D/7))/0.002)))^2)</f>
        <v/>
      </c>
      <c r="K31">
        <f>MAX(-fyd_cc,MIN(fyd_cc,Es_cc*IF($C31&lt;=cc_D,0.0035*($C31-K$6)/$C31,0.002*($C31-K$6)/($C31-3*cc_D/7))))-fcd_cc*(1-(1-MAX(0,MIN(1,IF($C31&lt;=cc_D,0.0035*($C31-K$6)/$C31,0.002*($C31-K$6)/($C31-3*cc_D/7))/0.002)))^2)</f>
        <v/>
      </c>
      <c r="L31">
        <f>MAX(-fyd_cc,MIN(fyd_cc,Es_cc*IF($C31&lt;=cc_D,0.0035*($C31-L$6)/$C31,0.002*($C31-L$6)/($C31-3*cc_D/7))))-fcd_cc*(1-(1-MAX(0,MIN(1,IF($C31&lt;=cc_D,0.0035*($C31-L$6)/$C31,0.002*($C31-L$6)/($C31-3*cc_D/7))/0.002)))^2)</f>
        <v/>
      </c>
      <c r="M31">
        <f>MAX(-fyd_cc,MIN(fyd_cc,Es_cc*IF($C31&lt;=cc_D,0.0035*($C31-M$6)/$C31,0.002*($C31-M$6)/($C31-3*cc_D/7))))-fcd_cc*(1-(1-MAX(0,MIN(1,IF($C31&lt;=cc_D,0.0035*($C31-M$6)/$C31,0.002*($C31-M$6)/($C31-3*cc_D/7))/0.002)))^2)</f>
        <v/>
      </c>
      <c r="N31">
        <f>MAX(-fyd_cc,MIN(fyd_cc,Es_cc*IF($C31&lt;=cc_D,0.0035*($C31-N$6)/$C31,0.002*($C31-N$6)/($C31-3*cc_D/7))))-fcd_cc*(1-(1-MAX(0,MIN(1,IF($C31&lt;=cc_D,0.0035*($C31-N$6)/$C31,0.002*($C31-N$6)/($C31-3*cc_D/7))/0.002)))^2)</f>
        <v/>
      </c>
      <c r="O31">
        <f>MAX(-fyd_cc,MIN(fyd_cc,Es_cc*IF($C31&lt;=cc_D,0.0035*($C31-O$6)/$C31,0.002*($C31-O$6)/($C31-3*cc_D/7))))-fcd_cc*(1-(1-MAX(0,MIN(1,IF($C31&lt;=cc_D,0.0035*($C31-O$6)/$C31,0.002*($C31-O$6)/($C31-3*cc_D/7))/0.002)))^2)</f>
        <v/>
      </c>
      <c r="P31">
        <f>MAX(-fyd_cc,MIN(fyd_cc,Es_cc*IF($C31&lt;=cc_D,0.0035*($C31-P$6)/$C31,0.002*($C31-P$6)/($C31-3*cc_D/7))))-fcd_cc*(1-(1-MAX(0,MIN(1,IF($C31&lt;=cc_D,0.0035*($C31-P$6)/$C31,0.002*($C31-P$6)/($C31-3*cc_D/7))/0.002)))^2)</f>
        <v/>
      </c>
      <c r="Q31">
        <f>MAX(-fyd_cc,MIN(fyd_cc,Es_cc*IF($C31&lt;=cc_D,0.0035*($C31-Q$6)/$C31,0.002*($C31-Q$6)/($C31-3*cc_D/7))))-fcd_cc*(1-(1-MAX(0,MIN(1,IF($C31&lt;=cc_D,0.0035*($C31-Q$6)/$C31,0.002*($C31-Q$6)/($C31-3*cc_D/7))/0.002)))^2)</f>
        <v/>
      </c>
      <c r="R31">
        <f>MAX(-fyd_cc,MIN(fyd_cc,Es_cc*IF($C31&lt;=cc_D,0.0035*($C31-R$6)/$C31,0.002*($C31-R$6)/($C31-3*cc_D/7))))-fcd_cc*(1-(1-MAX(0,MIN(1,IF($C31&lt;=cc_D,0.0035*($C31-R$6)/$C31,0.002*($C31-R$6)/($C31-3*cc_D/7))/0.002)))^2)</f>
        <v/>
      </c>
      <c r="S31">
        <f>MAX(-fyd_cc,MIN(fyd_cc,Es_cc*IF($C31&lt;=cc_D,0.0035*($C31-S$6)/$C31,0.002*($C31-S$6)/($C31-3*cc_D/7))))-fcd_cc*(1-(1-MAX(0,MIN(1,IF($C31&lt;=cc_D,0.0035*($C31-S$6)/$C31,0.002*($C31-S$6)/($C31-3*cc_D/7))/0.002)))^2)</f>
        <v/>
      </c>
      <c r="T31">
        <f>MAX(-fyd_cc,MIN(fyd_cc,Es_cc*IF($C31&lt;=cc_D,0.0035*($C31-T$6)/$C31,0.002*($C31-T$6)/($C31-3*cc_D/7))))-fcd_cc*(1-(1-MAX(0,MIN(1,IF($C31&lt;=cc_D,0.0035*($C31-T$6)/$C31,0.002*($C31-T$6)/($C31-3*cc_D/7))/0.002)))^2)</f>
        <v/>
      </c>
      <c r="U31">
        <f>MAX(-fyd_cc,MIN(fyd_cc,Es_cc*IF($C31&lt;=cc_D,0.0035*($C31-U$6)/$C31,0.002*($C31-U$6)/($C31-3*cc_D/7))))-fcd_cc*(1-(1-MAX(0,MIN(1,IF($C31&lt;=cc_D,0.0035*($C31-U$6)/$C31,0.002*($C31-U$6)/($C31-3*cc_D/7))/0.002)))^2)</f>
        <v/>
      </c>
      <c r="V31">
        <f>MAX(-fyd_cc,MIN(fyd_cc,Es_cc*IF($C31&lt;=cc_D,0.0035*($C31-V$6)/$C31,0.002*($C31-V$6)/($C31-3*cc_D/7))))-fcd_cc*(1-(1-MAX(0,MIN(1,IF($C31&lt;=cc_D,0.0035*($C31-V$6)/$C31,0.002*($C31-V$6)/($C31-3*cc_D/7))/0.002)))^2)</f>
        <v/>
      </c>
      <c r="W31">
        <f>MAX(-fyd_cc,MIN(fyd_cc,Es_cc*IF($C31&lt;=cc_D,0.0035*($C31-W$6)/$C31,0.002*($C31-W$6)/($C31-3*cc_D/7))))-fcd_cc*(1-(1-MAX(0,MIN(1,IF($C31&lt;=cc_D,0.0035*($C31-W$6)/$C31,0.002*($C31-W$6)/($C31-3*cc_D/7))/0.002)))^2)</f>
        <v/>
      </c>
      <c r="X31">
        <f>MAX(-fyd_cc,MIN(fyd_cc,Es_cc*IF($C31&lt;=cc_D,0.0035*($C31-X$6)/$C31,0.002*($C31-X$6)/($C31-3*cc_D/7))))-fcd_cc*(1-(1-MAX(0,MIN(1,IF($C31&lt;=cc_D,0.0035*($C31-X$6)/$C31,0.002*($C31-X$6)/($C31-3*cc_D/7))/0.002)))^2)</f>
        <v/>
      </c>
      <c r="Y31">
        <f>MAX(-fyd_cc,MIN(fyd_cc,Es_cc*IF($C31&lt;=cc_D,0.0035*($C31-Y$6)/$C31,0.002*($C31-Y$6)/($C31-3*cc_D/7))))-fcd_cc*(1-(1-MAX(0,MIN(1,IF($C31&lt;=cc_D,0.0035*($C31-Y$6)/$C31,0.002*($C31-Y$6)/($C31-3*cc_D/7))/0.002)))^2)</f>
        <v/>
      </c>
      <c r="Z31">
        <f>MAX(-fyd_cc,MIN(fyd_cc,Es_cc*IF($C31&lt;=cc_D,0.0035*($C31-Z$6)/$C31,0.002*($C31-Z$6)/($C31-3*cc_D/7))))-fcd_cc*(1-(1-MAX(0,MIN(1,IF($C31&lt;=cc_D,0.0035*($C31-Z$6)/$C31,0.002*($C31-Z$6)/($C31-3*cc_D/7))/0.002)))^2)</f>
        <v/>
      </c>
      <c r="AA31">
        <f>MAX(-fyd_cc,MIN(fyd_cc,Es_cc*IF($C31&lt;=cc_D,0.0035*($C31-AA$6)/$C31,0.002*($C31-AA$6)/($C31-3*cc_D/7))))-fcd_cc*(1-(1-MAX(0,MIN(1,IF($C31&lt;=cc_D,0.0035*($C31-AA$6)/$C31,0.002*($C31-AA$6)/($C31-3*cc_D/7))/0.002)))^2)</f>
        <v/>
      </c>
      <c r="AB31">
        <f>MAX(-fyd_cc,MIN(fyd_cc,Es_cc*IF($C31&lt;=cc_D,0.0035*($C31-AB$6)/$C31,0.002*($C31-AB$6)/($C31-3*cc_D/7))))-fcd_cc*(1-(1-MAX(0,MIN(1,IF($C31&lt;=cc_D,0.0035*($C31-AB$6)/$C31,0.002*($C31-AB$6)/($C31-3*cc_D/7))/0.002)))^2)</f>
        <v/>
      </c>
      <c r="AC31">
        <f>MAX(-fyd_cc,MIN(fyd_cc,Es_cc*IF($C31&lt;=cc_D,0.0035*($C31-AC$6)/$C31,0.002*($C31-AC$6)/($C31-3*cc_D/7))))-fcd_cc*(1-(1-MAX(0,MIN(1,IF($C31&lt;=cc_D,0.0035*($C31-AC$6)/$C31,0.002*($C31-AC$6)/($C31-3*cc_D/7))/0.002)))^2)</f>
        <v/>
      </c>
      <c r="AD31">
        <f>MAX(-fyd_cc,MIN(fyd_cc,Es_cc*IF($C31&lt;=cc_D,0.0035*($C31-AD$6)/$C31,0.002*($C31-AD$6)/($C31-3*cc_D/7))))-fcd_cc*(1-(1-MAX(0,MIN(1,IF($C31&lt;=cc_D,0.0035*($C31-AD$6)/$C31,0.002*($C31-AD$6)/($C31-3*cc_D/7))/0.002)))^2)</f>
        <v/>
      </c>
      <c r="AE31">
        <f>MAX(-fyd_cc,MIN(fyd_cc,Es_cc*IF($C31&lt;=cc_D,0.0035*($C31-AE$6)/$C31,0.002*($C31-AE$6)/($C31-3*cc_D/7))))-fcd_cc*(1-(1-MAX(0,MIN(1,IF($C31&lt;=cc_D,0.0035*($C31-AE$6)/$C31,0.002*($C31-AE$6)/($C31-3*cc_D/7))/0.002)))^2)</f>
        <v/>
      </c>
      <c r="AF31">
        <f>MAX(-fyd_cc,MIN(fyd_cc,Es_cc*IF($C31&lt;=cc_D,0.0035*($C31-AF$6)/$C31,0.002*($C31-AF$6)/($C31-3*cc_D/7))))-fcd_cc*(1-(1-MAX(0,MIN(1,IF($C31&lt;=cc_D,0.0035*($C31-AF$6)/$C31,0.002*($C31-AF$6)/($C31-3*cc_D/7))/0.002)))^2)</f>
        <v/>
      </c>
      <c r="AG31">
        <f>MAX(-fyd_cc,MIN(fyd_cc,Es_cc*IF($C31&lt;=cc_D,0.0035*($C31-AG$6)/$C31,0.002*($C31-AG$6)/($C31-3*cc_D/7))))-fcd_cc*(1-(1-MAX(0,MIN(1,IF($C31&lt;=cc_D,0.0035*($C31-AG$6)/$C31,0.002*($C31-AG$6)/($C31-3*cc_D/7))/0.002)))^2)</f>
        <v/>
      </c>
      <c r="AH31">
        <f>MAX(-fyd_cc,MIN(fyd_cc,Es_cc*IF($C31&lt;=cc_D,0.0035*($C31-J$18)/$C31,0.002*($C31-J$18)/($C31-3*cc_D/7))))-fcd_cc*(1-(1-MAX(0,MIN(1,IF($C31&lt;=cc_D,0.0035*($C31-J$18)/$C31,0.002*($C31-J$18)/($C31-3*cc_D/7))/0.002)))^2)</f>
        <v/>
      </c>
      <c r="AI31">
        <f>MAX(-fyd_cc,MIN(fyd_cc,Es_cc*IF($C31&lt;=cc_D,0.0035*($C31-K$18)/$C31,0.002*($C31-K$18)/($C31-3*cc_D/7))))-fcd_cc*(1-(1-MAX(0,MIN(1,IF($C31&lt;=cc_D,0.0035*($C31-K$18)/$C31,0.002*($C31-K$18)/($C31-3*cc_D/7))/0.002)))^2)</f>
        <v/>
      </c>
      <c r="AJ31">
        <f>MAX(-fyd_cc,MIN(fyd_cc,Es_cc*IF($C31&lt;=cc_D,0.0035*($C31-L$18)/$C31,0.002*($C31-L$18)/($C31-3*cc_D/7))))-fcd_cc*(1-(1-MAX(0,MIN(1,IF($C31&lt;=cc_D,0.0035*($C31-L$18)/$C31,0.002*($C31-L$18)/($C31-3*cc_D/7))/0.002)))^2)</f>
        <v/>
      </c>
      <c r="AK31">
        <f>MAX(-fyd_cc,MIN(fyd_cc,Es_cc*IF($C31&lt;=cc_D,0.0035*($C31-M$18)/$C31,0.002*($C31-M$18)/($C31-3*cc_D/7))))-fcd_cc*(1-(1-MAX(0,MIN(1,IF($C31&lt;=cc_D,0.0035*($C31-M$18)/$C31,0.002*($C31-M$18)/($C31-3*cc_D/7))/0.002)))^2)</f>
        <v/>
      </c>
      <c r="AL31">
        <f>MAX(-fyd_cc,MIN(fyd_cc,Es_cc*IF($C31&lt;=cc_D,0.0035*($C31-N$18)/$C31,0.002*($C31-N$18)/($C31-3*cc_D/7))))-fcd_cc*(1-(1-MAX(0,MIN(1,IF($C31&lt;=cc_D,0.0035*($C31-N$18)/$C31,0.002*($C31-N$18)/($C31-3*cc_D/7))/0.002)))^2)</f>
        <v/>
      </c>
      <c r="AM31">
        <f>MAX(-fyd_cc,MIN(fyd_cc,Es_cc*IF($C31&lt;=cc_D,0.0035*($C31-O$18)/$C31,0.002*($C31-O$18)/($C31-3*cc_D/7))))-fcd_cc*(1-(1-MAX(0,MIN(1,IF($C31&lt;=cc_D,0.0035*($C31-O$18)/$C31,0.002*($C31-O$18)/($C31-3*cc_D/7))/0.002)))^2)</f>
        <v/>
      </c>
      <c r="AN31">
        <f>MAX(-fyd_cc,MIN(fyd_cc,Es_cc*IF($C31&lt;=cc_D,0.0035*($C31-P$18)/$C31,0.002*($C31-P$18)/($C31-3*cc_D/7))))-fcd_cc*(1-(1-MAX(0,MIN(1,IF($C31&lt;=cc_D,0.0035*($C31-P$18)/$C31,0.002*($C31-P$18)/($C31-3*cc_D/7))/0.002)))^2)</f>
        <v/>
      </c>
      <c r="AO31">
        <f>MAX(-fyd_cc,MIN(fyd_cc,Es_cc*IF($C31&lt;=cc_D,0.0035*($C31-Q$18)/$C31,0.002*($C31-Q$18)/($C31-3*cc_D/7))))-fcd_cc*(1-(1-MAX(0,MIN(1,IF($C31&lt;=cc_D,0.0035*($C31-Q$18)/$C31,0.002*($C31-Q$18)/($C31-3*cc_D/7))/0.002)))^2)</f>
        <v/>
      </c>
      <c r="AP31">
        <f>MAX(-fyd_cc,MIN(fyd_cc,Es_cc*IF($C31&lt;=cc_D,0.0035*($C31-R$18)/$C31,0.002*($C31-R$18)/($C31-3*cc_D/7))))-fcd_cc*(1-(1-MAX(0,MIN(1,IF($C31&lt;=cc_D,0.0035*($C31-R$18)/$C31,0.002*($C31-R$18)/($C31-3*cc_D/7))/0.002)))^2)</f>
        <v/>
      </c>
      <c r="AQ31">
        <f>MAX(-fyd_cc,MIN(fyd_cc,Es_cc*IF($C31&lt;=cc_D,0.0035*($C31-S$18)/$C31,0.002*($C31-S$18)/($C31-3*cc_D/7))))-fcd_cc*(1-(1-MAX(0,MIN(1,IF($C31&lt;=cc_D,0.0035*($C31-S$18)/$C31,0.002*($C31-S$18)/($C31-3*cc_D/7))/0.002)))^2)</f>
        <v/>
      </c>
      <c r="AR31">
        <f>MAX(-fyd_cc,MIN(fyd_cc,Es_cc*IF($C31&lt;=cc_D,0.0035*($C31-T$18)/$C31,0.002*($C31-T$18)/($C31-3*cc_D/7))))-fcd_cc*(1-(1-MAX(0,MIN(1,IF($C31&lt;=cc_D,0.0035*($C31-T$18)/$C31,0.002*($C31-T$18)/($C31-3*cc_D/7))/0.002)))^2)</f>
        <v/>
      </c>
      <c r="AS31">
        <f>MAX(-fyd_cc,MIN(fyd_cc,Es_cc*IF($C31&lt;=cc_D,0.0035*($C31-U$18)/$C31,0.002*($C31-U$18)/($C31-3*cc_D/7))))-fcd_cc*(1-(1-MAX(0,MIN(1,IF($C31&lt;=cc_D,0.0035*($C31-U$18)/$C31,0.002*($C31-U$18)/($C31-3*cc_D/7))/0.002)))^2)</f>
        <v/>
      </c>
      <c r="AT31">
        <f>MAX(-fyd_cc,MIN(fyd_cc,Es_cc*IF($C31&lt;=cc_D,0.0035*($C31-V$18)/$C31,0.002*($C31-V$18)/($C31-3*cc_D/7))))-fcd_cc*(1-(1-MAX(0,MIN(1,IF($C31&lt;=cc_D,0.0035*($C31-V$18)/$C31,0.002*($C31-V$18)/($C31-3*cc_D/7))/0.002)))^2)</f>
        <v/>
      </c>
      <c r="AU31">
        <f>MAX(-fyd_cc,MIN(fyd_cc,Es_cc*IF($C31&lt;=cc_D,0.0035*($C31-W$18)/$C31,0.002*($C31-W$18)/($C31-3*cc_D/7))))-fcd_cc*(1-(1-MAX(0,MIN(1,IF($C31&lt;=cc_D,0.0035*($C31-W$18)/$C31,0.002*($C31-W$18)/($C31-3*cc_D/7))/0.002)))^2)</f>
        <v/>
      </c>
      <c r="AV31">
        <f>MAX(-fyd_cc,MIN(fyd_cc,Es_cc*IF($C31&lt;=cc_D,0.0035*($C31-X$18)/$C31,0.002*($C31-X$18)/($C31-3*cc_D/7))))-fcd_cc*(1-(1-MAX(0,MIN(1,IF($C31&lt;=cc_D,0.0035*($C31-X$18)/$C31,0.002*($C31-X$18)/($C31-3*cc_D/7))/0.002)))^2)</f>
        <v/>
      </c>
      <c r="AW31">
        <f>MAX(-fyd_cc,MIN(fyd_cc,Es_cc*IF($C31&lt;=cc_D,0.0035*($C31-Y$18)/$C31,0.002*($C31-Y$18)/($C31-3*cc_D/7))))-fcd_cc*(1-(1-MAX(0,MIN(1,IF($C31&lt;=cc_D,0.0035*($C31-Y$18)/$C31,0.002*($C31-Y$18)/($C31-3*cc_D/7))/0.002)))^2)</f>
        <v/>
      </c>
      <c r="AX31">
        <f>MAX(-fyd_cc,MIN(fyd_cc,Es_cc*IF($C31&lt;=cc_D,0.0035*($C31-Z$18)/$C31,0.002*($C31-Z$18)/($C31-3*cc_D/7))))-fcd_cc*(1-(1-MAX(0,MIN(1,IF($C31&lt;=cc_D,0.0035*($C31-Z$18)/$C31,0.002*($C31-Z$18)/($C31-3*cc_D/7))/0.002)))^2)</f>
        <v/>
      </c>
      <c r="AY31">
        <f>MAX(-fyd_cc,MIN(fyd_cc,Es_cc*IF($C31&lt;=cc_D,0.0035*($C31-AA$18)/$C31,0.002*($C31-AA$18)/($C31-3*cc_D/7))))-fcd_cc*(1-(1-MAX(0,MIN(1,IF($C31&lt;=cc_D,0.0035*($C31-AA$18)/$C31,0.002*($C31-AA$18)/($C31-3*cc_D/7))/0.002)))^2)</f>
        <v/>
      </c>
      <c r="AZ31">
        <f>MAX(-fyd_cc,MIN(fyd_cc,Es_cc*IF($C31&lt;=cc_D,0.0035*($C31-AB$18)/$C31,0.002*($C31-AB$18)/($C31-3*cc_D/7))))-fcd_cc*(1-(1-MAX(0,MIN(1,IF($C31&lt;=cc_D,0.0035*($C31-AB$18)/$C31,0.002*($C31-AB$18)/($C31-3*cc_D/7))/0.002)))^2)</f>
        <v/>
      </c>
      <c r="BA31">
        <f>MAX(-fyd_cc,MIN(fyd_cc,Es_cc*IF($C31&lt;=cc_D,0.0035*($C31-AC$18)/$C31,0.002*($C31-AC$18)/($C31-3*cc_D/7))))-fcd_cc*(1-(1-MAX(0,MIN(1,IF($C31&lt;=cc_D,0.0035*($C31-AC$18)/$C31,0.002*($C31-AC$18)/($C31-3*cc_D/7))/0.002)))^2)</f>
        <v/>
      </c>
      <c r="BB31">
        <f>MAX(-fyd_cc,MIN(fyd_cc,Es_cc*IF($C31&lt;=cc_D,0.0035*($C31-AD$18)/$C31,0.002*($C31-AD$18)/($C31-3*cc_D/7))))-fcd_cc*(1-(1-MAX(0,MIN(1,IF($C31&lt;=cc_D,0.0035*($C31-AD$18)/$C31,0.002*($C31-AD$18)/($C31-3*cc_D/7))/0.002)))^2)</f>
        <v/>
      </c>
      <c r="BC31">
        <f>MAX(-fyd_cc,MIN(fyd_cc,Es_cc*IF($C31&lt;=cc_D,0.0035*($C31-AE$18)/$C31,0.002*($C31-AE$18)/($C31-3*cc_D/7))))-fcd_cc*(1-(1-MAX(0,MIN(1,IF($C31&lt;=cc_D,0.0035*($C31-AE$18)/$C31,0.002*($C31-AE$18)/($C31-3*cc_D/7))/0.002)))^2)</f>
        <v/>
      </c>
      <c r="BD31">
        <f>MAX(-fyd_cc,MIN(fyd_cc,Es_cc*IF($C31&lt;=cc_D,0.0035*($C31-AF$18)/$C31,0.002*($C31-AF$18)/($C31-3*cc_D/7))))-fcd_cc*(1-(1-MAX(0,MIN(1,IF($C31&lt;=cc_D,0.0035*($C31-AF$18)/$C31,0.002*($C31-AF$18)/($C31-3*cc_D/7))/0.002)))^2)</f>
        <v/>
      </c>
      <c r="BE31">
        <f>MAX(-fyd_cc,MIN(fyd_cc,Es_cc*IF($C31&lt;=cc_D,0.0035*($C31-AG$18)/$C31,0.002*($C31-AG$18)/($C31-3*cc_D/7))))-fcd_cc*(1-(1-MAX(0,MIN(1,IF($C31&lt;=cc_D,0.0035*($C31-AG$18)/$C31,0.002*($C31-AG$18)/($C31-3*cc_D/7))/0.002)))^2)</f>
        <v/>
      </c>
      <c r="BF31">
        <f>3*MIN($C31,cc_D)/7</f>
        <v/>
      </c>
      <c r="BG31">
        <f>$C31-$BF31</f>
        <v/>
      </c>
      <c r="BH31">
        <f>ACOS(MAX(-1,MIN(1,1-$BF31/(cc_D/2))))</f>
        <v/>
      </c>
      <c r="BI31">
        <f>ACOS(MAX(-1,MIN(1,1-MIN($C31,cc_D)/(cc_D/2))))</f>
        <v/>
      </c>
      <c r="BJ31">
        <f>((cc_D/2*(1-COS(($BH31+0*($BI31-$BH31)/12)))-$BF31)/$BG31)^2*SIN(($BH31+0*($BI31-$BH31)/12))^2</f>
        <v/>
      </c>
      <c r="BK31">
        <f>((cc_D/2*(1-COS(($BH31+1*($BI31-$BH31)/12)))-$BF31)/$BG31)^2*SIN(($BH31+1*($BI31-$BH31)/12))^2</f>
        <v/>
      </c>
      <c r="BL31">
        <f>((cc_D/2*(1-COS(($BH31+2*($BI31-$BH31)/12)))-$BF31)/$BG31)^2*SIN(($BH31+2*($BI31-$BH31)/12))^2</f>
        <v/>
      </c>
      <c r="BM31">
        <f>((cc_D/2*(1-COS(($BH31+3*($BI31-$BH31)/12)))-$BF31)/$BG31)^2*SIN(($BH31+3*($BI31-$BH31)/12))^2</f>
        <v/>
      </c>
      <c r="BN31">
        <f>((cc_D/2*(1-COS(($BH31+4*($BI31-$BH31)/12)))-$BF31)/$BG31)^2*SIN(($BH31+4*($BI31-$BH31)/12))^2</f>
        <v/>
      </c>
      <c r="BO31">
        <f>((cc_D/2*(1-COS(($BH31+5*($BI31-$BH31)/12)))-$BF31)/$BG31)^2*SIN(($BH31+5*($BI31-$BH31)/12))^2</f>
        <v/>
      </c>
      <c r="BP31">
        <f>((cc_D/2*(1-COS(($BH31+6*($BI31-$BH31)/12)))-$BF31)/$BG31)^2*SIN(($BH31+6*($BI31-$BH31)/12))^2</f>
        <v/>
      </c>
      <c r="BQ31">
        <f>((cc_D/2*(1-COS(($BH31+7*($BI31-$BH31)/12)))-$BF31)/$BG31)^2*SIN(($BH31+7*($BI31-$BH31)/12))^2</f>
        <v/>
      </c>
      <c r="BR31">
        <f>((cc_D/2*(1-COS(($BH31+8*($BI31-$BH31)/12)))-$BF31)/$BG31)^2*SIN(($BH31+8*($BI31-$BH31)/12))^2</f>
        <v/>
      </c>
      <c r="BS31">
        <f>((cc_D/2*(1-COS(($BH31+9*($BI31-$BH31)/12)))-$BF31)/$BG31)^2*SIN(($BH31+9*($BI31-$BH31)/12))^2</f>
        <v/>
      </c>
      <c r="BT31">
        <f>((cc_D/2*(1-COS(($BH31+10*($BI31-$BH31)/12)))-$BF31)/$BG31)^2*SIN(($BH31+10*($BI31-$BH31)/12))^2</f>
        <v/>
      </c>
      <c r="BU31">
        <f>((cc_D/2*(1-COS(($BH31+11*($BI31-$BH31)/12)))-$BF31)/$BG31)^2*SIN(($BH31+11*($BI31-$BH31)/12))^2</f>
        <v/>
      </c>
      <c r="BV31">
        <f>((cc_D/2*(1-COS(($BH31+12*($BI31-$BH31)/12)))-$BF31)/$BG31)^2*SIN(($BH31+12*($BI31-$BH31)/12))^2</f>
        <v/>
      </c>
      <c r="BW31">
        <f>BJ31*COS(($BH31+0*($BI31-$BH31)/12))</f>
        <v/>
      </c>
      <c r="BX31">
        <f>BK31*COS(($BH31+1*($BI31-$BH31)/12))</f>
        <v/>
      </c>
      <c r="BY31">
        <f>BL31*COS(($BH31+2*($BI31-$BH31)/12))</f>
        <v/>
      </c>
      <c r="BZ31">
        <f>BM31*COS(($BH31+3*($BI31-$BH31)/12))</f>
        <v/>
      </c>
      <c r="CA31">
        <f>BN31*COS(($BH31+4*($BI31-$BH31)/12))</f>
        <v/>
      </c>
      <c r="CB31">
        <f>BO31*COS(($BH31+5*($BI31-$BH31)/12))</f>
        <v/>
      </c>
      <c r="CC31">
        <f>BP31*COS(($BH31+6*($BI31-$BH31)/12))</f>
        <v/>
      </c>
      <c r="CD31">
        <f>BQ31*COS(($BH31+7*($BI31-$BH31)/12))</f>
        <v/>
      </c>
      <c r="CE31">
        <f>BR31*COS(($BH31+8*($BI31-$BH31)/12))</f>
        <v/>
      </c>
      <c r="CF31">
        <f>BS31*COS(($BH31+9*($BI31-$BH31)/12))</f>
        <v/>
      </c>
      <c r="CG31">
        <f>BT31*COS(($BH31+10*($BI31-$BH31)/12))</f>
        <v/>
      </c>
      <c r="CH31">
        <f>BU31*COS(($BH31+11*($BI31-$BH31)/12))</f>
        <v/>
      </c>
      <c r="CI31">
        <f>BV31*COS(($BH31+12*($BI31-$BH31)/12))</f>
        <v/>
      </c>
    </row>
    <row r="32">
      <c r="B32" s="53" t="n">
        <v>7</v>
      </c>
      <c r="C32" s="54">
        <f>0.125*cc_D</f>
        <v/>
      </c>
      <c r="D32" s="55">
        <f>IF($C32&lt;=cc_D,3.5,2*$C32/($C32-3*cc_D/7))</f>
        <v/>
      </c>
      <c r="E32" s="56">
        <f>(fcd_cc*((cc_D/2)^2*($BI32-COS($BI32)*SIN($BI32))-2*(cc_D/2)^2*($BI32-$BH32)/12/3*SUMPRODUCT($BJ$4:$BV$4,$BJ32:$BV32))+SUMPRODUCT($J$5:$AG$5,$J32:$AG32))/1000</f>
        <v/>
      </c>
      <c r="F32" s="56">
        <f>(fcd_cc*(2/3*(cc_D/2)^3*SIN($BI32)^3-2*(cc_D/2)^3*($BI32-$BH32)/12/3*SUMPRODUCT($BW$4:$CI$4,$BW32:$CI32))+SUMPRODUCT($J$5:$AG$5,$J32:$AG32,$J$7:$AG$7))/1E6</f>
        <v/>
      </c>
      <c r="G32" s="56">
        <f>(fcd_cc*((cc_D/2)^2*($BI32-COS($BI32)*SIN($BI32))-2*(cc_D/2)^2*($BI32-$BH32)/12/3*SUMPRODUCT($BJ$4:$BV$4,$BJ32:$BV32))+SUMPRODUCT($J$5:$AG$5,$AH32:$BE32))/1000</f>
        <v/>
      </c>
      <c r="H32" s="56">
        <f>(fcd_cc*(2/3*(cc_D/2)^3*SIN($BI32)^3-2*(cc_D/2)^3*($BI32-$BH32)/12/3*SUMPRODUCT($BW$4:$CI$4,$BW32:$CI32))+SUMPRODUCT($J$5:$AG$5,$AH32:$BE32,$J$19:$AG$19))/1E6</f>
        <v/>
      </c>
      <c r="J32">
        <f>MAX(-fyd_cc,MIN(fyd_cc,Es_cc*IF($C32&lt;=cc_D,0.0035*($C32-J$6)/$C32,0.002*($C32-J$6)/($C32-3*cc_D/7))))-fcd_cc*(1-(1-MAX(0,MIN(1,IF($C32&lt;=cc_D,0.0035*($C32-J$6)/$C32,0.002*($C32-J$6)/($C32-3*cc_D/7))/0.002)))^2)</f>
        <v/>
      </c>
      <c r="K32">
        <f>MAX(-fyd_cc,MIN(fyd_cc,Es_cc*IF($C32&lt;=cc_D,0.0035*($C32-K$6)/$C32,0.002*($C32-K$6)/($C32-3*cc_D/7))))-fcd_cc*(1-(1-MAX(0,MIN(1,IF($C32&lt;=cc_D,0.0035*($C32-K$6)/$C32,0.002*($C32-K$6)/($C32-3*cc_D/7))/0.002)))^2)</f>
        <v/>
      </c>
      <c r="L32">
        <f>MAX(-fyd_cc,MIN(fyd_cc,Es_cc*IF($C32&lt;=cc_D,0.0035*($C32-L$6)/$C32,0.002*($C32-L$6)/($C32-3*cc_D/7))))-fcd_cc*(1-(1-MAX(0,MIN(1,IF($C32&lt;=cc_D,0.0035*($C32-L$6)/$C32,0.002*($C32-L$6)/($C32-3*cc_D/7))/0.002)))^2)</f>
        <v/>
      </c>
      <c r="M32">
        <f>MAX(-fyd_cc,MIN(fyd_cc,Es_cc*IF($C32&lt;=cc_D,0.0035*($C32-M$6)/$C32,0.002*($C32-M$6)/($C32-3*cc_D/7))))-fcd_cc*(1-(1-MAX(0,MIN(1,IF($C32&lt;=cc_D,0.0035*($C32-M$6)/$C32,0.002*($C32-M$6)/($C32-3*cc_D/7))/0.002)))^2)</f>
        <v/>
      </c>
      <c r="N32">
        <f>MAX(-fyd_cc,MIN(fyd_cc,Es_cc*IF($C32&lt;=cc_D,0.0035*($C32-N$6)/$C32,0.002*($C32-N$6)/($C32-3*cc_D/7))))-fcd_cc*(1-(1-MAX(0,MIN(1,IF($C32&lt;=cc_D,0.0035*($C32-N$6)/$C32,0.002*($C32-N$6)/($C32-3*cc_D/7))/0.002)))^2)</f>
        <v/>
      </c>
      <c r="O32">
        <f>MAX(-fyd_cc,MIN(fyd_cc,Es_cc*IF($C32&lt;=cc_D,0.0035*($C32-O$6)/$C32,0.002*($C32-O$6)/($C32-3*cc_D/7))))-fcd_cc*(1-(1-MAX(0,MIN(1,IF($C32&lt;=cc_D,0.0035*($C32-O$6)/$C32,0.002*($C32-O$6)/($C32-3*cc_D/7))/0.002)))^2)</f>
        <v/>
      </c>
      <c r="P32">
        <f>MAX(-fyd_cc,MIN(fyd_cc,Es_cc*IF($C32&lt;=cc_D,0.0035*($C32-P$6)/$C32,0.002*($C32-P$6)/($C32-3*cc_D/7))))-fcd_cc*(1-(1-MAX(0,MIN(1,IF($C32&lt;=cc_D,0.0035*($C32-P$6)/$C32,0.002*($C32-P$6)/($C32-3*cc_D/7))/0.002)))^2)</f>
        <v/>
      </c>
      <c r="Q32">
        <f>MAX(-fyd_cc,MIN(fyd_cc,Es_cc*IF($C32&lt;=cc_D,0.0035*($C32-Q$6)/$C32,0.002*($C32-Q$6)/($C32-3*cc_D/7))))-fcd_cc*(1-(1-MAX(0,MIN(1,IF($C32&lt;=cc_D,0.0035*($C32-Q$6)/$C32,0.002*($C32-Q$6)/($C32-3*cc_D/7))/0.002)))^2)</f>
        <v/>
      </c>
      <c r="R32">
        <f>MAX(-fyd_cc,MIN(fyd_cc,Es_cc*IF($C32&lt;=cc_D,0.0035*($C32-R$6)/$C32,0.002*($C32-R$6)/($C32-3*cc_D/7))))-fcd_cc*(1-(1-MAX(0,MIN(1,IF($C32&lt;=cc_D,0.0035*($C32-R$6)/$C32,0.002*($C32-R$6)/($C32-3*cc_D/7))/0.002)))^2)</f>
        <v/>
      </c>
      <c r="S32">
        <f>MAX(-fyd_cc,MIN(fyd_cc,Es_cc*IF($C32&lt;=cc_D,0.0035*($C32-S$6)/$C32,0.002*($C32-S$6)/($C32-3*cc_D/7))))-fcd_cc*(1-(1-MAX(0,MIN(1,IF($C32&lt;=cc_D,0.0035*($C32-S$6)/$C32,0.002*($C32-S$6)/($C32-3*cc_D/7))/0.002)))^2)</f>
        <v/>
      </c>
      <c r="T32">
        <f>MAX(-fyd_cc,MIN(fyd_cc,Es_cc*IF($C32&lt;=cc_D,0.0035*($C32-T$6)/$C32,0.002*($C32-T$6)/($C32-3*cc_D/7))))-fcd_cc*(1-(1-MAX(0,MIN(1,IF($C32&lt;=cc_D,0.0035*($C32-T$6)/$C32,0.002*($C32-T$6)/($C32-3*cc_D/7))/0.002)))^2)</f>
        <v/>
      </c>
      <c r="U32">
        <f>MAX(-fyd_cc,MIN(fyd_cc,Es_cc*IF($C32&lt;=cc_D,0.0035*($C32-U$6)/$C32,0.002*($C32-U$6)/($C32-3*cc_D/7))))-fcd_cc*(1-(1-MAX(0,MIN(1,IF($C32&lt;=cc_D,0.0035*($C32-U$6)/$C32,0.002*($C32-U$6)/($C32-3*cc_D/7))/0.002)))^2)</f>
        <v/>
      </c>
      <c r="V32">
        <f>MAX(-fyd_cc,MIN(fyd_cc,Es_cc*IF($C32&lt;=cc_D,0.0035*($C32-V$6)/$C32,0.002*($C32-V$6)/($C32-3*cc_D/7))))-fcd_cc*(1-(1-MAX(0,MIN(1,IF($C32&lt;=cc_D,0.0035*($C32-V$6)/$C32,0.002*($C32-V$6)/($C32-3*cc_D/7))/0.002)))^2)</f>
        <v/>
      </c>
      <c r="W32">
        <f>MAX(-fyd_cc,MIN(fyd_cc,Es_cc*IF($C32&lt;=cc_D,0.0035*($C32-W$6)/$C32,0.002*($C32-W$6)/($C32-3*cc_D/7))))-fcd_cc*(1-(1-MAX(0,MIN(1,IF($C32&lt;=cc_D,0.0035*($C32-W$6)/$C32,0.002*($C32-W$6)/($C32-3*cc_D/7))/0.002)))^2)</f>
        <v/>
      </c>
      <c r="X32">
        <f>MAX(-fyd_cc,MIN(fyd_cc,Es_cc*IF($C32&lt;=cc_D,0.0035*($C32-X$6)/$C32,0.002*($C32-X$6)/($C32-3*cc_D/7))))-fcd_cc*(1-(1-MAX(0,MIN(1,IF($C32&lt;=cc_D,0.0035*($C32-X$6)/$C32,0.002*($C32-X$6)/($C32-3*cc_D/7))/0.002)))^2)</f>
        <v/>
      </c>
      <c r="Y32">
        <f>MAX(-fyd_cc,MIN(fyd_cc,Es_cc*IF($C32&lt;=cc_D,0.0035*($C32-Y$6)/$C32,0.002*($C32-Y$6)/($C32-3*cc_D/7))))-fcd_cc*(1-(1-MAX(0,MIN(1,IF($C32&lt;=cc_D,0.0035*($C32-Y$6)/$C32,0.002*($C32-Y$6)/($C32-3*cc_D/7))/0.002)))^2)</f>
        <v/>
      </c>
      <c r="Z32">
        <f>MAX(-fyd_cc,MIN(fyd_cc,Es_cc*IF($C32&lt;=cc_D,0.0035*($C32-Z$6)/$C32,0.002*($C32-Z$6)/($C32-3*cc_D/7))))-fcd_cc*(1-(1-MAX(0,MIN(1,IF($C32&lt;=cc_D,0.0035*($C32-Z$6)/$C32,0.002*($C32-Z$6)/($C32-3*cc_D/7))/0.002)))^2)</f>
        <v/>
      </c>
      <c r="AA32">
        <f>MAX(-fyd_cc,MIN(fyd_cc,Es_cc*IF($C32&lt;=cc_D,0.0035*($C32-AA$6)/$C32,0.002*($C32-AA$6)/($C32-3*cc_D/7))))-fcd_cc*(1-(1-MAX(0,MIN(1,IF($C32&lt;=cc_D,0.0035*($C32-AA$6)/$C32,0.002*($C32-AA$6)/($C32-3*cc_D/7))/0.002)))^2)</f>
        <v/>
      </c>
      <c r="AB32">
        <f>MAX(-fyd_cc,MIN(fyd_cc,Es_cc*IF($C32&lt;=cc_D,0.0035*($C32-AB$6)/$C32,0.002*($C32-AB$6)/($C32-3*cc_D/7))))-fcd_cc*(1-(1-MAX(0,MIN(1,IF($C32&lt;=cc_D,0.0035*($C32-AB$6)/$C32,0.002*($C32-AB$6)/($C32-3*cc_D/7))/0.002)))^2)</f>
        <v/>
      </c>
      <c r="AC32">
        <f>MAX(-fyd_cc,MIN(fyd_cc,Es_cc*IF($C32&lt;=cc_D,0.0035*($C32-AC$6)/$C32,0.002*($C32-AC$6)/($C32-3*cc_D/7))))-fcd_cc*(1-(1-MAX(0,MIN(1,IF($C32&lt;=cc_D,0.0035*($C32-AC$6)/$C32,0.002*($C32-AC$6)/($C32-3*cc_D/7))/0.002)))^2)</f>
        <v/>
      </c>
      <c r="AD32">
        <f>MAX(-fyd_cc,MIN(fyd_cc,Es_cc*IF($C32&lt;=cc_D,0.0035*($C32-AD$6)/$C32,0.002*($C32-AD$6)/($C32-3*cc_D/7))))-fcd_cc*(1-(1-MAX(0,MIN(1,IF($C32&lt;=cc_D,0.0035*($C32-AD$6)/$C32,0.002*($C32-AD$6)/($C32-3*cc_D/7))/0.002)))^2)</f>
        <v/>
      </c>
      <c r="AE32">
        <f>MAX(-fyd_cc,MIN(fyd_cc,Es_cc*IF($C32&lt;=cc_D,0.0035*($C32-AE$6)/$C32,0.002*($C32-AE$6)/($C32-3*cc_D/7))))-fcd_cc*(1-(1-MAX(0,MIN(1,IF($C32&lt;=cc_D,0.0035*($C32-AE$6)/$C32,0.002*($C32-AE$6)/($C32-3*cc_D/7))/0.002)))^2)</f>
        <v/>
      </c>
      <c r="AF32">
        <f>MAX(-fyd_cc,MIN(fyd_cc,Es_cc*IF($C32&lt;=cc_D,0.0035*($C32-AF$6)/$C32,0.002*($C32-AF$6)/($C32-3*cc_D/7))))-fcd_cc*(1-(1-MAX(0,MIN(1,IF($C32&lt;=cc_D,0.0035*($C32-AF$6)/$C32,0.002*($C32-AF$6)/($C32-3*cc_D/7))/0.002)))^2)</f>
        <v/>
      </c>
      <c r="AG32">
        <f>MAX(-fyd_cc,MIN(fyd_cc,Es_cc*IF($C32&lt;=cc_D,0.0035*($C32-AG$6)/$C32,0.002*($C32-AG$6)/($C32-3*cc_D/7))))-fcd_cc*(1-(1-MAX(0,MIN(1,IF($C32&lt;=cc_D,0.0035*($C32-AG$6)/$C32,0.002*($C32-AG$6)/($C32-3*cc_D/7))/0.002)))^2)</f>
        <v/>
      </c>
      <c r="AH32">
        <f>MAX(-fyd_cc,MIN(fyd_cc,Es_cc*IF($C32&lt;=cc_D,0.0035*($C32-J$18)/$C32,0.002*($C32-J$18)/($C32-3*cc_D/7))))-fcd_cc*(1-(1-MAX(0,MIN(1,IF($C32&lt;=cc_D,0.0035*($C32-J$18)/$C32,0.002*($C32-J$18)/($C32-3*cc_D/7))/0.002)))^2)</f>
        <v/>
      </c>
      <c r="AI32">
        <f>MAX(-fyd_cc,MIN(fyd_cc,Es_cc*IF($C32&lt;=cc_D,0.0035*($C32-K$18)/$C32,0.002*($C32-K$18)/($C32-3*cc_D/7))))-fcd_cc*(1-(1-MAX(0,MIN(1,IF($C32&lt;=cc_D,0.0035*($C32-K$18)/$C32,0.002*($C32-K$18)/($C32-3*cc_D/7))/0.002)))^2)</f>
        <v/>
      </c>
      <c r="AJ32">
        <f>MAX(-fyd_cc,MIN(fyd_cc,Es_cc*IF($C32&lt;=cc_D,0.0035*($C32-L$18)/$C32,0.002*($C32-L$18)/($C32-3*cc_D/7))))-fcd_cc*(1-(1-MAX(0,MIN(1,IF($C32&lt;=cc_D,0.0035*($C32-L$18)/$C32,0.002*($C32-L$18)/($C32-3*cc_D/7))/0.002)))^2)</f>
        <v/>
      </c>
      <c r="AK32">
        <f>MAX(-fyd_cc,MIN(fyd_cc,Es_cc*IF($C32&lt;=cc_D,0.0035*($C32-M$18)/$C32,0.002*($C32-M$18)/($C32-3*cc_D/7))))-fcd_cc*(1-(1-MAX(0,MIN(1,IF($C32&lt;=cc_D,0.0035*($C32-M$18)/$C32,0.002*($C32-M$18)/($C32-3*cc_D/7))/0.002)))^2)</f>
        <v/>
      </c>
      <c r="AL32">
        <f>MAX(-fyd_cc,MIN(fyd_cc,Es_cc*IF($C32&lt;=cc_D,0.0035*($C32-N$18)/$C32,0.002*($C32-N$18)/($C32-3*cc_D/7))))-fcd_cc*(1-(1-MAX(0,MIN(1,IF($C32&lt;=cc_D,0.0035*($C32-N$18)/$C32,0.002*($C32-N$18)/($C32-3*cc_D/7))/0.002)))^2)</f>
        <v/>
      </c>
      <c r="AM32">
        <f>MAX(-fyd_cc,MIN(fyd_cc,Es_cc*IF($C32&lt;=cc_D,0.0035*($C32-O$18)/$C32,0.002*($C32-O$18)/($C32-3*cc_D/7))))-fcd_cc*(1-(1-MAX(0,MIN(1,IF($C32&lt;=cc_D,0.0035*($C32-O$18)/$C32,0.002*($C32-O$18)/($C32-3*cc_D/7))/0.002)))^2)</f>
        <v/>
      </c>
      <c r="AN32">
        <f>MAX(-fyd_cc,MIN(fyd_cc,Es_cc*IF($C32&lt;=cc_D,0.0035*($C32-P$18)/$C32,0.002*($C32-P$18)/($C32-3*cc_D/7))))-fcd_cc*(1-(1-MAX(0,MIN(1,IF($C32&lt;=cc_D,0.0035*($C32-P$18)/$C32,0.002*($C32-P$18)/($C32-3*cc_D/7))/0.002)))^2)</f>
        <v/>
      </c>
      <c r="AO32">
        <f>MAX(-fyd_cc,MIN(fyd_cc,Es_cc*IF($C32&lt;=cc_D,0.0035*($C32-Q$18)/$C32,0.002*($C32-Q$18)/($C32-3*cc_D/7))))-fcd_cc*(1-(1-MAX(0,MIN(1,IF($C32&lt;=cc_D,0.0035*($C32-Q$18)/$C32,0.002*($C32-Q$18)/($C32-3*cc_D/7))/0.002)))^2)</f>
        <v/>
      </c>
      <c r="AP32">
        <f>MAX(-fyd_cc,MIN(fyd_cc,Es_cc*IF($C32&lt;=cc_D,0.0035*($C32-R$18)/$C32,0.002*($C32-R$18)/($C32-3*cc_D/7))))-fcd_cc*(1-(1-MAX(0,MIN(1,IF($C32&lt;=cc_D,0.0035*($C32-R$18)/$C32,0.002*($C32-R$18)/($C32-3*cc_D/7))/0.002)))^2)</f>
        <v/>
      </c>
      <c r="AQ32">
        <f>MAX(-fyd_cc,MIN(fyd_cc,Es_cc*IF($C32&lt;=cc_D,0.0035*($C32-S$18)/$C32,0.002*($C32-S$18)/($C32-3*cc_D/7))))-fcd_cc*(1-(1-MAX(0,MIN(1,IF($C32&lt;=cc_D,0.0035*($C32-S$18)/$C32,0.002*($C32-S$18)/($C32-3*cc_D/7))/0.002)))^2)</f>
        <v/>
      </c>
      <c r="AR32">
        <f>MAX(-fyd_cc,MIN(fyd_cc,Es_cc*IF($C32&lt;=cc_D,0.0035*($C32-T$18)/$C32,0.002*($C32-T$18)/($C32-3*cc_D/7))))-fcd_cc*(1-(1-MAX(0,MIN(1,IF($C32&lt;=cc_D,0.0035*($C32-T$18)/$C32,0.002*($C32-T$18)/($C32-3*cc_D/7))/0.002)))^2)</f>
        <v/>
      </c>
      <c r="AS32">
        <f>MAX(-fyd_cc,MIN(fyd_cc,Es_cc*IF($C32&lt;=cc_D,0.0035*($C32-U$18)/$C32,0.002*($C32-U$18)/($C32-3*cc_D/7))))-fcd_cc*(1-(1-MAX(0,MIN(1,IF($C32&lt;=cc_D,0.0035*($C32-U$18)/$C32,0.002*($C32-U$18)/($C32-3*cc_D/7))/0.002)))^2)</f>
        <v/>
      </c>
      <c r="AT32">
        <f>MAX(-fyd_cc,MIN(fyd_cc,Es_cc*IF($C32&lt;=cc_D,0.0035*($C32-V$18)/$C32,0.002*($C32-V$18)/($C32-3*cc_D/7))))-fcd_cc*(1-(1-MAX(0,MIN(1,IF($C32&lt;=cc_D,0.0035*($C32-V$18)/$C32,0.002*($C32-V$18)/($C32-3*cc_D/7))/0.002)))^2)</f>
        <v/>
      </c>
      <c r="AU32">
        <f>MAX(-fyd_cc,MIN(fyd_cc,Es_cc*IF($C32&lt;=cc_D,0.0035*($C32-W$18)/$C32,0.002*($C32-W$18)/($C32-3*cc_D/7))))-fcd_cc*(1-(1-MAX(0,MIN(1,IF($C32&lt;=cc_D,0.0035*($C32-W$18)/$C32,0.002*($C32-W$18)/($C32-3*cc_D/7))/0.002)))^2)</f>
        <v/>
      </c>
      <c r="AV32">
        <f>MAX(-fyd_cc,MIN(fyd_cc,Es_cc*IF($C32&lt;=cc_D,0.0035*($C32-X$18)/$C32,0.002*($C32-X$18)/($C32-3*cc_D/7))))-fcd_cc*(1-(1-MAX(0,MIN(1,IF($C32&lt;=cc_D,0.0035*($C32-X$18)/$C32,0.002*($C32-X$18)/($C32-3*cc_D/7))/0.002)))^2)</f>
        <v/>
      </c>
      <c r="AW32">
        <f>MAX(-fyd_cc,MIN(fyd_cc,Es_cc*IF($C32&lt;=cc_D,0.0035*($C32-Y$18)/$C32,0.002*($C32-Y$18)/($C32-3*cc_D/7))))-fcd_cc*(1-(1-MAX(0,MIN(1,IF($C32&lt;=cc_D,0.0035*($C32-Y$18)/$C32,0.002*($C32-Y$18)/($C32-3*cc_D/7))/0.002)))^2)</f>
        <v/>
      </c>
      <c r="AX32">
        <f>MAX(-fyd_cc,MIN(fyd_cc,Es_cc*IF($C32&lt;=cc_D,0.0035*($C32-Z$18)/$C32,0.002*($C32-Z$18)/($C32-3*cc_D/7))))-fcd_cc*(1-(1-MAX(0,MIN(1,IF($C32&lt;=cc_D,0.0035*($C32-Z$18)/$C32,0.002*($C32-Z$18)/($C32-3*cc_D/7))/0.002)))^2)</f>
        <v/>
      </c>
      <c r="AY32">
        <f>MAX(-fyd_cc,MIN(fyd_cc,Es_cc*IF($C32&lt;=cc_D,0.0035*($C32-AA$18)/$C32,0.002*($C32-AA$18)/($C32-3*cc_D/7))))-fcd_cc*(1-(1-MAX(0,MIN(1,IF($C32&lt;=cc_D,0.0035*($C32-AA$18)/$C32,0.002*($C32-AA$18)/($C32-3*cc_D/7))/0.002)))^2)</f>
        <v/>
      </c>
      <c r="AZ32">
        <f>MAX(-fyd_cc,MIN(fyd_cc,Es_cc*IF($C32&lt;=cc_D,0.0035*($C32-AB$18)/$C32,0.002*($C32-AB$18)/($C32-3*cc_D/7))))-fcd_cc*(1-(1-MAX(0,MIN(1,IF($C32&lt;=cc_D,0.0035*($C32-AB$18)/$C32,0.002*($C32-AB$18)/($C32-3*cc_D/7))/0.002)))^2)</f>
        <v/>
      </c>
      <c r="BA32">
        <f>MAX(-fyd_cc,MIN(fyd_cc,Es_cc*IF($C32&lt;=cc_D,0.0035*($C32-AC$18)/$C32,0.002*($C32-AC$18)/($C32-3*cc_D/7))))-fcd_cc*(1-(1-MAX(0,MIN(1,IF($C32&lt;=cc_D,0.0035*($C32-AC$18)/$C32,0.002*($C32-AC$18)/($C32-3*cc_D/7))/0.002)))^2)</f>
        <v/>
      </c>
      <c r="BB32">
        <f>MAX(-fyd_cc,MIN(fyd_cc,Es_cc*IF($C32&lt;=cc_D,0.0035*($C32-AD$18)/$C32,0.002*($C32-AD$18)/($C32-3*cc_D/7))))-fcd_cc*(1-(1-MAX(0,MIN(1,IF($C32&lt;=cc_D,0.0035*($C32-AD$18)/$C32,0.002*($C32-AD$18)/($C32-3*cc_D/7))/0.002)))^2)</f>
        <v/>
      </c>
      <c r="BC32">
        <f>MAX(-fyd_cc,MIN(fyd_cc,Es_cc*IF($C32&lt;=cc_D,0.0035*($C32-AE$18)/$C32,0.002*($C32-AE$18)/($C32-3*cc_D/7))))-fcd_cc*(1-(1-MAX(0,MIN(1,IF($C32&lt;=cc_D,0.0035*($C32-AE$18)/$C32,0.002*($C32-AE$18)/($C32-3*cc_D/7))/0.002)))^2)</f>
        <v/>
      </c>
      <c r="BD32">
        <f>MAX(-fyd_cc,MIN(fyd_cc,Es_cc*IF($C32&lt;=cc_D,0.0035*($C32-AF$18)/$C32,0.002*($C32-AF$18)/($C32-3*cc_D/7))))-fcd_cc*(1-(1-MAX(0,MIN(1,IF($C32&lt;=cc_D,0.0035*($C32-AF$18)/$C32,0.002*($C32-AF$18)/($C32-3*cc_D/7))/0.002)))^2)</f>
        <v/>
      </c>
      <c r="BE32">
        <f>MAX(-fyd_cc,MIN(fyd_cc,Es_cc*IF($C32&lt;=cc_D,0.0035*($C32-AG$18)/$C32,0.002*($C32-AG$18)/($C32-3*cc_D/7))))-fcd_cc*(1-(1-MAX(0,MIN(1,IF($C32&lt;=cc_D,0.0035*($C32-AG$18)/$C32,0.002*($C32-AG$18)/($C32-3*cc_D/7))/0.002)))^2)</f>
        <v/>
      </c>
      <c r="BF32">
        <f>3*MIN($C32,cc_D)/7</f>
        <v/>
      </c>
      <c r="BG32">
        <f>$C32-$BF32</f>
        <v/>
      </c>
      <c r="BH32">
        <f>ACOS(MAX(-1,MIN(1,1-$BF32/(cc_D/2))))</f>
        <v/>
      </c>
      <c r="BI32">
        <f>ACOS(MAX(-1,MIN(1,1-MIN($C32,cc_D)/(cc_D/2))))</f>
        <v/>
      </c>
      <c r="BJ32">
        <f>((cc_D/2*(1-COS(($BH32+0*($BI32-$BH32)/12)))-$BF32)/$BG32)^2*SIN(($BH32+0*($BI32-$BH32)/12))^2</f>
        <v/>
      </c>
      <c r="BK32">
        <f>((cc_D/2*(1-COS(($BH32+1*($BI32-$BH32)/12)))-$BF32)/$BG32)^2*SIN(($BH32+1*($BI32-$BH32)/12))^2</f>
        <v/>
      </c>
      <c r="BL32">
        <f>((cc_D/2*(1-COS(($BH32+2*($BI32-$BH32)/12)))-$BF32)/$BG32)^2*SIN(($BH32+2*($BI32-$BH32)/12))^2</f>
        <v/>
      </c>
      <c r="BM32">
        <f>((cc_D/2*(1-COS(($BH32+3*($BI32-$BH32)/12)))-$BF32)/$BG32)^2*SIN(($BH32+3*($BI32-$BH32)/12))^2</f>
        <v/>
      </c>
      <c r="BN32">
        <f>((cc_D/2*(1-COS(($BH32+4*($BI32-$BH32)/12)))-$BF32)/$BG32)^2*SIN(($BH32+4*($BI32-$BH32)/12))^2</f>
        <v/>
      </c>
      <c r="BO32">
        <f>((cc_D/2*(1-COS(($BH32+5*($BI32-$BH32)/12)))-$BF32)/$BG32)^2*SIN(($BH32+5*($BI32-$BH32)/12))^2</f>
        <v/>
      </c>
      <c r="BP32">
        <f>((cc_D/2*(1-COS(($BH32+6*($BI32-$BH32)/12)))-$BF32)/$BG32)^2*SIN(($BH32+6*($BI32-$BH32)/12))^2</f>
        <v/>
      </c>
      <c r="BQ32">
        <f>((cc_D/2*(1-COS(($BH32+7*($BI32-$BH32)/12)))-$BF32)/$BG32)^2*SIN(($BH32+7*($BI32-$BH32)/12))^2</f>
        <v/>
      </c>
      <c r="BR32">
        <f>((cc_D/2*(1-COS(($BH32+8*($BI32-$BH32)/12)))-$BF32)/$BG32)^2*SIN(($BH32+8*($BI32-$BH32)/12))^2</f>
        <v/>
      </c>
      <c r="BS32">
        <f>((cc_D/2*(1-COS(($BH32+9*($BI32-$BH32)/12)))-$BF32)/$BG32)^2*SIN(($BH32+9*($BI32-$BH32)/12))^2</f>
        <v/>
      </c>
      <c r="BT32">
        <f>((cc_D/2*(1-COS(($BH32+10*($BI32-$BH32)/12)))-$BF32)/$BG32)^2*SIN(($BH32+10*($BI32-$BH32)/12))^2</f>
        <v/>
      </c>
      <c r="BU32">
        <f>((cc_D/2*(1-COS(($BH32+11*($BI32-$BH32)/12)))-$BF32)/$BG32)^2*SIN(($BH32+11*($BI32-$BH32)/12))^2</f>
        <v/>
      </c>
      <c r="BV32">
        <f>((cc_D/2*(1-COS(($BH32+12*($BI32-$BH32)/12)))-$BF32)/$BG32)^2*SIN(($BH32+12*($BI32-$BH32)/12))^2</f>
        <v/>
      </c>
      <c r="BW32">
        <f>BJ32*COS(($BH32+0*($BI32-$BH32)/12))</f>
        <v/>
      </c>
      <c r="BX32">
        <f>BK32*COS(($BH32+1*($BI32-$BH32)/12))</f>
        <v/>
      </c>
      <c r="BY32">
        <f>BL32*COS(($BH32+2*($BI32-$BH32)/12))</f>
        <v/>
      </c>
      <c r="BZ32">
        <f>BM32*COS(($BH32+3*($BI32-$BH32)/12))</f>
        <v/>
      </c>
      <c r="CA32">
        <f>BN32*COS(($BH32+4*($BI32-$BH32)/12))</f>
        <v/>
      </c>
      <c r="CB32">
        <f>BO32*COS(($BH32+5*($BI32-$BH32)/12))</f>
        <v/>
      </c>
      <c r="CC32">
        <f>BP32*COS(($BH32+6*($BI32-$BH32)/12))</f>
        <v/>
      </c>
      <c r="CD32">
        <f>BQ32*COS(($BH32+7*($BI32-$BH32)/12))</f>
        <v/>
      </c>
      <c r="CE32">
        <f>BR32*COS(($BH32+8*($BI32-$BH32)/12))</f>
        <v/>
      </c>
      <c r="CF32">
        <f>BS32*COS(($BH32+9*($BI32-$BH32)/12))</f>
        <v/>
      </c>
      <c r="CG32">
        <f>BT32*COS(($BH32+10*($BI32-$BH32)/12))</f>
        <v/>
      </c>
      <c r="CH32">
        <f>BU32*COS(($BH32+11*($BI32-$BH32)/12))</f>
        <v/>
      </c>
      <c r="CI32">
        <f>BV32*COS(($BH32+12*($BI32-$BH32)/12))</f>
        <v/>
      </c>
    </row>
    <row r="33">
      <c r="B33" s="53" t="n">
        <v>8</v>
      </c>
      <c r="C33" s="54">
        <f>0.15*cc_D</f>
        <v/>
      </c>
      <c r="D33" s="55">
        <f>IF($C33&lt;=cc_D,3.5,2*$C33/($C33-3*cc_D/7))</f>
        <v/>
      </c>
      <c r="E33" s="56">
        <f>(fcd_cc*((cc_D/2)^2*($BI33-COS($BI33)*SIN($BI33))-2*(cc_D/2)^2*($BI33-$BH33)/12/3*SUMPRODUCT($BJ$4:$BV$4,$BJ33:$BV33))+SUMPRODUCT($J$5:$AG$5,$J33:$AG33))/1000</f>
        <v/>
      </c>
      <c r="F33" s="56">
        <f>(fcd_cc*(2/3*(cc_D/2)^3*SIN($BI33)^3-2*(cc_D/2)^3*($BI33-$BH33)/12/3*SUMPRODUCT($BW$4:$CI$4,$BW33:$CI33))+SUMPRODUCT($J$5:$AG$5,$J33:$AG33,$J$7:$AG$7))/1E6</f>
        <v/>
      </c>
      <c r="G33" s="56">
        <f>(fcd_cc*((cc_D/2)^2*($BI33-COS($BI33)*SIN($BI33))-2*(cc_D/2)^2*($BI33-$BH33)/12/3*SUMPRODUCT($BJ$4:$BV$4,$BJ33:$BV33))+SUMPRODUCT($J$5:$AG$5,$AH33:$BE33))/1000</f>
        <v/>
      </c>
      <c r="H33" s="56">
        <f>(fcd_cc*(2/3*(cc_D/2)^3*SIN($BI33)^3-2*(cc_D/2)^3*($BI33-$BH33)/12/3*SUMPRODUCT($BW$4:$CI$4,$BW33:$CI33))+SUMPRODUCT($J$5:$AG$5,$AH33:$BE33,$J$19:$AG$19))/1E6</f>
        <v/>
      </c>
      <c r="J33">
        <f>MAX(-fyd_cc,MIN(fyd_cc,Es_cc*IF($C33&lt;=cc_D,0.0035*($C33-J$6)/$C33,0.002*($C33-J$6)/($C33-3*cc_D/7))))-fcd_cc*(1-(1-MAX(0,MIN(1,IF($C33&lt;=cc_D,0.0035*($C33-J$6)/$C33,0.002*($C33-J$6)/($C33-3*cc_D/7))/0.002)))^2)</f>
        <v/>
      </c>
      <c r="K33">
        <f>MAX(-fyd_cc,MIN(fyd_cc,Es_cc*IF($C33&lt;=cc_D,0.0035*($C33-K$6)/$C33,0.002*($C33-K$6)/($C33-3*cc_D/7))))-fcd_cc*(1-(1-MAX(0,MIN(1,IF($C33&lt;=cc_D,0.0035*($C33-K$6)/$C33,0.002*($C33-K$6)/($C33-3*cc_D/7))/0.002)))^2)</f>
        <v/>
      </c>
      <c r="L33">
        <f>MAX(-fyd_cc,MIN(fyd_cc,Es_cc*IF($C33&lt;=cc_D,0.0035*($C33-L$6)/$C33,0.002*($C33-L$6)/($C33-3*cc_D/7))))-fcd_cc*(1-(1-MAX(0,MIN(1,IF($C33&lt;=cc_D,0.0035*($C33-L$6)/$C33,0.002*($C33-L$6)/($C33-3*cc_D/7))/0.002)))^2)</f>
        <v/>
      </c>
      <c r="M33">
        <f>MAX(-fyd_cc,MIN(fyd_cc,Es_cc*IF($C33&lt;=cc_D,0.0035*($C33-M$6)/$C33,0.002*($C33-M$6)/($C33-3*cc_D/7))))-fcd_cc*(1-(1-MAX(0,MIN(1,IF($C33&lt;=cc_D,0.0035*($C33-M$6)/$C33,0.002*($C33-M$6)/($C33-3*cc_D/7))/0.002)))^2)</f>
        <v/>
      </c>
      <c r="N33">
        <f>MAX(-fyd_cc,MIN(fyd_cc,Es_cc*IF($C33&lt;=cc_D,0.0035*($C33-N$6)/$C33,0.002*($C33-N$6)/($C33-3*cc_D/7))))-fcd_cc*(1-(1-MAX(0,MIN(1,IF($C33&lt;=cc_D,0.0035*($C33-N$6)/$C33,0.002*($C33-N$6)/($C33-3*cc_D/7))/0.002)))^2)</f>
        <v/>
      </c>
      <c r="O33">
        <f>MAX(-fyd_cc,MIN(fyd_cc,Es_cc*IF($C33&lt;=cc_D,0.0035*($C33-O$6)/$C33,0.002*($C33-O$6)/($C33-3*cc_D/7))))-fcd_cc*(1-(1-MAX(0,MIN(1,IF($C33&lt;=cc_D,0.0035*($C33-O$6)/$C33,0.002*($C33-O$6)/($C33-3*cc_D/7))/0.002)))^2)</f>
        <v/>
      </c>
      <c r="P33">
        <f>MAX(-fyd_cc,MIN(fyd_cc,Es_cc*IF($C33&lt;=cc_D,0.0035*($C33-P$6)/$C33,0.002*($C33-P$6)/($C33-3*cc_D/7))))-fcd_cc*(1-(1-MAX(0,MIN(1,IF($C33&lt;=cc_D,0.0035*($C33-P$6)/$C33,0.002*($C33-P$6)/($C33-3*cc_D/7))/0.002)))^2)</f>
        <v/>
      </c>
      <c r="Q33">
        <f>MAX(-fyd_cc,MIN(fyd_cc,Es_cc*IF($C33&lt;=cc_D,0.0035*($C33-Q$6)/$C33,0.002*($C33-Q$6)/($C33-3*cc_D/7))))-fcd_cc*(1-(1-MAX(0,MIN(1,IF($C33&lt;=cc_D,0.0035*($C33-Q$6)/$C33,0.002*($C33-Q$6)/($C33-3*cc_D/7))/0.002)))^2)</f>
        <v/>
      </c>
      <c r="R33">
        <f>MAX(-fyd_cc,MIN(fyd_cc,Es_cc*IF($C33&lt;=cc_D,0.0035*($C33-R$6)/$C33,0.002*($C33-R$6)/($C33-3*cc_D/7))))-fcd_cc*(1-(1-MAX(0,MIN(1,IF($C33&lt;=cc_D,0.0035*($C33-R$6)/$C33,0.002*($C33-R$6)/($C33-3*cc_D/7))/0.002)))^2)</f>
        <v/>
      </c>
      <c r="S33">
        <f>MAX(-fyd_cc,MIN(fyd_cc,Es_cc*IF($C33&lt;=cc_D,0.0035*($C33-S$6)/$C33,0.002*($C33-S$6)/($C33-3*cc_D/7))))-fcd_cc*(1-(1-MAX(0,MIN(1,IF($C33&lt;=cc_D,0.0035*($C33-S$6)/$C33,0.002*($C33-S$6)/($C33-3*cc_D/7))/0.002)))^2)</f>
        <v/>
      </c>
      <c r="T33">
        <f>MAX(-fyd_cc,MIN(fyd_cc,Es_cc*IF($C33&lt;=cc_D,0.0035*($C33-T$6)/$C33,0.002*($C33-T$6)/($C33-3*cc_D/7))))-fcd_cc*(1-(1-MAX(0,MIN(1,IF($C33&lt;=cc_D,0.0035*($C33-T$6)/$C33,0.002*($C33-T$6)/($C33-3*cc_D/7))/0.002)))^2)</f>
        <v/>
      </c>
      <c r="U33">
        <f>MAX(-fyd_cc,MIN(fyd_cc,Es_cc*IF($C33&lt;=cc_D,0.0035*($C33-U$6)/$C33,0.002*($C33-U$6)/($C33-3*cc_D/7))))-fcd_cc*(1-(1-MAX(0,MIN(1,IF($C33&lt;=cc_D,0.0035*($C33-U$6)/$C33,0.002*($C33-U$6)/($C33-3*cc_D/7))/0.002)))^2)</f>
        <v/>
      </c>
      <c r="V33">
        <f>MAX(-fyd_cc,MIN(fyd_cc,Es_cc*IF($C33&lt;=cc_D,0.0035*($C33-V$6)/$C33,0.002*($C33-V$6)/($C33-3*cc_D/7))))-fcd_cc*(1-(1-MAX(0,MIN(1,IF($C33&lt;=cc_D,0.0035*($C33-V$6)/$C33,0.002*($C33-V$6)/($C33-3*cc_D/7))/0.002)))^2)</f>
        <v/>
      </c>
      <c r="W33">
        <f>MAX(-fyd_cc,MIN(fyd_cc,Es_cc*IF($C33&lt;=cc_D,0.0035*($C33-W$6)/$C33,0.002*($C33-W$6)/($C33-3*cc_D/7))))-fcd_cc*(1-(1-MAX(0,MIN(1,IF($C33&lt;=cc_D,0.0035*($C33-W$6)/$C33,0.002*($C33-W$6)/($C33-3*cc_D/7))/0.002)))^2)</f>
        <v/>
      </c>
      <c r="X33">
        <f>MAX(-fyd_cc,MIN(fyd_cc,Es_cc*IF($C33&lt;=cc_D,0.0035*($C33-X$6)/$C33,0.002*($C33-X$6)/($C33-3*cc_D/7))))-fcd_cc*(1-(1-MAX(0,MIN(1,IF($C33&lt;=cc_D,0.0035*($C33-X$6)/$C33,0.002*($C33-X$6)/($C33-3*cc_D/7))/0.002)))^2)</f>
        <v/>
      </c>
      <c r="Y33">
        <f>MAX(-fyd_cc,MIN(fyd_cc,Es_cc*IF($C33&lt;=cc_D,0.0035*($C33-Y$6)/$C33,0.002*($C33-Y$6)/($C33-3*cc_D/7))))-fcd_cc*(1-(1-MAX(0,MIN(1,IF($C33&lt;=cc_D,0.0035*($C33-Y$6)/$C33,0.002*($C33-Y$6)/($C33-3*cc_D/7))/0.002)))^2)</f>
        <v/>
      </c>
      <c r="Z33">
        <f>MAX(-fyd_cc,MIN(fyd_cc,Es_cc*IF($C33&lt;=cc_D,0.0035*($C33-Z$6)/$C33,0.002*($C33-Z$6)/($C33-3*cc_D/7))))-fcd_cc*(1-(1-MAX(0,MIN(1,IF($C33&lt;=cc_D,0.0035*($C33-Z$6)/$C33,0.002*($C33-Z$6)/($C33-3*cc_D/7))/0.002)))^2)</f>
        <v/>
      </c>
      <c r="AA33">
        <f>MAX(-fyd_cc,MIN(fyd_cc,Es_cc*IF($C33&lt;=cc_D,0.0035*($C33-AA$6)/$C33,0.002*($C33-AA$6)/($C33-3*cc_D/7))))-fcd_cc*(1-(1-MAX(0,MIN(1,IF($C33&lt;=cc_D,0.0035*($C33-AA$6)/$C33,0.002*($C33-AA$6)/($C33-3*cc_D/7))/0.002)))^2)</f>
        <v/>
      </c>
      <c r="AB33">
        <f>MAX(-fyd_cc,MIN(fyd_cc,Es_cc*IF($C33&lt;=cc_D,0.0035*($C33-AB$6)/$C33,0.002*($C33-AB$6)/($C33-3*cc_D/7))))-fcd_cc*(1-(1-MAX(0,MIN(1,IF($C33&lt;=cc_D,0.0035*($C33-AB$6)/$C33,0.002*($C33-AB$6)/($C33-3*cc_D/7))/0.002)))^2)</f>
        <v/>
      </c>
      <c r="AC33">
        <f>MAX(-fyd_cc,MIN(fyd_cc,Es_cc*IF($C33&lt;=cc_D,0.0035*($C33-AC$6)/$C33,0.002*($C33-AC$6)/($C33-3*cc_D/7))))-fcd_cc*(1-(1-MAX(0,MIN(1,IF($C33&lt;=cc_D,0.0035*($C33-AC$6)/$C33,0.002*($C33-AC$6)/($C33-3*cc_D/7))/0.002)))^2)</f>
        <v/>
      </c>
      <c r="AD33">
        <f>MAX(-fyd_cc,MIN(fyd_cc,Es_cc*IF($C33&lt;=cc_D,0.0035*($C33-AD$6)/$C33,0.002*($C33-AD$6)/($C33-3*cc_D/7))))-fcd_cc*(1-(1-MAX(0,MIN(1,IF($C33&lt;=cc_D,0.0035*($C33-AD$6)/$C33,0.002*($C33-AD$6)/($C33-3*cc_D/7))/0.002)))^2)</f>
        <v/>
      </c>
      <c r="AE33">
        <f>MAX(-fyd_cc,MIN(fyd_cc,Es_cc*IF($C33&lt;=cc_D,0.0035*($C33-AE$6)/$C33,0.002*($C33-AE$6)/($C33-3*cc_D/7))))-fcd_cc*(1-(1-MAX(0,MIN(1,IF($C33&lt;=cc_D,0.0035*($C33-AE$6)/$C33,0.002*($C33-AE$6)/($C33-3*cc_D/7))/0.002)))^2)</f>
        <v/>
      </c>
      <c r="AF33">
        <f>MAX(-fyd_cc,MIN(fyd_cc,Es_cc*IF($C33&lt;=cc_D,0.0035*($C33-AF$6)/$C33,0.002*($C33-AF$6)/($C33-3*cc_D/7))))-fcd_cc*(1-(1-MAX(0,MIN(1,IF($C33&lt;=cc_D,0.0035*($C33-AF$6)/$C33,0.002*($C33-AF$6)/($C33-3*cc_D/7))/0.002)))^2)</f>
        <v/>
      </c>
      <c r="AG33">
        <f>MAX(-fyd_cc,MIN(fyd_cc,Es_cc*IF($C33&lt;=cc_D,0.0035*($C33-AG$6)/$C33,0.002*($C33-AG$6)/($C33-3*cc_D/7))))-fcd_cc*(1-(1-MAX(0,MIN(1,IF($C33&lt;=cc_D,0.0035*($C33-AG$6)/$C33,0.002*($C33-AG$6)/($C33-3*cc_D/7))/0.002)))^2)</f>
        <v/>
      </c>
      <c r="AH33">
        <f>MAX(-fyd_cc,MIN(fyd_cc,Es_cc*IF($C33&lt;=cc_D,0.0035*($C33-J$18)/$C33,0.002*($C33-J$18)/($C33-3*cc_D/7))))-fcd_cc*(1-(1-MAX(0,MIN(1,IF($C33&lt;=cc_D,0.0035*($C33-J$18)/$C33,0.002*($C33-J$18)/($C33-3*cc_D/7))/0.002)))^2)</f>
        <v/>
      </c>
      <c r="AI33">
        <f>MAX(-fyd_cc,MIN(fyd_cc,Es_cc*IF($C33&lt;=cc_D,0.0035*($C33-K$18)/$C33,0.002*($C33-K$18)/($C33-3*cc_D/7))))-fcd_cc*(1-(1-MAX(0,MIN(1,IF($C33&lt;=cc_D,0.0035*($C33-K$18)/$C33,0.002*($C33-K$18)/($C33-3*cc_D/7))/0.002)))^2)</f>
        <v/>
      </c>
      <c r="AJ33">
        <f>MAX(-fyd_cc,MIN(fyd_cc,Es_cc*IF($C33&lt;=cc_D,0.0035*($C33-L$18)/$C33,0.002*($C33-L$18)/($C33-3*cc_D/7))))-fcd_cc*(1-(1-MAX(0,MIN(1,IF($C33&lt;=cc_D,0.0035*($C33-L$18)/$C33,0.002*($C33-L$18)/($C33-3*cc_D/7))/0.002)))^2)</f>
        <v/>
      </c>
      <c r="AK33">
        <f>MAX(-fyd_cc,MIN(fyd_cc,Es_cc*IF($C33&lt;=cc_D,0.0035*($C33-M$18)/$C33,0.002*($C33-M$18)/($C33-3*cc_D/7))))-fcd_cc*(1-(1-MAX(0,MIN(1,IF($C33&lt;=cc_D,0.0035*($C33-M$18)/$C33,0.002*($C33-M$18)/($C33-3*cc_D/7))/0.002)))^2)</f>
        <v/>
      </c>
      <c r="AL33">
        <f>MAX(-fyd_cc,MIN(fyd_cc,Es_cc*IF($C33&lt;=cc_D,0.0035*($C33-N$18)/$C33,0.002*($C33-N$18)/($C33-3*cc_D/7))))-fcd_cc*(1-(1-MAX(0,MIN(1,IF($C33&lt;=cc_D,0.0035*($C33-N$18)/$C33,0.002*($C33-N$18)/($C33-3*cc_D/7))/0.002)))^2)</f>
        <v/>
      </c>
      <c r="AM33">
        <f>MAX(-fyd_cc,MIN(fyd_cc,Es_cc*IF($C33&lt;=cc_D,0.0035*($C33-O$18)/$C33,0.002*($C33-O$18)/($C33-3*cc_D/7))))-fcd_cc*(1-(1-MAX(0,MIN(1,IF($C33&lt;=cc_D,0.0035*($C33-O$18)/$C33,0.002*($C33-O$18)/($C33-3*cc_D/7))/0.002)))^2)</f>
        <v/>
      </c>
      <c r="AN33">
        <f>MAX(-fyd_cc,MIN(fyd_cc,Es_cc*IF($C33&lt;=cc_D,0.0035*($C33-P$18)/$C33,0.002*($C33-P$18)/($C33-3*cc_D/7))))-fcd_cc*(1-(1-MAX(0,MIN(1,IF($C33&lt;=cc_D,0.0035*($C33-P$18)/$C33,0.002*($C33-P$18)/($C33-3*cc_D/7))/0.002)))^2)</f>
        <v/>
      </c>
      <c r="AO33">
        <f>MAX(-fyd_cc,MIN(fyd_cc,Es_cc*IF($C33&lt;=cc_D,0.0035*($C33-Q$18)/$C33,0.002*($C33-Q$18)/($C33-3*cc_D/7))))-fcd_cc*(1-(1-MAX(0,MIN(1,IF($C33&lt;=cc_D,0.0035*($C33-Q$18)/$C33,0.002*($C33-Q$18)/($C33-3*cc_D/7))/0.002)))^2)</f>
        <v/>
      </c>
      <c r="AP33">
        <f>MAX(-fyd_cc,MIN(fyd_cc,Es_cc*IF($C33&lt;=cc_D,0.0035*($C33-R$18)/$C33,0.002*($C33-R$18)/($C33-3*cc_D/7))))-fcd_cc*(1-(1-MAX(0,MIN(1,IF($C33&lt;=cc_D,0.0035*($C33-R$18)/$C33,0.002*($C33-R$18)/($C33-3*cc_D/7))/0.002)))^2)</f>
        <v/>
      </c>
      <c r="AQ33">
        <f>MAX(-fyd_cc,MIN(fyd_cc,Es_cc*IF($C33&lt;=cc_D,0.0035*($C33-S$18)/$C33,0.002*($C33-S$18)/($C33-3*cc_D/7))))-fcd_cc*(1-(1-MAX(0,MIN(1,IF($C33&lt;=cc_D,0.0035*($C33-S$18)/$C33,0.002*($C33-S$18)/($C33-3*cc_D/7))/0.002)))^2)</f>
        <v/>
      </c>
      <c r="AR33">
        <f>MAX(-fyd_cc,MIN(fyd_cc,Es_cc*IF($C33&lt;=cc_D,0.0035*($C33-T$18)/$C33,0.002*($C33-T$18)/($C33-3*cc_D/7))))-fcd_cc*(1-(1-MAX(0,MIN(1,IF($C33&lt;=cc_D,0.0035*($C33-T$18)/$C33,0.002*($C33-T$18)/($C33-3*cc_D/7))/0.002)))^2)</f>
        <v/>
      </c>
      <c r="AS33">
        <f>MAX(-fyd_cc,MIN(fyd_cc,Es_cc*IF($C33&lt;=cc_D,0.0035*($C33-U$18)/$C33,0.002*($C33-U$18)/($C33-3*cc_D/7))))-fcd_cc*(1-(1-MAX(0,MIN(1,IF($C33&lt;=cc_D,0.0035*($C33-U$18)/$C33,0.002*($C33-U$18)/($C33-3*cc_D/7))/0.002)))^2)</f>
        <v/>
      </c>
      <c r="AT33">
        <f>MAX(-fyd_cc,MIN(fyd_cc,Es_cc*IF($C33&lt;=cc_D,0.0035*($C33-V$18)/$C33,0.002*($C33-V$18)/($C33-3*cc_D/7))))-fcd_cc*(1-(1-MAX(0,MIN(1,IF($C33&lt;=cc_D,0.0035*($C33-V$18)/$C33,0.002*($C33-V$18)/($C33-3*cc_D/7))/0.002)))^2)</f>
        <v/>
      </c>
      <c r="AU33">
        <f>MAX(-fyd_cc,MIN(fyd_cc,Es_cc*IF($C33&lt;=cc_D,0.0035*($C33-W$18)/$C33,0.002*($C33-W$18)/($C33-3*cc_D/7))))-fcd_cc*(1-(1-MAX(0,MIN(1,IF($C33&lt;=cc_D,0.0035*($C33-W$18)/$C33,0.002*($C33-W$18)/($C33-3*cc_D/7))/0.002)))^2)</f>
        <v/>
      </c>
      <c r="AV33">
        <f>MAX(-fyd_cc,MIN(fyd_cc,Es_cc*IF($C33&lt;=cc_D,0.0035*($C33-X$18)/$C33,0.002*($C33-X$18)/($C33-3*cc_D/7))))-fcd_cc*(1-(1-MAX(0,MIN(1,IF($C33&lt;=cc_D,0.0035*($C33-X$18)/$C33,0.002*($C33-X$18)/($C33-3*cc_D/7))/0.002)))^2)</f>
        <v/>
      </c>
      <c r="AW33">
        <f>MAX(-fyd_cc,MIN(fyd_cc,Es_cc*IF($C33&lt;=cc_D,0.0035*($C33-Y$18)/$C33,0.002*($C33-Y$18)/($C33-3*cc_D/7))))-fcd_cc*(1-(1-MAX(0,MIN(1,IF($C33&lt;=cc_D,0.0035*($C33-Y$18)/$C33,0.002*($C33-Y$18)/($C33-3*cc_D/7))/0.002)))^2)</f>
        <v/>
      </c>
      <c r="AX33">
        <f>MAX(-fyd_cc,MIN(fyd_cc,Es_cc*IF($C33&lt;=cc_D,0.0035*($C33-Z$18)/$C33,0.002*($C33-Z$18)/($C33-3*cc_D/7))))-fcd_cc*(1-(1-MAX(0,MIN(1,IF($C33&lt;=cc_D,0.0035*($C33-Z$18)/$C33,0.002*($C33-Z$18)/($C33-3*cc_D/7))/0.002)))^2)</f>
        <v/>
      </c>
      <c r="AY33">
        <f>MAX(-fyd_cc,MIN(fyd_cc,Es_cc*IF($C33&lt;=cc_D,0.0035*($C33-AA$18)/$C33,0.002*($C33-AA$18)/($C33-3*cc_D/7))))-fcd_cc*(1-(1-MAX(0,MIN(1,IF($C33&lt;=cc_D,0.0035*($C33-AA$18)/$C33,0.002*($C33-AA$18)/($C33-3*cc_D/7))/0.002)))^2)</f>
        <v/>
      </c>
      <c r="AZ33">
        <f>MAX(-fyd_cc,MIN(fyd_cc,Es_cc*IF($C33&lt;=cc_D,0.0035*($C33-AB$18)/$C33,0.002*($C33-AB$18)/($C33-3*cc_D/7))))-fcd_cc*(1-(1-MAX(0,MIN(1,IF($C33&lt;=cc_D,0.0035*($C33-AB$18)/$C33,0.002*($C33-AB$18)/($C33-3*cc_D/7))/0.002)))^2)</f>
        <v/>
      </c>
      <c r="BA33">
        <f>MAX(-fyd_cc,MIN(fyd_cc,Es_cc*IF($C33&lt;=cc_D,0.0035*($C33-AC$18)/$C33,0.002*($C33-AC$18)/($C33-3*cc_D/7))))-fcd_cc*(1-(1-MAX(0,MIN(1,IF($C33&lt;=cc_D,0.0035*($C33-AC$18)/$C33,0.002*($C33-AC$18)/($C33-3*cc_D/7))/0.002)))^2)</f>
        <v/>
      </c>
      <c r="BB33">
        <f>MAX(-fyd_cc,MIN(fyd_cc,Es_cc*IF($C33&lt;=cc_D,0.0035*($C33-AD$18)/$C33,0.002*($C33-AD$18)/($C33-3*cc_D/7))))-fcd_cc*(1-(1-MAX(0,MIN(1,IF($C33&lt;=cc_D,0.0035*($C33-AD$18)/$C33,0.002*($C33-AD$18)/($C33-3*cc_D/7))/0.002)))^2)</f>
        <v/>
      </c>
      <c r="BC33">
        <f>MAX(-fyd_cc,MIN(fyd_cc,Es_cc*IF($C33&lt;=cc_D,0.0035*($C33-AE$18)/$C33,0.002*($C33-AE$18)/($C33-3*cc_D/7))))-fcd_cc*(1-(1-MAX(0,MIN(1,IF($C33&lt;=cc_D,0.0035*($C33-AE$18)/$C33,0.002*($C33-AE$18)/($C33-3*cc_D/7))/0.002)))^2)</f>
        <v/>
      </c>
      <c r="BD33">
        <f>MAX(-fyd_cc,MIN(fyd_cc,Es_cc*IF($C33&lt;=cc_D,0.0035*($C33-AF$18)/$C33,0.002*($C33-AF$18)/($C33-3*cc_D/7))))-fcd_cc*(1-(1-MAX(0,MIN(1,IF($C33&lt;=cc_D,0.0035*($C33-AF$18)/$C33,0.002*($C33-AF$18)/($C33-3*cc_D/7))/0.002)))^2)</f>
        <v/>
      </c>
      <c r="BE33">
        <f>MAX(-fyd_cc,MIN(fyd_cc,Es_cc*IF($C33&lt;=cc_D,0.0035*($C33-AG$18)/$C33,0.002*($C33-AG$18)/($C33-3*cc_D/7))))-fcd_cc*(1-(1-MAX(0,MIN(1,IF($C33&lt;=cc_D,0.0035*($C33-AG$18)/$C33,0.002*($C33-AG$18)/($C33-3*cc_D/7))/0.002)))^2)</f>
        <v/>
      </c>
      <c r="BF33">
        <f>3*MIN($C33,cc_D)/7</f>
        <v/>
      </c>
      <c r="BG33">
        <f>$C33-$BF33</f>
        <v/>
      </c>
      <c r="BH33">
        <f>ACOS(MAX(-1,MIN(1,1-$BF33/(cc_D/2))))</f>
        <v/>
      </c>
      <c r="BI33">
        <f>ACOS(MAX(-1,MIN(1,1-MIN($C33,cc_D)/(cc_D/2))))</f>
        <v/>
      </c>
      <c r="BJ33">
        <f>((cc_D/2*(1-COS(($BH33+0*($BI33-$BH33)/12)))-$BF33)/$BG33)^2*SIN(($BH33+0*($BI33-$BH33)/12))^2</f>
        <v/>
      </c>
      <c r="BK33">
        <f>((cc_D/2*(1-COS(($BH33+1*($BI33-$BH33)/12)))-$BF33)/$BG33)^2*SIN(($BH33+1*($BI33-$BH33)/12))^2</f>
        <v/>
      </c>
      <c r="BL33">
        <f>((cc_D/2*(1-COS(($BH33+2*($BI33-$BH33)/12)))-$BF33)/$BG33)^2*SIN(($BH33+2*($BI33-$BH33)/12))^2</f>
        <v/>
      </c>
      <c r="BM33">
        <f>((cc_D/2*(1-COS(($BH33+3*($BI33-$BH33)/12)))-$BF33)/$BG33)^2*SIN(($BH33+3*($BI33-$BH33)/12))^2</f>
        <v/>
      </c>
      <c r="BN33">
        <f>((cc_D/2*(1-COS(($BH33+4*($BI33-$BH33)/12)))-$BF33)/$BG33)^2*SIN(($BH33+4*($BI33-$BH33)/12))^2</f>
        <v/>
      </c>
      <c r="BO33">
        <f>((cc_D/2*(1-COS(($BH33+5*($BI33-$BH33)/12)))-$BF33)/$BG33)^2*SIN(($BH33+5*($BI33-$BH33)/12))^2</f>
        <v/>
      </c>
      <c r="BP33">
        <f>((cc_D/2*(1-COS(($BH33+6*($BI33-$BH33)/12)))-$BF33)/$BG33)^2*SIN(($BH33+6*($BI33-$BH33)/12))^2</f>
        <v/>
      </c>
      <c r="BQ33">
        <f>((cc_D/2*(1-COS(($BH33+7*($BI33-$BH33)/12)))-$BF33)/$BG33)^2*SIN(($BH33+7*($BI33-$BH33)/12))^2</f>
        <v/>
      </c>
      <c r="BR33">
        <f>((cc_D/2*(1-COS(($BH33+8*($BI33-$BH33)/12)))-$BF33)/$BG33)^2*SIN(($BH33+8*($BI33-$BH33)/12))^2</f>
        <v/>
      </c>
      <c r="BS33">
        <f>((cc_D/2*(1-COS(($BH33+9*($BI33-$BH33)/12)))-$BF33)/$BG33)^2*SIN(($BH33+9*($BI33-$BH33)/12))^2</f>
        <v/>
      </c>
      <c r="BT33">
        <f>((cc_D/2*(1-COS(($BH33+10*($BI33-$BH33)/12)))-$BF33)/$BG33)^2*SIN(($BH33+10*($BI33-$BH33)/12))^2</f>
        <v/>
      </c>
      <c r="BU33">
        <f>((cc_D/2*(1-COS(($BH33+11*($BI33-$BH33)/12)))-$BF33)/$BG33)^2*SIN(($BH33+11*($BI33-$BH33)/12))^2</f>
        <v/>
      </c>
      <c r="BV33">
        <f>((cc_D/2*(1-COS(($BH33+12*($BI33-$BH33)/12)))-$BF33)/$BG33)^2*SIN(($BH33+12*($BI33-$BH33)/12))^2</f>
        <v/>
      </c>
      <c r="BW33">
        <f>BJ33*COS(($BH33+0*($BI33-$BH33)/12))</f>
        <v/>
      </c>
      <c r="BX33">
        <f>BK33*COS(($BH33+1*($BI33-$BH33)/12))</f>
        <v/>
      </c>
      <c r="BY33">
        <f>BL33*COS(($BH33+2*($BI33-$BH33)/12))</f>
        <v/>
      </c>
      <c r="BZ33">
        <f>BM33*COS(($BH33+3*($BI33-$BH33)/12))</f>
        <v/>
      </c>
      <c r="CA33">
        <f>BN33*COS(($BH33+4*($BI33-$BH33)/12))</f>
        <v/>
      </c>
      <c r="CB33">
        <f>BO33*COS(($BH33+5*($BI33-$BH33)/12))</f>
        <v/>
      </c>
      <c r="CC33">
        <f>BP33*COS(($BH33+6*($BI33-$BH33)/12))</f>
        <v/>
      </c>
      <c r="CD33">
        <f>BQ33*COS(($BH33+7*($BI33-$BH33)/12))</f>
        <v/>
      </c>
      <c r="CE33">
        <f>BR33*COS(($BH33+8*($BI33-$BH33)/12))</f>
        <v/>
      </c>
      <c r="CF33">
        <f>BS33*COS(($BH33+9*($BI33-$BH33)/12))</f>
        <v/>
      </c>
      <c r="CG33">
        <f>BT33*COS(($BH33+10*($BI33-$BH33)/12))</f>
        <v/>
      </c>
      <c r="CH33">
        <f>BU33*COS(($BH33+11*($BI33-$BH33)/12))</f>
        <v/>
      </c>
      <c r="CI33">
        <f>BV33*COS(($BH33+12*($BI33-$BH33)/12))</f>
        <v/>
      </c>
    </row>
    <row r="34">
      <c r="B34" s="53" t="n">
        <v>9</v>
      </c>
      <c r="C34" s="54">
        <f>0.2*cc_D</f>
        <v/>
      </c>
      <c r="D34" s="55">
        <f>IF($C34&lt;=cc_D,3.5,2*$C34/($C34-3*cc_D/7))</f>
        <v/>
      </c>
      <c r="E34" s="56">
        <f>(fcd_cc*((cc_D/2)^2*($BI34-COS($BI34)*SIN($BI34))-2*(cc_D/2)^2*($BI34-$BH34)/12/3*SUMPRODUCT($BJ$4:$BV$4,$BJ34:$BV34))+SUMPRODUCT($J$5:$AG$5,$J34:$AG34))/1000</f>
        <v/>
      </c>
      <c r="F34" s="56">
        <f>(fcd_cc*(2/3*(cc_D/2)^3*SIN($BI34)^3-2*(cc_D/2)^3*($BI34-$BH34)/12/3*SUMPRODUCT($BW$4:$CI$4,$BW34:$CI34))+SUMPRODUCT($J$5:$AG$5,$J34:$AG34,$J$7:$AG$7))/1E6</f>
        <v/>
      </c>
      <c r="G34" s="56">
        <f>(fcd_cc*((cc_D/2)^2*($BI34-COS($BI34)*SIN($BI34))-2*(cc_D/2)^2*($BI34-$BH34)/12/3*SUMPRODUCT($BJ$4:$BV$4,$BJ34:$BV34))+SUMPRODUCT($J$5:$AG$5,$AH34:$BE34))/1000</f>
        <v/>
      </c>
      <c r="H34" s="56">
        <f>(fcd_cc*(2/3*(cc_D/2)^3*SIN($BI34)^3-2*(cc_D/2)^3*($BI34-$BH34)/12/3*SUMPRODUCT($BW$4:$CI$4,$BW34:$CI34))+SUMPRODUCT($J$5:$AG$5,$AH34:$BE34,$J$19:$AG$19))/1E6</f>
        <v/>
      </c>
      <c r="J34">
        <f>MAX(-fyd_cc,MIN(fyd_cc,Es_cc*IF($C34&lt;=cc_D,0.0035*($C34-J$6)/$C34,0.002*($C34-J$6)/($C34-3*cc_D/7))))-fcd_cc*(1-(1-MAX(0,MIN(1,IF($C34&lt;=cc_D,0.0035*($C34-J$6)/$C34,0.002*($C34-J$6)/($C34-3*cc_D/7))/0.002)))^2)</f>
        <v/>
      </c>
      <c r="K34">
        <f>MAX(-fyd_cc,MIN(fyd_cc,Es_cc*IF($C34&lt;=cc_D,0.0035*($C34-K$6)/$C34,0.002*($C34-K$6)/($C34-3*cc_D/7))))-fcd_cc*(1-(1-MAX(0,MIN(1,IF($C34&lt;=cc_D,0.0035*($C34-K$6)/$C34,0.002*($C34-K$6)/($C34-3*cc_D/7))/0.002)))^2)</f>
        <v/>
      </c>
      <c r="L34">
        <f>MAX(-fyd_cc,MIN(fyd_cc,Es_cc*IF($C34&lt;=cc_D,0.0035*($C34-L$6)/$C34,0.002*($C34-L$6)/($C34-3*cc_D/7))))-fcd_cc*(1-(1-MAX(0,MIN(1,IF($C34&lt;=cc_D,0.0035*($C34-L$6)/$C34,0.002*($C34-L$6)/($C34-3*cc_D/7))/0.002)))^2)</f>
        <v/>
      </c>
      <c r="M34">
        <f>MAX(-fyd_cc,MIN(fyd_cc,Es_cc*IF($C34&lt;=cc_D,0.0035*($C34-M$6)/$C34,0.002*($C34-M$6)/($C34-3*cc_D/7))))-fcd_cc*(1-(1-MAX(0,MIN(1,IF($C34&lt;=cc_D,0.0035*($C34-M$6)/$C34,0.002*($C34-M$6)/($C34-3*cc_D/7))/0.002)))^2)</f>
        <v/>
      </c>
      <c r="N34">
        <f>MAX(-fyd_cc,MIN(fyd_cc,Es_cc*IF($C34&lt;=cc_D,0.0035*($C34-N$6)/$C34,0.002*($C34-N$6)/($C34-3*cc_D/7))))-fcd_cc*(1-(1-MAX(0,MIN(1,IF($C34&lt;=cc_D,0.0035*($C34-N$6)/$C34,0.002*($C34-N$6)/($C34-3*cc_D/7))/0.002)))^2)</f>
        <v/>
      </c>
      <c r="O34">
        <f>MAX(-fyd_cc,MIN(fyd_cc,Es_cc*IF($C34&lt;=cc_D,0.0035*($C34-O$6)/$C34,0.002*($C34-O$6)/($C34-3*cc_D/7))))-fcd_cc*(1-(1-MAX(0,MIN(1,IF($C34&lt;=cc_D,0.0035*($C34-O$6)/$C34,0.002*($C34-O$6)/($C34-3*cc_D/7))/0.002)))^2)</f>
        <v/>
      </c>
      <c r="P34">
        <f>MAX(-fyd_cc,MIN(fyd_cc,Es_cc*IF($C34&lt;=cc_D,0.0035*($C34-P$6)/$C34,0.002*($C34-P$6)/($C34-3*cc_D/7))))-fcd_cc*(1-(1-MAX(0,MIN(1,IF($C34&lt;=cc_D,0.0035*($C34-P$6)/$C34,0.002*($C34-P$6)/($C34-3*cc_D/7))/0.002)))^2)</f>
        <v/>
      </c>
      <c r="Q34">
        <f>MAX(-fyd_cc,MIN(fyd_cc,Es_cc*IF($C34&lt;=cc_D,0.0035*($C34-Q$6)/$C34,0.002*($C34-Q$6)/($C34-3*cc_D/7))))-fcd_cc*(1-(1-MAX(0,MIN(1,IF($C34&lt;=cc_D,0.0035*($C34-Q$6)/$C34,0.002*($C34-Q$6)/($C34-3*cc_D/7))/0.002)))^2)</f>
        <v/>
      </c>
      <c r="R34">
        <f>MAX(-fyd_cc,MIN(fyd_cc,Es_cc*IF($C34&lt;=cc_D,0.0035*($C34-R$6)/$C34,0.002*($C34-R$6)/($C34-3*cc_D/7))))-fcd_cc*(1-(1-MAX(0,MIN(1,IF($C34&lt;=cc_D,0.0035*($C34-R$6)/$C34,0.002*($C34-R$6)/($C34-3*cc_D/7))/0.002)))^2)</f>
        <v/>
      </c>
      <c r="S34">
        <f>MAX(-fyd_cc,MIN(fyd_cc,Es_cc*IF($C34&lt;=cc_D,0.0035*($C34-S$6)/$C34,0.002*($C34-S$6)/($C34-3*cc_D/7))))-fcd_cc*(1-(1-MAX(0,MIN(1,IF($C34&lt;=cc_D,0.0035*($C34-S$6)/$C34,0.002*($C34-S$6)/($C34-3*cc_D/7))/0.002)))^2)</f>
        <v/>
      </c>
      <c r="T34">
        <f>MAX(-fyd_cc,MIN(fyd_cc,Es_cc*IF($C34&lt;=cc_D,0.0035*($C34-T$6)/$C34,0.002*($C34-T$6)/($C34-3*cc_D/7))))-fcd_cc*(1-(1-MAX(0,MIN(1,IF($C34&lt;=cc_D,0.0035*($C34-T$6)/$C34,0.002*($C34-T$6)/($C34-3*cc_D/7))/0.002)))^2)</f>
        <v/>
      </c>
      <c r="U34">
        <f>MAX(-fyd_cc,MIN(fyd_cc,Es_cc*IF($C34&lt;=cc_D,0.0035*($C34-U$6)/$C34,0.002*($C34-U$6)/($C34-3*cc_D/7))))-fcd_cc*(1-(1-MAX(0,MIN(1,IF($C34&lt;=cc_D,0.0035*($C34-U$6)/$C34,0.002*($C34-U$6)/($C34-3*cc_D/7))/0.002)))^2)</f>
        <v/>
      </c>
      <c r="V34">
        <f>MAX(-fyd_cc,MIN(fyd_cc,Es_cc*IF($C34&lt;=cc_D,0.0035*($C34-V$6)/$C34,0.002*($C34-V$6)/($C34-3*cc_D/7))))-fcd_cc*(1-(1-MAX(0,MIN(1,IF($C34&lt;=cc_D,0.0035*($C34-V$6)/$C34,0.002*($C34-V$6)/($C34-3*cc_D/7))/0.002)))^2)</f>
        <v/>
      </c>
      <c r="W34">
        <f>MAX(-fyd_cc,MIN(fyd_cc,Es_cc*IF($C34&lt;=cc_D,0.0035*($C34-W$6)/$C34,0.002*($C34-W$6)/($C34-3*cc_D/7))))-fcd_cc*(1-(1-MAX(0,MIN(1,IF($C34&lt;=cc_D,0.0035*($C34-W$6)/$C34,0.002*($C34-W$6)/($C34-3*cc_D/7))/0.002)))^2)</f>
        <v/>
      </c>
      <c r="X34">
        <f>MAX(-fyd_cc,MIN(fyd_cc,Es_cc*IF($C34&lt;=cc_D,0.0035*($C34-X$6)/$C34,0.002*($C34-X$6)/($C34-3*cc_D/7))))-fcd_cc*(1-(1-MAX(0,MIN(1,IF($C34&lt;=cc_D,0.0035*($C34-X$6)/$C34,0.002*($C34-X$6)/($C34-3*cc_D/7))/0.002)))^2)</f>
        <v/>
      </c>
      <c r="Y34">
        <f>MAX(-fyd_cc,MIN(fyd_cc,Es_cc*IF($C34&lt;=cc_D,0.0035*($C34-Y$6)/$C34,0.002*($C34-Y$6)/($C34-3*cc_D/7))))-fcd_cc*(1-(1-MAX(0,MIN(1,IF($C34&lt;=cc_D,0.0035*($C34-Y$6)/$C34,0.002*($C34-Y$6)/($C34-3*cc_D/7))/0.002)))^2)</f>
        <v/>
      </c>
      <c r="Z34">
        <f>MAX(-fyd_cc,MIN(fyd_cc,Es_cc*IF($C34&lt;=cc_D,0.0035*($C34-Z$6)/$C34,0.002*($C34-Z$6)/($C34-3*cc_D/7))))-fcd_cc*(1-(1-MAX(0,MIN(1,IF($C34&lt;=cc_D,0.0035*($C34-Z$6)/$C34,0.002*($C34-Z$6)/($C34-3*cc_D/7))/0.002)))^2)</f>
        <v/>
      </c>
      <c r="AA34">
        <f>MAX(-fyd_cc,MIN(fyd_cc,Es_cc*IF($C34&lt;=cc_D,0.0035*($C34-AA$6)/$C34,0.002*($C34-AA$6)/($C34-3*cc_D/7))))-fcd_cc*(1-(1-MAX(0,MIN(1,IF($C34&lt;=cc_D,0.0035*($C34-AA$6)/$C34,0.002*($C34-AA$6)/($C34-3*cc_D/7))/0.002)))^2)</f>
        <v/>
      </c>
      <c r="AB34">
        <f>MAX(-fyd_cc,MIN(fyd_cc,Es_cc*IF($C34&lt;=cc_D,0.0035*($C34-AB$6)/$C34,0.002*($C34-AB$6)/($C34-3*cc_D/7))))-fcd_cc*(1-(1-MAX(0,MIN(1,IF($C34&lt;=cc_D,0.0035*($C34-AB$6)/$C34,0.002*($C34-AB$6)/($C34-3*cc_D/7))/0.002)))^2)</f>
        <v/>
      </c>
      <c r="AC34">
        <f>MAX(-fyd_cc,MIN(fyd_cc,Es_cc*IF($C34&lt;=cc_D,0.0035*($C34-AC$6)/$C34,0.002*($C34-AC$6)/($C34-3*cc_D/7))))-fcd_cc*(1-(1-MAX(0,MIN(1,IF($C34&lt;=cc_D,0.0035*($C34-AC$6)/$C34,0.002*($C34-AC$6)/($C34-3*cc_D/7))/0.002)))^2)</f>
        <v/>
      </c>
      <c r="AD34">
        <f>MAX(-fyd_cc,MIN(fyd_cc,Es_cc*IF($C34&lt;=cc_D,0.0035*($C34-AD$6)/$C34,0.002*($C34-AD$6)/($C34-3*cc_D/7))))-fcd_cc*(1-(1-MAX(0,MIN(1,IF($C34&lt;=cc_D,0.0035*($C34-AD$6)/$C34,0.002*($C34-AD$6)/($C34-3*cc_D/7))/0.002)))^2)</f>
        <v/>
      </c>
      <c r="AE34">
        <f>MAX(-fyd_cc,MIN(fyd_cc,Es_cc*IF($C34&lt;=cc_D,0.0035*($C34-AE$6)/$C34,0.002*($C34-AE$6)/($C34-3*cc_D/7))))-fcd_cc*(1-(1-MAX(0,MIN(1,IF($C34&lt;=cc_D,0.0035*($C34-AE$6)/$C34,0.002*($C34-AE$6)/($C34-3*cc_D/7))/0.002)))^2)</f>
        <v/>
      </c>
      <c r="AF34">
        <f>MAX(-fyd_cc,MIN(fyd_cc,Es_cc*IF($C34&lt;=cc_D,0.0035*($C34-AF$6)/$C34,0.002*($C34-AF$6)/($C34-3*cc_D/7))))-fcd_cc*(1-(1-MAX(0,MIN(1,IF($C34&lt;=cc_D,0.0035*($C34-AF$6)/$C34,0.002*($C34-AF$6)/($C34-3*cc_D/7))/0.002)))^2)</f>
        <v/>
      </c>
      <c r="AG34">
        <f>MAX(-fyd_cc,MIN(fyd_cc,Es_cc*IF($C34&lt;=cc_D,0.0035*($C34-AG$6)/$C34,0.002*($C34-AG$6)/($C34-3*cc_D/7))))-fcd_cc*(1-(1-MAX(0,MIN(1,IF($C34&lt;=cc_D,0.0035*($C34-AG$6)/$C34,0.002*($C34-AG$6)/($C34-3*cc_D/7))/0.002)))^2)</f>
        <v/>
      </c>
      <c r="AH34">
        <f>MAX(-fyd_cc,MIN(fyd_cc,Es_cc*IF($C34&lt;=cc_D,0.0035*($C34-J$18)/$C34,0.002*($C34-J$18)/($C34-3*cc_D/7))))-fcd_cc*(1-(1-MAX(0,MIN(1,IF($C34&lt;=cc_D,0.0035*($C34-J$18)/$C34,0.002*($C34-J$18)/($C34-3*cc_D/7))/0.002)))^2)</f>
        <v/>
      </c>
      <c r="AI34">
        <f>MAX(-fyd_cc,MIN(fyd_cc,Es_cc*IF($C34&lt;=cc_D,0.0035*($C34-K$18)/$C34,0.002*($C34-K$18)/($C34-3*cc_D/7))))-fcd_cc*(1-(1-MAX(0,MIN(1,IF($C34&lt;=cc_D,0.0035*($C34-K$18)/$C34,0.002*($C34-K$18)/($C34-3*cc_D/7))/0.002)))^2)</f>
        <v/>
      </c>
      <c r="AJ34">
        <f>MAX(-fyd_cc,MIN(fyd_cc,Es_cc*IF($C34&lt;=cc_D,0.0035*($C34-L$18)/$C34,0.002*($C34-L$18)/($C34-3*cc_D/7))))-fcd_cc*(1-(1-MAX(0,MIN(1,IF($C34&lt;=cc_D,0.0035*($C34-L$18)/$C34,0.002*($C34-L$18)/($C34-3*cc_D/7))/0.002)))^2)</f>
        <v/>
      </c>
      <c r="AK34">
        <f>MAX(-fyd_cc,MIN(fyd_cc,Es_cc*IF($C34&lt;=cc_D,0.0035*($C34-M$18)/$C34,0.002*($C34-M$18)/($C34-3*cc_D/7))))-fcd_cc*(1-(1-MAX(0,MIN(1,IF($C34&lt;=cc_D,0.0035*($C34-M$18)/$C34,0.002*($C34-M$18)/($C34-3*cc_D/7))/0.002)))^2)</f>
        <v/>
      </c>
      <c r="AL34">
        <f>MAX(-fyd_cc,MIN(fyd_cc,Es_cc*IF($C34&lt;=cc_D,0.0035*($C34-N$18)/$C34,0.002*($C34-N$18)/($C34-3*cc_D/7))))-fcd_cc*(1-(1-MAX(0,MIN(1,IF($C34&lt;=cc_D,0.0035*($C34-N$18)/$C34,0.002*($C34-N$18)/($C34-3*cc_D/7))/0.002)))^2)</f>
        <v/>
      </c>
      <c r="AM34">
        <f>MAX(-fyd_cc,MIN(fyd_cc,Es_cc*IF($C34&lt;=cc_D,0.0035*($C34-O$18)/$C34,0.002*($C34-O$18)/($C34-3*cc_D/7))))-fcd_cc*(1-(1-MAX(0,MIN(1,IF($C34&lt;=cc_D,0.0035*($C34-O$18)/$C34,0.002*($C34-O$18)/($C34-3*cc_D/7))/0.002)))^2)</f>
        <v/>
      </c>
      <c r="AN34">
        <f>MAX(-fyd_cc,MIN(fyd_cc,Es_cc*IF($C34&lt;=cc_D,0.0035*($C34-P$18)/$C34,0.002*($C34-P$18)/($C34-3*cc_D/7))))-fcd_cc*(1-(1-MAX(0,MIN(1,IF($C34&lt;=cc_D,0.0035*($C34-P$18)/$C34,0.002*($C34-P$18)/($C34-3*cc_D/7))/0.002)))^2)</f>
        <v/>
      </c>
      <c r="AO34">
        <f>MAX(-fyd_cc,MIN(fyd_cc,Es_cc*IF($C34&lt;=cc_D,0.0035*($C34-Q$18)/$C34,0.002*($C34-Q$18)/($C34-3*cc_D/7))))-fcd_cc*(1-(1-MAX(0,MIN(1,IF($C34&lt;=cc_D,0.0035*($C34-Q$18)/$C34,0.002*($C34-Q$18)/($C34-3*cc_D/7))/0.002)))^2)</f>
        <v/>
      </c>
      <c r="AP34">
        <f>MAX(-fyd_cc,MIN(fyd_cc,Es_cc*IF($C34&lt;=cc_D,0.0035*($C34-R$18)/$C34,0.002*($C34-R$18)/($C34-3*cc_D/7))))-fcd_cc*(1-(1-MAX(0,MIN(1,IF($C34&lt;=cc_D,0.0035*($C34-R$18)/$C34,0.002*($C34-R$18)/($C34-3*cc_D/7))/0.002)))^2)</f>
        <v/>
      </c>
      <c r="AQ34">
        <f>MAX(-fyd_cc,MIN(fyd_cc,Es_cc*IF($C34&lt;=cc_D,0.0035*($C34-S$18)/$C34,0.002*($C34-S$18)/($C34-3*cc_D/7))))-fcd_cc*(1-(1-MAX(0,MIN(1,IF($C34&lt;=cc_D,0.0035*($C34-S$18)/$C34,0.002*($C34-S$18)/($C34-3*cc_D/7))/0.002)))^2)</f>
        <v/>
      </c>
      <c r="AR34">
        <f>MAX(-fyd_cc,MIN(fyd_cc,Es_cc*IF($C34&lt;=cc_D,0.0035*($C34-T$18)/$C34,0.002*($C34-T$18)/($C34-3*cc_D/7))))-fcd_cc*(1-(1-MAX(0,MIN(1,IF($C34&lt;=cc_D,0.0035*($C34-T$18)/$C34,0.002*($C34-T$18)/($C34-3*cc_D/7))/0.002)))^2)</f>
        <v/>
      </c>
      <c r="AS34">
        <f>MAX(-fyd_cc,MIN(fyd_cc,Es_cc*IF($C34&lt;=cc_D,0.0035*($C34-U$18)/$C34,0.002*($C34-U$18)/($C34-3*cc_D/7))))-fcd_cc*(1-(1-MAX(0,MIN(1,IF($C34&lt;=cc_D,0.0035*($C34-U$18)/$C34,0.002*($C34-U$18)/($C34-3*cc_D/7))/0.002)))^2)</f>
        <v/>
      </c>
      <c r="AT34">
        <f>MAX(-fyd_cc,MIN(fyd_cc,Es_cc*IF($C34&lt;=cc_D,0.0035*($C34-V$18)/$C34,0.002*($C34-V$18)/($C34-3*cc_D/7))))-fcd_cc*(1-(1-MAX(0,MIN(1,IF($C34&lt;=cc_D,0.0035*($C34-V$18)/$C34,0.002*($C34-V$18)/($C34-3*cc_D/7))/0.002)))^2)</f>
        <v/>
      </c>
      <c r="AU34">
        <f>MAX(-fyd_cc,MIN(fyd_cc,Es_cc*IF($C34&lt;=cc_D,0.0035*($C34-W$18)/$C34,0.002*($C34-W$18)/($C34-3*cc_D/7))))-fcd_cc*(1-(1-MAX(0,MIN(1,IF($C34&lt;=cc_D,0.0035*($C34-W$18)/$C34,0.002*($C34-W$18)/($C34-3*cc_D/7))/0.002)))^2)</f>
        <v/>
      </c>
      <c r="AV34">
        <f>MAX(-fyd_cc,MIN(fyd_cc,Es_cc*IF($C34&lt;=cc_D,0.0035*($C34-X$18)/$C34,0.002*($C34-X$18)/($C34-3*cc_D/7))))-fcd_cc*(1-(1-MAX(0,MIN(1,IF($C34&lt;=cc_D,0.0035*($C34-X$18)/$C34,0.002*($C34-X$18)/($C34-3*cc_D/7))/0.002)))^2)</f>
        <v/>
      </c>
      <c r="AW34">
        <f>MAX(-fyd_cc,MIN(fyd_cc,Es_cc*IF($C34&lt;=cc_D,0.0035*($C34-Y$18)/$C34,0.002*($C34-Y$18)/($C34-3*cc_D/7))))-fcd_cc*(1-(1-MAX(0,MIN(1,IF($C34&lt;=cc_D,0.0035*($C34-Y$18)/$C34,0.002*($C34-Y$18)/($C34-3*cc_D/7))/0.002)))^2)</f>
        <v/>
      </c>
      <c r="AX34">
        <f>MAX(-fyd_cc,MIN(fyd_cc,Es_cc*IF($C34&lt;=cc_D,0.0035*($C34-Z$18)/$C34,0.002*($C34-Z$18)/($C34-3*cc_D/7))))-fcd_cc*(1-(1-MAX(0,MIN(1,IF($C34&lt;=cc_D,0.0035*($C34-Z$18)/$C34,0.002*($C34-Z$18)/($C34-3*cc_D/7))/0.002)))^2)</f>
        <v/>
      </c>
      <c r="AY34">
        <f>MAX(-fyd_cc,MIN(fyd_cc,Es_cc*IF($C34&lt;=cc_D,0.0035*($C34-AA$18)/$C34,0.002*($C34-AA$18)/($C34-3*cc_D/7))))-fcd_cc*(1-(1-MAX(0,MIN(1,IF($C34&lt;=cc_D,0.0035*($C34-AA$18)/$C34,0.002*($C34-AA$18)/($C34-3*cc_D/7))/0.002)))^2)</f>
        <v/>
      </c>
      <c r="AZ34">
        <f>MAX(-fyd_cc,MIN(fyd_cc,Es_cc*IF($C34&lt;=cc_D,0.0035*($C34-AB$18)/$C34,0.002*($C34-AB$18)/($C34-3*cc_D/7))))-fcd_cc*(1-(1-MAX(0,MIN(1,IF($C34&lt;=cc_D,0.0035*($C34-AB$18)/$C34,0.002*($C34-AB$18)/($C34-3*cc_D/7))/0.002)))^2)</f>
        <v/>
      </c>
      <c r="BA34">
        <f>MAX(-fyd_cc,MIN(fyd_cc,Es_cc*IF($C34&lt;=cc_D,0.0035*($C34-AC$18)/$C34,0.002*($C34-AC$18)/($C34-3*cc_D/7))))-fcd_cc*(1-(1-MAX(0,MIN(1,IF($C34&lt;=cc_D,0.0035*($C34-AC$18)/$C34,0.002*($C34-AC$18)/($C34-3*cc_D/7))/0.002)))^2)</f>
        <v/>
      </c>
      <c r="BB34">
        <f>MAX(-fyd_cc,MIN(fyd_cc,Es_cc*IF($C34&lt;=cc_D,0.0035*($C34-AD$18)/$C34,0.002*($C34-AD$18)/($C34-3*cc_D/7))))-fcd_cc*(1-(1-MAX(0,MIN(1,IF($C34&lt;=cc_D,0.0035*($C34-AD$18)/$C34,0.002*($C34-AD$18)/($C34-3*cc_D/7))/0.002)))^2)</f>
        <v/>
      </c>
      <c r="BC34">
        <f>MAX(-fyd_cc,MIN(fyd_cc,Es_cc*IF($C34&lt;=cc_D,0.0035*($C34-AE$18)/$C34,0.002*($C34-AE$18)/($C34-3*cc_D/7))))-fcd_cc*(1-(1-MAX(0,MIN(1,IF($C34&lt;=cc_D,0.0035*($C34-AE$18)/$C34,0.002*($C34-AE$18)/($C34-3*cc_D/7))/0.002)))^2)</f>
        <v/>
      </c>
      <c r="BD34">
        <f>MAX(-fyd_cc,MIN(fyd_cc,Es_cc*IF($C34&lt;=cc_D,0.0035*($C34-AF$18)/$C34,0.002*($C34-AF$18)/($C34-3*cc_D/7))))-fcd_cc*(1-(1-MAX(0,MIN(1,IF($C34&lt;=cc_D,0.0035*($C34-AF$18)/$C34,0.002*($C34-AF$18)/($C34-3*cc_D/7))/0.002)))^2)</f>
        <v/>
      </c>
      <c r="BE34">
        <f>MAX(-fyd_cc,MIN(fyd_cc,Es_cc*IF($C34&lt;=cc_D,0.0035*($C34-AG$18)/$C34,0.002*($C34-AG$18)/($C34-3*cc_D/7))))-fcd_cc*(1-(1-MAX(0,MIN(1,IF($C34&lt;=cc_D,0.0035*($C34-AG$18)/$C34,0.002*($C34-AG$18)/($C34-3*cc_D/7))/0.002)))^2)</f>
        <v/>
      </c>
      <c r="BF34">
        <f>3*MIN($C34,cc_D)/7</f>
        <v/>
      </c>
      <c r="BG34">
        <f>$C34-$BF34</f>
        <v/>
      </c>
      <c r="BH34">
        <f>ACOS(MAX(-1,MIN(1,1-$BF34/(cc_D/2))))</f>
        <v/>
      </c>
      <c r="BI34">
        <f>ACOS(MAX(-1,MIN(1,1-MIN($C34,cc_D)/(cc_D/2))))</f>
        <v/>
      </c>
      <c r="BJ34">
        <f>((cc_D/2*(1-COS(($BH34+0*($BI34-$BH34)/12)))-$BF34)/$BG34)^2*SIN(($BH34+0*($BI34-$BH34)/12))^2</f>
        <v/>
      </c>
      <c r="BK34">
        <f>((cc_D/2*(1-COS(($BH34+1*($BI34-$BH34)/12)))-$BF34)/$BG34)^2*SIN(($BH34+1*($BI34-$BH34)/12))^2</f>
        <v/>
      </c>
      <c r="BL34">
        <f>((cc_D/2*(1-COS(($BH34+2*($BI34-$BH34)/12)))-$BF34)/$BG34)^2*SIN(($BH34+2*($BI34-$BH34)/12))^2</f>
        <v/>
      </c>
      <c r="BM34">
        <f>((cc_D/2*(1-COS(($BH34+3*($BI34-$BH34)/12)))-$BF34)/$BG34)^2*SIN(($BH34+3*($BI34-$BH34)/12))^2</f>
        <v/>
      </c>
      <c r="BN34">
        <f>((cc_D/2*(1-COS(($BH34+4*($BI34-$BH34)/12)))-$BF34)/$BG34)^2*SIN(($BH34+4*($BI34-$BH34)/12))^2</f>
        <v/>
      </c>
      <c r="BO34">
        <f>((cc_D/2*(1-COS(($BH34+5*($BI34-$BH34)/12)))-$BF34)/$BG34)^2*SIN(($BH34+5*($BI34-$BH34)/12))^2</f>
        <v/>
      </c>
      <c r="BP34">
        <f>((cc_D/2*(1-COS(($BH34+6*($BI34-$BH34)/12)))-$BF34)/$BG34)^2*SIN(($BH34+6*($BI34-$BH34)/12))^2</f>
        <v/>
      </c>
      <c r="BQ34">
        <f>((cc_D/2*(1-COS(($BH34+7*($BI34-$BH34)/12)))-$BF34)/$BG34)^2*SIN(($BH34+7*($BI34-$BH34)/12))^2</f>
        <v/>
      </c>
      <c r="BR34">
        <f>((cc_D/2*(1-COS(($BH34+8*($BI34-$BH34)/12)))-$BF34)/$BG34)^2*SIN(($BH34+8*($BI34-$BH34)/12))^2</f>
        <v/>
      </c>
      <c r="BS34">
        <f>((cc_D/2*(1-COS(($BH34+9*($BI34-$BH34)/12)))-$BF34)/$BG34)^2*SIN(($BH34+9*($BI34-$BH34)/12))^2</f>
        <v/>
      </c>
      <c r="BT34">
        <f>((cc_D/2*(1-COS(($BH34+10*($BI34-$BH34)/12)))-$BF34)/$BG34)^2*SIN(($BH34+10*($BI34-$BH34)/12))^2</f>
        <v/>
      </c>
      <c r="BU34">
        <f>((cc_D/2*(1-COS(($BH34+11*($BI34-$BH34)/12)))-$BF34)/$BG34)^2*SIN(($BH34+11*($BI34-$BH34)/12))^2</f>
        <v/>
      </c>
      <c r="BV34">
        <f>((cc_D/2*(1-COS(($BH34+12*($BI34-$BH34)/12)))-$BF34)/$BG34)^2*SIN(($BH34+12*($BI34-$BH34)/12))^2</f>
        <v/>
      </c>
      <c r="BW34">
        <f>BJ34*COS(($BH34+0*($BI34-$BH34)/12))</f>
        <v/>
      </c>
      <c r="BX34">
        <f>BK34*COS(($BH34+1*($BI34-$BH34)/12))</f>
        <v/>
      </c>
      <c r="BY34">
        <f>BL34*COS(($BH34+2*($BI34-$BH34)/12))</f>
        <v/>
      </c>
      <c r="BZ34">
        <f>BM34*COS(($BH34+3*($BI34-$BH34)/12))</f>
        <v/>
      </c>
      <c r="CA34">
        <f>BN34*COS(($BH34+4*($BI34-$BH34)/12))</f>
        <v/>
      </c>
      <c r="CB34">
        <f>BO34*COS(($BH34+5*($BI34-$BH34)/12))</f>
        <v/>
      </c>
      <c r="CC34">
        <f>BP34*COS(($BH34+6*($BI34-$BH34)/12))</f>
        <v/>
      </c>
      <c r="CD34">
        <f>BQ34*COS(($BH34+7*($BI34-$BH34)/12))</f>
        <v/>
      </c>
      <c r="CE34">
        <f>BR34*COS(($BH34+8*($BI34-$BH34)/12))</f>
        <v/>
      </c>
      <c r="CF34">
        <f>BS34*COS(($BH34+9*($BI34-$BH34)/12))</f>
        <v/>
      </c>
      <c r="CG34">
        <f>BT34*COS(($BH34+10*($BI34-$BH34)/12))</f>
        <v/>
      </c>
      <c r="CH34">
        <f>BU34*COS(($BH34+11*($BI34-$BH34)/12))</f>
        <v/>
      </c>
      <c r="CI34">
        <f>BV34*COS(($BH34+12*($BI34-$BH34)/12))</f>
        <v/>
      </c>
    </row>
    <row r="35">
      <c r="B35" s="53" t="n">
        <v>10</v>
      </c>
      <c r="C35" s="54">
        <f>0.25*cc_D</f>
        <v/>
      </c>
      <c r="D35" s="55">
        <f>IF($C35&lt;=cc_D,3.5,2*$C35/($C35-3*cc_D/7))</f>
        <v/>
      </c>
      <c r="E35" s="56">
        <f>(fcd_cc*((cc_D/2)^2*($BI35-COS($BI35)*SIN($BI35))-2*(cc_D/2)^2*($BI35-$BH35)/12/3*SUMPRODUCT($BJ$4:$BV$4,$BJ35:$BV35))+SUMPRODUCT($J$5:$AG$5,$J35:$AG35))/1000</f>
        <v/>
      </c>
      <c r="F35" s="56">
        <f>(fcd_cc*(2/3*(cc_D/2)^3*SIN($BI35)^3-2*(cc_D/2)^3*($BI35-$BH35)/12/3*SUMPRODUCT($BW$4:$CI$4,$BW35:$CI35))+SUMPRODUCT($J$5:$AG$5,$J35:$AG35,$J$7:$AG$7))/1E6</f>
        <v/>
      </c>
      <c r="G35" s="56">
        <f>(fcd_cc*((cc_D/2)^2*($BI35-COS($BI35)*SIN($BI35))-2*(cc_D/2)^2*($BI35-$BH35)/12/3*SUMPRODUCT($BJ$4:$BV$4,$BJ35:$BV35))+SUMPRODUCT($J$5:$AG$5,$AH35:$BE35))/1000</f>
        <v/>
      </c>
      <c r="H35" s="56">
        <f>(fcd_cc*(2/3*(cc_D/2)^3*SIN($BI35)^3-2*(cc_D/2)^3*($BI35-$BH35)/12/3*SUMPRODUCT($BW$4:$CI$4,$BW35:$CI35))+SUMPRODUCT($J$5:$AG$5,$AH35:$BE35,$J$19:$AG$19))/1E6</f>
        <v/>
      </c>
      <c r="J35">
        <f>MAX(-fyd_cc,MIN(fyd_cc,Es_cc*IF($C35&lt;=cc_D,0.0035*($C35-J$6)/$C35,0.002*($C35-J$6)/($C35-3*cc_D/7))))-fcd_cc*(1-(1-MAX(0,MIN(1,IF($C35&lt;=cc_D,0.0035*($C35-J$6)/$C35,0.002*($C35-J$6)/($C35-3*cc_D/7))/0.002)))^2)</f>
        <v/>
      </c>
      <c r="K35">
        <f>MAX(-fyd_cc,MIN(fyd_cc,Es_cc*IF($C35&lt;=cc_D,0.0035*($C35-K$6)/$C35,0.002*($C35-K$6)/($C35-3*cc_D/7))))-fcd_cc*(1-(1-MAX(0,MIN(1,IF($C35&lt;=cc_D,0.0035*($C35-K$6)/$C35,0.002*($C35-K$6)/($C35-3*cc_D/7))/0.002)))^2)</f>
        <v/>
      </c>
      <c r="L35">
        <f>MAX(-fyd_cc,MIN(fyd_cc,Es_cc*IF($C35&lt;=cc_D,0.0035*($C35-L$6)/$C35,0.002*($C35-L$6)/($C35-3*cc_D/7))))-fcd_cc*(1-(1-MAX(0,MIN(1,IF($C35&lt;=cc_D,0.0035*($C35-L$6)/$C35,0.002*($C35-L$6)/($C35-3*cc_D/7))/0.002)))^2)</f>
        <v/>
      </c>
      <c r="M35">
        <f>MAX(-fyd_cc,MIN(fyd_cc,Es_cc*IF($C35&lt;=cc_D,0.0035*($C35-M$6)/$C35,0.002*($C35-M$6)/($C35-3*cc_D/7))))-fcd_cc*(1-(1-MAX(0,MIN(1,IF($C35&lt;=cc_D,0.0035*($C35-M$6)/$C35,0.002*($C35-M$6)/($C35-3*cc_D/7))/0.002)))^2)</f>
        <v/>
      </c>
      <c r="N35">
        <f>MAX(-fyd_cc,MIN(fyd_cc,Es_cc*IF($C35&lt;=cc_D,0.0035*($C35-N$6)/$C35,0.002*($C35-N$6)/($C35-3*cc_D/7))))-fcd_cc*(1-(1-MAX(0,MIN(1,IF($C35&lt;=cc_D,0.0035*($C35-N$6)/$C35,0.002*($C35-N$6)/($C35-3*cc_D/7))/0.002)))^2)</f>
        <v/>
      </c>
      <c r="O35">
        <f>MAX(-fyd_cc,MIN(fyd_cc,Es_cc*IF($C35&lt;=cc_D,0.0035*($C35-O$6)/$C35,0.002*($C35-O$6)/($C35-3*cc_D/7))))-fcd_cc*(1-(1-MAX(0,MIN(1,IF($C35&lt;=cc_D,0.0035*($C35-O$6)/$C35,0.002*($C35-O$6)/($C35-3*cc_D/7))/0.002)))^2)</f>
        <v/>
      </c>
      <c r="P35">
        <f>MAX(-fyd_cc,MIN(fyd_cc,Es_cc*IF($C35&lt;=cc_D,0.0035*($C35-P$6)/$C35,0.002*($C35-P$6)/($C35-3*cc_D/7))))-fcd_cc*(1-(1-MAX(0,MIN(1,IF($C35&lt;=cc_D,0.0035*($C35-P$6)/$C35,0.002*($C35-P$6)/($C35-3*cc_D/7))/0.002)))^2)</f>
        <v/>
      </c>
      <c r="Q35">
        <f>MAX(-fyd_cc,MIN(fyd_cc,Es_cc*IF($C35&lt;=cc_D,0.0035*($C35-Q$6)/$C35,0.002*($C35-Q$6)/($C35-3*cc_D/7))))-fcd_cc*(1-(1-MAX(0,MIN(1,IF($C35&lt;=cc_D,0.0035*($C35-Q$6)/$C35,0.002*($C35-Q$6)/($C35-3*cc_D/7))/0.002)))^2)</f>
        <v/>
      </c>
      <c r="R35">
        <f>MAX(-fyd_cc,MIN(fyd_cc,Es_cc*IF($C35&lt;=cc_D,0.0035*($C35-R$6)/$C35,0.002*($C35-R$6)/($C35-3*cc_D/7))))-fcd_cc*(1-(1-MAX(0,MIN(1,IF($C35&lt;=cc_D,0.0035*($C35-R$6)/$C35,0.002*($C35-R$6)/($C35-3*cc_D/7))/0.002)))^2)</f>
        <v/>
      </c>
      <c r="S35">
        <f>MAX(-fyd_cc,MIN(fyd_cc,Es_cc*IF($C35&lt;=cc_D,0.0035*($C35-S$6)/$C35,0.002*($C35-S$6)/($C35-3*cc_D/7))))-fcd_cc*(1-(1-MAX(0,MIN(1,IF($C35&lt;=cc_D,0.0035*($C35-S$6)/$C35,0.002*($C35-S$6)/($C35-3*cc_D/7))/0.002)))^2)</f>
        <v/>
      </c>
      <c r="T35">
        <f>MAX(-fyd_cc,MIN(fyd_cc,Es_cc*IF($C35&lt;=cc_D,0.0035*($C35-T$6)/$C35,0.002*($C35-T$6)/($C35-3*cc_D/7))))-fcd_cc*(1-(1-MAX(0,MIN(1,IF($C35&lt;=cc_D,0.0035*($C35-T$6)/$C35,0.002*($C35-T$6)/($C35-3*cc_D/7))/0.002)))^2)</f>
        <v/>
      </c>
      <c r="U35">
        <f>MAX(-fyd_cc,MIN(fyd_cc,Es_cc*IF($C35&lt;=cc_D,0.0035*($C35-U$6)/$C35,0.002*($C35-U$6)/($C35-3*cc_D/7))))-fcd_cc*(1-(1-MAX(0,MIN(1,IF($C35&lt;=cc_D,0.0035*($C35-U$6)/$C35,0.002*($C35-U$6)/($C35-3*cc_D/7))/0.002)))^2)</f>
        <v/>
      </c>
      <c r="V35">
        <f>MAX(-fyd_cc,MIN(fyd_cc,Es_cc*IF($C35&lt;=cc_D,0.0035*($C35-V$6)/$C35,0.002*($C35-V$6)/($C35-3*cc_D/7))))-fcd_cc*(1-(1-MAX(0,MIN(1,IF($C35&lt;=cc_D,0.0035*($C35-V$6)/$C35,0.002*($C35-V$6)/($C35-3*cc_D/7))/0.002)))^2)</f>
        <v/>
      </c>
      <c r="W35">
        <f>MAX(-fyd_cc,MIN(fyd_cc,Es_cc*IF($C35&lt;=cc_D,0.0035*($C35-W$6)/$C35,0.002*($C35-W$6)/($C35-3*cc_D/7))))-fcd_cc*(1-(1-MAX(0,MIN(1,IF($C35&lt;=cc_D,0.0035*($C35-W$6)/$C35,0.002*($C35-W$6)/($C35-3*cc_D/7))/0.002)))^2)</f>
        <v/>
      </c>
      <c r="X35">
        <f>MAX(-fyd_cc,MIN(fyd_cc,Es_cc*IF($C35&lt;=cc_D,0.0035*($C35-X$6)/$C35,0.002*($C35-X$6)/($C35-3*cc_D/7))))-fcd_cc*(1-(1-MAX(0,MIN(1,IF($C35&lt;=cc_D,0.0035*($C35-X$6)/$C35,0.002*($C35-X$6)/($C35-3*cc_D/7))/0.002)))^2)</f>
        <v/>
      </c>
      <c r="Y35">
        <f>MAX(-fyd_cc,MIN(fyd_cc,Es_cc*IF($C35&lt;=cc_D,0.0035*($C35-Y$6)/$C35,0.002*($C35-Y$6)/($C35-3*cc_D/7))))-fcd_cc*(1-(1-MAX(0,MIN(1,IF($C35&lt;=cc_D,0.0035*($C35-Y$6)/$C35,0.002*($C35-Y$6)/($C35-3*cc_D/7))/0.002)))^2)</f>
        <v/>
      </c>
      <c r="Z35">
        <f>MAX(-fyd_cc,MIN(fyd_cc,Es_cc*IF($C35&lt;=cc_D,0.0035*($C35-Z$6)/$C35,0.002*($C35-Z$6)/($C35-3*cc_D/7))))-fcd_cc*(1-(1-MAX(0,MIN(1,IF($C35&lt;=cc_D,0.0035*($C35-Z$6)/$C35,0.002*($C35-Z$6)/($C35-3*cc_D/7))/0.002)))^2)</f>
        <v/>
      </c>
      <c r="AA35">
        <f>MAX(-fyd_cc,MIN(fyd_cc,Es_cc*IF($C35&lt;=cc_D,0.0035*($C35-AA$6)/$C35,0.002*($C35-AA$6)/($C35-3*cc_D/7))))-fcd_cc*(1-(1-MAX(0,MIN(1,IF($C35&lt;=cc_D,0.0035*($C35-AA$6)/$C35,0.002*($C35-AA$6)/($C35-3*cc_D/7))/0.002)))^2)</f>
        <v/>
      </c>
      <c r="AB35">
        <f>MAX(-fyd_cc,MIN(fyd_cc,Es_cc*IF($C35&lt;=cc_D,0.0035*($C35-AB$6)/$C35,0.002*($C35-AB$6)/($C35-3*cc_D/7))))-fcd_cc*(1-(1-MAX(0,MIN(1,IF($C35&lt;=cc_D,0.0035*($C35-AB$6)/$C35,0.002*($C35-AB$6)/($C35-3*cc_D/7))/0.002)))^2)</f>
        <v/>
      </c>
      <c r="AC35">
        <f>MAX(-fyd_cc,MIN(fyd_cc,Es_cc*IF($C35&lt;=cc_D,0.0035*($C35-AC$6)/$C35,0.002*($C35-AC$6)/($C35-3*cc_D/7))))-fcd_cc*(1-(1-MAX(0,MIN(1,IF($C35&lt;=cc_D,0.0035*($C35-AC$6)/$C35,0.002*($C35-AC$6)/($C35-3*cc_D/7))/0.002)))^2)</f>
        <v/>
      </c>
      <c r="AD35">
        <f>MAX(-fyd_cc,MIN(fyd_cc,Es_cc*IF($C35&lt;=cc_D,0.0035*($C35-AD$6)/$C35,0.002*($C35-AD$6)/($C35-3*cc_D/7))))-fcd_cc*(1-(1-MAX(0,MIN(1,IF($C35&lt;=cc_D,0.0035*($C35-AD$6)/$C35,0.002*($C35-AD$6)/($C35-3*cc_D/7))/0.002)))^2)</f>
        <v/>
      </c>
      <c r="AE35">
        <f>MAX(-fyd_cc,MIN(fyd_cc,Es_cc*IF($C35&lt;=cc_D,0.0035*($C35-AE$6)/$C35,0.002*($C35-AE$6)/($C35-3*cc_D/7))))-fcd_cc*(1-(1-MAX(0,MIN(1,IF($C35&lt;=cc_D,0.0035*($C35-AE$6)/$C35,0.002*($C35-AE$6)/($C35-3*cc_D/7))/0.002)))^2)</f>
        <v/>
      </c>
      <c r="AF35">
        <f>MAX(-fyd_cc,MIN(fyd_cc,Es_cc*IF($C35&lt;=cc_D,0.0035*($C35-AF$6)/$C35,0.002*($C35-AF$6)/($C35-3*cc_D/7))))-fcd_cc*(1-(1-MAX(0,MIN(1,IF($C35&lt;=cc_D,0.0035*($C35-AF$6)/$C35,0.002*($C35-AF$6)/($C35-3*cc_D/7))/0.002)))^2)</f>
        <v/>
      </c>
      <c r="AG35">
        <f>MAX(-fyd_cc,MIN(fyd_cc,Es_cc*IF($C35&lt;=cc_D,0.0035*($C35-AG$6)/$C35,0.002*($C35-AG$6)/($C35-3*cc_D/7))))-fcd_cc*(1-(1-MAX(0,MIN(1,IF($C35&lt;=cc_D,0.0035*($C35-AG$6)/$C35,0.002*($C35-AG$6)/($C35-3*cc_D/7))/0.002)))^2)</f>
        <v/>
      </c>
      <c r="AH35">
        <f>MAX(-fyd_cc,MIN(fyd_cc,Es_cc*IF($C35&lt;=cc_D,0.0035*($C35-J$18)/$C35,0.002*($C35-J$18)/($C35-3*cc_D/7))))-fcd_cc*(1-(1-MAX(0,MIN(1,IF($C35&lt;=cc_D,0.0035*($C35-J$18)/$C35,0.002*($C35-J$18)/($C35-3*cc_D/7))/0.002)))^2)</f>
        <v/>
      </c>
      <c r="AI35">
        <f>MAX(-fyd_cc,MIN(fyd_cc,Es_cc*IF($C35&lt;=cc_D,0.0035*($C35-K$18)/$C35,0.002*($C35-K$18)/($C35-3*cc_D/7))))-fcd_cc*(1-(1-MAX(0,MIN(1,IF($C35&lt;=cc_D,0.0035*($C35-K$18)/$C35,0.002*($C35-K$18)/($C35-3*cc_D/7))/0.002)))^2)</f>
        <v/>
      </c>
      <c r="AJ35">
        <f>MAX(-fyd_cc,MIN(fyd_cc,Es_cc*IF($C35&lt;=cc_D,0.0035*($C35-L$18)/$C35,0.002*($C35-L$18)/($C35-3*cc_D/7))))-fcd_cc*(1-(1-MAX(0,MIN(1,IF($C35&lt;=cc_D,0.0035*($C35-L$18)/$C35,0.002*($C35-L$18)/($C35-3*cc_D/7))/0.002)))^2)</f>
        <v/>
      </c>
      <c r="AK35">
        <f>MAX(-fyd_cc,MIN(fyd_cc,Es_cc*IF($C35&lt;=cc_D,0.0035*($C35-M$18)/$C35,0.002*($C35-M$18)/($C35-3*cc_D/7))))-fcd_cc*(1-(1-MAX(0,MIN(1,IF($C35&lt;=cc_D,0.0035*($C35-M$18)/$C35,0.002*($C35-M$18)/($C35-3*cc_D/7))/0.002)))^2)</f>
        <v/>
      </c>
      <c r="AL35">
        <f>MAX(-fyd_cc,MIN(fyd_cc,Es_cc*IF($C35&lt;=cc_D,0.0035*($C35-N$18)/$C35,0.002*($C35-N$18)/($C35-3*cc_D/7))))-fcd_cc*(1-(1-MAX(0,MIN(1,IF($C35&lt;=cc_D,0.0035*($C35-N$18)/$C35,0.002*($C35-N$18)/($C35-3*cc_D/7))/0.002)))^2)</f>
        <v/>
      </c>
      <c r="AM35">
        <f>MAX(-fyd_cc,MIN(fyd_cc,Es_cc*IF($C35&lt;=cc_D,0.0035*($C35-O$18)/$C35,0.002*($C35-O$18)/($C35-3*cc_D/7))))-fcd_cc*(1-(1-MAX(0,MIN(1,IF($C35&lt;=cc_D,0.0035*($C35-O$18)/$C35,0.002*($C35-O$18)/($C35-3*cc_D/7))/0.002)))^2)</f>
        <v/>
      </c>
      <c r="AN35">
        <f>MAX(-fyd_cc,MIN(fyd_cc,Es_cc*IF($C35&lt;=cc_D,0.0035*($C35-P$18)/$C35,0.002*($C35-P$18)/($C35-3*cc_D/7))))-fcd_cc*(1-(1-MAX(0,MIN(1,IF($C35&lt;=cc_D,0.0035*($C35-P$18)/$C35,0.002*($C35-P$18)/($C35-3*cc_D/7))/0.002)))^2)</f>
        <v/>
      </c>
      <c r="AO35">
        <f>MAX(-fyd_cc,MIN(fyd_cc,Es_cc*IF($C35&lt;=cc_D,0.0035*($C35-Q$18)/$C35,0.002*($C35-Q$18)/($C35-3*cc_D/7))))-fcd_cc*(1-(1-MAX(0,MIN(1,IF($C35&lt;=cc_D,0.0035*($C35-Q$18)/$C35,0.002*($C35-Q$18)/($C35-3*cc_D/7))/0.002)))^2)</f>
        <v/>
      </c>
      <c r="AP35">
        <f>MAX(-fyd_cc,MIN(fyd_cc,Es_cc*IF($C35&lt;=cc_D,0.0035*($C35-R$18)/$C35,0.002*($C35-R$18)/($C35-3*cc_D/7))))-fcd_cc*(1-(1-MAX(0,MIN(1,IF($C35&lt;=cc_D,0.0035*($C35-R$18)/$C35,0.002*($C35-R$18)/($C35-3*cc_D/7))/0.002)))^2)</f>
        <v/>
      </c>
      <c r="AQ35">
        <f>MAX(-fyd_cc,MIN(fyd_cc,Es_cc*IF($C35&lt;=cc_D,0.0035*($C35-S$18)/$C35,0.002*($C35-S$18)/($C35-3*cc_D/7))))-fcd_cc*(1-(1-MAX(0,MIN(1,IF($C35&lt;=cc_D,0.0035*($C35-S$18)/$C35,0.002*($C35-S$18)/($C35-3*cc_D/7))/0.002)))^2)</f>
        <v/>
      </c>
      <c r="AR35">
        <f>MAX(-fyd_cc,MIN(fyd_cc,Es_cc*IF($C35&lt;=cc_D,0.0035*($C35-T$18)/$C35,0.002*($C35-T$18)/($C35-3*cc_D/7))))-fcd_cc*(1-(1-MAX(0,MIN(1,IF($C35&lt;=cc_D,0.0035*($C35-T$18)/$C35,0.002*($C35-T$18)/($C35-3*cc_D/7))/0.002)))^2)</f>
        <v/>
      </c>
      <c r="AS35">
        <f>MAX(-fyd_cc,MIN(fyd_cc,Es_cc*IF($C35&lt;=cc_D,0.0035*($C35-U$18)/$C35,0.002*($C35-U$18)/($C35-3*cc_D/7))))-fcd_cc*(1-(1-MAX(0,MIN(1,IF($C35&lt;=cc_D,0.0035*($C35-U$18)/$C35,0.002*($C35-U$18)/($C35-3*cc_D/7))/0.002)))^2)</f>
        <v/>
      </c>
      <c r="AT35">
        <f>MAX(-fyd_cc,MIN(fyd_cc,Es_cc*IF($C35&lt;=cc_D,0.0035*($C35-V$18)/$C35,0.002*($C35-V$18)/($C35-3*cc_D/7))))-fcd_cc*(1-(1-MAX(0,MIN(1,IF($C35&lt;=cc_D,0.0035*($C35-V$18)/$C35,0.002*($C35-V$18)/($C35-3*cc_D/7))/0.002)))^2)</f>
        <v/>
      </c>
      <c r="AU35">
        <f>MAX(-fyd_cc,MIN(fyd_cc,Es_cc*IF($C35&lt;=cc_D,0.0035*($C35-W$18)/$C35,0.002*($C35-W$18)/($C35-3*cc_D/7))))-fcd_cc*(1-(1-MAX(0,MIN(1,IF($C35&lt;=cc_D,0.0035*($C35-W$18)/$C35,0.002*($C35-W$18)/($C35-3*cc_D/7))/0.002)))^2)</f>
        <v/>
      </c>
      <c r="AV35">
        <f>MAX(-fyd_cc,MIN(fyd_cc,Es_cc*IF($C35&lt;=cc_D,0.0035*($C35-X$18)/$C35,0.002*($C35-X$18)/($C35-3*cc_D/7))))-fcd_cc*(1-(1-MAX(0,MIN(1,IF($C35&lt;=cc_D,0.0035*($C35-X$18)/$C35,0.002*($C35-X$18)/($C35-3*cc_D/7))/0.002)))^2)</f>
        <v/>
      </c>
      <c r="AW35">
        <f>MAX(-fyd_cc,MIN(fyd_cc,Es_cc*IF($C35&lt;=cc_D,0.0035*($C35-Y$18)/$C35,0.002*($C35-Y$18)/($C35-3*cc_D/7))))-fcd_cc*(1-(1-MAX(0,MIN(1,IF($C35&lt;=cc_D,0.0035*($C35-Y$18)/$C35,0.002*($C35-Y$18)/($C35-3*cc_D/7))/0.002)))^2)</f>
        <v/>
      </c>
      <c r="AX35">
        <f>MAX(-fyd_cc,MIN(fyd_cc,Es_cc*IF($C35&lt;=cc_D,0.0035*($C35-Z$18)/$C35,0.002*($C35-Z$18)/($C35-3*cc_D/7))))-fcd_cc*(1-(1-MAX(0,MIN(1,IF($C35&lt;=cc_D,0.0035*($C35-Z$18)/$C35,0.002*($C35-Z$18)/($C35-3*cc_D/7))/0.002)))^2)</f>
        <v/>
      </c>
      <c r="AY35">
        <f>MAX(-fyd_cc,MIN(fyd_cc,Es_cc*IF($C35&lt;=cc_D,0.0035*($C35-AA$18)/$C35,0.002*($C35-AA$18)/($C35-3*cc_D/7))))-fcd_cc*(1-(1-MAX(0,MIN(1,IF($C35&lt;=cc_D,0.0035*($C35-AA$18)/$C35,0.002*($C35-AA$18)/($C35-3*cc_D/7))/0.002)))^2)</f>
        <v/>
      </c>
      <c r="AZ35">
        <f>MAX(-fyd_cc,MIN(fyd_cc,Es_cc*IF($C35&lt;=cc_D,0.0035*($C35-AB$18)/$C35,0.002*($C35-AB$18)/($C35-3*cc_D/7))))-fcd_cc*(1-(1-MAX(0,MIN(1,IF($C35&lt;=cc_D,0.0035*($C35-AB$18)/$C35,0.002*($C35-AB$18)/($C35-3*cc_D/7))/0.002)))^2)</f>
        <v/>
      </c>
      <c r="BA35">
        <f>MAX(-fyd_cc,MIN(fyd_cc,Es_cc*IF($C35&lt;=cc_D,0.0035*($C35-AC$18)/$C35,0.002*($C35-AC$18)/($C35-3*cc_D/7))))-fcd_cc*(1-(1-MAX(0,MIN(1,IF($C35&lt;=cc_D,0.0035*($C35-AC$18)/$C35,0.002*($C35-AC$18)/($C35-3*cc_D/7))/0.002)))^2)</f>
        <v/>
      </c>
      <c r="BB35">
        <f>MAX(-fyd_cc,MIN(fyd_cc,Es_cc*IF($C35&lt;=cc_D,0.0035*($C35-AD$18)/$C35,0.002*($C35-AD$18)/($C35-3*cc_D/7))))-fcd_cc*(1-(1-MAX(0,MIN(1,IF($C35&lt;=cc_D,0.0035*($C35-AD$18)/$C35,0.002*($C35-AD$18)/($C35-3*cc_D/7))/0.002)))^2)</f>
        <v/>
      </c>
      <c r="BC35">
        <f>MAX(-fyd_cc,MIN(fyd_cc,Es_cc*IF($C35&lt;=cc_D,0.0035*($C35-AE$18)/$C35,0.002*($C35-AE$18)/($C35-3*cc_D/7))))-fcd_cc*(1-(1-MAX(0,MIN(1,IF($C35&lt;=cc_D,0.0035*($C35-AE$18)/$C35,0.002*($C35-AE$18)/($C35-3*cc_D/7))/0.002)))^2)</f>
        <v/>
      </c>
      <c r="BD35">
        <f>MAX(-fyd_cc,MIN(fyd_cc,Es_cc*IF($C35&lt;=cc_D,0.0035*($C35-AF$18)/$C35,0.002*($C35-AF$18)/($C35-3*cc_D/7))))-fcd_cc*(1-(1-MAX(0,MIN(1,IF($C35&lt;=cc_D,0.0035*($C35-AF$18)/$C35,0.002*($C35-AF$18)/($C35-3*cc_D/7))/0.002)))^2)</f>
        <v/>
      </c>
      <c r="BE35">
        <f>MAX(-fyd_cc,MIN(fyd_cc,Es_cc*IF($C35&lt;=cc_D,0.0035*($C35-AG$18)/$C35,0.002*($C35-AG$18)/($C35-3*cc_D/7))))-fcd_cc*(1-(1-MAX(0,MIN(1,IF($C35&lt;=cc_D,0.0035*($C35-AG$18)/$C35,0.002*($C35-AG$18)/($C35-3*cc_D/7))/0.002)))^2)</f>
        <v/>
      </c>
      <c r="BF35">
        <f>3*MIN($C35,cc_D)/7</f>
        <v/>
      </c>
      <c r="BG35">
        <f>$C35-$BF35</f>
        <v/>
      </c>
      <c r="BH35">
        <f>ACOS(MAX(-1,MIN(1,1-$BF35/(cc_D/2))))</f>
        <v/>
      </c>
      <c r="BI35">
        <f>ACOS(MAX(-1,MIN(1,1-MIN($C35,cc_D)/(cc_D/2))))</f>
        <v/>
      </c>
      <c r="BJ35">
        <f>((cc_D/2*(1-COS(($BH35+0*($BI35-$BH35)/12)))-$BF35)/$BG35)^2*SIN(($BH35+0*($BI35-$BH35)/12))^2</f>
        <v/>
      </c>
      <c r="BK35">
        <f>((cc_D/2*(1-COS(($BH35+1*($BI35-$BH35)/12)))-$BF35)/$BG35)^2*SIN(($BH35+1*($BI35-$BH35)/12))^2</f>
        <v/>
      </c>
      <c r="BL35">
        <f>((cc_D/2*(1-COS(($BH35+2*($BI35-$BH35)/12)))-$BF35)/$BG35)^2*SIN(($BH35+2*($BI35-$BH35)/12))^2</f>
        <v/>
      </c>
      <c r="BM35">
        <f>((cc_D/2*(1-COS(($BH35+3*($BI35-$BH35)/12)))-$BF35)/$BG35)^2*SIN(($BH35+3*($BI35-$BH35)/12))^2</f>
        <v/>
      </c>
      <c r="BN35">
        <f>((cc_D/2*(1-COS(($BH35+4*($BI35-$BH35)/12)))-$BF35)/$BG35)^2*SIN(($BH35+4*($BI35-$BH35)/12))^2</f>
        <v/>
      </c>
      <c r="BO35">
        <f>((cc_D/2*(1-COS(($BH35+5*($BI35-$BH35)/12)))-$BF35)/$BG35)^2*SIN(($BH35+5*($BI35-$BH35)/12))^2</f>
        <v/>
      </c>
      <c r="BP35">
        <f>((cc_D/2*(1-COS(($BH35+6*($BI35-$BH35)/12)))-$BF35)/$BG35)^2*SIN(($BH35+6*($BI35-$BH35)/12))^2</f>
        <v/>
      </c>
      <c r="BQ35">
        <f>((cc_D/2*(1-COS(($BH35+7*($BI35-$BH35)/12)))-$BF35)/$BG35)^2*SIN(($BH35+7*($BI35-$BH35)/12))^2</f>
        <v/>
      </c>
      <c r="BR35">
        <f>((cc_D/2*(1-COS(($BH35+8*($BI35-$BH35)/12)))-$BF35)/$BG35)^2*SIN(($BH35+8*($BI35-$BH35)/12))^2</f>
        <v/>
      </c>
      <c r="BS35">
        <f>((cc_D/2*(1-COS(($BH35+9*($BI35-$BH35)/12)))-$BF35)/$BG35)^2*SIN(($BH35+9*($BI35-$BH35)/12))^2</f>
        <v/>
      </c>
      <c r="BT35">
        <f>((cc_D/2*(1-COS(($BH35+10*($BI35-$BH35)/12)))-$BF35)/$BG35)^2*SIN(($BH35+10*($BI35-$BH35)/12))^2</f>
        <v/>
      </c>
      <c r="BU35">
        <f>((cc_D/2*(1-COS(($BH35+11*($BI35-$BH35)/12)))-$BF35)/$BG35)^2*SIN(($BH35+11*($BI35-$BH35)/12))^2</f>
        <v/>
      </c>
      <c r="BV35">
        <f>((cc_D/2*(1-COS(($BH35+12*($BI35-$BH35)/12)))-$BF35)/$BG35)^2*SIN(($BH35+12*($BI35-$BH35)/12))^2</f>
        <v/>
      </c>
      <c r="BW35">
        <f>BJ35*COS(($BH35+0*($BI35-$BH35)/12))</f>
        <v/>
      </c>
      <c r="BX35">
        <f>BK35*COS(($BH35+1*($BI35-$BH35)/12))</f>
        <v/>
      </c>
      <c r="BY35">
        <f>BL35*COS(($BH35+2*($BI35-$BH35)/12))</f>
        <v/>
      </c>
      <c r="BZ35">
        <f>BM35*COS(($BH35+3*($BI35-$BH35)/12))</f>
        <v/>
      </c>
      <c r="CA35">
        <f>BN35*COS(($BH35+4*($BI35-$BH35)/12))</f>
        <v/>
      </c>
      <c r="CB35">
        <f>BO35*COS(($BH35+5*($BI35-$BH35)/12))</f>
        <v/>
      </c>
      <c r="CC35">
        <f>BP35*COS(($BH35+6*($BI35-$BH35)/12))</f>
        <v/>
      </c>
      <c r="CD35">
        <f>BQ35*COS(($BH35+7*($BI35-$BH35)/12))</f>
        <v/>
      </c>
      <c r="CE35">
        <f>BR35*COS(($BH35+8*($BI35-$BH35)/12))</f>
        <v/>
      </c>
      <c r="CF35">
        <f>BS35*COS(($BH35+9*($BI35-$BH35)/12))</f>
        <v/>
      </c>
      <c r="CG35">
        <f>BT35*COS(($BH35+10*($BI35-$BH35)/12))</f>
        <v/>
      </c>
      <c r="CH35">
        <f>BU35*COS(($BH35+11*($BI35-$BH35)/12))</f>
        <v/>
      </c>
      <c r="CI35">
        <f>BV35*COS(($BH35+12*($BI35-$BH35)/12))</f>
        <v/>
      </c>
    </row>
    <row r="36">
      <c r="B36" s="53" t="n">
        <v>11</v>
      </c>
      <c r="C36" s="54">
        <f>0.3*cc_D</f>
        <v/>
      </c>
      <c r="D36" s="55">
        <f>IF($C36&lt;=cc_D,3.5,2*$C36/($C36-3*cc_D/7))</f>
        <v/>
      </c>
      <c r="E36" s="56">
        <f>(fcd_cc*((cc_D/2)^2*($BI36-COS($BI36)*SIN($BI36))-2*(cc_D/2)^2*($BI36-$BH36)/12/3*SUMPRODUCT($BJ$4:$BV$4,$BJ36:$BV36))+SUMPRODUCT($J$5:$AG$5,$J36:$AG36))/1000</f>
        <v/>
      </c>
      <c r="F36" s="56">
        <f>(fcd_cc*(2/3*(cc_D/2)^3*SIN($BI36)^3-2*(cc_D/2)^3*($BI36-$BH36)/12/3*SUMPRODUCT($BW$4:$CI$4,$BW36:$CI36))+SUMPRODUCT($J$5:$AG$5,$J36:$AG36,$J$7:$AG$7))/1E6</f>
        <v/>
      </c>
      <c r="G36" s="56">
        <f>(fcd_cc*((cc_D/2)^2*($BI36-COS($BI36)*SIN($BI36))-2*(cc_D/2)^2*($BI36-$BH36)/12/3*SUMPRODUCT($BJ$4:$BV$4,$BJ36:$BV36))+SUMPRODUCT($J$5:$AG$5,$AH36:$BE36))/1000</f>
        <v/>
      </c>
      <c r="H36" s="56">
        <f>(fcd_cc*(2/3*(cc_D/2)^3*SIN($BI36)^3-2*(cc_D/2)^3*($BI36-$BH36)/12/3*SUMPRODUCT($BW$4:$CI$4,$BW36:$CI36))+SUMPRODUCT($J$5:$AG$5,$AH36:$BE36,$J$19:$AG$19))/1E6</f>
        <v/>
      </c>
      <c r="J36">
        <f>MAX(-fyd_cc,MIN(fyd_cc,Es_cc*IF($C36&lt;=cc_D,0.0035*($C36-J$6)/$C36,0.002*($C36-J$6)/($C36-3*cc_D/7))))-fcd_cc*(1-(1-MAX(0,MIN(1,IF($C36&lt;=cc_D,0.0035*($C36-J$6)/$C36,0.002*($C36-J$6)/($C36-3*cc_D/7))/0.002)))^2)</f>
        <v/>
      </c>
      <c r="K36">
        <f>MAX(-fyd_cc,MIN(fyd_cc,Es_cc*IF($C36&lt;=cc_D,0.0035*($C36-K$6)/$C36,0.002*($C36-K$6)/($C36-3*cc_D/7))))-fcd_cc*(1-(1-MAX(0,MIN(1,IF($C36&lt;=cc_D,0.0035*($C36-K$6)/$C36,0.002*($C36-K$6)/($C36-3*cc_D/7))/0.002)))^2)</f>
        <v/>
      </c>
      <c r="L36">
        <f>MAX(-fyd_cc,MIN(fyd_cc,Es_cc*IF($C36&lt;=cc_D,0.0035*($C36-L$6)/$C36,0.002*($C36-L$6)/($C36-3*cc_D/7))))-fcd_cc*(1-(1-MAX(0,MIN(1,IF($C36&lt;=cc_D,0.0035*($C36-L$6)/$C36,0.002*($C36-L$6)/($C36-3*cc_D/7))/0.002)))^2)</f>
        <v/>
      </c>
      <c r="M36">
        <f>MAX(-fyd_cc,MIN(fyd_cc,Es_cc*IF($C36&lt;=cc_D,0.0035*($C36-M$6)/$C36,0.002*($C36-M$6)/($C36-3*cc_D/7))))-fcd_cc*(1-(1-MAX(0,MIN(1,IF($C36&lt;=cc_D,0.0035*($C36-M$6)/$C36,0.002*($C36-M$6)/($C36-3*cc_D/7))/0.002)))^2)</f>
        <v/>
      </c>
      <c r="N36">
        <f>MAX(-fyd_cc,MIN(fyd_cc,Es_cc*IF($C36&lt;=cc_D,0.0035*($C36-N$6)/$C36,0.002*($C36-N$6)/($C36-3*cc_D/7))))-fcd_cc*(1-(1-MAX(0,MIN(1,IF($C36&lt;=cc_D,0.0035*($C36-N$6)/$C36,0.002*($C36-N$6)/($C36-3*cc_D/7))/0.002)))^2)</f>
        <v/>
      </c>
      <c r="O36">
        <f>MAX(-fyd_cc,MIN(fyd_cc,Es_cc*IF($C36&lt;=cc_D,0.0035*($C36-O$6)/$C36,0.002*($C36-O$6)/($C36-3*cc_D/7))))-fcd_cc*(1-(1-MAX(0,MIN(1,IF($C36&lt;=cc_D,0.0035*($C36-O$6)/$C36,0.002*($C36-O$6)/($C36-3*cc_D/7))/0.002)))^2)</f>
        <v/>
      </c>
      <c r="P36">
        <f>MAX(-fyd_cc,MIN(fyd_cc,Es_cc*IF($C36&lt;=cc_D,0.0035*($C36-P$6)/$C36,0.002*($C36-P$6)/($C36-3*cc_D/7))))-fcd_cc*(1-(1-MAX(0,MIN(1,IF($C36&lt;=cc_D,0.0035*($C36-P$6)/$C36,0.002*($C36-P$6)/($C36-3*cc_D/7))/0.002)))^2)</f>
        <v/>
      </c>
      <c r="Q36">
        <f>MAX(-fyd_cc,MIN(fyd_cc,Es_cc*IF($C36&lt;=cc_D,0.0035*($C36-Q$6)/$C36,0.002*($C36-Q$6)/($C36-3*cc_D/7))))-fcd_cc*(1-(1-MAX(0,MIN(1,IF($C36&lt;=cc_D,0.0035*($C36-Q$6)/$C36,0.002*($C36-Q$6)/($C36-3*cc_D/7))/0.002)))^2)</f>
        <v/>
      </c>
      <c r="R36">
        <f>MAX(-fyd_cc,MIN(fyd_cc,Es_cc*IF($C36&lt;=cc_D,0.0035*($C36-R$6)/$C36,0.002*($C36-R$6)/($C36-3*cc_D/7))))-fcd_cc*(1-(1-MAX(0,MIN(1,IF($C36&lt;=cc_D,0.0035*($C36-R$6)/$C36,0.002*($C36-R$6)/($C36-3*cc_D/7))/0.002)))^2)</f>
        <v/>
      </c>
      <c r="S36">
        <f>MAX(-fyd_cc,MIN(fyd_cc,Es_cc*IF($C36&lt;=cc_D,0.0035*($C36-S$6)/$C36,0.002*($C36-S$6)/($C36-3*cc_D/7))))-fcd_cc*(1-(1-MAX(0,MIN(1,IF($C36&lt;=cc_D,0.0035*($C36-S$6)/$C36,0.002*($C36-S$6)/($C36-3*cc_D/7))/0.002)))^2)</f>
        <v/>
      </c>
      <c r="T36">
        <f>MAX(-fyd_cc,MIN(fyd_cc,Es_cc*IF($C36&lt;=cc_D,0.0035*($C36-T$6)/$C36,0.002*($C36-T$6)/($C36-3*cc_D/7))))-fcd_cc*(1-(1-MAX(0,MIN(1,IF($C36&lt;=cc_D,0.0035*($C36-T$6)/$C36,0.002*($C36-T$6)/($C36-3*cc_D/7))/0.002)))^2)</f>
        <v/>
      </c>
      <c r="U36">
        <f>MAX(-fyd_cc,MIN(fyd_cc,Es_cc*IF($C36&lt;=cc_D,0.0035*($C36-U$6)/$C36,0.002*($C36-U$6)/($C36-3*cc_D/7))))-fcd_cc*(1-(1-MAX(0,MIN(1,IF($C36&lt;=cc_D,0.0035*($C36-U$6)/$C36,0.002*($C36-U$6)/($C36-3*cc_D/7))/0.002)))^2)</f>
        <v/>
      </c>
      <c r="V36">
        <f>MAX(-fyd_cc,MIN(fyd_cc,Es_cc*IF($C36&lt;=cc_D,0.0035*($C36-V$6)/$C36,0.002*($C36-V$6)/($C36-3*cc_D/7))))-fcd_cc*(1-(1-MAX(0,MIN(1,IF($C36&lt;=cc_D,0.0035*($C36-V$6)/$C36,0.002*($C36-V$6)/($C36-3*cc_D/7))/0.002)))^2)</f>
        <v/>
      </c>
      <c r="W36">
        <f>MAX(-fyd_cc,MIN(fyd_cc,Es_cc*IF($C36&lt;=cc_D,0.0035*($C36-W$6)/$C36,0.002*($C36-W$6)/($C36-3*cc_D/7))))-fcd_cc*(1-(1-MAX(0,MIN(1,IF($C36&lt;=cc_D,0.0035*($C36-W$6)/$C36,0.002*($C36-W$6)/($C36-3*cc_D/7))/0.002)))^2)</f>
        <v/>
      </c>
      <c r="X36">
        <f>MAX(-fyd_cc,MIN(fyd_cc,Es_cc*IF($C36&lt;=cc_D,0.0035*($C36-X$6)/$C36,0.002*($C36-X$6)/($C36-3*cc_D/7))))-fcd_cc*(1-(1-MAX(0,MIN(1,IF($C36&lt;=cc_D,0.0035*($C36-X$6)/$C36,0.002*($C36-X$6)/($C36-3*cc_D/7))/0.002)))^2)</f>
        <v/>
      </c>
      <c r="Y36">
        <f>MAX(-fyd_cc,MIN(fyd_cc,Es_cc*IF($C36&lt;=cc_D,0.0035*($C36-Y$6)/$C36,0.002*($C36-Y$6)/($C36-3*cc_D/7))))-fcd_cc*(1-(1-MAX(0,MIN(1,IF($C36&lt;=cc_D,0.0035*($C36-Y$6)/$C36,0.002*($C36-Y$6)/($C36-3*cc_D/7))/0.002)))^2)</f>
        <v/>
      </c>
      <c r="Z36">
        <f>MAX(-fyd_cc,MIN(fyd_cc,Es_cc*IF($C36&lt;=cc_D,0.0035*($C36-Z$6)/$C36,0.002*($C36-Z$6)/($C36-3*cc_D/7))))-fcd_cc*(1-(1-MAX(0,MIN(1,IF($C36&lt;=cc_D,0.0035*($C36-Z$6)/$C36,0.002*($C36-Z$6)/($C36-3*cc_D/7))/0.002)))^2)</f>
        <v/>
      </c>
      <c r="AA36">
        <f>MAX(-fyd_cc,MIN(fyd_cc,Es_cc*IF($C36&lt;=cc_D,0.0035*($C36-AA$6)/$C36,0.002*($C36-AA$6)/($C36-3*cc_D/7))))-fcd_cc*(1-(1-MAX(0,MIN(1,IF($C36&lt;=cc_D,0.0035*($C36-AA$6)/$C36,0.002*($C36-AA$6)/($C36-3*cc_D/7))/0.002)))^2)</f>
        <v/>
      </c>
      <c r="AB36">
        <f>MAX(-fyd_cc,MIN(fyd_cc,Es_cc*IF($C36&lt;=cc_D,0.0035*($C36-AB$6)/$C36,0.002*($C36-AB$6)/($C36-3*cc_D/7))))-fcd_cc*(1-(1-MAX(0,MIN(1,IF($C36&lt;=cc_D,0.0035*($C36-AB$6)/$C36,0.002*($C36-AB$6)/($C36-3*cc_D/7))/0.002)))^2)</f>
        <v/>
      </c>
      <c r="AC36">
        <f>MAX(-fyd_cc,MIN(fyd_cc,Es_cc*IF($C36&lt;=cc_D,0.0035*($C36-AC$6)/$C36,0.002*($C36-AC$6)/($C36-3*cc_D/7))))-fcd_cc*(1-(1-MAX(0,MIN(1,IF($C36&lt;=cc_D,0.0035*($C36-AC$6)/$C36,0.002*($C36-AC$6)/($C36-3*cc_D/7))/0.002)))^2)</f>
        <v/>
      </c>
      <c r="AD36">
        <f>MAX(-fyd_cc,MIN(fyd_cc,Es_cc*IF($C36&lt;=cc_D,0.0035*($C36-AD$6)/$C36,0.002*($C36-AD$6)/($C36-3*cc_D/7))))-fcd_cc*(1-(1-MAX(0,MIN(1,IF($C36&lt;=cc_D,0.0035*($C36-AD$6)/$C36,0.002*($C36-AD$6)/($C36-3*cc_D/7))/0.002)))^2)</f>
        <v/>
      </c>
      <c r="AE36">
        <f>MAX(-fyd_cc,MIN(fyd_cc,Es_cc*IF($C36&lt;=cc_D,0.0035*($C36-AE$6)/$C36,0.002*($C36-AE$6)/($C36-3*cc_D/7))))-fcd_cc*(1-(1-MAX(0,MIN(1,IF($C36&lt;=cc_D,0.0035*($C36-AE$6)/$C36,0.002*($C36-AE$6)/($C36-3*cc_D/7))/0.002)))^2)</f>
        <v/>
      </c>
      <c r="AF36">
        <f>MAX(-fyd_cc,MIN(fyd_cc,Es_cc*IF($C36&lt;=cc_D,0.0035*($C36-AF$6)/$C36,0.002*($C36-AF$6)/($C36-3*cc_D/7))))-fcd_cc*(1-(1-MAX(0,MIN(1,IF($C36&lt;=cc_D,0.0035*($C36-AF$6)/$C36,0.002*($C36-AF$6)/($C36-3*cc_D/7))/0.002)))^2)</f>
        <v/>
      </c>
      <c r="AG36">
        <f>MAX(-fyd_cc,MIN(fyd_cc,Es_cc*IF($C36&lt;=cc_D,0.0035*($C36-AG$6)/$C36,0.002*($C36-AG$6)/($C36-3*cc_D/7))))-fcd_cc*(1-(1-MAX(0,MIN(1,IF($C36&lt;=cc_D,0.0035*($C36-AG$6)/$C36,0.002*($C36-AG$6)/($C36-3*cc_D/7))/0.002)))^2)</f>
        <v/>
      </c>
      <c r="AH36">
        <f>MAX(-fyd_cc,MIN(fyd_cc,Es_cc*IF($C36&lt;=cc_D,0.0035*($C36-J$18)/$C36,0.002*($C36-J$18)/($C36-3*cc_D/7))))-fcd_cc*(1-(1-MAX(0,MIN(1,IF($C36&lt;=cc_D,0.0035*($C36-J$18)/$C36,0.002*($C36-J$18)/($C36-3*cc_D/7))/0.002)))^2)</f>
        <v/>
      </c>
      <c r="AI36">
        <f>MAX(-fyd_cc,MIN(fyd_cc,Es_cc*IF($C36&lt;=cc_D,0.0035*($C36-K$18)/$C36,0.002*($C36-K$18)/($C36-3*cc_D/7))))-fcd_cc*(1-(1-MAX(0,MIN(1,IF($C36&lt;=cc_D,0.0035*($C36-K$18)/$C36,0.002*($C36-K$18)/($C36-3*cc_D/7))/0.002)))^2)</f>
        <v/>
      </c>
      <c r="AJ36">
        <f>MAX(-fyd_cc,MIN(fyd_cc,Es_cc*IF($C36&lt;=cc_D,0.0035*($C36-L$18)/$C36,0.002*($C36-L$18)/($C36-3*cc_D/7))))-fcd_cc*(1-(1-MAX(0,MIN(1,IF($C36&lt;=cc_D,0.0035*($C36-L$18)/$C36,0.002*($C36-L$18)/($C36-3*cc_D/7))/0.002)))^2)</f>
        <v/>
      </c>
      <c r="AK36">
        <f>MAX(-fyd_cc,MIN(fyd_cc,Es_cc*IF($C36&lt;=cc_D,0.0035*($C36-M$18)/$C36,0.002*($C36-M$18)/($C36-3*cc_D/7))))-fcd_cc*(1-(1-MAX(0,MIN(1,IF($C36&lt;=cc_D,0.0035*($C36-M$18)/$C36,0.002*($C36-M$18)/($C36-3*cc_D/7))/0.002)))^2)</f>
        <v/>
      </c>
      <c r="AL36">
        <f>MAX(-fyd_cc,MIN(fyd_cc,Es_cc*IF($C36&lt;=cc_D,0.0035*($C36-N$18)/$C36,0.002*($C36-N$18)/($C36-3*cc_D/7))))-fcd_cc*(1-(1-MAX(0,MIN(1,IF($C36&lt;=cc_D,0.0035*($C36-N$18)/$C36,0.002*($C36-N$18)/($C36-3*cc_D/7))/0.002)))^2)</f>
        <v/>
      </c>
      <c r="AM36">
        <f>MAX(-fyd_cc,MIN(fyd_cc,Es_cc*IF($C36&lt;=cc_D,0.0035*($C36-O$18)/$C36,0.002*($C36-O$18)/($C36-3*cc_D/7))))-fcd_cc*(1-(1-MAX(0,MIN(1,IF($C36&lt;=cc_D,0.0035*($C36-O$18)/$C36,0.002*($C36-O$18)/($C36-3*cc_D/7))/0.002)))^2)</f>
        <v/>
      </c>
      <c r="AN36">
        <f>MAX(-fyd_cc,MIN(fyd_cc,Es_cc*IF($C36&lt;=cc_D,0.0035*($C36-P$18)/$C36,0.002*($C36-P$18)/($C36-3*cc_D/7))))-fcd_cc*(1-(1-MAX(0,MIN(1,IF($C36&lt;=cc_D,0.0035*($C36-P$18)/$C36,0.002*($C36-P$18)/($C36-3*cc_D/7))/0.002)))^2)</f>
        <v/>
      </c>
      <c r="AO36">
        <f>MAX(-fyd_cc,MIN(fyd_cc,Es_cc*IF($C36&lt;=cc_D,0.0035*($C36-Q$18)/$C36,0.002*($C36-Q$18)/($C36-3*cc_D/7))))-fcd_cc*(1-(1-MAX(0,MIN(1,IF($C36&lt;=cc_D,0.0035*($C36-Q$18)/$C36,0.002*($C36-Q$18)/($C36-3*cc_D/7))/0.002)))^2)</f>
        <v/>
      </c>
      <c r="AP36">
        <f>MAX(-fyd_cc,MIN(fyd_cc,Es_cc*IF($C36&lt;=cc_D,0.0035*($C36-R$18)/$C36,0.002*($C36-R$18)/($C36-3*cc_D/7))))-fcd_cc*(1-(1-MAX(0,MIN(1,IF($C36&lt;=cc_D,0.0035*($C36-R$18)/$C36,0.002*($C36-R$18)/($C36-3*cc_D/7))/0.002)))^2)</f>
        <v/>
      </c>
      <c r="AQ36">
        <f>MAX(-fyd_cc,MIN(fyd_cc,Es_cc*IF($C36&lt;=cc_D,0.0035*($C36-S$18)/$C36,0.002*($C36-S$18)/($C36-3*cc_D/7))))-fcd_cc*(1-(1-MAX(0,MIN(1,IF($C36&lt;=cc_D,0.0035*($C36-S$18)/$C36,0.002*($C36-S$18)/($C36-3*cc_D/7))/0.002)))^2)</f>
        <v/>
      </c>
      <c r="AR36">
        <f>MAX(-fyd_cc,MIN(fyd_cc,Es_cc*IF($C36&lt;=cc_D,0.0035*($C36-T$18)/$C36,0.002*($C36-T$18)/($C36-3*cc_D/7))))-fcd_cc*(1-(1-MAX(0,MIN(1,IF($C36&lt;=cc_D,0.0035*($C36-T$18)/$C36,0.002*($C36-T$18)/($C36-3*cc_D/7))/0.002)))^2)</f>
        <v/>
      </c>
      <c r="AS36">
        <f>MAX(-fyd_cc,MIN(fyd_cc,Es_cc*IF($C36&lt;=cc_D,0.0035*($C36-U$18)/$C36,0.002*($C36-U$18)/($C36-3*cc_D/7))))-fcd_cc*(1-(1-MAX(0,MIN(1,IF($C36&lt;=cc_D,0.0035*($C36-U$18)/$C36,0.002*($C36-U$18)/($C36-3*cc_D/7))/0.002)))^2)</f>
        <v/>
      </c>
      <c r="AT36">
        <f>MAX(-fyd_cc,MIN(fyd_cc,Es_cc*IF($C36&lt;=cc_D,0.0035*($C36-V$18)/$C36,0.002*($C36-V$18)/($C36-3*cc_D/7))))-fcd_cc*(1-(1-MAX(0,MIN(1,IF($C36&lt;=cc_D,0.0035*($C36-V$18)/$C36,0.002*($C36-V$18)/($C36-3*cc_D/7))/0.002)))^2)</f>
        <v/>
      </c>
      <c r="AU36">
        <f>MAX(-fyd_cc,MIN(fyd_cc,Es_cc*IF($C36&lt;=cc_D,0.0035*($C36-W$18)/$C36,0.002*($C36-W$18)/($C36-3*cc_D/7))))-fcd_cc*(1-(1-MAX(0,MIN(1,IF($C36&lt;=cc_D,0.0035*($C36-W$18)/$C36,0.002*($C36-W$18)/($C36-3*cc_D/7))/0.002)))^2)</f>
        <v/>
      </c>
      <c r="AV36">
        <f>MAX(-fyd_cc,MIN(fyd_cc,Es_cc*IF($C36&lt;=cc_D,0.0035*($C36-X$18)/$C36,0.002*($C36-X$18)/($C36-3*cc_D/7))))-fcd_cc*(1-(1-MAX(0,MIN(1,IF($C36&lt;=cc_D,0.0035*($C36-X$18)/$C36,0.002*($C36-X$18)/($C36-3*cc_D/7))/0.002)))^2)</f>
        <v/>
      </c>
      <c r="AW36">
        <f>MAX(-fyd_cc,MIN(fyd_cc,Es_cc*IF($C36&lt;=cc_D,0.0035*($C36-Y$18)/$C36,0.002*($C36-Y$18)/($C36-3*cc_D/7))))-fcd_cc*(1-(1-MAX(0,MIN(1,IF($C36&lt;=cc_D,0.0035*($C36-Y$18)/$C36,0.002*($C36-Y$18)/($C36-3*cc_D/7))/0.002)))^2)</f>
        <v/>
      </c>
      <c r="AX36">
        <f>MAX(-fyd_cc,MIN(fyd_cc,Es_cc*IF($C36&lt;=cc_D,0.0035*($C36-Z$18)/$C36,0.002*($C36-Z$18)/($C36-3*cc_D/7))))-fcd_cc*(1-(1-MAX(0,MIN(1,IF($C36&lt;=cc_D,0.0035*($C36-Z$18)/$C36,0.002*($C36-Z$18)/($C36-3*cc_D/7))/0.002)))^2)</f>
        <v/>
      </c>
      <c r="AY36">
        <f>MAX(-fyd_cc,MIN(fyd_cc,Es_cc*IF($C36&lt;=cc_D,0.0035*($C36-AA$18)/$C36,0.002*($C36-AA$18)/($C36-3*cc_D/7))))-fcd_cc*(1-(1-MAX(0,MIN(1,IF($C36&lt;=cc_D,0.0035*($C36-AA$18)/$C36,0.002*($C36-AA$18)/($C36-3*cc_D/7))/0.002)))^2)</f>
        <v/>
      </c>
      <c r="AZ36">
        <f>MAX(-fyd_cc,MIN(fyd_cc,Es_cc*IF($C36&lt;=cc_D,0.0035*($C36-AB$18)/$C36,0.002*($C36-AB$18)/($C36-3*cc_D/7))))-fcd_cc*(1-(1-MAX(0,MIN(1,IF($C36&lt;=cc_D,0.0035*($C36-AB$18)/$C36,0.002*($C36-AB$18)/($C36-3*cc_D/7))/0.002)))^2)</f>
        <v/>
      </c>
      <c r="BA36">
        <f>MAX(-fyd_cc,MIN(fyd_cc,Es_cc*IF($C36&lt;=cc_D,0.0035*($C36-AC$18)/$C36,0.002*($C36-AC$18)/($C36-3*cc_D/7))))-fcd_cc*(1-(1-MAX(0,MIN(1,IF($C36&lt;=cc_D,0.0035*($C36-AC$18)/$C36,0.002*($C36-AC$18)/($C36-3*cc_D/7))/0.002)))^2)</f>
        <v/>
      </c>
      <c r="BB36">
        <f>MAX(-fyd_cc,MIN(fyd_cc,Es_cc*IF($C36&lt;=cc_D,0.0035*($C36-AD$18)/$C36,0.002*($C36-AD$18)/($C36-3*cc_D/7))))-fcd_cc*(1-(1-MAX(0,MIN(1,IF($C36&lt;=cc_D,0.0035*($C36-AD$18)/$C36,0.002*($C36-AD$18)/($C36-3*cc_D/7))/0.002)))^2)</f>
        <v/>
      </c>
      <c r="BC36">
        <f>MAX(-fyd_cc,MIN(fyd_cc,Es_cc*IF($C36&lt;=cc_D,0.0035*($C36-AE$18)/$C36,0.002*($C36-AE$18)/($C36-3*cc_D/7))))-fcd_cc*(1-(1-MAX(0,MIN(1,IF($C36&lt;=cc_D,0.0035*($C36-AE$18)/$C36,0.002*($C36-AE$18)/($C36-3*cc_D/7))/0.002)))^2)</f>
        <v/>
      </c>
      <c r="BD36">
        <f>MAX(-fyd_cc,MIN(fyd_cc,Es_cc*IF($C36&lt;=cc_D,0.0035*($C36-AF$18)/$C36,0.002*($C36-AF$18)/($C36-3*cc_D/7))))-fcd_cc*(1-(1-MAX(0,MIN(1,IF($C36&lt;=cc_D,0.0035*($C36-AF$18)/$C36,0.002*($C36-AF$18)/($C36-3*cc_D/7))/0.002)))^2)</f>
        <v/>
      </c>
      <c r="BE36">
        <f>MAX(-fyd_cc,MIN(fyd_cc,Es_cc*IF($C36&lt;=cc_D,0.0035*($C36-AG$18)/$C36,0.002*($C36-AG$18)/($C36-3*cc_D/7))))-fcd_cc*(1-(1-MAX(0,MIN(1,IF($C36&lt;=cc_D,0.0035*($C36-AG$18)/$C36,0.002*($C36-AG$18)/($C36-3*cc_D/7))/0.002)))^2)</f>
        <v/>
      </c>
      <c r="BF36">
        <f>3*MIN($C36,cc_D)/7</f>
        <v/>
      </c>
      <c r="BG36">
        <f>$C36-$BF36</f>
        <v/>
      </c>
      <c r="BH36">
        <f>ACOS(MAX(-1,MIN(1,1-$BF36/(cc_D/2))))</f>
        <v/>
      </c>
      <c r="BI36">
        <f>ACOS(MAX(-1,MIN(1,1-MIN($C36,cc_D)/(cc_D/2))))</f>
        <v/>
      </c>
      <c r="BJ36">
        <f>((cc_D/2*(1-COS(($BH36+0*($BI36-$BH36)/12)))-$BF36)/$BG36)^2*SIN(($BH36+0*($BI36-$BH36)/12))^2</f>
        <v/>
      </c>
      <c r="BK36">
        <f>((cc_D/2*(1-COS(($BH36+1*($BI36-$BH36)/12)))-$BF36)/$BG36)^2*SIN(($BH36+1*($BI36-$BH36)/12))^2</f>
        <v/>
      </c>
      <c r="BL36">
        <f>((cc_D/2*(1-COS(($BH36+2*($BI36-$BH36)/12)))-$BF36)/$BG36)^2*SIN(($BH36+2*($BI36-$BH36)/12))^2</f>
        <v/>
      </c>
      <c r="BM36">
        <f>((cc_D/2*(1-COS(($BH36+3*($BI36-$BH36)/12)))-$BF36)/$BG36)^2*SIN(($BH36+3*($BI36-$BH36)/12))^2</f>
        <v/>
      </c>
      <c r="BN36">
        <f>((cc_D/2*(1-COS(($BH36+4*($BI36-$BH36)/12)))-$BF36)/$BG36)^2*SIN(($BH36+4*($BI36-$BH36)/12))^2</f>
        <v/>
      </c>
      <c r="BO36">
        <f>((cc_D/2*(1-COS(($BH36+5*($BI36-$BH36)/12)))-$BF36)/$BG36)^2*SIN(($BH36+5*($BI36-$BH36)/12))^2</f>
        <v/>
      </c>
      <c r="BP36">
        <f>((cc_D/2*(1-COS(($BH36+6*($BI36-$BH36)/12)))-$BF36)/$BG36)^2*SIN(($BH36+6*($BI36-$BH36)/12))^2</f>
        <v/>
      </c>
      <c r="BQ36">
        <f>((cc_D/2*(1-COS(($BH36+7*($BI36-$BH36)/12)))-$BF36)/$BG36)^2*SIN(($BH36+7*($BI36-$BH36)/12))^2</f>
        <v/>
      </c>
      <c r="BR36">
        <f>((cc_D/2*(1-COS(($BH36+8*($BI36-$BH36)/12)))-$BF36)/$BG36)^2*SIN(($BH36+8*($BI36-$BH36)/12))^2</f>
        <v/>
      </c>
      <c r="BS36">
        <f>((cc_D/2*(1-COS(($BH36+9*($BI36-$BH36)/12)))-$BF36)/$BG36)^2*SIN(($BH36+9*($BI36-$BH36)/12))^2</f>
        <v/>
      </c>
      <c r="BT36">
        <f>((cc_D/2*(1-COS(($BH36+10*($BI36-$BH36)/12)))-$BF36)/$BG36)^2*SIN(($BH36+10*($BI36-$BH36)/12))^2</f>
        <v/>
      </c>
      <c r="BU36">
        <f>((cc_D/2*(1-COS(($BH36+11*($BI36-$BH36)/12)))-$BF36)/$BG36)^2*SIN(($BH36+11*($BI36-$BH36)/12))^2</f>
        <v/>
      </c>
      <c r="BV36">
        <f>((cc_D/2*(1-COS(($BH36+12*($BI36-$BH36)/12)))-$BF36)/$BG36)^2*SIN(($BH36+12*($BI36-$BH36)/12))^2</f>
        <v/>
      </c>
      <c r="BW36">
        <f>BJ36*COS(($BH36+0*($BI36-$BH36)/12))</f>
        <v/>
      </c>
      <c r="BX36">
        <f>BK36*COS(($BH36+1*($BI36-$BH36)/12))</f>
        <v/>
      </c>
      <c r="BY36">
        <f>BL36*COS(($BH36+2*($BI36-$BH36)/12))</f>
        <v/>
      </c>
      <c r="BZ36">
        <f>BM36*COS(($BH36+3*($BI36-$BH36)/12))</f>
        <v/>
      </c>
      <c r="CA36">
        <f>BN36*COS(($BH36+4*($BI36-$BH36)/12))</f>
        <v/>
      </c>
      <c r="CB36">
        <f>BO36*COS(($BH36+5*($BI36-$BH36)/12))</f>
        <v/>
      </c>
      <c r="CC36">
        <f>BP36*COS(($BH36+6*($BI36-$BH36)/12))</f>
        <v/>
      </c>
      <c r="CD36">
        <f>BQ36*COS(($BH36+7*($BI36-$BH36)/12))</f>
        <v/>
      </c>
      <c r="CE36">
        <f>BR36*COS(($BH36+8*($BI36-$BH36)/12))</f>
        <v/>
      </c>
      <c r="CF36">
        <f>BS36*COS(($BH36+9*($BI36-$BH36)/12))</f>
        <v/>
      </c>
      <c r="CG36">
        <f>BT36*COS(($BH36+10*($BI36-$BH36)/12))</f>
        <v/>
      </c>
      <c r="CH36">
        <f>BU36*COS(($BH36+11*($BI36-$BH36)/12))</f>
        <v/>
      </c>
      <c r="CI36">
        <f>BV36*COS(($BH36+12*($BI36-$BH36)/12))</f>
        <v/>
      </c>
    </row>
    <row r="37">
      <c r="B37" s="53" t="n">
        <v>12</v>
      </c>
      <c r="C37" s="54">
        <f>0.35*cc_D</f>
        <v/>
      </c>
      <c r="D37" s="55">
        <f>IF($C37&lt;=cc_D,3.5,2*$C37/($C37-3*cc_D/7))</f>
        <v/>
      </c>
      <c r="E37" s="56">
        <f>(fcd_cc*((cc_D/2)^2*($BI37-COS($BI37)*SIN($BI37))-2*(cc_D/2)^2*($BI37-$BH37)/12/3*SUMPRODUCT($BJ$4:$BV$4,$BJ37:$BV37))+SUMPRODUCT($J$5:$AG$5,$J37:$AG37))/1000</f>
        <v/>
      </c>
      <c r="F37" s="56">
        <f>(fcd_cc*(2/3*(cc_D/2)^3*SIN($BI37)^3-2*(cc_D/2)^3*($BI37-$BH37)/12/3*SUMPRODUCT($BW$4:$CI$4,$BW37:$CI37))+SUMPRODUCT($J$5:$AG$5,$J37:$AG37,$J$7:$AG$7))/1E6</f>
        <v/>
      </c>
      <c r="G37" s="56">
        <f>(fcd_cc*((cc_D/2)^2*($BI37-COS($BI37)*SIN($BI37))-2*(cc_D/2)^2*($BI37-$BH37)/12/3*SUMPRODUCT($BJ$4:$BV$4,$BJ37:$BV37))+SUMPRODUCT($J$5:$AG$5,$AH37:$BE37))/1000</f>
        <v/>
      </c>
      <c r="H37" s="56">
        <f>(fcd_cc*(2/3*(cc_D/2)^3*SIN($BI37)^3-2*(cc_D/2)^3*($BI37-$BH37)/12/3*SUMPRODUCT($BW$4:$CI$4,$BW37:$CI37))+SUMPRODUCT($J$5:$AG$5,$AH37:$BE37,$J$19:$AG$19))/1E6</f>
        <v/>
      </c>
      <c r="J37">
        <f>MAX(-fyd_cc,MIN(fyd_cc,Es_cc*IF($C37&lt;=cc_D,0.0035*($C37-J$6)/$C37,0.002*($C37-J$6)/($C37-3*cc_D/7))))-fcd_cc*(1-(1-MAX(0,MIN(1,IF($C37&lt;=cc_D,0.0035*($C37-J$6)/$C37,0.002*($C37-J$6)/($C37-3*cc_D/7))/0.002)))^2)</f>
        <v/>
      </c>
      <c r="K37">
        <f>MAX(-fyd_cc,MIN(fyd_cc,Es_cc*IF($C37&lt;=cc_D,0.0035*($C37-K$6)/$C37,0.002*($C37-K$6)/($C37-3*cc_D/7))))-fcd_cc*(1-(1-MAX(0,MIN(1,IF($C37&lt;=cc_D,0.0035*($C37-K$6)/$C37,0.002*($C37-K$6)/($C37-3*cc_D/7))/0.002)))^2)</f>
        <v/>
      </c>
      <c r="L37">
        <f>MAX(-fyd_cc,MIN(fyd_cc,Es_cc*IF($C37&lt;=cc_D,0.0035*($C37-L$6)/$C37,0.002*($C37-L$6)/($C37-3*cc_D/7))))-fcd_cc*(1-(1-MAX(0,MIN(1,IF($C37&lt;=cc_D,0.0035*($C37-L$6)/$C37,0.002*($C37-L$6)/($C37-3*cc_D/7))/0.002)))^2)</f>
        <v/>
      </c>
      <c r="M37">
        <f>MAX(-fyd_cc,MIN(fyd_cc,Es_cc*IF($C37&lt;=cc_D,0.0035*($C37-M$6)/$C37,0.002*($C37-M$6)/($C37-3*cc_D/7))))-fcd_cc*(1-(1-MAX(0,MIN(1,IF($C37&lt;=cc_D,0.0035*($C37-M$6)/$C37,0.002*($C37-M$6)/($C37-3*cc_D/7))/0.002)))^2)</f>
        <v/>
      </c>
      <c r="N37">
        <f>MAX(-fyd_cc,MIN(fyd_cc,Es_cc*IF($C37&lt;=cc_D,0.0035*($C37-N$6)/$C37,0.002*($C37-N$6)/($C37-3*cc_D/7))))-fcd_cc*(1-(1-MAX(0,MIN(1,IF($C37&lt;=cc_D,0.0035*($C37-N$6)/$C37,0.002*($C37-N$6)/($C37-3*cc_D/7))/0.002)))^2)</f>
        <v/>
      </c>
      <c r="O37">
        <f>MAX(-fyd_cc,MIN(fyd_cc,Es_cc*IF($C37&lt;=cc_D,0.0035*($C37-O$6)/$C37,0.002*($C37-O$6)/($C37-3*cc_D/7))))-fcd_cc*(1-(1-MAX(0,MIN(1,IF($C37&lt;=cc_D,0.0035*($C37-O$6)/$C37,0.002*($C37-O$6)/($C37-3*cc_D/7))/0.002)))^2)</f>
        <v/>
      </c>
      <c r="P37">
        <f>MAX(-fyd_cc,MIN(fyd_cc,Es_cc*IF($C37&lt;=cc_D,0.0035*($C37-P$6)/$C37,0.002*($C37-P$6)/($C37-3*cc_D/7))))-fcd_cc*(1-(1-MAX(0,MIN(1,IF($C37&lt;=cc_D,0.0035*($C37-P$6)/$C37,0.002*($C37-P$6)/($C37-3*cc_D/7))/0.002)))^2)</f>
        <v/>
      </c>
      <c r="Q37">
        <f>MAX(-fyd_cc,MIN(fyd_cc,Es_cc*IF($C37&lt;=cc_D,0.0035*($C37-Q$6)/$C37,0.002*($C37-Q$6)/($C37-3*cc_D/7))))-fcd_cc*(1-(1-MAX(0,MIN(1,IF($C37&lt;=cc_D,0.0035*($C37-Q$6)/$C37,0.002*($C37-Q$6)/($C37-3*cc_D/7))/0.002)))^2)</f>
        <v/>
      </c>
      <c r="R37">
        <f>MAX(-fyd_cc,MIN(fyd_cc,Es_cc*IF($C37&lt;=cc_D,0.0035*($C37-R$6)/$C37,0.002*($C37-R$6)/($C37-3*cc_D/7))))-fcd_cc*(1-(1-MAX(0,MIN(1,IF($C37&lt;=cc_D,0.0035*($C37-R$6)/$C37,0.002*($C37-R$6)/($C37-3*cc_D/7))/0.002)))^2)</f>
        <v/>
      </c>
      <c r="S37">
        <f>MAX(-fyd_cc,MIN(fyd_cc,Es_cc*IF($C37&lt;=cc_D,0.0035*($C37-S$6)/$C37,0.002*($C37-S$6)/($C37-3*cc_D/7))))-fcd_cc*(1-(1-MAX(0,MIN(1,IF($C37&lt;=cc_D,0.0035*($C37-S$6)/$C37,0.002*($C37-S$6)/($C37-3*cc_D/7))/0.002)))^2)</f>
        <v/>
      </c>
      <c r="T37">
        <f>MAX(-fyd_cc,MIN(fyd_cc,Es_cc*IF($C37&lt;=cc_D,0.0035*($C37-T$6)/$C37,0.002*($C37-T$6)/($C37-3*cc_D/7))))-fcd_cc*(1-(1-MAX(0,MIN(1,IF($C37&lt;=cc_D,0.0035*($C37-T$6)/$C37,0.002*($C37-T$6)/($C37-3*cc_D/7))/0.002)))^2)</f>
        <v/>
      </c>
      <c r="U37">
        <f>MAX(-fyd_cc,MIN(fyd_cc,Es_cc*IF($C37&lt;=cc_D,0.0035*($C37-U$6)/$C37,0.002*($C37-U$6)/($C37-3*cc_D/7))))-fcd_cc*(1-(1-MAX(0,MIN(1,IF($C37&lt;=cc_D,0.0035*($C37-U$6)/$C37,0.002*($C37-U$6)/($C37-3*cc_D/7))/0.002)))^2)</f>
        <v/>
      </c>
      <c r="V37">
        <f>MAX(-fyd_cc,MIN(fyd_cc,Es_cc*IF($C37&lt;=cc_D,0.0035*($C37-V$6)/$C37,0.002*($C37-V$6)/($C37-3*cc_D/7))))-fcd_cc*(1-(1-MAX(0,MIN(1,IF($C37&lt;=cc_D,0.0035*($C37-V$6)/$C37,0.002*($C37-V$6)/($C37-3*cc_D/7))/0.002)))^2)</f>
        <v/>
      </c>
      <c r="W37">
        <f>MAX(-fyd_cc,MIN(fyd_cc,Es_cc*IF($C37&lt;=cc_D,0.0035*($C37-W$6)/$C37,0.002*($C37-W$6)/($C37-3*cc_D/7))))-fcd_cc*(1-(1-MAX(0,MIN(1,IF($C37&lt;=cc_D,0.0035*($C37-W$6)/$C37,0.002*($C37-W$6)/($C37-3*cc_D/7))/0.002)))^2)</f>
        <v/>
      </c>
      <c r="X37">
        <f>MAX(-fyd_cc,MIN(fyd_cc,Es_cc*IF($C37&lt;=cc_D,0.0035*($C37-X$6)/$C37,0.002*($C37-X$6)/($C37-3*cc_D/7))))-fcd_cc*(1-(1-MAX(0,MIN(1,IF($C37&lt;=cc_D,0.0035*($C37-X$6)/$C37,0.002*($C37-X$6)/($C37-3*cc_D/7))/0.002)))^2)</f>
        <v/>
      </c>
      <c r="Y37">
        <f>MAX(-fyd_cc,MIN(fyd_cc,Es_cc*IF($C37&lt;=cc_D,0.0035*($C37-Y$6)/$C37,0.002*($C37-Y$6)/($C37-3*cc_D/7))))-fcd_cc*(1-(1-MAX(0,MIN(1,IF($C37&lt;=cc_D,0.0035*($C37-Y$6)/$C37,0.002*($C37-Y$6)/($C37-3*cc_D/7))/0.002)))^2)</f>
        <v/>
      </c>
      <c r="Z37">
        <f>MAX(-fyd_cc,MIN(fyd_cc,Es_cc*IF($C37&lt;=cc_D,0.0035*($C37-Z$6)/$C37,0.002*($C37-Z$6)/($C37-3*cc_D/7))))-fcd_cc*(1-(1-MAX(0,MIN(1,IF($C37&lt;=cc_D,0.0035*($C37-Z$6)/$C37,0.002*($C37-Z$6)/($C37-3*cc_D/7))/0.002)))^2)</f>
        <v/>
      </c>
      <c r="AA37">
        <f>MAX(-fyd_cc,MIN(fyd_cc,Es_cc*IF($C37&lt;=cc_D,0.0035*($C37-AA$6)/$C37,0.002*($C37-AA$6)/($C37-3*cc_D/7))))-fcd_cc*(1-(1-MAX(0,MIN(1,IF($C37&lt;=cc_D,0.0035*($C37-AA$6)/$C37,0.002*($C37-AA$6)/($C37-3*cc_D/7))/0.002)))^2)</f>
        <v/>
      </c>
      <c r="AB37">
        <f>MAX(-fyd_cc,MIN(fyd_cc,Es_cc*IF($C37&lt;=cc_D,0.0035*($C37-AB$6)/$C37,0.002*($C37-AB$6)/($C37-3*cc_D/7))))-fcd_cc*(1-(1-MAX(0,MIN(1,IF($C37&lt;=cc_D,0.0035*($C37-AB$6)/$C37,0.002*($C37-AB$6)/($C37-3*cc_D/7))/0.002)))^2)</f>
        <v/>
      </c>
      <c r="AC37">
        <f>MAX(-fyd_cc,MIN(fyd_cc,Es_cc*IF($C37&lt;=cc_D,0.0035*($C37-AC$6)/$C37,0.002*($C37-AC$6)/($C37-3*cc_D/7))))-fcd_cc*(1-(1-MAX(0,MIN(1,IF($C37&lt;=cc_D,0.0035*($C37-AC$6)/$C37,0.002*($C37-AC$6)/($C37-3*cc_D/7))/0.002)))^2)</f>
        <v/>
      </c>
      <c r="AD37">
        <f>MAX(-fyd_cc,MIN(fyd_cc,Es_cc*IF($C37&lt;=cc_D,0.0035*($C37-AD$6)/$C37,0.002*($C37-AD$6)/($C37-3*cc_D/7))))-fcd_cc*(1-(1-MAX(0,MIN(1,IF($C37&lt;=cc_D,0.0035*($C37-AD$6)/$C37,0.002*($C37-AD$6)/($C37-3*cc_D/7))/0.002)))^2)</f>
        <v/>
      </c>
      <c r="AE37">
        <f>MAX(-fyd_cc,MIN(fyd_cc,Es_cc*IF($C37&lt;=cc_D,0.0035*($C37-AE$6)/$C37,0.002*($C37-AE$6)/($C37-3*cc_D/7))))-fcd_cc*(1-(1-MAX(0,MIN(1,IF($C37&lt;=cc_D,0.0035*($C37-AE$6)/$C37,0.002*($C37-AE$6)/($C37-3*cc_D/7))/0.002)))^2)</f>
        <v/>
      </c>
      <c r="AF37">
        <f>MAX(-fyd_cc,MIN(fyd_cc,Es_cc*IF($C37&lt;=cc_D,0.0035*($C37-AF$6)/$C37,0.002*($C37-AF$6)/($C37-3*cc_D/7))))-fcd_cc*(1-(1-MAX(0,MIN(1,IF($C37&lt;=cc_D,0.0035*($C37-AF$6)/$C37,0.002*($C37-AF$6)/($C37-3*cc_D/7))/0.002)))^2)</f>
        <v/>
      </c>
      <c r="AG37">
        <f>MAX(-fyd_cc,MIN(fyd_cc,Es_cc*IF($C37&lt;=cc_D,0.0035*($C37-AG$6)/$C37,0.002*($C37-AG$6)/($C37-3*cc_D/7))))-fcd_cc*(1-(1-MAX(0,MIN(1,IF($C37&lt;=cc_D,0.0035*($C37-AG$6)/$C37,0.002*($C37-AG$6)/($C37-3*cc_D/7))/0.002)))^2)</f>
        <v/>
      </c>
      <c r="AH37">
        <f>MAX(-fyd_cc,MIN(fyd_cc,Es_cc*IF($C37&lt;=cc_D,0.0035*($C37-J$18)/$C37,0.002*($C37-J$18)/($C37-3*cc_D/7))))-fcd_cc*(1-(1-MAX(0,MIN(1,IF($C37&lt;=cc_D,0.0035*($C37-J$18)/$C37,0.002*($C37-J$18)/($C37-3*cc_D/7))/0.002)))^2)</f>
        <v/>
      </c>
      <c r="AI37">
        <f>MAX(-fyd_cc,MIN(fyd_cc,Es_cc*IF($C37&lt;=cc_D,0.0035*($C37-K$18)/$C37,0.002*($C37-K$18)/($C37-3*cc_D/7))))-fcd_cc*(1-(1-MAX(0,MIN(1,IF($C37&lt;=cc_D,0.0035*($C37-K$18)/$C37,0.002*($C37-K$18)/($C37-3*cc_D/7))/0.002)))^2)</f>
        <v/>
      </c>
      <c r="AJ37">
        <f>MAX(-fyd_cc,MIN(fyd_cc,Es_cc*IF($C37&lt;=cc_D,0.0035*($C37-L$18)/$C37,0.002*($C37-L$18)/($C37-3*cc_D/7))))-fcd_cc*(1-(1-MAX(0,MIN(1,IF($C37&lt;=cc_D,0.0035*($C37-L$18)/$C37,0.002*($C37-L$18)/($C37-3*cc_D/7))/0.002)))^2)</f>
        <v/>
      </c>
      <c r="AK37">
        <f>MAX(-fyd_cc,MIN(fyd_cc,Es_cc*IF($C37&lt;=cc_D,0.0035*($C37-M$18)/$C37,0.002*($C37-M$18)/($C37-3*cc_D/7))))-fcd_cc*(1-(1-MAX(0,MIN(1,IF($C37&lt;=cc_D,0.0035*($C37-M$18)/$C37,0.002*($C37-M$18)/($C37-3*cc_D/7))/0.002)))^2)</f>
        <v/>
      </c>
      <c r="AL37">
        <f>MAX(-fyd_cc,MIN(fyd_cc,Es_cc*IF($C37&lt;=cc_D,0.0035*($C37-N$18)/$C37,0.002*($C37-N$18)/($C37-3*cc_D/7))))-fcd_cc*(1-(1-MAX(0,MIN(1,IF($C37&lt;=cc_D,0.0035*($C37-N$18)/$C37,0.002*($C37-N$18)/($C37-3*cc_D/7))/0.002)))^2)</f>
        <v/>
      </c>
      <c r="AM37">
        <f>MAX(-fyd_cc,MIN(fyd_cc,Es_cc*IF($C37&lt;=cc_D,0.0035*($C37-O$18)/$C37,0.002*($C37-O$18)/($C37-3*cc_D/7))))-fcd_cc*(1-(1-MAX(0,MIN(1,IF($C37&lt;=cc_D,0.0035*($C37-O$18)/$C37,0.002*($C37-O$18)/($C37-3*cc_D/7))/0.002)))^2)</f>
        <v/>
      </c>
      <c r="AN37">
        <f>MAX(-fyd_cc,MIN(fyd_cc,Es_cc*IF($C37&lt;=cc_D,0.0035*($C37-P$18)/$C37,0.002*($C37-P$18)/($C37-3*cc_D/7))))-fcd_cc*(1-(1-MAX(0,MIN(1,IF($C37&lt;=cc_D,0.0035*($C37-P$18)/$C37,0.002*($C37-P$18)/($C37-3*cc_D/7))/0.002)))^2)</f>
        <v/>
      </c>
      <c r="AO37">
        <f>MAX(-fyd_cc,MIN(fyd_cc,Es_cc*IF($C37&lt;=cc_D,0.0035*($C37-Q$18)/$C37,0.002*($C37-Q$18)/($C37-3*cc_D/7))))-fcd_cc*(1-(1-MAX(0,MIN(1,IF($C37&lt;=cc_D,0.0035*($C37-Q$18)/$C37,0.002*($C37-Q$18)/($C37-3*cc_D/7))/0.002)))^2)</f>
        <v/>
      </c>
      <c r="AP37">
        <f>MAX(-fyd_cc,MIN(fyd_cc,Es_cc*IF($C37&lt;=cc_D,0.0035*($C37-R$18)/$C37,0.002*($C37-R$18)/($C37-3*cc_D/7))))-fcd_cc*(1-(1-MAX(0,MIN(1,IF($C37&lt;=cc_D,0.0035*($C37-R$18)/$C37,0.002*($C37-R$18)/($C37-3*cc_D/7))/0.002)))^2)</f>
        <v/>
      </c>
      <c r="AQ37">
        <f>MAX(-fyd_cc,MIN(fyd_cc,Es_cc*IF($C37&lt;=cc_D,0.0035*($C37-S$18)/$C37,0.002*($C37-S$18)/($C37-3*cc_D/7))))-fcd_cc*(1-(1-MAX(0,MIN(1,IF($C37&lt;=cc_D,0.0035*($C37-S$18)/$C37,0.002*($C37-S$18)/($C37-3*cc_D/7))/0.002)))^2)</f>
        <v/>
      </c>
      <c r="AR37">
        <f>MAX(-fyd_cc,MIN(fyd_cc,Es_cc*IF($C37&lt;=cc_D,0.0035*($C37-T$18)/$C37,0.002*($C37-T$18)/($C37-3*cc_D/7))))-fcd_cc*(1-(1-MAX(0,MIN(1,IF($C37&lt;=cc_D,0.0035*($C37-T$18)/$C37,0.002*($C37-T$18)/($C37-3*cc_D/7))/0.002)))^2)</f>
        <v/>
      </c>
      <c r="AS37">
        <f>MAX(-fyd_cc,MIN(fyd_cc,Es_cc*IF($C37&lt;=cc_D,0.0035*($C37-U$18)/$C37,0.002*($C37-U$18)/($C37-3*cc_D/7))))-fcd_cc*(1-(1-MAX(0,MIN(1,IF($C37&lt;=cc_D,0.0035*($C37-U$18)/$C37,0.002*($C37-U$18)/($C37-3*cc_D/7))/0.002)))^2)</f>
        <v/>
      </c>
      <c r="AT37">
        <f>MAX(-fyd_cc,MIN(fyd_cc,Es_cc*IF($C37&lt;=cc_D,0.0035*($C37-V$18)/$C37,0.002*($C37-V$18)/($C37-3*cc_D/7))))-fcd_cc*(1-(1-MAX(0,MIN(1,IF($C37&lt;=cc_D,0.0035*($C37-V$18)/$C37,0.002*($C37-V$18)/($C37-3*cc_D/7))/0.002)))^2)</f>
        <v/>
      </c>
      <c r="AU37">
        <f>MAX(-fyd_cc,MIN(fyd_cc,Es_cc*IF($C37&lt;=cc_D,0.0035*($C37-W$18)/$C37,0.002*($C37-W$18)/($C37-3*cc_D/7))))-fcd_cc*(1-(1-MAX(0,MIN(1,IF($C37&lt;=cc_D,0.0035*($C37-W$18)/$C37,0.002*($C37-W$18)/($C37-3*cc_D/7))/0.002)))^2)</f>
        <v/>
      </c>
      <c r="AV37">
        <f>MAX(-fyd_cc,MIN(fyd_cc,Es_cc*IF($C37&lt;=cc_D,0.0035*($C37-X$18)/$C37,0.002*($C37-X$18)/($C37-3*cc_D/7))))-fcd_cc*(1-(1-MAX(0,MIN(1,IF($C37&lt;=cc_D,0.0035*($C37-X$18)/$C37,0.002*($C37-X$18)/($C37-3*cc_D/7))/0.002)))^2)</f>
        <v/>
      </c>
      <c r="AW37">
        <f>MAX(-fyd_cc,MIN(fyd_cc,Es_cc*IF($C37&lt;=cc_D,0.0035*($C37-Y$18)/$C37,0.002*($C37-Y$18)/($C37-3*cc_D/7))))-fcd_cc*(1-(1-MAX(0,MIN(1,IF($C37&lt;=cc_D,0.0035*($C37-Y$18)/$C37,0.002*($C37-Y$18)/($C37-3*cc_D/7))/0.002)))^2)</f>
        <v/>
      </c>
      <c r="AX37">
        <f>MAX(-fyd_cc,MIN(fyd_cc,Es_cc*IF($C37&lt;=cc_D,0.0035*($C37-Z$18)/$C37,0.002*($C37-Z$18)/($C37-3*cc_D/7))))-fcd_cc*(1-(1-MAX(0,MIN(1,IF($C37&lt;=cc_D,0.0035*($C37-Z$18)/$C37,0.002*($C37-Z$18)/($C37-3*cc_D/7))/0.002)))^2)</f>
        <v/>
      </c>
      <c r="AY37">
        <f>MAX(-fyd_cc,MIN(fyd_cc,Es_cc*IF($C37&lt;=cc_D,0.0035*($C37-AA$18)/$C37,0.002*($C37-AA$18)/($C37-3*cc_D/7))))-fcd_cc*(1-(1-MAX(0,MIN(1,IF($C37&lt;=cc_D,0.0035*($C37-AA$18)/$C37,0.002*($C37-AA$18)/($C37-3*cc_D/7))/0.002)))^2)</f>
        <v/>
      </c>
      <c r="AZ37">
        <f>MAX(-fyd_cc,MIN(fyd_cc,Es_cc*IF($C37&lt;=cc_D,0.0035*($C37-AB$18)/$C37,0.002*($C37-AB$18)/($C37-3*cc_D/7))))-fcd_cc*(1-(1-MAX(0,MIN(1,IF($C37&lt;=cc_D,0.0035*($C37-AB$18)/$C37,0.002*($C37-AB$18)/($C37-3*cc_D/7))/0.002)))^2)</f>
        <v/>
      </c>
      <c r="BA37">
        <f>MAX(-fyd_cc,MIN(fyd_cc,Es_cc*IF($C37&lt;=cc_D,0.0035*($C37-AC$18)/$C37,0.002*($C37-AC$18)/($C37-3*cc_D/7))))-fcd_cc*(1-(1-MAX(0,MIN(1,IF($C37&lt;=cc_D,0.0035*($C37-AC$18)/$C37,0.002*($C37-AC$18)/($C37-3*cc_D/7))/0.002)))^2)</f>
        <v/>
      </c>
      <c r="BB37">
        <f>MAX(-fyd_cc,MIN(fyd_cc,Es_cc*IF($C37&lt;=cc_D,0.0035*($C37-AD$18)/$C37,0.002*($C37-AD$18)/($C37-3*cc_D/7))))-fcd_cc*(1-(1-MAX(0,MIN(1,IF($C37&lt;=cc_D,0.0035*($C37-AD$18)/$C37,0.002*($C37-AD$18)/($C37-3*cc_D/7))/0.002)))^2)</f>
        <v/>
      </c>
      <c r="BC37">
        <f>MAX(-fyd_cc,MIN(fyd_cc,Es_cc*IF($C37&lt;=cc_D,0.0035*($C37-AE$18)/$C37,0.002*($C37-AE$18)/($C37-3*cc_D/7))))-fcd_cc*(1-(1-MAX(0,MIN(1,IF($C37&lt;=cc_D,0.0035*($C37-AE$18)/$C37,0.002*($C37-AE$18)/($C37-3*cc_D/7))/0.002)))^2)</f>
        <v/>
      </c>
      <c r="BD37">
        <f>MAX(-fyd_cc,MIN(fyd_cc,Es_cc*IF($C37&lt;=cc_D,0.0035*($C37-AF$18)/$C37,0.002*($C37-AF$18)/($C37-3*cc_D/7))))-fcd_cc*(1-(1-MAX(0,MIN(1,IF($C37&lt;=cc_D,0.0035*($C37-AF$18)/$C37,0.002*($C37-AF$18)/($C37-3*cc_D/7))/0.002)))^2)</f>
        <v/>
      </c>
      <c r="BE37">
        <f>MAX(-fyd_cc,MIN(fyd_cc,Es_cc*IF($C37&lt;=cc_D,0.0035*($C37-AG$18)/$C37,0.002*($C37-AG$18)/($C37-3*cc_D/7))))-fcd_cc*(1-(1-MAX(0,MIN(1,IF($C37&lt;=cc_D,0.0035*($C37-AG$18)/$C37,0.002*($C37-AG$18)/($C37-3*cc_D/7))/0.002)))^2)</f>
        <v/>
      </c>
      <c r="BF37">
        <f>3*MIN($C37,cc_D)/7</f>
        <v/>
      </c>
      <c r="BG37">
        <f>$C37-$BF37</f>
        <v/>
      </c>
      <c r="BH37">
        <f>ACOS(MAX(-1,MIN(1,1-$BF37/(cc_D/2))))</f>
        <v/>
      </c>
      <c r="BI37">
        <f>ACOS(MAX(-1,MIN(1,1-MIN($C37,cc_D)/(cc_D/2))))</f>
        <v/>
      </c>
      <c r="BJ37">
        <f>((cc_D/2*(1-COS(($BH37+0*($BI37-$BH37)/12)))-$BF37)/$BG37)^2*SIN(($BH37+0*($BI37-$BH37)/12))^2</f>
        <v/>
      </c>
      <c r="BK37">
        <f>((cc_D/2*(1-COS(($BH37+1*($BI37-$BH37)/12)))-$BF37)/$BG37)^2*SIN(($BH37+1*($BI37-$BH37)/12))^2</f>
        <v/>
      </c>
      <c r="BL37">
        <f>((cc_D/2*(1-COS(($BH37+2*($BI37-$BH37)/12)))-$BF37)/$BG37)^2*SIN(($BH37+2*($BI37-$BH37)/12))^2</f>
        <v/>
      </c>
      <c r="BM37">
        <f>((cc_D/2*(1-COS(($BH37+3*($BI37-$BH37)/12)))-$BF37)/$BG37)^2*SIN(($BH37+3*($BI37-$BH37)/12))^2</f>
        <v/>
      </c>
      <c r="BN37">
        <f>((cc_D/2*(1-COS(($BH37+4*($BI37-$BH37)/12)))-$BF37)/$BG37)^2*SIN(($BH37+4*($BI37-$BH37)/12))^2</f>
        <v/>
      </c>
      <c r="BO37">
        <f>((cc_D/2*(1-COS(($BH37+5*($BI37-$BH37)/12)))-$BF37)/$BG37)^2*SIN(($BH37+5*($BI37-$BH37)/12))^2</f>
        <v/>
      </c>
      <c r="BP37">
        <f>((cc_D/2*(1-COS(($BH37+6*($BI37-$BH37)/12)))-$BF37)/$BG37)^2*SIN(($BH37+6*($BI37-$BH37)/12))^2</f>
        <v/>
      </c>
      <c r="BQ37">
        <f>((cc_D/2*(1-COS(($BH37+7*($BI37-$BH37)/12)))-$BF37)/$BG37)^2*SIN(($BH37+7*($BI37-$BH37)/12))^2</f>
        <v/>
      </c>
      <c r="BR37">
        <f>((cc_D/2*(1-COS(($BH37+8*($BI37-$BH37)/12)))-$BF37)/$BG37)^2*SIN(($BH37+8*($BI37-$BH37)/12))^2</f>
        <v/>
      </c>
      <c r="BS37">
        <f>((cc_D/2*(1-COS(($BH37+9*($BI37-$BH37)/12)))-$BF37)/$BG37)^2*SIN(($BH37+9*($BI37-$BH37)/12))^2</f>
        <v/>
      </c>
      <c r="BT37">
        <f>((cc_D/2*(1-COS(($BH37+10*($BI37-$BH37)/12)))-$BF37)/$BG37)^2*SIN(($BH37+10*($BI37-$BH37)/12))^2</f>
        <v/>
      </c>
      <c r="BU37">
        <f>((cc_D/2*(1-COS(($BH37+11*($BI37-$BH37)/12)))-$BF37)/$BG37)^2*SIN(($BH37+11*($BI37-$BH37)/12))^2</f>
        <v/>
      </c>
      <c r="BV37">
        <f>((cc_D/2*(1-COS(($BH37+12*($BI37-$BH37)/12)))-$BF37)/$BG37)^2*SIN(($BH37+12*($BI37-$BH37)/12))^2</f>
        <v/>
      </c>
      <c r="BW37">
        <f>BJ37*COS(($BH37+0*($BI37-$BH37)/12))</f>
        <v/>
      </c>
      <c r="BX37">
        <f>BK37*COS(($BH37+1*($BI37-$BH37)/12))</f>
        <v/>
      </c>
      <c r="BY37">
        <f>BL37*COS(($BH37+2*($BI37-$BH37)/12))</f>
        <v/>
      </c>
      <c r="BZ37">
        <f>BM37*COS(($BH37+3*($BI37-$BH37)/12))</f>
        <v/>
      </c>
      <c r="CA37">
        <f>BN37*COS(($BH37+4*($BI37-$BH37)/12))</f>
        <v/>
      </c>
      <c r="CB37">
        <f>BO37*COS(($BH37+5*($BI37-$BH37)/12))</f>
        <v/>
      </c>
      <c r="CC37">
        <f>BP37*COS(($BH37+6*($BI37-$BH37)/12))</f>
        <v/>
      </c>
      <c r="CD37">
        <f>BQ37*COS(($BH37+7*($BI37-$BH37)/12))</f>
        <v/>
      </c>
      <c r="CE37">
        <f>BR37*COS(($BH37+8*($BI37-$BH37)/12))</f>
        <v/>
      </c>
      <c r="CF37">
        <f>BS37*COS(($BH37+9*($BI37-$BH37)/12))</f>
        <v/>
      </c>
      <c r="CG37">
        <f>BT37*COS(($BH37+10*($BI37-$BH37)/12))</f>
        <v/>
      </c>
      <c r="CH37">
        <f>BU37*COS(($BH37+11*($BI37-$BH37)/12))</f>
        <v/>
      </c>
      <c r="CI37">
        <f>BV37*COS(($BH37+12*($BI37-$BH37)/12))</f>
        <v/>
      </c>
    </row>
    <row r="38">
      <c r="B38" s="53" t="n">
        <v>13</v>
      </c>
      <c r="C38" s="54">
        <f>0.4*cc_D</f>
        <v/>
      </c>
      <c r="D38" s="55">
        <f>IF($C38&lt;=cc_D,3.5,2*$C38/($C38-3*cc_D/7))</f>
        <v/>
      </c>
      <c r="E38" s="56">
        <f>(fcd_cc*((cc_D/2)^2*($BI38-COS($BI38)*SIN($BI38))-2*(cc_D/2)^2*($BI38-$BH38)/12/3*SUMPRODUCT($BJ$4:$BV$4,$BJ38:$BV38))+SUMPRODUCT($J$5:$AG$5,$J38:$AG38))/1000</f>
        <v/>
      </c>
      <c r="F38" s="56">
        <f>(fcd_cc*(2/3*(cc_D/2)^3*SIN($BI38)^3-2*(cc_D/2)^3*($BI38-$BH38)/12/3*SUMPRODUCT($BW$4:$CI$4,$BW38:$CI38))+SUMPRODUCT($J$5:$AG$5,$J38:$AG38,$J$7:$AG$7))/1E6</f>
        <v/>
      </c>
      <c r="G38" s="56">
        <f>(fcd_cc*((cc_D/2)^2*($BI38-COS($BI38)*SIN($BI38))-2*(cc_D/2)^2*($BI38-$BH38)/12/3*SUMPRODUCT($BJ$4:$BV$4,$BJ38:$BV38))+SUMPRODUCT($J$5:$AG$5,$AH38:$BE38))/1000</f>
        <v/>
      </c>
      <c r="H38" s="56">
        <f>(fcd_cc*(2/3*(cc_D/2)^3*SIN($BI38)^3-2*(cc_D/2)^3*($BI38-$BH38)/12/3*SUMPRODUCT($BW$4:$CI$4,$BW38:$CI38))+SUMPRODUCT($J$5:$AG$5,$AH38:$BE38,$J$19:$AG$19))/1E6</f>
        <v/>
      </c>
      <c r="J38">
        <f>MAX(-fyd_cc,MIN(fyd_cc,Es_cc*IF($C38&lt;=cc_D,0.0035*($C38-J$6)/$C38,0.002*($C38-J$6)/($C38-3*cc_D/7))))-fcd_cc*(1-(1-MAX(0,MIN(1,IF($C38&lt;=cc_D,0.0035*($C38-J$6)/$C38,0.002*($C38-J$6)/($C38-3*cc_D/7))/0.002)))^2)</f>
        <v/>
      </c>
      <c r="K38">
        <f>MAX(-fyd_cc,MIN(fyd_cc,Es_cc*IF($C38&lt;=cc_D,0.0035*($C38-K$6)/$C38,0.002*($C38-K$6)/($C38-3*cc_D/7))))-fcd_cc*(1-(1-MAX(0,MIN(1,IF($C38&lt;=cc_D,0.0035*($C38-K$6)/$C38,0.002*($C38-K$6)/($C38-3*cc_D/7))/0.002)))^2)</f>
        <v/>
      </c>
      <c r="L38">
        <f>MAX(-fyd_cc,MIN(fyd_cc,Es_cc*IF($C38&lt;=cc_D,0.0035*($C38-L$6)/$C38,0.002*($C38-L$6)/($C38-3*cc_D/7))))-fcd_cc*(1-(1-MAX(0,MIN(1,IF($C38&lt;=cc_D,0.0035*($C38-L$6)/$C38,0.002*($C38-L$6)/($C38-3*cc_D/7))/0.002)))^2)</f>
        <v/>
      </c>
      <c r="M38">
        <f>MAX(-fyd_cc,MIN(fyd_cc,Es_cc*IF($C38&lt;=cc_D,0.0035*($C38-M$6)/$C38,0.002*($C38-M$6)/($C38-3*cc_D/7))))-fcd_cc*(1-(1-MAX(0,MIN(1,IF($C38&lt;=cc_D,0.0035*($C38-M$6)/$C38,0.002*($C38-M$6)/($C38-3*cc_D/7))/0.002)))^2)</f>
        <v/>
      </c>
      <c r="N38">
        <f>MAX(-fyd_cc,MIN(fyd_cc,Es_cc*IF($C38&lt;=cc_D,0.0035*($C38-N$6)/$C38,0.002*($C38-N$6)/($C38-3*cc_D/7))))-fcd_cc*(1-(1-MAX(0,MIN(1,IF($C38&lt;=cc_D,0.0035*($C38-N$6)/$C38,0.002*($C38-N$6)/($C38-3*cc_D/7))/0.002)))^2)</f>
        <v/>
      </c>
      <c r="O38">
        <f>MAX(-fyd_cc,MIN(fyd_cc,Es_cc*IF($C38&lt;=cc_D,0.0035*($C38-O$6)/$C38,0.002*($C38-O$6)/($C38-3*cc_D/7))))-fcd_cc*(1-(1-MAX(0,MIN(1,IF($C38&lt;=cc_D,0.0035*($C38-O$6)/$C38,0.002*($C38-O$6)/($C38-3*cc_D/7))/0.002)))^2)</f>
        <v/>
      </c>
      <c r="P38">
        <f>MAX(-fyd_cc,MIN(fyd_cc,Es_cc*IF($C38&lt;=cc_D,0.0035*($C38-P$6)/$C38,0.002*($C38-P$6)/($C38-3*cc_D/7))))-fcd_cc*(1-(1-MAX(0,MIN(1,IF($C38&lt;=cc_D,0.0035*($C38-P$6)/$C38,0.002*($C38-P$6)/($C38-3*cc_D/7))/0.002)))^2)</f>
        <v/>
      </c>
      <c r="Q38">
        <f>MAX(-fyd_cc,MIN(fyd_cc,Es_cc*IF($C38&lt;=cc_D,0.0035*($C38-Q$6)/$C38,0.002*($C38-Q$6)/($C38-3*cc_D/7))))-fcd_cc*(1-(1-MAX(0,MIN(1,IF($C38&lt;=cc_D,0.0035*($C38-Q$6)/$C38,0.002*($C38-Q$6)/($C38-3*cc_D/7))/0.002)))^2)</f>
        <v/>
      </c>
      <c r="R38">
        <f>MAX(-fyd_cc,MIN(fyd_cc,Es_cc*IF($C38&lt;=cc_D,0.0035*($C38-R$6)/$C38,0.002*($C38-R$6)/($C38-3*cc_D/7))))-fcd_cc*(1-(1-MAX(0,MIN(1,IF($C38&lt;=cc_D,0.0035*($C38-R$6)/$C38,0.002*($C38-R$6)/($C38-3*cc_D/7))/0.002)))^2)</f>
        <v/>
      </c>
      <c r="S38">
        <f>MAX(-fyd_cc,MIN(fyd_cc,Es_cc*IF($C38&lt;=cc_D,0.0035*($C38-S$6)/$C38,0.002*($C38-S$6)/($C38-3*cc_D/7))))-fcd_cc*(1-(1-MAX(0,MIN(1,IF($C38&lt;=cc_D,0.0035*($C38-S$6)/$C38,0.002*($C38-S$6)/($C38-3*cc_D/7))/0.002)))^2)</f>
        <v/>
      </c>
      <c r="T38">
        <f>MAX(-fyd_cc,MIN(fyd_cc,Es_cc*IF($C38&lt;=cc_D,0.0035*($C38-T$6)/$C38,0.002*($C38-T$6)/($C38-3*cc_D/7))))-fcd_cc*(1-(1-MAX(0,MIN(1,IF($C38&lt;=cc_D,0.0035*($C38-T$6)/$C38,0.002*($C38-T$6)/($C38-3*cc_D/7))/0.002)))^2)</f>
        <v/>
      </c>
      <c r="U38">
        <f>MAX(-fyd_cc,MIN(fyd_cc,Es_cc*IF($C38&lt;=cc_D,0.0035*($C38-U$6)/$C38,0.002*($C38-U$6)/($C38-3*cc_D/7))))-fcd_cc*(1-(1-MAX(0,MIN(1,IF($C38&lt;=cc_D,0.0035*($C38-U$6)/$C38,0.002*($C38-U$6)/($C38-3*cc_D/7))/0.002)))^2)</f>
        <v/>
      </c>
      <c r="V38">
        <f>MAX(-fyd_cc,MIN(fyd_cc,Es_cc*IF($C38&lt;=cc_D,0.0035*($C38-V$6)/$C38,0.002*($C38-V$6)/($C38-3*cc_D/7))))-fcd_cc*(1-(1-MAX(0,MIN(1,IF($C38&lt;=cc_D,0.0035*($C38-V$6)/$C38,0.002*($C38-V$6)/($C38-3*cc_D/7))/0.002)))^2)</f>
        <v/>
      </c>
      <c r="W38">
        <f>MAX(-fyd_cc,MIN(fyd_cc,Es_cc*IF($C38&lt;=cc_D,0.0035*($C38-W$6)/$C38,0.002*($C38-W$6)/($C38-3*cc_D/7))))-fcd_cc*(1-(1-MAX(0,MIN(1,IF($C38&lt;=cc_D,0.0035*($C38-W$6)/$C38,0.002*($C38-W$6)/($C38-3*cc_D/7))/0.002)))^2)</f>
        <v/>
      </c>
      <c r="X38">
        <f>MAX(-fyd_cc,MIN(fyd_cc,Es_cc*IF($C38&lt;=cc_D,0.0035*($C38-X$6)/$C38,0.002*($C38-X$6)/($C38-3*cc_D/7))))-fcd_cc*(1-(1-MAX(0,MIN(1,IF($C38&lt;=cc_D,0.0035*($C38-X$6)/$C38,0.002*($C38-X$6)/($C38-3*cc_D/7))/0.002)))^2)</f>
        <v/>
      </c>
      <c r="Y38">
        <f>MAX(-fyd_cc,MIN(fyd_cc,Es_cc*IF($C38&lt;=cc_D,0.0035*($C38-Y$6)/$C38,0.002*($C38-Y$6)/($C38-3*cc_D/7))))-fcd_cc*(1-(1-MAX(0,MIN(1,IF($C38&lt;=cc_D,0.0035*($C38-Y$6)/$C38,0.002*($C38-Y$6)/($C38-3*cc_D/7))/0.002)))^2)</f>
        <v/>
      </c>
      <c r="Z38">
        <f>MAX(-fyd_cc,MIN(fyd_cc,Es_cc*IF($C38&lt;=cc_D,0.0035*($C38-Z$6)/$C38,0.002*($C38-Z$6)/($C38-3*cc_D/7))))-fcd_cc*(1-(1-MAX(0,MIN(1,IF($C38&lt;=cc_D,0.0035*($C38-Z$6)/$C38,0.002*($C38-Z$6)/($C38-3*cc_D/7))/0.002)))^2)</f>
        <v/>
      </c>
      <c r="AA38">
        <f>MAX(-fyd_cc,MIN(fyd_cc,Es_cc*IF($C38&lt;=cc_D,0.0035*($C38-AA$6)/$C38,0.002*($C38-AA$6)/($C38-3*cc_D/7))))-fcd_cc*(1-(1-MAX(0,MIN(1,IF($C38&lt;=cc_D,0.0035*($C38-AA$6)/$C38,0.002*($C38-AA$6)/($C38-3*cc_D/7))/0.002)))^2)</f>
        <v/>
      </c>
      <c r="AB38">
        <f>MAX(-fyd_cc,MIN(fyd_cc,Es_cc*IF($C38&lt;=cc_D,0.0035*($C38-AB$6)/$C38,0.002*($C38-AB$6)/($C38-3*cc_D/7))))-fcd_cc*(1-(1-MAX(0,MIN(1,IF($C38&lt;=cc_D,0.0035*($C38-AB$6)/$C38,0.002*($C38-AB$6)/($C38-3*cc_D/7))/0.002)))^2)</f>
        <v/>
      </c>
      <c r="AC38">
        <f>MAX(-fyd_cc,MIN(fyd_cc,Es_cc*IF($C38&lt;=cc_D,0.0035*($C38-AC$6)/$C38,0.002*($C38-AC$6)/($C38-3*cc_D/7))))-fcd_cc*(1-(1-MAX(0,MIN(1,IF($C38&lt;=cc_D,0.0035*($C38-AC$6)/$C38,0.002*($C38-AC$6)/($C38-3*cc_D/7))/0.002)))^2)</f>
        <v/>
      </c>
      <c r="AD38">
        <f>MAX(-fyd_cc,MIN(fyd_cc,Es_cc*IF($C38&lt;=cc_D,0.0035*($C38-AD$6)/$C38,0.002*($C38-AD$6)/($C38-3*cc_D/7))))-fcd_cc*(1-(1-MAX(0,MIN(1,IF($C38&lt;=cc_D,0.0035*($C38-AD$6)/$C38,0.002*($C38-AD$6)/($C38-3*cc_D/7))/0.002)))^2)</f>
        <v/>
      </c>
      <c r="AE38">
        <f>MAX(-fyd_cc,MIN(fyd_cc,Es_cc*IF($C38&lt;=cc_D,0.0035*($C38-AE$6)/$C38,0.002*($C38-AE$6)/($C38-3*cc_D/7))))-fcd_cc*(1-(1-MAX(0,MIN(1,IF($C38&lt;=cc_D,0.0035*($C38-AE$6)/$C38,0.002*($C38-AE$6)/($C38-3*cc_D/7))/0.002)))^2)</f>
        <v/>
      </c>
      <c r="AF38">
        <f>MAX(-fyd_cc,MIN(fyd_cc,Es_cc*IF($C38&lt;=cc_D,0.0035*($C38-AF$6)/$C38,0.002*($C38-AF$6)/($C38-3*cc_D/7))))-fcd_cc*(1-(1-MAX(0,MIN(1,IF($C38&lt;=cc_D,0.0035*($C38-AF$6)/$C38,0.002*($C38-AF$6)/($C38-3*cc_D/7))/0.002)))^2)</f>
        <v/>
      </c>
      <c r="AG38">
        <f>MAX(-fyd_cc,MIN(fyd_cc,Es_cc*IF($C38&lt;=cc_D,0.0035*($C38-AG$6)/$C38,0.002*($C38-AG$6)/($C38-3*cc_D/7))))-fcd_cc*(1-(1-MAX(0,MIN(1,IF($C38&lt;=cc_D,0.0035*($C38-AG$6)/$C38,0.002*($C38-AG$6)/($C38-3*cc_D/7))/0.002)))^2)</f>
        <v/>
      </c>
      <c r="AH38">
        <f>MAX(-fyd_cc,MIN(fyd_cc,Es_cc*IF($C38&lt;=cc_D,0.0035*($C38-J$18)/$C38,0.002*($C38-J$18)/($C38-3*cc_D/7))))-fcd_cc*(1-(1-MAX(0,MIN(1,IF($C38&lt;=cc_D,0.0035*($C38-J$18)/$C38,0.002*($C38-J$18)/($C38-3*cc_D/7))/0.002)))^2)</f>
        <v/>
      </c>
      <c r="AI38">
        <f>MAX(-fyd_cc,MIN(fyd_cc,Es_cc*IF($C38&lt;=cc_D,0.0035*($C38-K$18)/$C38,0.002*($C38-K$18)/($C38-3*cc_D/7))))-fcd_cc*(1-(1-MAX(0,MIN(1,IF($C38&lt;=cc_D,0.0035*($C38-K$18)/$C38,0.002*($C38-K$18)/($C38-3*cc_D/7))/0.002)))^2)</f>
        <v/>
      </c>
      <c r="AJ38">
        <f>MAX(-fyd_cc,MIN(fyd_cc,Es_cc*IF($C38&lt;=cc_D,0.0035*($C38-L$18)/$C38,0.002*($C38-L$18)/($C38-3*cc_D/7))))-fcd_cc*(1-(1-MAX(0,MIN(1,IF($C38&lt;=cc_D,0.0035*($C38-L$18)/$C38,0.002*($C38-L$18)/($C38-3*cc_D/7))/0.002)))^2)</f>
        <v/>
      </c>
      <c r="AK38">
        <f>MAX(-fyd_cc,MIN(fyd_cc,Es_cc*IF($C38&lt;=cc_D,0.0035*($C38-M$18)/$C38,0.002*($C38-M$18)/($C38-3*cc_D/7))))-fcd_cc*(1-(1-MAX(0,MIN(1,IF($C38&lt;=cc_D,0.0035*($C38-M$18)/$C38,0.002*($C38-M$18)/($C38-3*cc_D/7))/0.002)))^2)</f>
        <v/>
      </c>
      <c r="AL38">
        <f>MAX(-fyd_cc,MIN(fyd_cc,Es_cc*IF($C38&lt;=cc_D,0.0035*($C38-N$18)/$C38,0.002*($C38-N$18)/($C38-3*cc_D/7))))-fcd_cc*(1-(1-MAX(0,MIN(1,IF($C38&lt;=cc_D,0.0035*($C38-N$18)/$C38,0.002*($C38-N$18)/($C38-3*cc_D/7))/0.002)))^2)</f>
        <v/>
      </c>
      <c r="AM38">
        <f>MAX(-fyd_cc,MIN(fyd_cc,Es_cc*IF($C38&lt;=cc_D,0.0035*($C38-O$18)/$C38,0.002*($C38-O$18)/($C38-3*cc_D/7))))-fcd_cc*(1-(1-MAX(0,MIN(1,IF($C38&lt;=cc_D,0.0035*($C38-O$18)/$C38,0.002*($C38-O$18)/($C38-3*cc_D/7))/0.002)))^2)</f>
        <v/>
      </c>
      <c r="AN38">
        <f>MAX(-fyd_cc,MIN(fyd_cc,Es_cc*IF($C38&lt;=cc_D,0.0035*($C38-P$18)/$C38,0.002*($C38-P$18)/($C38-3*cc_D/7))))-fcd_cc*(1-(1-MAX(0,MIN(1,IF($C38&lt;=cc_D,0.0035*($C38-P$18)/$C38,0.002*($C38-P$18)/($C38-3*cc_D/7))/0.002)))^2)</f>
        <v/>
      </c>
      <c r="AO38">
        <f>MAX(-fyd_cc,MIN(fyd_cc,Es_cc*IF($C38&lt;=cc_D,0.0035*($C38-Q$18)/$C38,0.002*($C38-Q$18)/($C38-3*cc_D/7))))-fcd_cc*(1-(1-MAX(0,MIN(1,IF($C38&lt;=cc_D,0.0035*($C38-Q$18)/$C38,0.002*($C38-Q$18)/($C38-3*cc_D/7))/0.002)))^2)</f>
        <v/>
      </c>
      <c r="AP38">
        <f>MAX(-fyd_cc,MIN(fyd_cc,Es_cc*IF($C38&lt;=cc_D,0.0035*($C38-R$18)/$C38,0.002*($C38-R$18)/($C38-3*cc_D/7))))-fcd_cc*(1-(1-MAX(0,MIN(1,IF($C38&lt;=cc_D,0.0035*($C38-R$18)/$C38,0.002*($C38-R$18)/($C38-3*cc_D/7))/0.002)))^2)</f>
        <v/>
      </c>
      <c r="AQ38">
        <f>MAX(-fyd_cc,MIN(fyd_cc,Es_cc*IF($C38&lt;=cc_D,0.0035*($C38-S$18)/$C38,0.002*($C38-S$18)/($C38-3*cc_D/7))))-fcd_cc*(1-(1-MAX(0,MIN(1,IF($C38&lt;=cc_D,0.0035*($C38-S$18)/$C38,0.002*($C38-S$18)/($C38-3*cc_D/7))/0.002)))^2)</f>
        <v/>
      </c>
      <c r="AR38">
        <f>MAX(-fyd_cc,MIN(fyd_cc,Es_cc*IF($C38&lt;=cc_D,0.0035*($C38-T$18)/$C38,0.002*($C38-T$18)/($C38-3*cc_D/7))))-fcd_cc*(1-(1-MAX(0,MIN(1,IF($C38&lt;=cc_D,0.0035*($C38-T$18)/$C38,0.002*($C38-T$18)/($C38-3*cc_D/7))/0.002)))^2)</f>
        <v/>
      </c>
      <c r="AS38">
        <f>MAX(-fyd_cc,MIN(fyd_cc,Es_cc*IF($C38&lt;=cc_D,0.0035*($C38-U$18)/$C38,0.002*($C38-U$18)/($C38-3*cc_D/7))))-fcd_cc*(1-(1-MAX(0,MIN(1,IF($C38&lt;=cc_D,0.0035*($C38-U$18)/$C38,0.002*($C38-U$18)/($C38-3*cc_D/7))/0.002)))^2)</f>
        <v/>
      </c>
      <c r="AT38">
        <f>MAX(-fyd_cc,MIN(fyd_cc,Es_cc*IF($C38&lt;=cc_D,0.0035*($C38-V$18)/$C38,0.002*($C38-V$18)/($C38-3*cc_D/7))))-fcd_cc*(1-(1-MAX(0,MIN(1,IF($C38&lt;=cc_D,0.0035*($C38-V$18)/$C38,0.002*($C38-V$18)/($C38-3*cc_D/7))/0.002)))^2)</f>
        <v/>
      </c>
      <c r="AU38">
        <f>MAX(-fyd_cc,MIN(fyd_cc,Es_cc*IF($C38&lt;=cc_D,0.0035*($C38-W$18)/$C38,0.002*($C38-W$18)/($C38-3*cc_D/7))))-fcd_cc*(1-(1-MAX(0,MIN(1,IF($C38&lt;=cc_D,0.0035*($C38-W$18)/$C38,0.002*($C38-W$18)/($C38-3*cc_D/7))/0.002)))^2)</f>
        <v/>
      </c>
      <c r="AV38">
        <f>MAX(-fyd_cc,MIN(fyd_cc,Es_cc*IF($C38&lt;=cc_D,0.0035*($C38-X$18)/$C38,0.002*($C38-X$18)/($C38-3*cc_D/7))))-fcd_cc*(1-(1-MAX(0,MIN(1,IF($C38&lt;=cc_D,0.0035*($C38-X$18)/$C38,0.002*($C38-X$18)/($C38-3*cc_D/7))/0.002)))^2)</f>
        <v/>
      </c>
      <c r="AW38">
        <f>MAX(-fyd_cc,MIN(fyd_cc,Es_cc*IF($C38&lt;=cc_D,0.0035*($C38-Y$18)/$C38,0.002*($C38-Y$18)/($C38-3*cc_D/7))))-fcd_cc*(1-(1-MAX(0,MIN(1,IF($C38&lt;=cc_D,0.0035*($C38-Y$18)/$C38,0.002*($C38-Y$18)/($C38-3*cc_D/7))/0.002)))^2)</f>
        <v/>
      </c>
      <c r="AX38">
        <f>MAX(-fyd_cc,MIN(fyd_cc,Es_cc*IF($C38&lt;=cc_D,0.0035*($C38-Z$18)/$C38,0.002*($C38-Z$18)/($C38-3*cc_D/7))))-fcd_cc*(1-(1-MAX(0,MIN(1,IF($C38&lt;=cc_D,0.0035*($C38-Z$18)/$C38,0.002*($C38-Z$18)/($C38-3*cc_D/7))/0.002)))^2)</f>
        <v/>
      </c>
      <c r="AY38">
        <f>MAX(-fyd_cc,MIN(fyd_cc,Es_cc*IF($C38&lt;=cc_D,0.0035*($C38-AA$18)/$C38,0.002*($C38-AA$18)/($C38-3*cc_D/7))))-fcd_cc*(1-(1-MAX(0,MIN(1,IF($C38&lt;=cc_D,0.0035*($C38-AA$18)/$C38,0.002*($C38-AA$18)/($C38-3*cc_D/7))/0.002)))^2)</f>
        <v/>
      </c>
      <c r="AZ38">
        <f>MAX(-fyd_cc,MIN(fyd_cc,Es_cc*IF($C38&lt;=cc_D,0.0035*($C38-AB$18)/$C38,0.002*($C38-AB$18)/($C38-3*cc_D/7))))-fcd_cc*(1-(1-MAX(0,MIN(1,IF($C38&lt;=cc_D,0.0035*($C38-AB$18)/$C38,0.002*($C38-AB$18)/($C38-3*cc_D/7))/0.002)))^2)</f>
        <v/>
      </c>
      <c r="BA38">
        <f>MAX(-fyd_cc,MIN(fyd_cc,Es_cc*IF($C38&lt;=cc_D,0.0035*($C38-AC$18)/$C38,0.002*($C38-AC$18)/($C38-3*cc_D/7))))-fcd_cc*(1-(1-MAX(0,MIN(1,IF($C38&lt;=cc_D,0.0035*($C38-AC$18)/$C38,0.002*($C38-AC$18)/($C38-3*cc_D/7))/0.002)))^2)</f>
        <v/>
      </c>
      <c r="BB38">
        <f>MAX(-fyd_cc,MIN(fyd_cc,Es_cc*IF($C38&lt;=cc_D,0.0035*($C38-AD$18)/$C38,0.002*($C38-AD$18)/($C38-3*cc_D/7))))-fcd_cc*(1-(1-MAX(0,MIN(1,IF($C38&lt;=cc_D,0.0035*($C38-AD$18)/$C38,0.002*($C38-AD$18)/($C38-3*cc_D/7))/0.002)))^2)</f>
        <v/>
      </c>
      <c r="BC38">
        <f>MAX(-fyd_cc,MIN(fyd_cc,Es_cc*IF($C38&lt;=cc_D,0.0035*($C38-AE$18)/$C38,0.002*($C38-AE$18)/($C38-3*cc_D/7))))-fcd_cc*(1-(1-MAX(0,MIN(1,IF($C38&lt;=cc_D,0.0035*($C38-AE$18)/$C38,0.002*($C38-AE$18)/($C38-3*cc_D/7))/0.002)))^2)</f>
        <v/>
      </c>
      <c r="BD38">
        <f>MAX(-fyd_cc,MIN(fyd_cc,Es_cc*IF($C38&lt;=cc_D,0.0035*($C38-AF$18)/$C38,0.002*($C38-AF$18)/($C38-3*cc_D/7))))-fcd_cc*(1-(1-MAX(0,MIN(1,IF($C38&lt;=cc_D,0.0035*($C38-AF$18)/$C38,0.002*($C38-AF$18)/($C38-3*cc_D/7))/0.002)))^2)</f>
        <v/>
      </c>
      <c r="BE38">
        <f>MAX(-fyd_cc,MIN(fyd_cc,Es_cc*IF($C38&lt;=cc_D,0.0035*($C38-AG$18)/$C38,0.002*($C38-AG$18)/($C38-3*cc_D/7))))-fcd_cc*(1-(1-MAX(0,MIN(1,IF($C38&lt;=cc_D,0.0035*($C38-AG$18)/$C38,0.002*($C38-AG$18)/($C38-3*cc_D/7))/0.002)))^2)</f>
        <v/>
      </c>
      <c r="BF38">
        <f>3*MIN($C38,cc_D)/7</f>
        <v/>
      </c>
      <c r="BG38">
        <f>$C38-$BF38</f>
        <v/>
      </c>
      <c r="BH38">
        <f>ACOS(MAX(-1,MIN(1,1-$BF38/(cc_D/2))))</f>
        <v/>
      </c>
      <c r="BI38">
        <f>ACOS(MAX(-1,MIN(1,1-MIN($C38,cc_D)/(cc_D/2))))</f>
        <v/>
      </c>
      <c r="BJ38">
        <f>((cc_D/2*(1-COS(($BH38+0*($BI38-$BH38)/12)))-$BF38)/$BG38)^2*SIN(($BH38+0*($BI38-$BH38)/12))^2</f>
        <v/>
      </c>
      <c r="BK38">
        <f>((cc_D/2*(1-COS(($BH38+1*($BI38-$BH38)/12)))-$BF38)/$BG38)^2*SIN(($BH38+1*($BI38-$BH38)/12))^2</f>
        <v/>
      </c>
      <c r="BL38">
        <f>((cc_D/2*(1-COS(($BH38+2*($BI38-$BH38)/12)))-$BF38)/$BG38)^2*SIN(($BH38+2*($BI38-$BH38)/12))^2</f>
        <v/>
      </c>
      <c r="BM38">
        <f>((cc_D/2*(1-COS(($BH38+3*($BI38-$BH38)/12)))-$BF38)/$BG38)^2*SIN(($BH38+3*($BI38-$BH38)/12))^2</f>
        <v/>
      </c>
      <c r="BN38">
        <f>((cc_D/2*(1-COS(($BH38+4*($BI38-$BH38)/12)))-$BF38)/$BG38)^2*SIN(($BH38+4*($BI38-$BH38)/12))^2</f>
        <v/>
      </c>
      <c r="BO38">
        <f>((cc_D/2*(1-COS(($BH38+5*($BI38-$BH38)/12)))-$BF38)/$BG38)^2*SIN(($BH38+5*($BI38-$BH38)/12))^2</f>
        <v/>
      </c>
      <c r="BP38">
        <f>((cc_D/2*(1-COS(($BH38+6*($BI38-$BH38)/12)))-$BF38)/$BG38)^2*SIN(($BH38+6*($BI38-$BH38)/12))^2</f>
        <v/>
      </c>
      <c r="BQ38">
        <f>((cc_D/2*(1-COS(($BH38+7*($BI38-$BH38)/12)))-$BF38)/$BG38)^2*SIN(($BH38+7*($BI38-$BH38)/12))^2</f>
        <v/>
      </c>
      <c r="BR38">
        <f>((cc_D/2*(1-COS(($BH38+8*($BI38-$BH38)/12)))-$BF38)/$BG38)^2*SIN(($BH38+8*($BI38-$BH38)/12))^2</f>
        <v/>
      </c>
      <c r="BS38">
        <f>((cc_D/2*(1-COS(($BH38+9*($BI38-$BH38)/12)))-$BF38)/$BG38)^2*SIN(($BH38+9*($BI38-$BH38)/12))^2</f>
        <v/>
      </c>
      <c r="BT38">
        <f>((cc_D/2*(1-COS(($BH38+10*($BI38-$BH38)/12)))-$BF38)/$BG38)^2*SIN(($BH38+10*($BI38-$BH38)/12))^2</f>
        <v/>
      </c>
      <c r="BU38">
        <f>((cc_D/2*(1-COS(($BH38+11*($BI38-$BH38)/12)))-$BF38)/$BG38)^2*SIN(($BH38+11*($BI38-$BH38)/12))^2</f>
        <v/>
      </c>
      <c r="BV38">
        <f>((cc_D/2*(1-COS(($BH38+12*($BI38-$BH38)/12)))-$BF38)/$BG38)^2*SIN(($BH38+12*($BI38-$BH38)/12))^2</f>
        <v/>
      </c>
      <c r="BW38">
        <f>BJ38*COS(($BH38+0*($BI38-$BH38)/12))</f>
        <v/>
      </c>
      <c r="BX38">
        <f>BK38*COS(($BH38+1*($BI38-$BH38)/12))</f>
        <v/>
      </c>
      <c r="BY38">
        <f>BL38*COS(($BH38+2*($BI38-$BH38)/12))</f>
        <v/>
      </c>
      <c r="BZ38">
        <f>BM38*COS(($BH38+3*($BI38-$BH38)/12))</f>
        <v/>
      </c>
      <c r="CA38">
        <f>BN38*COS(($BH38+4*($BI38-$BH38)/12))</f>
        <v/>
      </c>
      <c r="CB38">
        <f>BO38*COS(($BH38+5*($BI38-$BH38)/12))</f>
        <v/>
      </c>
      <c r="CC38">
        <f>BP38*COS(($BH38+6*($BI38-$BH38)/12))</f>
        <v/>
      </c>
      <c r="CD38">
        <f>BQ38*COS(($BH38+7*($BI38-$BH38)/12))</f>
        <v/>
      </c>
      <c r="CE38">
        <f>BR38*COS(($BH38+8*($BI38-$BH38)/12))</f>
        <v/>
      </c>
      <c r="CF38">
        <f>BS38*COS(($BH38+9*($BI38-$BH38)/12))</f>
        <v/>
      </c>
      <c r="CG38">
        <f>BT38*COS(($BH38+10*($BI38-$BH38)/12))</f>
        <v/>
      </c>
      <c r="CH38">
        <f>BU38*COS(($BH38+11*($BI38-$BH38)/12))</f>
        <v/>
      </c>
      <c r="CI38">
        <f>BV38*COS(($BH38+12*($BI38-$BH38)/12))</f>
        <v/>
      </c>
    </row>
    <row r="39">
      <c r="B39" s="53" t="n">
        <v>14</v>
      </c>
      <c r="C39" s="54">
        <f>0.45*cc_D</f>
        <v/>
      </c>
      <c r="D39" s="55">
        <f>IF($C39&lt;=cc_D,3.5,2*$C39/($C39-3*cc_D/7))</f>
        <v/>
      </c>
      <c r="E39" s="56">
        <f>(fcd_cc*((cc_D/2)^2*($BI39-COS($BI39)*SIN($BI39))-2*(cc_D/2)^2*($BI39-$BH39)/12/3*SUMPRODUCT($BJ$4:$BV$4,$BJ39:$BV39))+SUMPRODUCT($J$5:$AG$5,$J39:$AG39))/1000</f>
        <v/>
      </c>
      <c r="F39" s="56">
        <f>(fcd_cc*(2/3*(cc_D/2)^3*SIN($BI39)^3-2*(cc_D/2)^3*($BI39-$BH39)/12/3*SUMPRODUCT($BW$4:$CI$4,$BW39:$CI39))+SUMPRODUCT($J$5:$AG$5,$J39:$AG39,$J$7:$AG$7))/1E6</f>
        <v/>
      </c>
      <c r="G39" s="56">
        <f>(fcd_cc*((cc_D/2)^2*($BI39-COS($BI39)*SIN($BI39))-2*(cc_D/2)^2*($BI39-$BH39)/12/3*SUMPRODUCT($BJ$4:$BV$4,$BJ39:$BV39))+SUMPRODUCT($J$5:$AG$5,$AH39:$BE39))/1000</f>
        <v/>
      </c>
      <c r="H39" s="56">
        <f>(fcd_cc*(2/3*(cc_D/2)^3*SIN($BI39)^3-2*(cc_D/2)^3*($BI39-$BH39)/12/3*SUMPRODUCT($BW$4:$CI$4,$BW39:$CI39))+SUMPRODUCT($J$5:$AG$5,$AH39:$BE39,$J$19:$AG$19))/1E6</f>
        <v/>
      </c>
      <c r="J39">
        <f>MAX(-fyd_cc,MIN(fyd_cc,Es_cc*IF($C39&lt;=cc_D,0.0035*($C39-J$6)/$C39,0.002*($C39-J$6)/($C39-3*cc_D/7))))-fcd_cc*(1-(1-MAX(0,MIN(1,IF($C39&lt;=cc_D,0.0035*($C39-J$6)/$C39,0.002*($C39-J$6)/($C39-3*cc_D/7))/0.002)))^2)</f>
        <v/>
      </c>
      <c r="K39">
        <f>MAX(-fyd_cc,MIN(fyd_cc,Es_cc*IF($C39&lt;=cc_D,0.0035*($C39-K$6)/$C39,0.002*($C39-K$6)/($C39-3*cc_D/7))))-fcd_cc*(1-(1-MAX(0,MIN(1,IF($C39&lt;=cc_D,0.0035*($C39-K$6)/$C39,0.002*($C39-K$6)/($C39-3*cc_D/7))/0.002)))^2)</f>
        <v/>
      </c>
      <c r="L39">
        <f>MAX(-fyd_cc,MIN(fyd_cc,Es_cc*IF($C39&lt;=cc_D,0.0035*($C39-L$6)/$C39,0.002*($C39-L$6)/($C39-3*cc_D/7))))-fcd_cc*(1-(1-MAX(0,MIN(1,IF($C39&lt;=cc_D,0.0035*($C39-L$6)/$C39,0.002*($C39-L$6)/($C39-3*cc_D/7))/0.002)))^2)</f>
        <v/>
      </c>
      <c r="M39">
        <f>MAX(-fyd_cc,MIN(fyd_cc,Es_cc*IF($C39&lt;=cc_D,0.0035*($C39-M$6)/$C39,0.002*($C39-M$6)/($C39-3*cc_D/7))))-fcd_cc*(1-(1-MAX(0,MIN(1,IF($C39&lt;=cc_D,0.0035*($C39-M$6)/$C39,0.002*($C39-M$6)/($C39-3*cc_D/7))/0.002)))^2)</f>
        <v/>
      </c>
      <c r="N39">
        <f>MAX(-fyd_cc,MIN(fyd_cc,Es_cc*IF($C39&lt;=cc_D,0.0035*($C39-N$6)/$C39,0.002*($C39-N$6)/($C39-3*cc_D/7))))-fcd_cc*(1-(1-MAX(0,MIN(1,IF($C39&lt;=cc_D,0.0035*($C39-N$6)/$C39,0.002*($C39-N$6)/($C39-3*cc_D/7))/0.002)))^2)</f>
        <v/>
      </c>
      <c r="O39">
        <f>MAX(-fyd_cc,MIN(fyd_cc,Es_cc*IF($C39&lt;=cc_D,0.0035*($C39-O$6)/$C39,0.002*($C39-O$6)/($C39-3*cc_D/7))))-fcd_cc*(1-(1-MAX(0,MIN(1,IF($C39&lt;=cc_D,0.0035*($C39-O$6)/$C39,0.002*($C39-O$6)/($C39-3*cc_D/7))/0.002)))^2)</f>
        <v/>
      </c>
      <c r="P39">
        <f>MAX(-fyd_cc,MIN(fyd_cc,Es_cc*IF($C39&lt;=cc_D,0.0035*($C39-P$6)/$C39,0.002*($C39-P$6)/($C39-3*cc_D/7))))-fcd_cc*(1-(1-MAX(0,MIN(1,IF($C39&lt;=cc_D,0.0035*($C39-P$6)/$C39,0.002*($C39-P$6)/($C39-3*cc_D/7))/0.002)))^2)</f>
        <v/>
      </c>
      <c r="Q39">
        <f>MAX(-fyd_cc,MIN(fyd_cc,Es_cc*IF($C39&lt;=cc_D,0.0035*($C39-Q$6)/$C39,0.002*($C39-Q$6)/($C39-3*cc_D/7))))-fcd_cc*(1-(1-MAX(0,MIN(1,IF($C39&lt;=cc_D,0.0035*($C39-Q$6)/$C39,0.002*($C39-Q$6)/($C39-3*cc_D/7))/0.002)))^2)</f>
        <v/>
      </c>
      <c r="R39">
        <f>MAX(-fyd_cc,MIN(fyd_cc,Es_cc*IF($C39&lt;=cc_D,0.0035*($C39-R$6)/$C39,0.002*($C39-R$6)/($C39-3*cc_D/7))))-fcd_cc*(1-(1-MAX(0,MIN(1,IF($C39&lt;=cc_D,0.0035*($C39-R$6)/$C39,0.002*($C39-R$6)/($C39-3*cc_D/7))/0.002)))^2)</f>
        <v/>
      </c>
      <c r="S39">
        <f>MAX(-fyd_cc,MIN(fyd_cc,Es_cc*IF($C39&lt;=cc_D,0.0035*($C39-S$6)/$C39,0.002*($C39-S$6)/($C39-3*cc_D/7))))-fcd_cc*(1-(1-MAX(0,MIN(1,IF($C39&lt;=cc_D,0.0035*($C39-S$6)/$C39,0.002*($C39-S$6)/($C39-3*cc_D/7))/0.002)))^2)</f>
        <v/>
      </c>
      <c r="T39">
        <f>MAX(-fyd_cc,MIN(fyd_cc,Es_cc*IF($C39&lt;=cc_D,0.0035*($C39-T$6)/$C39,0.002*($C39-T$6)/($C39-3*cc_D/7))))-fcd_cc*(1-(1-MAX(0,MIN(1,IF($C39&lt;=cc_D,0.0035*($C39-T$6)/$C39,0.002*($C39-T$6)/($C39-3*cc_D/7))/0.002)))^2)</f>
        <v/>
      </c>
      <c r="U39">
        <f>MAX(-fyd_cc,MIN(fyd_cc,Es_cc*IF($C39&lt;=cc_D,0.0035*($C39-U$6)/$C39,0.002*($C39-U$6)/($C39-3*cc_D/7))))-fcd_cc*(1-(1-MAX(0,MIN(1,IF($C39&lt;=cc_D,0.0035*($C39-U$6)/$C39,0.002*($C39-U$6)/($C39-3*cc_D/7))/0.002)))^2)</f>
        <v/>
      </c>
      <c r="V39">
        <f>MAX(-fyd_cc,MIN(fyd_cc,Es_cc*IF($C39&lt;=cc_D,0.0035*($C39-V$6)/$C39,0.002*($C39-V$6)/($C39-3*cc_D/7))))-fcd_cc*(1-(1-MAX(0,MIN(1,IF($C39&lt;=cc_D,0.0035*($C39-V$6)/$C39,0.002*($C39-V$6)/($C39-3*cc_D/7))/0.002)))^2)</f>
        <v/>
      </c>
      <c r="W39">
        <f>MAX(-fyd_cc,MIN(fyd_cc,Es_cc*IF($C39&lt;=cc_D,0.0035*($C39-W$6)/$C39,0.002*($C39-W$6)/($C39-3*cc_D/7))))-fcd_cc*(1-(1-MAX(0,MIN(1,IF($C39&lt;=cc_D,0.0035*($C39-W$6)/$C39,0.002*($C39-W$6)/($C39-3*cc_D/7))/0.002)))^2)</f>
        <v/>
      </c>
      <c r="X39">
        <f>MAX(-fyd_cc,MIN(fyd_cc,Es_cc*IF($C39&lt;=cc_D,0.0035*($C39-X$6)/$C39,0.002*($C39-X$6)/($C39-3*cc_D/7))))-fcd_cc*(1-(1-MAX(0,MIN(1,IF($C39&lt;=cc_D,0.0035*($C39-X$6)/$C39,0.002*($C39-X$6)/($C39-3*cc_D/7))/0.002)))^2)</f>
        <v/>
      </c>
      <c r="Y39">
        <f>MAX(-fyd_cc,MIN(fyd_cc,Es_cc*IF($C39&lt;=cc_D,0.0035*($C39-Y$6)/$C39,0.002*($C39-Y$6)/($C39-3*cc_D/7))))-fcd_cc*(1-(1-MAX(0,MIN(1,IF($C39&lt;=cc_D,0.0035*($C39-Y$6)/$C39,0.002*($C39-Y$6)/($C39-3*cc_D/7))/0.002)))^2)</f>
        <v/>
      </c>
      <c r="Z39">
        <f>MAX(-fyd_cc,MIN(fyd_cc,Es_cc*IF($C39&lt;=cc_D,0.0035*($C39-Z$6)/$C39,0.002*($C39-Z$6)/($C39-3*cc_D/7))))-fcd_cc*(1-(1-MAX(0,MIN(1,IF($C39&lt;=cc_D,0.0035*($C39-Z$6)/$C39,0.002*($C39-Z$6)/($C39-3*cc_D/7))/0.002)))^2)</f>
        <v/>
      </c>
      <c r="AA39">
        <f>MAX(-fyd_cc,MIN(fyd_cc,Es_cc*IF($C39&lt;=cc_D,0.0035*($C39-AA$6)/$C39,0.002*($C39-AA$6)/($C39-3*cc_D/7))))-fcd_cc*(1-(1-MAX(0,MIN(1,IF($C39&lt;=cc_D,0.0035*($C39-AA$6)/$C39,0.002*($C39-AA$6)/($C39-3*cc_D/7))/0.002)))^2)</f>
        <v/>
      </c>
      <c r="AB39">
        <f>MAX(-fyd_cc,MIN(fyd_cc,Es_cc*IF($C39&lt;=cc_D,0.0035*($C39-AB$6)/$C39,0.002*($C39-AB$6)/($C39-3*cc_D/7))))-fcd_cc*(1-(1-MAX(0,MIN(1,IF($C39&lt;=cc_D,0.0035*($C39-AB$6)/$C39,0.002*($C39-AB$6)/($C39-3*cc_D/7))/0.002)))^2)</f>
        <v/>
      </c>
      <c r="AC39">
        <f>MAX(-fyd_cc,MIN(fyd_cc,Es_cc*IF($C39&lt;=cc_D,0.0035*($C39-AC$6)/$C39,0.002*($C39-AC$6)/($C39-3*cc_D/7))))-fcd_cc*(1-(1-MAX(0,MIN(1,IF($C39&lt;=cc_D,0.0035*($C39-AC$6)/$C39,0.002*($C39-AC$6)/($C39-3*cc_D/7))/0.002)))^2)</f>
        <v/>
      </c>
      <c r="AD39">
        <f>MAX(-fyd_cc,MIN(fyd_cc,Es_cc*IF($C39&lt;=cc_D,0.0035*($C39-AD$6)/$C39,0.002*($C39-AD$6)/($C39-3*cc_D/7))))-fcd_cc*(1-(1-MAX(0,MIN(1,IF($C39&lt;=cc_D,0.0035*($C39-AD$6)/$C39,0.002*($C39-AD$6)/($C39-3*cc_D/7))/0.002)))^2)</f>
        <v/>
      </c>
      <c r="AE39">
        <f>MAX(-fyd_cc,MIN(fyd_cc,Es_cc*IF($C39&lt;=cc_D,0.0035*($C39-AE$6)/$C39,0.002*($C39-AE$6)/($C39-3*cc_D/7))))-fcd_cc*(1-(1-MAX(0,MIN(1,IF($C39&lt;=cc_D,0.0035*($C39-AE$6)/$C39,0.002*($C39-AE$6)/($C39-3*cc_D/7))/0.002)))^2)</f>
        <v/>
      </c>
      <c r="AF39">
        <f>MAX(-fyd_cc,MIN(fyd_cc,Es_cc*IF($C39&lt;=cc_D,0.0035*($C39-AF$6)/$C39,0.002*($C39-AF$6)/($C39-3*cc_D/7))))-fcd_cc*(1-(1-MAX(0,MIN(1,IF($C39&lt;=cc_D,0.0035*($C39-AF$6)/$C39,0.002*($C39-AF$6)/($C39-3*cc_D/7))/0.002)))^2)</f>
        <v/>
      </c>
      <c r="AG39">
        <f>MAX(-fyd_cc,MIN(fyd_cc,Es_cc*IF($C39&lt;=cc_D,0.0035*($C39-AG$6)/$C39,0.002*($C39-AG$6)/($C39-3*cc_D/7))))-fcd_cc*(1-(1-MAX(0,MIN(1,IF($C39&lt;=cc_D,0.0035*($C39-AG$6)/$C39,0.002*($C39-AG$6)/($C39-3*cc_D/7))/0.002)))^2)</f>
        <v/>
      </c>
      <c r="AH39">
        <f>MAX(-fyd_cc,MIN(fyd_cc,Es_cc*IF($C39&lt;=cc_D,0.0035*($C39-J$18)/$C39,0.002*($C39-J$18)/($C39-3*cc_D/7))))-fcd_cc*(1-(1-MAX(0,MIN(1,IF($C39&lt;=cc_D,0.0035*($C39-J$18)/$C39,0.002*($C39-J$18)/($C39-3*cc_D/7))/0.002)))^2)</f>
        <v/>
      </c>
      <c r="AI39">
        <f>MAX(-fyd_cc,MIN(fyd_cc,Es_cc*IF($C39&lt;=cc_D,0.0035*($C39-K$18)/$C39,0.002*($C39-K$18)/($C39-3*cc_D/7))))-fcd_cc*(1-(1-MAX(0,MIN(1,IF($C39&lt;=cc_D,0.0035*($C39-K$18)/$C39,0.002*($C39-K$18)/($C39-3*cc_D/7))/0.002)))^2)</f>
        <v/>
      </c>
      <c r="AJ39">
        <f>MAX(-fyd_cc,MIN(fyd_cc,Es_cc*IF($C39&lt;=cc_D,0.0035*($C39-L$18)/$C39,0.002*($C39-L$18)/($C39-3*cc_D/7))))-fcd_cc*(1-(1-MAX(0,MIN(1,IF($C39&lt;=cc_D,0.0035*($C39-L$18)/$C39,0.002*($C39-L$18)/($C39-3*cc_D/7))/0.002)))^2)</f>
        <v/>
      </c>
      <c r="AK39">
        <f>MAX(-fyd_cc,MIN(fyd_cc,Es_cc*IF($C39&lt;=cc_D,0.0035*($C39-M$18)/$C39,0.002*($C39-M$18)/($C39-3*cc_D/7))))-fcd_cc*(1-(1-MAX(0,MIN(1,IF($C39&lt;=cc_D,0.0035*($C39-M$18)/$C39,0.002*($C39-M$18)/($C39-3*cc_D/7))/0.002)))^2)</f>
        <v/>
      </c>
      <c r="AL39">
        <f>MAX(-fyd_cc,MIN(fyd_cc,Es_cc*IF($C39&lt;=cc_D,0.0035*($C39-N$18)/$C39,0.002*($C39-N$18)/($C39-3*cc_D/7))))-fcd_cc*(1-(1-MAX(0,MIN(1,IF($C39&lt;=cc_D,0.0035*($C39-N$18)/$C39,0.002*($C39-N$18)/($C39-3*cc_D/7))/0.002)))^2)</f>
        <v/>
      </c>
      <c r="AM39">
        <f>MAX(-fyd_cc,MIN(fyd_cc,Es_cc*IF($C39&lt;=cc_D,0.0035*($C39-O$18)/$C39,0.002*($C39-O$18)/($C39-3*cc_D/7))))-fcd_cc*(1-(1-MAX(0,MIN(1,IF($C39&lt;=cc_D,0.0035*($C39-O$18)/$C39,0.002*($C39-O$18)/($C39-3*cc_D/7))/0.002)))^2)</f>
        <v/>
      </c>
      <c r="AN39">
        <f>MAX(-fyd_cc,MIN(fyd_cc,Es_cc*IF($C39&lt;=cc_D,0.0035*($C39-P$18)/$C39,0.002*($C39-P$18)/($C39-3*cc_D/7))))-fcd_cc*(1-(1-MAX(0,MIN(1,IF($C39&lt;=cc_D,0.0035*($C39-P$18)/$C39,0.002*($C39-P$18)/($C39-3*cc_D/7))/0.002)))^2)</f>
        <v/>
      </c>
      <c r="AO39">
        <f>MAX(-fyd_cc,MIN(fyd_cc,Es_cc*IF($C39&lt;=cc_D,0.0035*($C39-Q$18)/$C39,0.002*($C39-Q$18)/($C39-3*cc_D/7))))-fcd_cc*(1-(1-MAX(0,MIN(1,IF($C39&lt;=cc_D,0.0035*($C39-Q$18)/$C39,0.002*($C39-Q$18)/($C39-3*cc_D/7))/0.002)))^2)</f>
        <v/>
      </c>
      <c r="AP39">
        <f>MAX(-fyd_cc,MIN(fyd_cc,Es_cc*IF($C39&lt;=cc_D,0.0035*($C39-R$18)/$C39,0.002*($C39-R$18)/($C39-3*cc_D/7))))-fcd_cc*(1-(1-MAX(0,MIN(1,IF($C39&lt;=cc_D,0.0035*($C39-R$18)/$C39,0.002*($C39-R$18)/($C39-3*cc_D/7))/0.002)))^2)</f>
        <v/>
      </c>
      <c r="AQ39">
        <f>MAX(-fyd_cc,MIN(fyd_cc,Es_cc*IF($C39&lt;=cc_D,0.0035*($C39-S$18)/$C39,0.002*($C39-S$18)/($C39-3*cc_D/7))))-fcd_cc*(1-(1-MAX(0,MIN(1,IF($C39&lt;=cc_D,0.0035*($C39-S$18)/$C39,0.002*($C39-S$18)/($C39-3*cc_D/7))/0.002)))^2)</f>
        <v/>
      </c>
      <c r="AR39">
        <f>MAX(-fyd_cc,MIN(fyd_cc,Es_cc*IF($C39&lt;=cc_D,0.0035*($C39-T$18)/$C39,0.002*($C39-T$18)/($C39-3*cc_D/7))))-fcd_cc*(1-(1-MAX(0,MIN(1,IF($C39&lt;=cc_D,0.0035*($C39-T$18)/$C39,0.002*($C39-T$18)/($C39-3*cc_D/7))/0.002)))^2)</f>
        <v/>
      </c>
      <c r="AS39">
        <f>MAX(-fyd_cc,MIN(fyd_cc,Es_cc*IF($C39&lt;=cc_D,0.0035*($C39-U$18)/$C39,0.002*($C39-U$18)/($C39-3*cc_D/7))))-fcd_cc*(1-(1-MAX(0,MIN(1,IF($C39&lt;=cc_D,0.0035*($C39-U$18)/$C39,0.002*($C39-U$18)/($C39-3*cc_D/7))/0.002)))^2)</f>
        <v/>
      </c>
      <c r="AT39">
        <f>MAX(-fyd_cc,MIN(fyd_cc,Es_cc*IF($C39&lt;=cc_D,0.0035*($C39-V$18)/$C39,0.002*($C39-V$18)/($C39-3*cc_D/7))))-fcd_cc*(1-(1-MAX(0,MIN(1,IF($C39&lt;=cc_D,0.0035*($C39-V$18)/$C39,0.002*($C39-V$18)/($C39-3*cc_D/7))/0.002)))^2)</f>
        <v/>
      </c>
      <c r="AU39">
        <f>MAX(-fyd_cc,MIN(fyd_cc,Es_cc*IF($C39&lt;=cc_D,0.0035*($C39-W$18)/$C39,0.002*($C39-W$18)/($C39-3*cc_D/7))))-fcd_cc*(1-(1-MAX(0,MIN(1,IF($C39&lt;=cc_D,0.0035*($C39-W$18)/$C39,0.002*($C39-W$18)/($C39-3*cc_D/7))/0.002)))^2)</f>
        <v/>
      </c>
      <c r="AV39">
        <f>MAX(-fyd_cc,MIN(fyd_cc,Es_cc*IF($C39&lt;=cc_D,0.0035*($C39-X$18)/$C39,0.002*($C39-X$18)/($C39-3*cc_D/7))))-fcd_cc*(1-(1-MAX(0,MIN(1,IF($C39&lt;=cc_D,0.0035*($C39-X$18)/$C39,0.002*($C39-X$18)/($C39-3*cc_D/7))/0.002)))^2)</f>
        <v/>
      </c>
      <c r="AW39">
        <f>MAX(-fyd_cc,MIN(fyd_cc,Es_cc*IF($C39&lt;=cc_D,0.0035*($C39-Y$18)/$C39,0.002*($C39-Y$18)/($C39-3*cc_D/7))))-fcd_cc*(1-(1-MAX(0,MIN(1,IF($C39&lt;=cc_D,0.0035*($C39-Y$18)/$C39,0.002*($C39-Y$18)/($C39-3*cc_D/7))/0.002)))^2)</f>
        <v/>
      </c>
      <c r="AX39">
        <f>MAX(-fyd_cc,MIN(fyd_cc,Es_cc*IF($C39&lt;=cc_D,0.0035*($C39-Z$18)/$C39,0.002*($C39-Z$18)/($C39-3*cc_D/7))))-fcd_cc*(1-(1-MAX(0,MIN(1,IF($C39&lt;=cc_D,0.0035*($C39-Z$18)/$C39,0.002*($C39-Z$18)/($C39-3*cc_D/7))/0.002)))^2)</f>
        <v/>
      </c>
      <c r="AY39">
        <f>MAX(-fyd_cc,MIN(fyd_cc,Es_cc*IF($C39&lt;=cc_D,0.0035*($C39-AA$18)/$C39,0.002*($C39-AA$18)/($C39-3*cc_D/7))))-fcd_cc*(1-(1-MAX(0,MIN(1,IF($C39&lt;=cc_D,0.0035*($C39-AA$18)/$C39,0.002*($C39-AA$18)/($C39-3*cc_D/7))/0.002)))^2)</f>
        <v/>
      </c>
      <c r="AZ39">
        <f>MAX(-fyd_cc,MIN(fyd_cc,Es_cc*IF($C39&lt;=cc_D,0.0035*($C39-AB$18)/$C39,0.002*($C39-AB$18)/($C39-3*cc_D/7))))-fcd_cc*(1-(1-MAX(0,MIN(1,IF($C39&lt;=cc_D,0.0035*($C39-AB$18)/$C39,0.002*($C39-AB$18)/($C39-3*cc_D/7))/0.002)))^2)</f>
        <v/>
      </c>
      <c r="BA39">
        <f>MAX(-fyd_cc,MIN(fyd_cc,Es_cc*IF($C39&lt;=cc_D,0.0035*($C39-AC$18)/$C39,0.002*($C39-AC$18)/($C39-3*cc_D/7))))-fcd_cc*(1-(1-MAX(0,MIN(1,IF($C39&lt;=cc_D,0.0035*($C39-AC$18)/$C39,0.002*($C39-AC$18)/($C39-3*cc_D/7))/0.002)))^2)</f>
        <v/>
      </c>
      <c r="BB39">
        <f>MAX(-fyd_cc,MIN(fyd_cc,Es_cc*IF($C39&lt;=cc_D,0.0035*($C39-AD$18)/$C39,0.002*($C39-AD$18)/($C39-3*cc_D/7))))-fcd_cc*(1-(1-MAX(0,MIN(1,IF($C39&lt;=cc_D,0.0035*($C39-AD$18)/$C39,0.002*($C39-AD$18)/($C39-3*cc_D/7))/0.002)))^2)</f>
        <v/>
      </c>
      <c r="BC39">
        <f>MAX(-fyd_cc,MIN(fyd_cc,Es_cc*IF($C39&lt;=cc_D,0.0035*($C39-AE$18)/$C39,0.002*($C39-AE$18)/($C39-3*cc_D/7))))-fcd_cc*(1-(1-MAX(0,MIN(1,IF($C39&lt;=cc_D,0.0035*($C39-AE$18)/$C39,0.002*($C39-AE$18)/($C39-3*cc_D/7))/0.002)))^2)</f>
        <v/>
      </c>
      <c r="BD39">
        <f>MAX(-fyd_cc,MIN(fyd_cc,Es_cc*IF($C39&lt;=cc_D,0.0035*($C39-AF$18)/$C39,0.002*($C39-AF$18)/($C39-3*cc_D/7))))-fcd_cc*(1-(1-MAX(0,MIN(1,IF($C39&lt;=cc_D,0.0035*($C39-AF$18)/$C39,0.002*($C39-AF$18)/($C39-3*cc_D/7))/0.002)))^2)</f>
        <v/>
      </c>
      <c r="BE39">
        <f>MAX(-fyd_cc,MIN(fyd_cc,Es_cc*IF($C39&lt;=cc_D,0.0035*($C39-AG$18)/$C39,0.002*($C39-AG$18)/($C39-3*cc_D/7))))-fcd_cc*(1-(1-MAX(0,MIN(1,IF($C39&lt;=cc_D,0.0035*($C39-AG$18)/$C39,0.002*($C39-AG$18)/($C39-3*cc_D/7))/0.002)))^2)</f>
        <v/>
      </c>
      <c r="BF39">
        <f>3*MIN($C39,cc_D)/7</f>
        <v/>
      </c>
      <c r="BG39">
        <f>$C39-$BF39</f>
        <v/>
      </c>
      <c r="BH39">
        <f>ACOS(MAX(-1,MIN(1,1-$BF39/(cc_D/2))))</f>
        <v/>
      </c>
      <c r="BI39">
        <f>ACOS(MAX(-1,MIN(1,1-MIN($C39,cc_D)/(cc_D/2))))</f>
        <v/>
      </c>
      <c r="BJ39">
        <f>((cc_D/2*(1-COS(($BH39+0*($BI39-$BH39)/12)))-$BF39)/$BG39)^2*SIN(($BH39+0*($BI39-$BH39)/12))^2</f>
        <v/>
      </c>
      <c r="BK39">
        <f>((cc_D/2*(1-COS(($BH39+1*($BI39-$BH39)/12)))-$BF39)/$BG39)^2*SIN(($BH39+1*($BI39-$BH39)/12))^2</f>
        <v/>
      </c>
      <c r="BL39">
        <f>((cc_D/2*(1-COS(($BH39+2*($BI39-$BH39)/12)))-$BF39)/$BG39)^2*SIN(($BH39+2*($BI39-$BH39)/12))^2</f>
        <v/>
      </c>
      <c r="BM39">
        <f>((cc_D/2*(1-COS(($BH39+3*($BI39-$BH39)/12)))-$BF39)/$BG39)^2*SIN(($BH39+3*($BI39-$BH39)/12))^2</f>
        <v/>
      </c>
      <c r="BN39">
        <f>((cc_D/2*(1-COS(($BH39+4*($BI39-$BH39)/12)))-$BF39)/$BG39)^2*SIN(($BH39+4*($BI39-$BH39)/12))^2</f>
        <v/>
      </c>
      <c r="BO39">
        <f>((cc_D/2*(1-COS(($BH39+5*($BI39-$BH39)/12)))-$BF39)/$BG39)^2*SIN(($BH39+5*($BI39-$BH39)/12))^2</f>
        <v/>
      </c>
      <c r="BP39">
        <f>((cc_D/2*(1-COS(($BH39+6*($BI39-$BH39)/12)))-$BF39)/$BG39)^2*SIN(($BH39+6*($BI39-$BH39)/12))^2</f>
        <v/>
      </c>
      <c r="BQ39">
        <f>((cc_D/2*(1-COS(($BH39+7*($BI39-$BH39)/12)))-$BF39)/$BG39)^2*SIN(($BH39+7*($BI39-$BH39)/12))^2</f>
        <v/>
      </c>
      <c r="BR39">
        <f>((cc_D/2*(1-COS(($BH39+8*($BI39-$BH39)/12)))-$BF39)/$BG39)^2*SIN(($BH39+8*($BI39-$BH39)/12))^2</f>
        <v/>
      </c>
      <c r="BS39">
        <f>((cc_D/2*(1-COS(($BH39+9*($BI39-$BH39)/12)))-$BF39)/$BG39)^2*SIN(($BH39+9*($BI39-$BH39)/12))^2</f>
        <v/>
      </c>
      <c r="BT39">
        <f>((cc_D/2*(1-COS(($BH39+10*($BI39-$BH39)/12)))-$BF39)/$BG39)^2*SIN(($BH39+10*($BI39-$BH39)/12))^2</f>
        <v/>
      </c>
      <c r="BU39">
        <f>((cc_D/2*(1-COS(($BH39+11*($BI39-$BH39)/12)))-$BF39)/$BG39)^2*SIN(($BH39+11*($BI39-$BH39)/12))^2</f>
        <v/>
      </c>
      <c r="BV39">
        <f>((cc_D/2*(1-COS(($BH39+12*($BI39-$BH39)/12)))-$BF39)/$BG39)^2*SIN(($BH39+12*($BI39-$BH39)/12))^2</f>
        <v/>
      </c>
      <c r="BW39">
        <f>BJ39*COS(($BH39+0*($BI39-$BH39)/12))</f>
        <v/>
      </c>
      <c r="BX39">
        <f>BK39*COS(($BH39+1*($BI39-$BH39)/12))</f>
        <v/>
      </c>
      <c r="BY39">
        <f>BL39*COS(($BH39+2*($BI39-$BH39)/12))</f>
        <v/>
      </c>
      <c r="BZ39">
        <f>BM39*COS(($BH39+3*($BI39-$BH39)/12))</f>
        <v/>
      </c>
      <c r="CA39">
        <f>BN39*COS(($BH39+4*($BI39-$BH39)/12))</f>
        <v/>
      </c>
      <c r="CB39">
        <f>BO39*COS(($BH39+5*($BI39-$BH39)/12))</f>
        <v/>
      </c>
      <c r="CC39">
        <f>BP39*COS(($BH39+6*($BI39-$BH39)/12))</f>
        <v/>
      </c>
      <c r="CD39">
        <f>BQ39*COS(($BH39+7*($BI39-$BH39)/12))</f>
        <v/>
      </c>
      <c r="CE39">
        <f>BR39*COS(($BH39+8*($BI39-$BH39)/12))</f>
        <v/>
      </c>
      <c r="CF39">
        <f>BS39*COS(($BH39+9*($BI39-$BH39)/12))</f>
        <v/>
      </c>
      <c r="CG39">
        <f>BT39*COS(($BH39+10*($BI39-$BH39)/12))</f>
        <v/>
      </c>
      <c r="CH39">
        <f>BU39*COS(($BH39+11*($BI39-$BH39)/12))</f>
        <v/>
      </c>
      <c r="CI39">
        <f>BV39*COS(($BH39+12*($BI39-$BH39)/12))</f>
        <v/>
      </c>
    </row>
    <row r="40">
      <c r="B40" s="53" t="n">
        <v>15</v>
      </c>
      <c r="C40" s="54">
        <f>0.5*cc_D</f>
        <v/>
      </c>
      <c r="D40" s="55">
        <f>IF($C40&lt;=cc_D,3.5,2*$C40/($C40-3*cc_D/7))</f>
        <v/>
      </c>
      <c r="E40" s="56">
        <f>(fcd_cc*((cc_D/2)^2*($BI40-COS($BI40)*SIN($BI40))-2*(cc_D/2)^2*($BI40-$BH40)/12/3*SUMPRODUCT($BJ$4:$BV$4,$BJ40:$BV40))+SUMPRODUCT($J$5:$AG$5,$J40:$AG40))/1000</f>
        <v/>
      </c>
      <c r="F40" s="56">
        <f>(fcd_cc*(2/3*(cc_D/2)^3*SIN($BI40)^3-2*(cc_D/2)^3*($BI40-$BH40)/12/3*SUMPRODUCT($BW$4:$CI$4,$BW40:$CI40))+SUMPRODUCT($J$5:$AG$5,$J40:$AG40,$J$7:$AG$7))/1E6</f>
        <v/>
      </c>
      <c r="G40" s="56">
        <f>(fcd_cc*((cc_D/2)^2*($BI40-COS($BI40)*SIN($BI40))-2*(cc_D/2)^2*($BI40-$BH40)/12/3*SUMPRODUCT($BJ$4:$BV$4,$BJ40:$BV40))+SUMPRODUCT($J$5:$AG$5,$AH40:$BE40))/1000</f>
        <v/>
      </c>
      <c r="H40" s="56">
        <f>(fcd_cc*(2/3*(cc_D/2)^3*SIN($BI40)^3-2*(cc_D/2)^3*($BI40-$BH40)/12/3*SUMPRODUCT($BW$4:$CI$4,$BW40:$CI40))+SUMPRODUCT($J$5:$AG$5,$AH40:$BE40,$J$19:$AG$19))/1E6</f>
        <v/>
      </c>
      <c r="J40">
        <f>MAX(-fyd_cc,MIN(fyd_cc,Es_cc*IF($C40&lt;=cc_D,0.0035*($C40-J$6)/$C40,0.002*($C40-J$6)/($C40-3*cc_D/7))))-fcd_cc*(1-(1-MAX(0,MIN(1,IF($C40&lt;=cc_D,0.0035*($C40-J$6)/$C40,0.002*($C40-J$6)/($C40-3*cc_D/7))/0.002)))^2)</f>
        <v/>
      </c>
      <c r="K40">
        <f>MAX(-fyd_cc,MIN(fyd_cc,Es_cc*IF($C40&lt;=cc_D,0.0035*($C40-K$6)/$C40,0.002*($C40-K$6)/($C40-3*cc_D/7))))-fcd_cc*(1-(1-MAX(0,MIN(1,IF($C40&lt;=cc_D,0.0035*($C40-K$6)/$C40,0.002*($C40-K$6)/($C40-3*cc_D/7))/0.002)))^2)</f>
        <v/>
      </c>
      <c r="L40">
        <f>MAX(-fyd_cc,MIN(fyd_cc,Es_cc*IF($C40&lt;=cc_D,0.0035*($C40-L$6)/$C40,0.002*($C40-L$6)/($C40-3*cc_D/7))))-fcd_cc*(1-(1-MAX(0,MIN(1,IF($C40&lt;=cc_D,0.0035*($C40-L$6)/$C40,0.002*($C40-L$6)/($C40-3*cc_D/7))/0.002)))^2)</f>
        <v/>
      </c>
      <c r="M40">
        <f>MAX(-fyd_cc,MIN(fyd_cc,Es_cc*IF($C40&lt;=cc_D,0.0035*($C40-M$6)/$C40,0.002*($C40-M$6)/($C40-3*cc_D/7))))-fcd_cc*(1-(1-MAX(0,MIN(1,IF($C40&lt;=cc_D,0.0035*($C40-M$6)/$C40,0.002*($C40-M$6)/($C40-3*cc_D/7))/0.002)))^2)</f>
        <v/>
      </c>
      <c r="N40">
        <f>MAX(-fyd_cc,MIN(fyd_cc,Es_cc*IF($C40&lt;=cc_D,0.0035*($C40-N$6)/$C40,0.002*($C40-N$6)/($C40-3*cc_D/7))))-fcd_cc*(1-(1-MAX(0,MIN(1,IF($C40&lt;=cc_D,0.0035*($C40-N$6)/$C40,0.002*($C40-N$6)/($C40-3*cc_D/7))/0.002)))^2)</f>
        <v/>
      </c>
      <c r="O40">
        <f>MAX(-fyd_cc,MIN(fyd_cc,Es_cc*IF($C40&lt;=cc_D,0.0035*($C40-O$6)/$C40,0.002*($C40-O$6)/($C40-3*cc_D/7))))-fcd_cc*(1-(1-MAX(0,MIN(1,IF($C40&lt;=cc_D,0.0035*($C40-O$6)/$C40,0.002*($C40-O$6)/($C40-3*cc_D/7))/0.002)))^2)</f>
        <v/>
      </c>
      <c r="P40">
        <f>MAX(-fyd_cc,MIN(fyd_cc,Es_cc*IF($C40&lt;=cc_D,0.0035*($C40-P$6)/$C40,0.002*($C40-P$6)/($C40-3*cc_D/7))))-fcd_cc*(1-(1-MAX(0,MIN(1,IF($C40&lt;=cc_D,0.0035*($C40-P$6)/$C40,0.002*($C40-P$6)/($C40-3*cc_D/7))/0.002)))^2)</f>
        <v/>
      </c>
      <c r="Q40">
        <f>MAX(-fyd_cc,MIN(fyd_cc,Es_cc*IF($C40&lt;=cc_D,0.0035*($C40-Q$6)/$C40,0.002*($C40-Q$6)/($C40-3*cc_D/7))))-fcd_cc*(1-(1-MAX(0,MIN(1,IF($C40&lt;=cc_D,0.0035*($C40-Q$6)/$C40,0.002*($C40-Q$6)/($C40-3*cc_D/7))/0.002)))^2)</f>
        <v/>
      </c>
      <c r="R40">
        <f>MAX(-fyd_cc,MIN(fyd_cc,Es_cc*IF($C40&lt;=cc_D,0.0035*($C40-R$6)/$C40,0.002*($C40-R$6)/($C40-3*cc_D/7))))-fcd_cc*(1-(1-MAX(0,MIN(1,IF($C40&lt;=cc_D,0.0035*($C40-R$6)/$C40,0.002*($C40-R$6)/($C40-3*cc_D/7))/0.002)))^2)</f>
        <v/>
      </c>
      <c r="S40">
        <f>MAX(-fyd_cc,MIN(fyd_cc,Es_cc*IF($C40&lt;=cc_D,0.0035*($C40-S$6)/$C40,0.002*($C40-S$6)/($C40-3*cc_D/7))))-fcd_cc*(1-(1-MAX(0,MIN(1,IF($C40&lt;=cc_D,0.0035*($C40-S$6)/$C40,0.002*($C40-S$6)/($C40-3*cc_D/7))/0.002)))^2)</f>
        <v/>
      </c>
      <c r="T40">
        <f>MAX(-fyd_cc,MIN(fyd_cc,Es_cc*IF($C40&lt;=cc_D,0.0035*($C40-T$6)/$C40,0.002*($C40-T$6)/($C40-3*cc_D/7))))-fcd_cc*(1-(1-MAX(0,MIN(1,IF($C40&lt;=cc_D,0.0035*($C40-T$6)/$C40,0.002*($C40-T$6)/($C40-3*cc_D/7))/0.002)))^2)</f>
        <v/>
      </c>
      <c r="U40">
        <f>MAX(-fyd_cc,MIN(fyd_cc,Es_cc*IF($C40&lt;=cc_D,0.0035*($C40-U$6)/$C40,0.002*($C40-U$6)/($C40-3*cc_D/7))))-fcd_cc*(1-(1-MAX(0,MIN(1,IF($C40&lt;=cc_D,0.0035*($C40-U$6)/$C40,0.002*($C40-U$6)/($C40-3*cc_D/7))/0.002)))^2)</f>
        <v/>
      </c>
      <c r="V40">
        <f>MAX(-fyd_cc,MIN(fyd_cc,Es_cc*IF($C40&lt;=cc_D,0.0035*($C40-V$6)/$C40,0.002*($C40-V$6)/($C40-3*cc_D/7))))-fcd_cc*(1-(1-MAX(0,MIN(1,IF($C40&lt;=cc_D,0.0035*($C40-V$6)/$C40,0.002*($C40-V$6)/($C40-3*cc_D/7))/0.002)))^2)</f>
        <v/>
      </c>
      <c r="W40">
        <f>MAX(-fyd_cc,MIN(fyd_cc,Es_cc*IF($C40&lt;=cc_D,0.0035*($C40-W$6)/$C40,0.002*($C40-W$6)/($C40-3*cc_D/7))))-fcd_cc*(1-(1-MAX(0,MIN(1,IF($C40&lt;=cc_D,0.0035*($C40-W$6)/$C40,0.002*($C40-W$6)/($C40-3*cc_D/7))/0.002)))^2)</f>
        <v/>
      </c>
      <c r="X40">
        <f>MAX(-fyd_cc,MIN(fyd_cc,Es_cc*IF($C40&lt;=cc_D,0.0035*($C40-X$6)/$C40,0.002*($C40-X$6)/($C40-3*cc_D/7))))-fcd_cc*(1-(1-MAX(0,MIN(1,IF($C40&lt;=cc_D,0.0035*($C40-X$6)/$C40,0.002*($C40-X$6)/($C40-3*cc_D/7))/0.002)))^2)</f>
        <v/>
      </c>
      <c r="Y40">
        <f>MAX(-fyd_cc,MIN(fyd_cc,Es_cc*IF($C40&lt;=cc_D,0.0035*($C40-Y$6)/$C40,0.002*($C40-Y$6)/($C40-3*cc_D/7))))-fcd_cc*(1-(1-MAX(0,MIN(1,IF($C40&lt;=cc_D,0.0035*($C40-Y$6)/$C40,0.002*($C40-Y$6)/($C40-3*cc_D/7))/0.002)))^2)</f>
        <v/>
      </c>
      <c r="Z40">
        <f>MAX(-fyd_cc,MIN(fyd_cc,Es_cc*IF($C40&lt;=cc_D,0.0035*($C40-Z$6)/$C40,0.002*($C40-Z$6)/($C40-3*cc_D/7))))-fcd_cc*(1-(1-MAX(0,MIN(1,IF($C40&lt;=cc_D,0.0035*($C40-Z$6)/$C40,0.002*($C40-Z$6)/($C40-3*cc_D/7))/0.002)))^2)</f>
        <v/>
      </c>
      <c r="AA40">
        <f>MAX(-fyd_cc,MIN(fyd_cc,Es_cc*IF($C40&lt;=cc_D,0.0035*($C40-AA$6)/$C40,0.002*($C40-AA$6)/($C40-3*cc_D/7))))-fcd_cc*(1-(1-MAX(0,MIN(1,IF($C40&lt;=cc_D,0.0035*($C40-AA$6)/$C40,0.002*($C40-AA$6)/($C40-3*cc_D/7))/0.002)))^2)</f>
        <v/>
      </c>
      <c r="AB40">
        <f>MAX(-fyd_cc,MIN(fyd_cc,Es_cc*IF($C40&lt;=cc_D,0.0035*($C40-AB$6)/$C40,0.002*($C40-AB$6)/($C40-3*cc_D/7))))-fcd_cc*(1-(1-MAX(0,MIN(1,IF($C40&lt;=cc_D,0.0035*($C40-AB$6)/$C40,0.002*($C40-AB$6)/($C40-3*cc_D/7))/0.002)))^2)</f>
        <v/>
      </c>
      <c r="AC40">
        <f>MAX(-fyd_cc,MIN(fyd_cc,Es_cc*IF($C40&lt;=cc_D,0.0035*($C40-AC$6)/$C40,0.002*($C40-AC$6)/($C40-3*cc_D/7))))-fcd_cc*(1-(1-MAX(0,MIN(1,IF($C40&lt;=cc_D,0.0035*($C40-AC$6)/$C40,0.002*($C40-AC$6)/($C40-3*cc_D/7))/0.002)))^2)</f>
        <v/>
      </c>
      <c r="AD40">
        <f>MAX(-fyd_cc,MIN(fyd_cc,Es_cc*IF($C40&lt;=cc_D,0.0035*($C40-AD$6)/$C40,0.002*($C40-AD$6)/($C40-3*cc_D/7))))-fcd_cc*(1-(1-MAX(0,MIN(1,IF($C40&lt;=cc_D,0.0035*($C40-AD$6)/$C40,0.002*($C40-AD$6)/($C40-3*cc_D/7))/0.002)))^2)</f>
        <v/>
      </c>
      <c r="AE40">
        <f>MAX(-fyd_cc,MIN(fyd_cc,Es_cc*IF($C40&lt;=cc_D,0.0035*($C40-AE$6)/$C40,0.002*($C40-AE$6)/($C40-3*cc_D/7))))-fcd_cc*(1-(1-MAX(0,MIN(1,IF($C40&lt;=cc_D,0.0035*($C40-AE$6)/$C40,0.002*($C40-AE$6)/($C40-3*cc_D/7))/0.002)))^2)</f>
        <v/>
      </c>
      <c r="AF40">
        <f>MAX(-fyd_cc,MIN(fyd_cc,Es_cc*IF($C40&lt;=cc_D,0.0035*($C40-AF$6)/$C40,0.002*($C40-AF$6)/($C40-3*cc_D/7))))-fcd_cc*(1-(1-MAX(0,MIN(1,IF($C40&lt;=cc_D,0.0035*($C40-AF$6)/$C40,0.002*($C40-AF$6)/($C40-3*cc_D/7))/0.002)))^2)</f>
        <v/>
      </c>
      <c r="AG40">
        <f>MAX(-fyd_cc,MIN(fyd_cc,Es_cc*IF($C40&lt;=cc_D,0.0035*($C40-AG$6)/$C40,0.002*($C40-AG$6)/($C40-3*cc_D/7))))-fcd_cc*(1-(1-MAX(0,MIN(1,IF($C40&lt;=cc_D,0.0035*($C40-AG$6)/$C40,0.002*($C40-AG$6)/($C40-3*cc_D/7))/0.002)))^2)</f>
        <v/>
      </c>
      <c r="AH40">
        <f>MAX(-fyd_cc,MIN(fyd_cc,Es_cc*IF($C40&lt;=cc_D,0.0035*($C40-J$18)/$C40,0.002*($C40-J$18)/($C40-3*cc_D/7))))-fcd_cc*(1-(1-MAX(0,MIN(1,IF($C40&lt;=cc_D,0.0035*($C40-J$18)/$C40,0.002*($C40-J$18)/($C40-3*cc_D/7))/0.002)))^2)</f>
        <v/>
      </c>
      <c r="AI40">
        <f>MAX(-fyd_cc,MIN(fyd_cc,Es_cc*IF($C40&lt;=cc_D,0.0035*($C40-K$18)/$C40,0.002*($C40-K$18)/($C40-3*cc_D/7))))-fcd_cc*(1-(1-MAX(0,MIN(1,IF($C40&lt;=cc_D,0.0035*($C40-K$18)/$C40,0.002*($C40-K$18)/($C40-3*cc_D/7))/0.002)))^2)</f>
        <v/>
      </c>
      <c r="AJ40">
        <f>MAX(-fyd_cc,MIN(fyd_cc,Es_cc*IF($C40&lt;=cc_D,0.0035*($C40-L$18)/$C40,0.002*($C40-L$18)/($C40-3*cc_D/7))))-fcd_cc*(1-(1-MAX(0,MIN(1,IF($C40&lt;=cc_D,0.0035*($C40-L$18)/$C40,0.002*($C40-L$18)/($C40-3*cc_D/7))/0.002)))^2)</f>
        <v/>
      </c>
      <c r="AK40">
        <f>MAX(-fyd_cc,MIN(fyd_cc,Es_cc*IF($C40&lt;=cc_D,0.0035*($C40-M$18)/$C40,0.002*($C40-M$18)/($C40-3*cc_D/7))))-fcd_cc*(1-(1-MAX(0,MIN(1,IF($C40&lt;=cc_D,0.0035*($C40-M$18)/$C40,0.002*($C40-M$18)/($C40-3*cc_D/7))/0.002)))^2)</f>
        <v/>
      </c>
      <c r="AL40">
        <f>MAX(-fyd_cc,MIN(fyd_cc,Es_cc*IF($C40&lt;=cc_D,0.0035*($C40-N$18)/$C40,0.002*($C40-N$18)/($C40-3*cc_D/7))))-fcd_cc*(1-(1-MAX(0,MIN(1,IF($C40&lt;=cc_D,0.0035*($C40-N$18)/$C40,0.002*($C40-N$18)/($C40-3*cc_D/7))/0.002)))^2)</f>
        <v/>
      </c>
      <c r="AM40">
        <f>MAX(-fyd_cc,MIN(fyd_cc,Es_cc*IF($C40&lt;=cc_D,0.0035*($C40-O$18)/$C40,0.002*($C40-O$18)/($C40-3*cc_D/7))))-fcd_cc*(1-(1-MAX(0,MIN(1,IF($C40&lt;=cc_D,0.0035*($C40-O$18)/$C40,0.002*($C40-O$18)/($C40-3*cc_D/7))/0.002)))^2)</f>
        <v/>
      </c>
      <c r="AN40">
        <f>MAX(-fyd_cc,MIN(fyd_cc,Es_cc*IF($C40&lt;=cc_D,0.0035*($C40-P$18)/$C40,0.002*($C40-P$18)/($C40-3*cc_D/7))))-fcd_cc*(1-(1-MAX(0,MIN(1,IF($C40&lt;=cc_D,0.0035*($C40-P$18)/$C40,0.002*($C40-P$18)/($C40-3*cc_D/7))/0.002)))^2)</f>
        <v/>
      </c>
      <c r="AO40">
        <f>MAX(-fyd_cc,MIN(fyd_cc,Es_cc*IF($C40&lt;=cc_D,0.0035*($C40-Q$18)/$C40,0.002*($C40-Q$18)/($C40-3*cc_D/7))))-fcd_cc*(1-(1-MAX(0,MIN(1,IF($C40&lt;=cc_D,0.0035*($C40-Q$18)/$C40,0.002*($C40-Q$18)/($C40-3*cc_D/7))/0.002)))^2)</f>
        <v/>
      </c>
      <c r="AP40">
        <f>MAX(-fyd_cc,MIN(fyd_cc,Es_cc*IF($C40&lt;=cc_D,0.0035*($C40-R$18)/$C40,0.002*($C40-R$18)/($C40-3*cc_D/7))))-fcd_cc*(1-(1-MAX(0,MIN(1,IF($C40&lt;=cc_D,0.0035*($C40-R$18)/$C40,0.002*($C40-R$18)/($C40-3*cc_D/7))/0.002)))^2)</f>
        <v/>
      </c>
      <c r="AQ40">
        <f>MAX(-fyd_cc,MIN(fyd_cc,Es_cc*IF($C40&lt;=cc_D,0.0035*($C40-S$18)/$C40,0.002*($C40-S$18)/($C40-3*cc_D/7))))-fcd_cc*(1-(1-MAX(0,MIN(1,IF($C40&lt;=cc_D,0.0035*($C40-S$18)/$C40,0.002*($C40-S$18)/($C40-3*cc_D/7))/0.002)))^2)</f>
        <v/>
      </c>
      <c r="AR40">
        <f>MAX(-fyd_cc,MIN(fyd_cc,Es_cc*IF($C40&lt;=cc_D,0.0035*($C40-T$18)/$C40,0.002*($C40-T$18)/($C40-3*cc_D/7))))-fcd_cc*(1-(1-MAX(0,MIN(1,IF($C40&lt;=cc_D,0.0035*($C40-T$18)/$C40,0.002*($C40-T$18)/($C40-3*cc_D/7))/0.002)))^2)</f>
        <v/>
      </c>
      <c r="AS40">
        <f>MAX(-fyd_cc,MIN(fyd_cc,Es_cc*IF($C40&lt;=cc_D,0.0035*($C40-U$18)/$C40,0.002*($C40-U$18)/($C40-3*cc_D/7))))-fcd_cc*(1-(1-MAX(0,MIN(1,IF($C40&lt;=cc_D,0.0035*($C40-U$18)/$C40,0.002*($C40-U$18)/($C40-3*cc_D/7))/0.002)))^2)</f>
        <v/>
      </c>
      <c r="AT40">
        <f>MAX(-fyd_cc,MIN(fyd_cc,Es_cc*IF($C40&lt;=cc_D,0.0035*($C40-V$18)/$C40,0.002*($C40-V$18)/($C40-3*cc_D/7))))-fcd_cc*(1-(1-MAX(0,MIN(1,IF($C40&lt;=cc_D,0.0035*($C40-V$18)/$C40,0.002*($C40-V$18)/($C40-3*cc_D/7))/0.002)))^2)</f>
        <v/>
      </c>
      <c r="AU40">
        <f>MAX(-fyd_cc,MIN(fyd_cc,Es_cc*IF($C40&lt;=cc_D,0.0035*($C40-W$18)/$C40,0.002*($C40-W$18)/($C40-3*cc_D/7))))-fcd_cc*(1-(1-MAX(0,MIN(1,IF($C40&lt;=cc_D,0.0035*($C40-W$18)/$C40,0.002*($C40-W$18)/($C40-3*cc_D/7))/0.002)))^2)</f>
        <v/>
      </c>
      <c r="AV40">
        <f>MAX(-fyd_cc,MIN(fyd_cc,Es_cc*IF($C40&lt;=cc_D,0.0035*($C40-X$18)/$C40,0.002*($C40-X$18)/($C40-3*cc_D/7))))-fcd_cc*(1-(1-MAX(0,MIN(1,IF($C40&lt;=cc_D,0.0035*($C40-X$18)/$C40,0.002*($C40-X$18)/($C40-3*cc_D/7))/0.002)))^2)</f>
        <v/>
      </c>
      <c r="AW40">
        <f>MAX(-fyd_cc,MIN(fyd_cc,Es_cc*IF($C40&lt;=cc_D,0.0035*($C40-Y$18)/$C40,0.002*($C40-Y$18)/($C40-3*cc_D/7))))-fcd_cc*(1-(1-MAX(0,MIN(1,IF($C40&lt;=cc_D,0.0035*($C40-Y$18)/$C40,0.002*($C40-Y$18)/($C40-3*cc_D/7))/0.002)))^2)</f>
        <v/>
      </c>
      <c r="AX40">
        <f>MAX(-fyd_cc,MIN(fyd_cc,Es_cc*IF($C40&lt;=cc_D,0.0035*($C40-Z$18)/$C40,0.002*($C40-Z$18)/($C40-3*cc_D/7))))-fcd_cc*(1-(1-MAX(0,MIN(1,IF($C40&lt;=cc_D,0.0035*($C40-Z$18)/$C40,0.002*($C40-Z$18)/($C40-3*cc_D/7))/0.002)))^2)</f>
        <v/>
      </c>
      <c r="AY40">
        <f>MAX(-fyd_cc,MIN(fyd_cc,Es_cc*IF($C40&lt;=cc_D,0.0035*($C40-AA$18)/$C40,0.002*($C40-AA$18)/($C40-3*cc_D/7))))-fcd_cc*(1-(1-MAX(0,MIN(1,IF($C40&lt;=cc_D,0.0035*($C40-AA$18)/$C40,0.002*($C40-AA$18)/($C40-3*cc_D/7))/0.002)))^2)</f>
        <v/>
      </c>
      <c r="AZ40">
        <f>MAX(-fyd_cc,MIN(fyd_cc,Es_cc*IF($C40&lt;=cc_D,0.0035*($C40-AB$18)/$C40,0.002*($C40-AB$18)/($C40-3*cc_D/7))))-fcd_cc*(1-(1-MAX(0,MIN(1,IF($C40&lt;=cc_D,0.0035*($C40-AB$18)/$C40,0.002*($C40-AB$18)/($C40-3*cc_D/7))/0.002)))^2)</f>
        <v/>
      </c>
      <c r="BA40">
        <f>MAX(-fyd_cc,MIN(fyd_cc,Es_cc*IF($C40&lt;=cc_D,0.0035*($C40-AC$18)/$C40,0.002*($C40-AC$18)/($C40-3*cc_D/7))))-fcd_cc*(1-(1-MAX(0,MIN(1,IF($C40&lt;=cc_D,0.0035*($C40-AC$18)/$C40,0.002*($C40-AC$18)/($C40-3*cc_D/7))/0.002)))^2)</f>
        <v/>
      </c>
      <c r="BB40">
        <f>MAX(-fyd_cc,MIN(fyd_cc,Es_cc*IF($C40&lt;=cc_D,0.0035*($C40-AD$18)/$C40,0.002*($C40-AD$18)/($C40-3*cc_D/7))))-fcd_cc*(1-(1-MAX(0,MIN(1,IF($C40&lt;=cc_D,0.0035*($C40-AD$18)/$C40,0.002*($C40-AD$18)/($C40-3*cc_D/7))/0.002)))^2)</f>
        <v/>
      </c>
      <c r="BC40">
        <f>MAX(-fyd_cc,MIN(fyd_cc,Es_cc*IF($C40&lt;=cc_D,0.0035*($C40-AE$18)/$C40,0.002*($C40-AE$18)/($C40-3*cc_D/7))))-fcd_cc*(1-(1-MAX(0,MIN(1,IF($C40&lt;=cc_D,0.0035*($C40-AE$18)/$C40,0.002*($C40-AE$18)/($C40-3*cc_D/7))/0.002)))^2)</f>
        <v/>
      </c>
      <c r="BD40">
        <f>MAX(-fyd_cc,MIN(fyd_cc,Es_cc*IF($C40&lt;=cc_D,0.0035*($C40-AF$18)/$C40,0.002*($C40-AF$18)/($C40-3*cc_D/7))))-fcd_cc*(1-(1-MAX(0,MIN(1,IF($C40&lt;=cc_D,0.0035*($C40-AF$18)/$C40,0.002*($C40-AF$18)/($C40-3*cc_D/7))/0.002)))^2)</f>
        <v/>
      </c>
      <c r="BE40">
        <f>MAX(-fyd_cc,MIN(fyd_cc,Es_cc*IF($C40&lt;=cc_D,0.0035*($C40-AG$18)/$C40,0.002*($C40-AG$18)/($C40-3*cc_D/7))))-fcd_cc*(1-(1-MAX(0,MIN(1,IF($C40&lt;=cc_D,0.0035*($C40-AG$18)/$C40,0.002*($C40-AG$18)/($C40-3*cc_D/7))/0.002)))^2)</f>
        <v/>
      </c>
      <c r="BF40">
        <f>3*MIN($C40,cc_D)/7</f>
        <v/>
      </c>
      <c r="BG40">
        <f>$C40-$BF40</f>
        <v/>
      </c>
      <c r="BH40">
        <f>ACOS(MAX(-1,MIN(1,1-$BF40/(cc_D/2))))</f>
        <v/>
      </c>
      <c r="BI40">
        <f>ACOS(MAX(-1,MIN(1,1-MIN($C40,cc_D)/(cc_D/2))))</f>
        <v/>
      </c>
      <c r="BJ40">
        <f>((cc_D/2*(1-COS(($BH40+0*($BI40-$BH40)/12)))-$BF40)/$BG40)^2*SIN(($BH40+0*($BI40-$BH40)/12))^2</f>
        <v/>
      </c>
      <c r="BK40">
        <f>((cc_D/2*(1-COS(($BH40+1*($BI40-$BH40)/12)))-$BF40)/$BG40)^2*SIN(($BH40+1*($BI40-$BH40)/12))^2</f>
        <v/>
      </c>
      <c r="BL40">
        <f>((cc_D/2*(1-COS(($BH40+2*($BI40-$BH40)/12)))-$BF40)/$BG40)^2*SIN(($BH40+2*($BI40-$BH40)/12))^2</f>
        <v/>
      </c>
      <c r="BM40">
        <f>((cc_D/2*(1-COS(($BH40+3*($BI40-$BH40)/12)))-$BF40)/$BG40)^2*SIN(($BH40+3*($BI40-$BH40)/12))^2</f>
        <v/>
      </c>
      <c r="BN40">
        <f>((cc_D/2*(1-COS(($BH40+4*($BI40-$BH40)/12)))-$BF40)/$BG40)^2*SIN(($BH40+4*($BI40-$BH40)/12))^2</f>
        <v/>
      </c>
      <c r="BO40">
        <f>((cc_D/2*(1-COS(($BH40+5*($BI40-$BH40)/12)))-$BF40)/$BG40)^2*SIN(($BH40+5*($BI40-$BH40)/12))^2</f>
        <v/>
      </c>
      <c r="BP40">
        <f>((cc_D/2*(1-COS(($BH40+6*($BI40-$BH40)/12)))-$BF40)/$BG40)^2*SIN(($BH40+6*($BI40-$BH40)/12))^2</f>
        <v/>
      </c>
      <c r="BQ40">
        <f>((cc_D/2*(1-COS(($BH40+7*($BI40-$BH40)/12)))-$BF40)/$BG40)^2*SIN(($BH40+7*($BI40-$BH40)/12))^2</f>
        <v/>
      </c>
      <c r="BR40">
        <f>((cc_D/2*(1-COS(($BH40+8*($BI40-$BH40)/12)))-$BF40)/$BG40)^2*SIN(($BH40+8*($BI40-$BH40)/12))^2</f>
        <v/>
      </c>
      <c r="BS40">
        <f>((cc_D/2*(1-COS(($BH40+9*($BI40-$BH40)/12)))-$BF40)/$BG40)^2*SIN(($BH40+9*($BI40-$BH40)/12))^2</f>
        <v/>
      </c>
      <c r="BT40">
        <f>((cc_D/2*(1-COS(($BH40+10*($BI40-$BH40)/12)))-$BF40)/$BG40)^2*SIN(($BH40+10*($BI40-$BH40)/12))^2</f>
        <v/>
      </c>
      <c r="BU40">
        <f>((cc_D/2*(1-COS(($BH40+11*($BI40-$BH40)/12)))-$BF40)/$BG40)^2*SIN(($BH40+11*($BI40-$BH40)/12))^2</f>
        <v/>
      </c>
      <c r="BV40">
        <f>((cc_D/2*(1-COS(($BH40+12*($BI40-$BH40)/12)))-$BF40)/$BG40)^2*SIN(($BH40+12*($BI40-$BH40)/12))^2</f>
        <v/>
      </c>
      <c r="BW40">
        <f>BJ40*COS(($BH40+0*($BI40-$BH40)/12))</f>
        <v/>
      </c>
      <c r="BX40">
        <f>BK40*COS(($BH40+1*($BI40-$BH40)/12))</f>
        <v/>
      </c>
      <c r="BY40">
        <f>BL40*COS(($BH40+2*($BI40-$BH40)/12))</f>
        <v/>
      </c>
      <c r="BZ40">
        <f>BM40*COS(($BH40+3*($BI40-$BH40)/12))</f>
        <v/>
      </c>
      <c r="CA40">
        <f>BN40*COS(($BH40+4*($BI40-$BH40)/12))</f>
        <v/>
      </c>
      <c r="CB40">
        <f>BO40*COS(($BH40+5*($BI40-$BH40)/12))</f>
        <v/>
      </c>
      <c r="CC40">
        <f>BP40*COS(($BH40+6*($BI40-$BH40)/12))</f>
        <v/>
      </c>
      <c r="CD40">
        <f>BQ40*COS(($BH40+7*($BI40-$BH40)/12))</f>
        <v/>
      </c>
      <c r="CE40">
        <f>BR40*COS(($BH40+8*($BI40-$BH40)/12))</f>
        <v/>
      </c>
      <c r="CF40">
        <f>BS40*COS(($BH40+9*($BI40-$BH40)/12))</f>
        <v/>
      </c>
      <c r="CG40">
        <f>BT40*COS(($BH40+10*($BI40-$BH40)/12))</f>
        <v/>
      </c>
      <c r="CH40">
        <f>BU40*COS(($BH40+11*($BI40-$BH40)/12))</f>
        <v/>
      </c>
      <c r="CI40">
        <f>BV40*COS(($BH40+12*($BI40-$BH40)/12))</f>
        <v/>
      </c>
    </row>
    <row r="41">
      <c r="B41" s="53" t="n">
        <v>16</v>
      </c>
      <c r="C41" s="54">
        <f>0.55*cc_D</f>
        <v/>
      </c>
      <c r="D41" s="55">
        <f>IF($C41&lt;=cc_D,3.5,2*$C41/($C41-3*cc_D/7))</f>
        <v/>
      </c>
      <c r="E41" s="56">
        <f>(fcd_cc*((cc_D/2)^2*($BI41-COS($BI41)*SIN($BI41))-2*(cc_D/2)^2*($BI41-$BH41)/12/3*SUMPRODUCT($BJ$4:$BV$4,$BJ41:$BV41))+SUMPRODUCT($J$5:$AG$5,$J41:$AG41))/1000</f>
        <v/>
      </c>
      <c r="F41" s="56">
        <f>(fcd_cc*(2/3*(cc_D/2)^3*SIN($BI41)^3-2*(cc_D/2)^3*($BI41-$BH41)/12/3*SUMPRODUCT($BW$4:$CI$4,$BW41:$CI41))+SUMPRODUCT($J$5:$AG$5,$J41:$AG41,$J$7:$AG$7))/1E6</f>
        <v/>
      </c>
      <c r="G41" s="56">
        <f>(fcd_cc*((cc_D/2)^2*($BI41-COS($BI41)*SIN($BI41))-2*(cc_D/2)^2*($BI41-$BH41)/12/3*SUMPRODUCT($BJ$4:$BV$4,$BJ41:$BV41))+SUMPRODUCT($J$5:$AG$5,$AH41:$BE41))/1000</f>
        <v/>
      </c>
      <c r="H41" s="56">
        <f>(fcd_cc*(2/3*(cc_D/2)^3*SIN($BI41)^3-2*(cc_D/2)^3*($BI41-$BH41)/12/3*SUMPRODUCT($BW$4:$CI$4,$BW41:$CI41))+SUMPRODUCT($J$5:$AG$5,$AH41:$BE41,$J$19:$AG$19))/1E6</f>
        <v/>
      </c>
      <c r="J41">
        <f>MAX(-fyd_cc,MIN(fyd_cc,Es_cc*IF($C41&lt;=cc_D,0.0035*($C41-J$6)/$C41,0.002*($C41-J$6)/($C41-3*cc_D/7))))-fcd_cc*(1-(1-MAX(0,MIN(1,IF($C41&lt;=cc_D,0.0035*($C41-J$6)/$C41,0.002*($C41-J$6)/($C41-3*cc_D/7))/0.002)))^2)</f>
        <v/>
      </c>
      <c r="K41">
        <f>MAX(-fyd_cc,MIN(fyd_cc,Es_cc*IF($C41&lt;=cc_D,0.0035*($C41-K$6)/$C41,0.002*($C41-K$6)/($C41-3*cc_D/7))))-fcd_cc*(1-(1-MAX(0,MIN(1,IF($C41&lt;=cc_D,0.0035*($C41-K$6)/$C41,0.002*($C41-K$6)/($C41-3*cc_D/7))/0.002)))^2)</f>
        <v/>
      </c>
      <c r="L41">
        <f>MAX(-fyd_cc,MIN(fyd_cc,Es_cc*IF($C41&lt;=cc_D,0.0035*($C41-L$6)/$C41,0.002*($C41-L$6)/($C41-3*cc_D/7))))-fcd_cc*(1-(1-MAX(0,MIN(1,IF($C41&lt;=cc_D,0.0035*($C41-L$6)/$C41,0.002*($C41-L$6)/($C41-3*cc_D/7))/0.002)))^2)</f>
        <v/>
      </c>
      <c r="M41">
        <f>MAX(-fyd_cc,MIN(fyd_cc,Es_cc*IF($C41&lt;=cc_D,0.0035*($C41-M$6)/$C41,0.002*($C41-M$6)/($C41-3*cc_D/7))))-fcd_cc*(1-(1-MAX(0,MIN(1,IF($C41&lt;=cc_D,0.0035*($C41-M$6)/$C41,0.002*($C41-M$6)/($C41-3*cc_D/7))/0.002)))^2)</f>
        <v/>
      </c>
      <c r="N41">
        <f>MAX(-fyd_cc,MIN(fyd_cc,Es_cc*IF($C41&lt;=cc_D,0.0035*($C41-N$6)/$C41,0.002*($C41-N$6)/($C41-3*cc_D/7))))-fcd_cc*(1-(1-MAX(0,MIN(1,IF($C41&lt;=cc_D,0.0035*($C41-N$6)/$C41,0.002*($C41-N$6)/($C41-3*cc_D/7))/0.002)))^2)</f>
        <v/>
      </c>
      <c r="O41">
        <f>MAX(-fyd_cc,MIN(fyd_cc,Es_cc*IF($C41&lt;=cc_D,0.0035*($C41-O$6)/$C41,0.002*($C41-O$6)/($C41-3*cc_D/7))))-fcd_cc*(1-(1-MAX(0,MIN(1,IF($C41&lt;=cc_D,0.0035*($C41-O$6)/$C41,0.002*($C41-O$6)/($C41-3*cc_D/7))/0.002)))^2)</f>
        <v/>
      </c>
      <c r="P41">
        <f>MAX(-fyd_cc,MIN(fyd_cc,Es_cc*IF($C41&lt;=cc_D,0.0035*($C41-P$6)/$C41,0.002*($C41-P$6)/($C41-3*cc_D/7))))-fcd_cc*(1-(1-MAX(0,MIN(1,IF($C41&lt;=cc_D,0.0035*($C41-P$6)/$C41,0.002*($C41-P$6)/($C41-3*cc_D/7))/0.002)))^2)</f>
        <v/>
      </c>
      <c r="Q41">
        <f>MAX(-fyd_cc,MIN(fyd_cc,Es_cc*IF($C41&lt;=cc_D,0.0035*($C41-Q$6)/$C41,0.002*($C41-Q$6)/($C41-3*cc_D/7))))-fcd_cc*(1-(1-MAX(0,MIN(1,IF($C41&lt;=cc_D,0.0035*($C41-Q$6)/$C41,0.002*($C41-Q$6)/($C41-3*cc_D/7))/0.002)))^2)</f>
        <v/>
      </c>
      <c r="R41">
        <f>MAX(-fyd_cc,MIN(fyd_cc,Es_cc*IF($C41&lt;=cc_D,0.0035*($C41-R$6)/$C41,0.002*($C41-R$6)/($C41-3*cc_D/7))))-fcd_cc*(1-(1-MAX(0,MIN(1,IF($C41&lt;=cc_D,0.0035*($C41-R$6)/$C41,0.002*($C41-R$6)/($C41-3*cc_D/7))/0.002)))^2)</f>
        <v/>
      </c>
      <c r="S41">
        <f>MAX(-fyd_cc,MIN(fyd_cc,Es_cc*IF($C41&lt;=cc_D,0.0035*($C41-S$6)/$C41,0.002*($C41-S$6)/($C41-3*cc_D/7))))-fcd_cc*(1-(1-MAX(0,MIN(1,IF($C41&lt;=cc_D,0.0035*($C41-S$6)/$C41,0.002*($C41-S$6)/($C41-3*cc_D/7))/0.002)))^2)</f>
        <v/>
      </c>
      <c r="T41">
        <f>MAX(-fyd_cc,MIN(fyd_cc,Es_cc*IF($C41&lt;=cc_D,0.0035*($C41-T$6)/$C41,0.002*($C41-T$6)/($C41-3*cc_D/7))))-fcd_cc*(1-(1-MAX(0,MIN(1,IF($C41&lt;=cc_D,0.0035*($C41-T$6)/$C41,0.002*($C41-T$6)/($C41-3*cc_D/7))/0.002)))^2)</f>
        <v/>
      </c>
      <c r="U41">
        <f>MAX(-fyd_cc,MIN(fyd_cc,Es_cc*IF($C41&lt;=cc_D,0.0035*($C41-U$6)/$C41,0.002*($C41-U$6)/($C41-3*cc_D/7))))-fcd_cc*(1-(1-MAX(0,MIN(1,IF($C41&lt;=cc_D,0.0035*($C41-U$6)/$C41,0.002*($C41-U$6)/($C41-3*cc_D/7))/0.002)))^2)</f>
        <v/>
      </c>
      <c r="V41">
        <f>MAX(-fyd_cc,MIN(fyd_cc,Es_cc*IF($C41&lt;=cc_D,0.0035*($C41-V$6)/$C41,0.002*($C41-V$6)/($C41-3*cc_D/7))))-fcd_cc*(1-(1-MAX(0,MIN(1,IF($C41&lt;=cc_D,0.0035*($C41-V$6)/$C41,0.002*($C41-V$6)/($C41-3*cc_D/7))/0.002)))^2)</f>
        <v/>
      </c>
      <c r="W41">
        <f>MAX(-fyd_cc,MIN(fyd_cc,Es_cc*IF($C41&lt;=cc_D,0.0035*($C41-W$6)/$C41,0.002*($C41-W$6)/($C41-3*cc_D/7))))-fcd_cc*(1-(1-MAX(0,MIN(1,IF($C41&lt;=cc_D,0.0035*($C41-W$6)/$C41,0.002*($C41-W$6)/($C41-3*cc_D/7))/0.002)))^2)</f>
        <v/>
      </c>
      <c r="X41">
        <f>MAX(-fyd_cc,MIN(fyd_cc,Es_cc*IF($C41&lt;=cc_D,0.0035*($C41-X$6)/$C41,0.002*($C41-X$6)/($C41-3*cc_D/7))))-fcd_cc*(1-(1-MAX(0,MIN(1,IF($C41&lt;=cc_D,0.0035*($C41-X$6)/$C41,0.002*($C41-X$6)/($C41-3*cc_D/7))/0.002)))^2)</f>
        <v/>
      </c>
      <c r="Y41">
        <f>MAX(-fyd_cc,MIN(fyd_cc,Es_cc*IF($C41&lt;=cc_D,0.0035*($C41-Y$6)/$C41,0.002*($C41-Y$6)/($C41-3*cc_D/7))))-fcd_cc*(1-(1-MAX(0,MIN(1,IF($C41&lt;=cc_D,0.0035*($C41-Y$6)/$C41,0.002*($C41-Y$6)/($C41-3*cc_D/7))/0.002)))^2)</f>
        <v/>
      </c>
      <c r="Z41">
        <f>MAX(-fyd_cc,MIN(fyd_cc,Es_cc*IF($C41&lt;=cc_D,0.0035*($C41-Z$6)/$C41,0.002*($C41-Z$6)/($C41-3*cc_D/7))))-fcd_cc*(1-(1-MAX(0,MIN(1,IF($C41&lt;=cc_D,0.0035*($C41-Z$6)/$C41,0.002*($C41-Z$6)/($C41-3*cc_D/7))/0.002)))^2)</f>
        <v/>
      </c>
      <c r="AA41">
        <f>MAX(-fyd_cc,MIN(fyd_cc,Es_cc*IF($C41&lt;=cc_D,0.0035*($C41-AA$6)/$C41,0.002*($C41-AA$6)/($C41-3*cc_D/7))))-fcd_cc*(1-(1-MAX(0,MIN(1,IF($C41&lt;=cc_D,0.0035*($C41-AA$6)/$C41,0.002*($C41-AA$6)/($C41-3*cc_D/7))/0.002)))^2)</f>
        <v/>
      </c>
      <c r="AB41">
        <f>MAX(-fyd_cc,MIN(fyd_cc,Es_cc*IF($C41&lt;=cc_D,0.0035*($C41-AB$6)/$C41,0.002*($C41-AB$6)/($C41-3*cc_D/7))))-fcd_cc*(1-(1-MAX(0,MIN(1,IF($C41&lt;=cc_D,0.0035*($C41-AB$6)/$C41,0.002*($C41-AB$6)/($C41-3*cc_D/7))/0.002)))^2)</f>
        <v/>
      </c>
      <c r="AC41">
        <f>MAX(-fyd_cc,MIN(fyd_cc,Es_cc*IF($C41&lt;=cc_D,0.0035*($C41-AC$6)/$C41,0.002*($C41-AC$6)/($C41-3*cc_D/7))))-fcd_cc*(1-(1-MAX(0,MIN(1,IF($C41&lt;=cc_D,0.0035*($C41-AC$6)/$C41,0.002*($C41-AC$6)/($C41-3*cc_D/7))/0.002)))^2)</f>
        <v/>
      </c>
      <c r="AD41">
        <f>MAX(-fyd_cc,MIN(fyd_cc,Es_cc*IF($C41&lt;=cc_D,0.0035*($C41-AD$6)/$C41,0.002*($C41-AD$6)/($C41-3*cc_D/7))))-fcd_cc*(1-(1-MAX(0,MIN(1,IF($C41&lt;=cc_D,0.0035*($C41-AD$6)/$C41,0.002*($C41-AD$6)/($C41-3*cc_D/7))/0.002)))^2)</f>
        <v/>
      </c>
      <c r="AE41">
        <f>MAX(-fyd_cc,MIN(fyd_cc,Es_cc*IF($C41&lt;=cc_D,0.0035*($C41-AE$6)/$C41,0.002*($C41-AE$6)/($C41-3*cc_D/7))))-fcd_cc*(1-(1-MAX(0,MIN(1,IF($C41&lt;=cc_D,0.0035*($C41-AE$6)/$C41,0.002*($C41-AE$6)/($C41-3*cc_D/7))/0.002)))^2)</f>
        <v/>
      </c>
      <c r="AF41">
        <f>MAX(-fyd_cc,MIN(fyd_cc,Es_cc*IF($C41&lt;=cc_D,0.0035*($C41-AF$6)/$C41,0.002*($C41-AF$6)/($C41-3*cc_D/7))))-fcd_cc*(1-(1-MAX(0,MIN(1,IF($C41&lt;=cc_D,0.0035*($C41-AF$6)/$C41,0.002*($C41-AF$6)/($C41-3*cc_D/7))/0.002)))^2)</f>
        <v/>
      </c>
      <c r="AG41">
        <f>MAX(-fyd_cc,MIN(fyd_cc,Es_cc*IF($C41&lt;=cc_D,0.0035*($C41-AG$6)/$C41,0.002*($C41-AG$6)/($C41-3*cc_D/7))))-fcd_cc*(1-(1-MAX(0,MIN(1,IF($C41&lt;=cc_D,0.0035*($C41-AG$6)/$C41,0.002*($C41-AG$6)/($C41-3*cc_D/7))/0.002)))^2)</f>
        <v/>
      </c>
      <c r="AH41">
        <f>MAX(-fyd_cc,MIN(fyd_cc,Es_cc*IF($C41&lt;=cc_D,0.0035*($C41-J$18)/$C41,0.002*($C41-J$18)/($C41-3*cc_D/7))))-fcd_cc*(1-(1-MAX(0,MIN(1,IF($C41&lt;=cc_D,0.0035*($C41-J$18)/$C41,0.002*($C41-J$18)/($C41-3*cc_D/7))/0.002)))^2)</f>
        <v/>
      </c>
      <c r="AI41">
        <f>MAX(-fyd_cc,MIN(fyd_cc,Es_cc*IF($C41&lt;=cc_D,0.0035*($C41-K$18)/$C41,0.002*($C41-K$18)/($C41-3*cc_D/7))))-fcd_cc*(1-(1-MAX(0,MIN(1,IF($C41&lt;=cc_D,0.0035*($C41-K$18)/$C41,0.002*($C41-K$18)/($C41-3*cc_D/7))/0.002)))^2)</f>
        <v/>
      </c>
      <c r="AJ41">
        <f>MAX(-fyd_cc,MIN(fyd_cc,Es_cc*IF($C41&lt;=cc_D,0.0035*($C41-L$18)/$C41,0.002*($C41-L$18)/($C41-3*cc_D/7))))-fcd_cc*(1-(1-MAX(0,MIN(1,IF($C41&lt;=cc_D,0.0035*($C41-L$18)/$C41,0.002*($C41-L$18)/($C41-3*cc_D/7))/0.002)))^2)</f>
        <v/>
      </c>
      <c r="AK41">
        <f>MAX(-fyd_cc,MIN(fyd_cc,Es_cc*IF($C41&lt;=cc_D,0.0035*($C41-M$18)/$C41,0.002*($C41-M$18)/($C41-3*cc_D/7))))-fcd_cc*(1-(1-MAX(0,MIN(1,IF($C41&lt;=cc_D,0.0035*($C41-M$18)/$C41,0.002*($C41-M$18)/($C41-3*cc_D/7))/0.002)))^2)</f>
        <v/>
      </c>
      <c r="AL41">
        <f>MAX(-fyd_cc,MIN(fyd_cc,Es_cc*IF($C41&lt;=cc_D,0.0035*($C41-N$18)/$C41,0.002*($C41-N$18)/($C41-3*cc_D/7))))-fcd_cc*(1-(1-MAX(0,MIN(1,IF($C41&lt;=cc_D,0.0035*($C41-N$18)/$C41,0.002*($C41-N$18)/($C41-3*cc_D/7))/0.002)))^2)</f>
        <v/>
      </c>
      <c r="AM41">
        <f>MAX(-fyd_cc,MIN(fyd_cc,Es_cc*IF($C41&lt;=cc_D,0.0035*($C41-O$18)/$C41,0.002*($C41-O$18)/($C41-3*cc_D/7))))-fcd_cc*(1-(1-MAX(0,MIN(1,IF($C41&lt;=cc_D,0.0035*($C41-O$18)/$C41,0.002*($C41-O$18)/($C41-3*cc_D/7))/0.002)))^2)</f>
        <v/>
      </c>
      <c r="AN41">
        <f>MAX(-fyd_cc,MIN(fyd_cc,Es_cc*IF($C41&lt;=cc_D,0.0035*($C41-P$18)/$C41,0.002*($C41-P$18)/($C41-3*cc_D/7))))-fcd_cc*(1-(1-MAX(0,MIN(1,IF($C41&lt;=cc_D,0.0035*($C41-P$18)/$C41,0.002*($C41-P$18)/($C41-3*cc_D/7))/0.002)))^2)</f>
        <v/>
      </c>
      <c r="AO41">
        <f>MAX(-fyd_cc,MIN(fyd_cc,Es_cc*IF($C41&lt;=cc_D,0.0035*($C41-Q$18)/$C41,0.002*($C41-Q$18)/($C41-3*cc_D/7))))-fcd_cc*(1-(1-MAX(0,MIN(1,IF($C41&lt;=cc_D,0.0035*($C41-Q$18)/$C41,0.002*($C41-Q$18)/($C41-3*cc_D/7))/0.002)))^2)</f>
        <v/>
      </c>
      <c r="AP41">
        <f>MAX(-fyd_cc,MIN(fyd_cc,Es_cc*IF($C41&lt;=cc_D,0.0035*($C41-R$18)/$C41,0.002*($C41-R$18)/($C41-3*cc_D/7))))-fcd_cc*(1-(1-MAX(0,MIN(1,IF($C41&lt;=cc_D,0.0035*($C41-R$18)/$C41,0.002*($C41-R$18)/($C41-3*cc_D/7))/0.002)))^2)</f>
        <v/>
      </c>
      <c r="AQ41">
        <f>MAX(-fyd_cc,MIN(fyd_cc,Es_cc*IF($C41&lt;=cc_D,0.0035*($C41-S$18)/$C41,0.002*($C41-S$18)/($C41-3*cc_D/7))))-fcd_cc*(1-(1-MAX(0,MIN(1,IF($C41&lt;=cc_D,0.0035*($C41-S$18)/$C41,0.002*($C41-S$18)/($C41-3*cc_D/7))/0.002)))^2)</f>
        <v/>
      </c>
      <c r="AR41">
        <f>MAX(-fyd_cc,MIN(fyd_cc,Es_cc*IF($C41&lt;=cc_D,0.0035*($C41-T$18)/$C41,0.002*($C41-T$18)/($C41-3*cc_D/7))))-fcd_cc*(1-(1-MAX(0,MIN(1,IF($C41&lt;=cc_D,0.0035*($C41-T$18)/$C41,0.002*($C41-T$18)/($C41-3*cc_D/7))/0.002)))^2)</f>
        <v/>
      </c>
      <c r="AS41">
        <f>MAX(-fyd_cc,MIN(fyd_cc,Es_cc*IF($C41&lt;=cc_D,0.0035*($C41-U$18)/$C41,0.002*($C41-U$18)/($C41-3*cc_D/7))))-fcd_cc*(1-(1-MAX(0,MIN(1,IF($C41&lt;=cc_D,0.0035*($C41-U$18)/$C41,0.002*($C41-U$18)/($C41-3*cc_D/7))/0.002)))^2)</f>
        <v/>
      </c>
      <c r="AT41">
        <f>MAX(-fyd_cc,MIN(fyd_cc,Es_cc*IF($C41&lt;=cc_D,0.0035*($C41-V$18)/$C41,0.002*($C41-V$18)/($C41-3*cc_D/7))))-fcd_cc*(1-(1-MAX(0,MIN(1,IF($C41&lt;=cc_D,0.0035*($C41-V$18)/$C41,0.002*($C41-V$18)/($C41-3*cc_D/7))/0.002)))^2)</f>
        <v/>
      </c>
      <c r="AU41">
        <f>MAX(-fyd_cc,MIN(fyd_cc,Es_cc*IF($C41&lt;=cc_D,0.0035*($C41-W$18)/$C41,0.002*($C41-W$18)/($C41-3*cc_D/7))))-fcd_cc*(1-(1-MAX(0,MIN(1,IF($C41&lt;=cc_D,0.0035*($C41-W$18)/$C41,0.002*($C41-W$18)/($C41-3*cc_D/7))/0.002)))^2)</f>
        <v/>
      </c>
      <c r="AV41">
        <f>MAX(-fyd_cc,MIN(fyd_cc,Es_cc*IF($C41&lt;=cc_D,0.0035*($C41-X$18)/$C41,0.002*($C41-X$18)/($C41-3*cc_D/7))))-fcd_cc*(1-(1-MAX(0,MIN(1,IF($C41&lt;=cc_D,0.0035*($C41-X$18)/$C41,0.002*($C41-X$18)/($C41-3*cc_D/7))/0.002)))^2)</f>
        <v/>
      </c>
      <c r="AW41">
        <f>MAX(-fyd_cc,MIN(fyd_cc,Es_cc*IF($C41&lt;=cc_D,0.0035*($C41-Y$18)/$C41,0.002*($C41-Y$18)/($C41-3*cc_D/7))))-fcd_cc*(1-(1-MAX(0,MIN(1,IF($C41&lt;=cc_D,0.0035*($C41-Y$18)/$C41,0.002*($C41-Y$18)/($C41-3*cc_D/7))/0.002)))^2)</f>
        <v/>
      </c>
      <c r="AX41">
        <f>MAX(-fyd_cc,MIN(fyd_cc,Es_cc*IF($C41&lt;=cc_D,0.0035*($C41-Z$18)/$C41,0.002*($C41-Z$18)/($C41-3*cc_D/7))))-fcd_cc*(1-(1-MAX(0,MIN(1,IF($C41&lt;=cc_D,0.0035*($C41-Z$18)/$C41,0.002*($C41-Z$18)/($C41-3*cc_D/7))/0.002)))^2)</f>
        <v/>
      </c>
      <c r="AY41">
        <f>MAX(-fyd_cc,MIN(fyd_cc,Es_cc*IF($C41&lt;=cc_D,0.0035*($C41-AA$18)/$C41,0.002*($C41-AA$18)/($C41-3*cc_D/7))))-fcd_cc*(1-(1-MAX(0,MIN(1,IF($C41&lt;=cc_D,0.0035*($C41-AA$18)/$C41,0.002*($C41-AA$18)/($C41-3*cc_D/7))/0.002)))^2)</f>
        <v/>
      </c>
      <c r="AZ41">
        <f>MAX(-fyd_cc,MIN(fyd_cc,Es_cc*IF($C41&lt;=cc_D,0.0035*($C41-AB$18)/$C41,0.002*($C41-AB$18)/($C41-3*cc_D/7))))-fcd_cc*(1-(1-MAX(0,MIN(1,IF($C41&lt;=cc_D,0.0035*($C41-AB$18)/$C41,0.002*($C41-AB$18)/($C41-3*cc_D/7))/0.002)))^2)</f>
        <v/>
      </c>
      <c r="BA41">
        <f>MAX(-fyd_cc,MIN(fyd_cc,Es_cc*IF($C41&lt;=cc_D,0.0035*($C41-AC$18)/$C41,0.002*($C41-AC$18)/($C41-3*cc_D/7))))-fcd_cc*(1-(1-MAX(0,MIN(1,IF($C41&lt;=cc_D,0.0035*($C41-AC$18)/$C41,0.002*($C41-AC$18)/($C41-3*cc_D/7))/0.002)))^2)</f>
        <v/>
      </c>
      <c r="BB41">
        <f>MAX(-fyd_cc,MIN(fyd_cc,Es_cc*IF($C41&lt;=cc_D,0.0035*($C41-AD$18)/$C41,0.002*($C41-AD$18)/($C41-3*cc_D/7))))-fcd_cc*(1-(1-MAX(0,MIN(1,IF($C41&lt;=cc_D,0.0035*($C41-AD$18)/$C41,0.002*($C41-AD$18)/($C41-3*cc_D/7))/0.002)))^2)</f>
        <v/>
      </c>
      <c r="BC41">
        <f>MAX(-fyd_cc,MIN(fyd_cc,Es_cc*IF($C41&lt;=cc_D,0.0035*($C41-AE$18)/$C41,0.002*($C41-AE$18)/($C41-3*cc_D/7))))-fcd_cc*(1-(1-MAX(0,MIN(1,IF($C41&lt;=cc_D,0.0035*($C41-AE$18)/$C41,0.002*($C41-AE$18)/($C41-3*cc_D/7))/0.002)))^2)</f>
        <v/>
      </c>
      <c r="BD41">
        <f>MAX(-fyd_cc,MIN(fyd_cc,Es_cc*IF($C41&lt;=cc_D,0.0035*($C41-AF$18)/$C41,0.002*($C41-AF$18)/($C41-3*cc_D/7))))-fcd_cc*(1-(1-MAX(0,MIN(1,IF($C41&lt;=cc_D,0.0035*($C41-AF$18)/$C41,0.002*($C41-AF$18)/($C41-3*cc_D/7))/0.002)))^2)</f>
        <v/>
      </c>
      <c r="BE41">
        <f>MAX(-fyd_cc,MIN(fyd_cc,Es_cc*IF($C41&lt;=cc_D,0.0035*($C41-AG$18)/$C41,0.002*($C41-AG$18)/($C41-3*cc_D/7))))-fcd_cc*(1-(1-MAX(0,MIN(1,IF($C41&lt;=cc_D,0.0035*($C41-AG$18)/$C41,0.002*($C41-AG$18)/($C41-3*cc_D/7))/0.002)))^2)</f>
        <v/>
      </c>
      <c r="BF41">
        <f>3*MIN($C41,cc_D)/7</f>
        <v/>
      </c>
      <c r="BG41">
        <f>$C41-$BF41</f>
        <v/>
      </c>
      <c r="BH41">
        <f>ACOS(MAX(-1,MIN(1,1-$BF41/(cc_D/2))))</f>
        <v/>
      </c>
      <c r="BI41">
        <f>ACOS(MAX(-1,MIN(1,1-MIN($C41,cc_D)/(cc_D/2))))</f>
        <v/>
      </c>
      <c r="BJ41">
        <f>((cc_D/2*(1-COS(($BH41+0*($BI41-$BH41)/12)))-$BF41)/$BG41)^2*SIN(($BH41+0*($BI41-$BH41)/12))^2</f>
        <v/>
      </c>
      <c r="BK41">
        <f>((cc_D/2*(1-COS(($BH41+1*($BI41-$BH41)/12)))-$BF41)/$BG41)^2*SIN(($BH41+1*($BI41-$BH41)/12))^2</f>
        <v/>
      </c>
      <c r="BL41">
        <f>((cc_D/2*(1-COS(($BH41+2*($BI41-$BH41)/12)))-$BF41)/$BG41)^2*SIN(($BH41+2*($BI41-$BH41)/12))^2</f>
        <v/>
      </c>
      <c r="BM41">
        <f>((cc_D/2*(1-COS(($BH41+3*($BI41-$BH41)/12)))-$BF41)/$BG41)^2*SIN(($BH41+3*($BI41-$BH41)/12))^2</f>
        <v/>
      </c>
      <c r="BN41">
        <f>((cc_D/2*(1-COS(($BH41+4*($BI41-$BH41)/12)))-$BF41)/$BG41)^2*SIN(($BH41+4*($BI41-$BH41)/12))^2</f>
        <v/>
      </c>
      <c r="BO41">
        <f>((cc_D/2*(1-COS(($BH41+5*($BI41-$BH41)/12)))-$BF41)/$BG41)^2*SIN(($BH41+5*($BI41-$BH41)/12))^2</f>
        <v/>
      </c>
      <c r="BP41">
        <f>((cc_D/2*(1-COS(($BH41+6*($BI41-$BH41)/12)))-$BF41)/$BG41)^2*SIN(($BH41+6*($BI41-$BH41)/12))^2</f>
        <v/>
      </c>
      <c r="BQ41">
        <f>((cc_D/2*(1-COS(($BH41+7*($BI41-$BH41)/12)))-$BF41)/$BG41)^2*SIN(($BH41+7*($BI41-$BH41)/12))^2</f>
        <v/>
      </c>
      <c r="BR41">
        <f>((cc_D/2*(1-COS(($BH41+8*($BI41-$BH41)/12)))-$BF41)/$BG41)^2*SIN(($BH41+8*($BI41-$BH41)/12))^2</f>
        <v/>
      </c>
      <c r="BS41">
        <f>((cc_D/2*(1-COS(($BH41+9*($BI41-$BH41)/12)))-$BF41)/$BG41)^2*SIN(($BH41+9*($BI41-$BH41)/12))^2</f>
        <v/>
      </c>
      <c r="BT41">
        <f>((cc_D/2*(1-COS(($BH41+10*($BI41-$BH41)/12)))-$BF41)/$BG41)^2*SIN(($BH41+10*($BI41-$BH41)/12))^2</f>
        <v/>
      </c>
      <c r="BU41">
        <f>((cc_D/2*(1-COS(($BH41+11*($BI41-$BH41)/12)))-$BF41)/$BG41)^2*SIN(($BH41+11*($BI41-$BH41)/12))^2</f>
        <v/>
      </c>
      <c r="BV41">
        <f>((cc_D/2*(1-COS(($BH41+12*($BI41-$BH41)/12)))-$BF41)/$BG41)^2*SIN(($BH41+12*($BI41-$BH41)/12))^2</f>
        <v/>
      </c>
      <c r="BW41">
        <f>BJ41*COS(($BH41+0*($BI41-$BH41)/12))</f>
        <v/>
      </c>
      <c r="BX41">
        <f>BK41*COS(($BH41+1*($BI41-$BH41)/12))</f>
        <v/>
      </c>
      <c r="BY41">
        <f>BL41*COS(($BH41+2*($BI41-$BH41)/12))</f>
        <v/>
      </c>
      <c r="BZ41">
        <f>BM41*COS(($BH41+3*($BI41-$BH41)/12))</f>
        <v/>
      </c>
      <c r="CA41">
        <f>BN41*COS(($BH41+4*($BI41-$BH41)/12))</f>
        <v/>
      </c>
      <c r="CB41">
        <f>BO41*COS(($BH41+5*($BI41-$BH41)/12))</f>
        <v/>
      </c>
      <c r="CC41">
        <f>BP41*COS(($BH41+6*($BI41-$BH41)/12))</f>
        <v/>
      </c>
      <c r="CD41">
        <f>BQ41*COS(($BH41+7*($BI41-$BH41)/12))</f>
        <v/>
      </c>
      <c r="CE41">
        <f>BR41*COS(($BH41+8*($BI41-$BH41)/12))</f>
        <v/>
      </c>
      <c r="CF41">
        <f>BS41*COS(($BH41+9*($BI41-$BH41)/12))</f>
        <v/>
      </c>
      <c r="CG41">
        <f>BT41*COS(($BH41+10*($BI41-$BH41)/12))</f>
        <v/>
      </c>
      <c r="CH41">
        <f>BU41*COS(($BH41+11*($BI41-$BH41)/12))</f>
        <v/>
      </c>
      <c r="CI41">
        <f>BV41*COS(($BH41+12*($BI41-$BH41)/12))</f>
        <v/>
      </c>
    </row>
    <row r="42">
      <c r="B42" s="53" t="n">
        <v>17</v>
      </c>
      <c r="C42" s="54">
        <f>0.6*cc_D</f>
        <v/>
      </c>
      <c r="D42" s="55">
        <f>IF($C42&lt;=cc_D,3.5,2*$C42/($C42-3*cc_D/7))</f>
        <v/>
      </c>
      <c r="E42" s="56">
        <f>(fcd_cc*((cc_D/2)^2*($BI42-COS($BI42)*SIN($BI42))-2*(cc_D/2)^2*($BI42-$BH42)/12/3*SUMPRODUCT($BJ$4:$BV$4,$BJ42:$BV42))+SUMPRODUCT($J$5:$AG$5,$J42:$AG42))/1000</f>
        <v/>
      </c>
      <c r="F42" s="56">
        <f>(fcd_cc*(2/3*(cc_D/2)^3*SIN($BI42)^3-2*(cc_D/2)^3*($BI42-$BH42)/12/3*SUMPRODUCT($BW$4:$CI$4,$BW42:$CI42))+SUMPRODUCT($J$5:$AG$5,$J42:$AG42,$J$7:$AG$7))/1E6</f>
        <v/>
      </c>
      <c r="G42" s="56">
        <f>(fcd_cc*((cc_D/2)^2*($BI42-COS($BI42)*SIN($BI42))-2*(cc_D/2)^2*($BI42-$BH42)/12/3*SUMPRODUCT($BJ$4:$BV$4,$BJ42:$BV42))+SUMPRODUCT($J$5:$AG$5,$AH42:$BE42))/1000</f>
        <v/>
      </c>
      <c r="H42" s="56">
        <f>(fcd_cc*(2/3*(cc_D/2)^3*SIN($BI42)^3-2*(cc_D/2)^3*($BI42-$BH42)/12/3*SUMPRODUCT($BW$4:$CI$4,$BW42:$CI42))+SUMPRODUCT($J$5:$AG$5,$AH42:$BE42,$J$19:$AG$19))/1E6</f>
        <v/>
      </c>
      <c r="J42">
        <f>MAX(-fyd_cc,MIN(fyd_cc,Es_cc*IF($C42&lt;=cc_D,0.0035*($C42-J$6)/$C42,0.002*($C42-J$6)/($C42-3*cc_D/7))))-fcd_cc*(1-(1-MAX(0,MIN(1,IF($C42&lt;=cc_D,0.0035*($C42-J$6)/$C42,0.002*($C42-J$6)/($C42-3*cc_D/7))/0.002)))^2)</f>
        <v/>
      </c>
      <c r="K42">
        <f>MAX(-fyd_cc,MIN(fyd_cc,Es_cc*IF($C42&lt;=cc_D,0.0035*($C42-K$6)/$C42,0.002*($C42-K$6)/($C42-3*cc_D/7))))-fcd_cc*(1-(1-MAX(0,MIN(1,IF($C42&lt;=cc_D,0.0035*($C42-K$6)/$C42,0.002*($C42-K$6)/($C42-3*cc_D/7))/0.002)))^2)</f>
        <v/>
      </c>
      <c r="L42">
        <f>MAX(-fyd_cc,MIN(fyd_cc,Es_cc*IF($C42&lt;=cc_D,0.0035*($C42-L$6)/$C42,0.002*($C42-L$6)/($C42-3*cc_D/7))))-fcd_cc*(1-(1-MAX(0,MIN(1,IF($C42&lt;=cc_D,0.0035*($C42-L$6)/$C42,0.002*($C42-L$6)/($C42-3*cc_D/7))/0.002)))^2)</f>
        <v/>
      </c>
      <c r="M42">
        <f>MAX(-fyd_cc,MIN(fyd_cc,Es_cc*IF($C42&lt;=cc_D,0.0035*($C42-M$6)/$C42,0.002*($C42-M$6)/($C42-3*cc_D/7))))-fcd_cc*(1-(1-MAX(0,MIN(1,IF($C42&lt;=cc_D,0.0035*($C42-M$6)/$C42,0.002*($C42-M$6)/($C42-3*cc_D/7))/0.002)))^2)</f>
        <v/>
      </c>
      <c r="N42">
        <f>MAX(-fyd_cc,MIN(fyd_cc,Es_cc*IF($C42&lt;=cc_D,0.0035*($C42-N$6)/$C42,0.002*($C42-N$6)/($C42-3*cc_D/7))))-fcd_cc*(1-(1-MAX(0,MIN(1,IF($C42&lt;=cc_D,0.0035*($C42-N$6)/$C42,0.002*($C42-N$6)/($C42-3*cc_D/7))/0.002)))^2)</f>
        <v/>
      </c>
      <c r="O42">
        <f>MAX(-fyd_cc,MIN(fyd_cc,Es_cc*IF($C42&lt;=cc_D,0.0035*($C42-O$6)/$C42,0.002*($C42-O$6)/($C42-3*cc_D/7))))-fcd_cc*(1-(1-MAX(0,MIN(1,IF($C42&lt;=cc_D,0.0035*($C42-O$6)/$C42,0.002*($C42-O$6)/($C42-3*cc_D/7))/0.002)))^2)</f>
        <v/>
      </c>
      <c r="P42">
        <f>MAX(-fyd_cc,MIN(fyd_cc,Es_cc*IF($C42&lt;=cc_D,0.0035*($C42-P$6)/$C42,0.002*($C42-P$6)/($C42-3*cc_D/7))))-fcd_cc*(1-(1-MAX(0,MIN(1,IF($C42&lt;=cc_D,0.0035*($C42-P$6)/$C42,0.002*($C42-P$6)/($C42-3*cc_D/7))/0.002)))^2)</f>
        <v/>
      </c>
      <c r="Q42">
        <f>MAX(-fyd_cc,MIN(fyd_cc,Es_cc*IF($C42&lt;=cc_D,0.0035*($C42-Q$6)/$C42,0.002*($C42-Q$6)/($C42-3*cc_D/7))))-fcd_cc*(1-(1-MAX(0,MIN(1,IF($C42&lt;=cc_D,0.0035*($C42-Q$6)/$C42,0.002*($C42-Q$6)/($C42-3*cc_D/7))/0.002)))^2)</f>
        <v/>
      </c>
      <c r="R42">
        <f>MAX(-fyd_cc,MIN(fyd_cc,Es_cc*IF($C42&lt;=cc_D,0.0035*($C42-R$6)/$C42,0.002*($C42-R$6)/($C42-3*cc_D/7))))-fcd_cc*(1-(1-MAX(0,MIN(1,IF($C42&lt;=cc_D,0.0035*($C42-R$6)/$C42,0.002*($C42-R$6)/($C42-3*cc_D/7))/0.002)))^2)</f>
        <v/>
      </c>
      <c r="S42">
        <f>MAX(-fyd_cc,MIN(fyd_cc,Es_cc*IF($C42&lt;=cc_D,0.0035*($C42-S$6)/$C42,0.002*($C42-S$6)/($C42-3*cc_D/7))))-fcd_cc*(1-(1-MAX(0,MIN(1,IF($C42&lt;=cc_D,0.0035*($C42-S$6)/$C42,0.002*($C42-S$6)/($C42-3*cc_D/7))/0.002)))^2)</f>
        <v/>
      </c>
      <c r="T42">
        <f>MAX(-fyd_cc,MIN(fyd_cc,Es_cc*IF($C42&lt;=cc_D,0.0035*($C42-T$6)/$C42,0.002*($C42-T$6)/($C42-3*cc_D/7))))-fcd_cc*(1-(1-MAX(0,MIN(1,IF($C42&lt;=cc_D,0.0035*($C42-T$6)/$C42,0.002*($C42-T$6)/($C42-3*cc_D/7))/0.002)))^2)</f>
        <v/>
      </c>
      <c r="U42">
        <f>MAX(-fyd_cc,MIN(fyd_cc,Es_cc*IF($C42&lt;=cc_D,0.0035*($C42-U$6)/$C42,0.002*($C42-U$6)/($C42-3*cc_D/7))))-fcd_cc*(1-(1-MAX(0,MIN(1,IF($C42&lt;=cc_D,0.0035*($C42-U$6)/$C42,0.002*($C42-U$6)/($C42-3*cc_D/7))/0.002)))^2)</f>
        <v/>
      </c>
      <c r="V42">
        <f>MAX(-fyd_cc,MIN(fyd_cc,Es_cc*IF($C42&lt;=cc_D,0.0035*($C42-V$6)/$C42,0.002*($C42-V$6)/($C42-3*cc_D/7))))-fcd_cc*(1-(1-MAX(0,MIN(1,IF($C42&lt;=cc_D,0.0035*($C42-V$6)/$C42,0.002*($C42-V$6)/($C42-3*cc_D/7))/0.002)))^2)</f>
        <v/>
      </c>
      <c r="W42">
        <f>MAX(-fyd_cc,MIN(fyd_cc,Es_cc*IF($C42&lt;=cc_D,0.0035*($C42-W$6)/$C42,0.002*($C42-W$6)/($C42-3*cc_D/7))))-fcd_cc*(1-(1-MAX(0,MIN(1,IF($C42&lt;=cc_D,0.0035*($C42-W$6)/$C42,0.002*($C42-W$6)/($C42-3*cc_D/7))/0.002)))^2)</f>
        <v/>
      </c>
      <c r="X42">
        <f>MAX(-fyd_cc,MIN(fyd_cc,Es_cc*IF($C42&lt;=cc_D,0.0035*($C42-X$6)/$C42,0.002*($C42-X$6)/($C42-3*cc_D/7))))-fcd_cc*(1-(1-MAX(0,MIN(1,IF($C42&lt;=cc_D,0.0035*($C42-X$6)/$C42,0.002*($C42-X$6)/($C42-3*cc_D/7))/0.002)))^2)</f>
        <v/>
      </c>
      <c r="Y42">
        <f>MAX(-fyd_cc,MIN(fyd_cc,Es_cc*IF($C42&lt;=cc_D,0.0035*($C42-Y$6)/$C42,0.002*($C42-Y$6)/($C42-3*cc_D/7))))-fcd_cc*(1-(1-MAX(0,MIN(1,IF($C42&lt;=cc_D,0.0035*($C42-Y$6)/$C42,0.002*($C42-Y$6)/($C42-3*cc_D/7))/0.002)))^2)</f>
        <v/>
      </c>
      <c r="Z42">
        <f>MAX(-fyd_cc,MIN(fyd_cc,Es_cc*IF($C42&lt;=cc_D,0.0035*($C42-Z$6)/$C42,0.002*($C42-Z$6)/($C42-3*cc_D/7))))-fcd_cc*(1-(1-MAX(0,MIN(1,IF($C42&lt;=cc_D,0.0035*($C42-Z$6)/$C42,0.002*($C42-Z$6)/($C42-3*cc_D/7))/0.002)))^2)</f>
        <v/>
      </c>
      <c r="AA42">
        <f>MAX(-fyd_cc,MIN(fyd_cc,Es_cc*IF($C42&lt;=cc_D,0.0035*($C42-AA$6)/$C42,0.002*($C42-AA$6)/($C42-3*cc_D/7))))-fcd_cc*(1-(1-MAX(0,MIN(1,IF($C42&lt;=cc_D,0.0035*($C42-AA$6)/$C42,0.002*($C42-AA$6)/($C42-3*cc_D/7))/0.002)))^2)</f>
        <v/>
      </c>
      <c r="AB42">
        <f>MAX(-fyd_cc,MIN(fyd_cc,Es_cc*IF($C42&lt;=cc_D,0.0035*($C42-AB$6)/$C42,0.002*($C42-AB$6)/($C42-3*cc_D/7))))-fcd_cc*(1-(1-MAX(0,MIN(1,IF($C42&lt;=cc_D,0.0035*($C42-AB$6)/$C42,0.002*($C42-AB$6)/($C42-3*cc_D/7))/0.002)))^2)</f>
        <v/>
      </c>
      <c r="AC42">
        <f>MAX(-fyd_cc,MIN(fyd_cc,Es_cc*IF($C42&lt;=cc_D,0.0035*($C42-AC$6)/$C42,0.002*($C42-AC$6)/($C42-3*cc_D/7))))-fcd_cc*(1-(1-MAX(0,MIN(1,IF($C42&lt;=cc_D,0.0035*($C42-AC$6)/$C42,0.002*($C42-AC$6)/($C42-3*cc_D/7))/0.002)))^2)</f>
        <v/>
      </c>
      <c r="AD42">
        <f>MAX(-fyd_cc,MIN(fyd_cc,Es_cc*IF($C42&lt;=cc_D,0.0035*($C42-AD$6)/$C42,0.002*($C42-AD$6)/($C42-3*cc_D/7))))-fcd_cc*(1-(1-MAX(0,MIN(1,IF($C42&lt;=cc_D,0.0035*($C42-AD$6)/$C42,0.002*($C42-AD$6)/($C42-3*cc_D/7))/0.002)))^2)</f>
        <v/>
      </c>
      <c r="AE42">
        <f>MAX(-fyd_cc,MIN(fyd_cc,Es_cc*IF($C42&lt;=cc_D,0.0035*($C42-AE$6)/$C42,0.002*($C42-AE$6)/($C42-3*cc_D/7))))-fcd_cc*(1-(1-MAX(0,MIN(1,IF($C42&lt;=cc_D,0.0035*($C42-AE$6)/$C42,0.002*($C42-AE$6)/($C42-3*cc_D/7))/0.002)))^2)</f>
        <v/>
      </c>
      <c r="AF42">
        <f>MAX(-fyd_cc,MIN(fyd_cc,Es_cc*IF($C42&lt;=cc_D,0.0035*($C42-AF$6)/$C42,0.002*($C42-AF$6)/($C42-3*cc_D/7))))-fcd_cc*(1-(1-MAX(0,MIN(1,IF($C42&lt;=cc_D,0.0035*($C42-AF$6)/$C42,0.002*($C42-AF$6)/($C42-3*cc_D/7))/0.002)))^2)</f>
        <v/>
      </c>
      <c r="AG42">
        <f>MAX(-fyd_cc,MIN(fyd_cc,Es_cc*IF($C42&lt;=cc_D,0.0035*($C42-AG$6)/$C42,0.002*($C42-AG$6)/($C42-3*cc_D/7))))-fcd_cc*(1-(1-MAX(0,MIN(1,IF($C42&lt;=cc_D,0.0035*($C42-AG$6)/$C42,0.002*($C42-AG$6)/($C42-3*cc_D/7))/0.002)))^2)</f>
        <v/>
      </c>
      <c r="AH42">
        <f>MAX(-fyd_cc,MIN(fyd_cc,Es_cc*IF($C42&lt;=cc_D,0.0035*($C42-J$18)/$C42,0.002*($C42-J$18)/($C42-3*cc_D/7))))-fcd_cc*(1-(1-MAX(0,MIN(1,IF($C42&lt;=cc_D,0.0035*($C42-J$18)/$C42,0.002*($C42-J$18)/($C42-3*cc_D/7))/0.002)))^2)</f>
        <v/>
      </c>
      <c r="AI42">
        <f>MAX(-fyd_cc,MIN(fyd_cc,Es_cc*IF($C42&lt;=cc_D,0.0035*($C42-K$18)/$C42,0.002*($C42-K$18)/($C42-3*cc_D/7))))-fcd_cc*(1-(1-MAX(0,MIN(1,IF($C42&lt;=cc_D,0.0035*($C42-K$18)/$C42,0.002*($C42-K$18)/($C42-3*cc_D/7))/0.002)))^2)</f>
        <v/>
      </c>
      <c r="AJ42">
        <f>MAX(-fyd_cc,MIN(fyd_cc,Es_cc*IF($C42&lt;=cc_D,0.0035*($C42-L$18)/$C42,0.002*($C42-L$18)/($C42-3*cc_D/7))))-fcd_cc*(1-(1-MAX(0,MIN(1,IF($C42&lt;=cc_D,0.0035*($C42-L$18)/$C42,0.002*($C42-L$18)/($C42-3*cc_D/7))/0.002)))^2)</f>
        <v/>
      </c>
      <c r="AK42">
        <f>MAX(-fyd_cc,MIN(fyd_cc,Es_cc*IF($C42&lt;=cc_D,0.0035*($C42-M$18)/$C42,0.002*($C42-M$18)/($C42-3*cc_D/7))))-fcd_cc*(1-(1-MAX(0,MIN(1,IF($C42&lt;=cc_D,0.0035*($C42-M$18)/$C42,0.002*($C42-M$18)/($C42-3*cc_D/7))/0.002)))^2)</f>
        <v/>
      </c>
      <c r="AL42">
        <f>MAX(-fyd_cc,MIN(fyd_cc,Es_cc*IF($C42&lt;=cc_D,0.0035*($C42-N$18)/$C42,0.002*($C42-N$18)/($C42-3*cc_D/7))))-fcd_cc*(1-(1-MAX(0,MIN(1,IF($C42&lt;=cc_D,0.0035*($C42-N$18)/$C42,0.002*($C42-N$18)/($C42-3*cc_D/7))/0.002)))^2)</f>
        <v/>
      </c>
      <c r="AM42">
        <f>MAX(-fyd_cc,MIN(fyd_cc,Es_cc*IF($C42&lt;=cc_D,0.0035*($C42-O$18)/$C42,0.002*($C42-O$18)/($C42-3*cc_D/7))))-fcd_cc*(1-(1-MAX(0,MIN(1,IF($C42&lt;=cc_D,0.0035*($C42-O$18)/$C42,0.002*($C42-O$18)/($C42-3*cc_D/7))/0.002)))^2)</f>
        <v/>
      </c>
      <c r="AN42">
        <f>MAX(-fyd_cc,MIN(fyd_cc,Es_cc*IF($C42&lt;=cc_D,0.0035*($C42-P$18)/$C42,0.002*($C42-P$18)/($C42-3*cc_D/7))))-fcd_cc*(1-(1-MAX(0,MIN(1,IF($C42&lt;=cc_D,0.0035*($C42-P$18)/$C42,0.002*($C42-P$18)/($C42-3*cc_D/7))/0.002)))^2)</f>
        <v/>
      </c>
      <c r="AO42">
        <f>MAX(-fyd_cc,MIN(fyd_cc,Es_cc*IF($C42&lt;=cc_D,0.0035*($C42-Q$18)/$C42,0.002*($C42-Q$18)/($C42-3*cc_D/7))))-fcd_cc*(1-(1-MAX(0,MIN(1,IF($C42&lt;=cc_D,0.0035*($C42-Q$18)/$C42,0.002*($C42-Q$18)/($C42-3*cc_D/7))/0.002)))^2)</f>
        <v/>
      </c>
      <c r="AP42">
        <f>MAX(-fyd_cc,MIN(fyd_cc,Es_cc*IF($C42&lt;=cc_D,0.0035*($C42-R$18)/$C42,0.002*($C42-R$18)/($C42-3*cc_D/7))))-fcd_cc*(1-(1-MAX(0,MIN(1,IF($C42&lt;=cc_D,0.0035*($C42-R$18)/$C42,0.002*($C42-R$18)/($C42-3*cc_D/7))/0.002)))^2)</f>
        <v/>
      </c>
      <c r="AQ42">
        <f>MAX(-fyd_cc,MIN(fyd_cc,Es_cc*IF($C42&lt;=cc_D,0.0035*($C42-S$18)/$C42,0.002*($C42-S$18)/($C42-3*cc_D/7))))-fcd_cc*(1-(1-MAX(0,MIN(1,IF($C42&lt;=cc_D,0.0035*($C42-S$18)/$C42,0.002*($C42-S$18)/($C42-3*cc_D/7))/0.002)))^2)</f>
        <v/>
      </c>
      <c r="AR42">
        <f>MAX(-fyd_cc,MIN(fyd_cc,Es_cc*IF($C42&lt;=cc_D,0.0035*($C42-T$18)/$C42,0.002*($C42-T$18)/($C42-3*cc_D/7))))-fcd_cc*(1-(1-MAX(0,MIN(1,IF($C42&lt;=cc_D,0.0035*($C42-T$18)/$C42,0.002*($C42-T$18)/($C42-3*cc_D/7))/0.002)))^2)</f>
        <v/>
      </c>
      <c r="AS42">
        <f>MAX(-fyd_cc,MIN(fyd_cc,Es_cc*IF($C42&lt;=cc_D,0.0035*($C42-U$18)/$C42,0.002*($C42-U$18)/($C42-3*cc_D/7))))-fcd_cc*(1-(1-MAX(0,MIN(1,IF($C42&lt;=cc_D,0.0035*($C42-U$18)/$C42,0.002*($C42-U$18)/($C42-3*cc_D/7))/0.002)))^2)</f>
        <v/>
      </c>
      <c r="AT42">
        <f>MAX(-fyd_cc,MIN(fyd_cc,Es_cc*IF($C42&lt;=cc_D,0.0035*($C42-V$18)/$C42,0.002*($C42-V$18)/($C42-3*cc_D/7))))-fcd_cc*(1-(1-MAX(0,MIN(1,IF($C42&lt;=cc_D,0.0035*($C42-V$18)/$C42,0.002*($C42-V$18)/($C42-3*cc_D/7))/0.002)))^2)</f>
        <v/>
      </c>
      <c r="AU42">
        <f>MAX(-fyd_cc,MIN(fyd_cc,Es_cc*IF($C42&lt;=cc_D,0.0035*($C42-W$18)/$C42,0.002*($C42-W$18)/($C42-3*cc_D/7))))-fcd_cc*(1-(1-MAX(0,MIN(1,IF($C42&lt;=cc_D,0.0035*($C42-W$18)/$C42,0.002*($C42-W$18)/($C42-3*cc_D/7))/0.002)))^2)</f>
        <v/>
      </c>
      <c r="AV42">
        <f>MAX(-fyd_cc,MIN(fyd_cc,Es_cc*IF($C42&lt;=cc_D,0.0035*($C42-X$18)/$C42,0.002*($C42-X$18)/($C42-3*cc_D/7))))-fcd_cc*(1-(1-MAX(0,MIN(1,IF($C42&lt;=cc_D,0.0035*($C42-X$18)/$C42,0.002*($C42-X$18)/($C42-3*cc_D/7))/0.002)))^2)</f>
        <v/>
      </c>
      <c r="AW42">
        <f>MAX(-fyd_cc,MIN(fyd_cc,Es_cc*IF($C42&lt;=cc_D,0.0035*($C42-Y$18)/$C42,0.002*($C42-Y$18)/($C42-3*cc_D/7))))-fcd_cc*(1-(1-MAX(0,MIN(1,IF($C42&lt;=cc_D,0.0035*($C42-Y$18)/$C42,0.002*($C42-Y$18)/($C42-3*cc_D/7))/0.002)))^2)</f>
        <v/>
      </c>
      <c r="AX42">
        <f>MAX(-fyd_cc,MIN(fyd_cc,Es_cc*IF($C42&lt;=cc_D,0.0035*($C42-Z$18)/$C42,0.002*($C42-Z$18)/($C42-3*cc_D/7))))-fcd_cc*(1-(1-MAX(0,MIN(1,IF($C42&lt;=cc_D,0.0035*($C42-Z$18)/$C42,0.002*($C42-Z$18)/($C42-3*cc_D/7))/0.002)))^2)</f>
        <v/>
      </c>
      <c r="AY42">
        <f>MAX(-fyd_cc,MIN(fyd_cc,Es_cc*IF($C42&lt;=cc_D,0.0035*($C42-AA$18)/$C42,0.002*($C42-AA$18)/($C42-3*cc_D/7))))-fcd_cc*(1-(1-MAX(0,MIN(1,IF($C42&lt;=cc_D,0.0035*($C42-AA$18)/$C42,0.002*($C42-AA$18)/($C42-3*cc_D/7))/0.002)))^2)</f>
        <v/>
      </c>
      <c r="AZ42">
        <f>MAX(-fyd_cc,MIN(fyd_cc,Es_cc*IF($C42&lt;=cc_D,0.0035*($C42-AB$18)/$C42,0.002*($C42-AB$18)/($C42-3*cc_D/7))))-fcd_cc*(1-(1-MAX(0,MIN(1,IF($C42&lt;=cc_D,0.0035*($C42-AB$18)/$C42,0.002*($C42-AB$18)/($C42-3*cc_D/7))/0.002)))^2)</f>
        <v/>
      </c>
      <c r="BA42">
        <f>MAX(-fyd_cc,MIN(fyd_cc,Es_cc*IF($C42&lt;=cc_D,0.0035*($C42-AC$18)/$C42,0.002*($C42-AC$18)/($C42-3*cc_D/7))))-fcd_cc*(1-(1-MAX(0,MIN(1,IF($C42&lt;=cc_D,0.0035*($C42-AC$18)/$C42,0.002*($C42-AC$18)/($C42-3*cc_D/7))/0.002)))^2)</f>
        <v/>
      </c>
      <c r="BB42">
        <f>MAX(-fyd_cc,MIN(fyd_cc,Es_cc*IF($C42&lt;=cc_D,0.0035*($C42-AD$18)/$C42,0.002*($C42-AD$18)/($C42-3*cc_D/7))))-fcd_cc*(1-(1-MAX(0,MIN(1,IF($C42&lt;=cc_D,0.0035*($C42-AD$18)/$C42,0.002*($C42-AD$18)/($C42-3*cc_D/7))/0.002)))^2)</f>
        <v/>
      </c>
      <c r="BC42">
        <f>MAX(-fyd_cc,MIN(fyd_cc,Es_cc*IF($C42&lt;=cc_D,0.0035*($C42-AE$18)/$C42,0.002*($C42-AE$18)/($C42-3*cc_D/7))))-fcd_cc*(1-(1-MAX(0,MIN(1,IF($C42&lt;=cc_D,0.0035*($C42-AE$18)/$C42,0.002*($C42-AE$18)/($C42-3*cc_D/7))/0.002)))^2)</f>
        <v/>
      </c>
      <c r="BD42">
        <f>MAX(-fyd_cc,MIN(fyd_cc,Es_cc*IF($C42&lt;=cc_D,0.0035*($C42-AF$18)/$C42,0.002*($C42-AF$18)/($C42-3*cc_D/7))))-fcd_cc*(1-(1-MAX(0,MIN(1,IF($C42&lt;=cc_D,0.0035*($C42-AF$18)/$C42,0.002*($C42-AF$18)/($C42-3*cc_D/7))/0.002)))^2)</f>
        <v/>
      </c>
      <c r="BE42">
        <f>MAX(-fyd_cc,MIN(fyd_cc,Es_cc*IF($C42&lt;=cc_D,0.0035*($C42-AG$18)/$C42,0.002*($C42-AG$18)/($C42-3*cc_D/7))))-fcd_cc*(1-(1-MAX(0,MIN(1,IF($C42&lt;=cc_D,0.0035*($C42-AG$18)/$C42,0.002*($C42-AG$18)/($C42-3*cc_D/7))/0.002)))^2)</f>
        <v/>
      </c>
      <c r="BF42">
        <f>3*MIN($C42,cc_D)/7</f>
        <v/>
      </c>
      <c r="BG42">
        <f>$C42-$BF42</f>
        <v/>
      </c>
      <c r="BH42">
        <f>ACOS(MAX(-1,MIN(1,1-$BF42/(cc_D/2))))</f>
        <v/>
      </c>
      <c r="BI42">
        <f>ACOS(MAX(-1,MIN(1,1-MIN($C42,cc_D)/(cc_D/2))))</f>
        <v/>
      </c>
      <c r="BJ42">
        <f>((cc_D/2*(1-COS(($BH42+0*($BI42-$BH42)/12)))-$BF42)/$BG42)^2*SIN(($BH42+0*($BI42-$BH42)/12))^2</f>
        <v/>
      </c>
      <c r="BK42">
        <f>((cc_D/2*(1-COS(($BH42+1*($BI42-$BH42)/12)))-$BF42)/$BG42)^2*SIN(($BH42+1*($BI42-$BH42)/12))^2</f>
        <v/>
      </c>
      <c r="BL42">
        <f>((cc_D/2*(1-COS(($BH42+2*($BI42-$BH42)/12)))-$BF42)/$BG42)^2*SIN(($BH42+2*($BI42-$BH42)/12))^2</f>
        <v/>
      </c>
      <c r="BM42">
        <f>((cc_D/2*(1-COS(($BH42+3*($BI42-$BH42)/12)))-$BF42)/$BG42)^2*SIN(($BH42+3*($BI42-$BH42)/12))^2</f>
        <v/>
      </c>
      <c r="BN42">
        <f>((cc_D/2*(1-COS(($BH42+4*($BI42-$BH42)/12)))-$BF42)/$BG42)^2*SIN(($BH42+4*($BI42-$BH42)/12))^2</f>
        <v/>
      </c>
      <c r="BO42">
        <f>((cc_D/2*(1-COS(($BH42+5*($BI42-$BH42)/12)))-$BF42)/$BG42)^2*SIN(($BH42+5*($BI42-$BH42)/12))^2</f>
        <v/>
      </c>
      <c r="BP42">
        <f>((cc_D/2*(1-COS(($BH42+6*($BI42-$BH42)/12)))-$BF42)/$BG42)^2*SIN(($BH42+6*($BI42-$BH42)/12))^2</f>
        <v/>
      </c>
      <c r="BQ42">
        <f>((cc_D/2*(1-COS(($BH42+7*($BI42-$BH42)/12)))-$BF42)/$BG42)^2*SIN(($BH42+7*($BI42-$BH42)/12))^2</f>
        <v/>
      </c>
      <c r="BR42">
        <f>((cc_D/2*(1-COS(($BH42+8*($BI42-$BH42)/12)))-$BF42)/$BG42)^2*SIN(($BH42+8*($BI42-$BH42)/12))^2</f>
        <v/>
      </c>
      <c r="BS42">
        <f>((cc_D/2*(1-COS(($BH42+9*($BI42-$BH42)/12)))-$BF42)/$BG42)^2*SIN(($BH42+9*($BI42-$BH42)/12))^2</f>
        <v/>
      </c>
      <c r="BT42">
        <f>((cc_D/2*(1-COS(($BH42+10*($BI42-$BH42)/12)))-$BF42)/$BG42)^2*SIN(($BH42+10*($BI42-$BH42)/12))^2</f>
        <v/>
      </c>
      <c r="BU42">
        <f>((cc_D/2*(1-COS(($BH42+11*($BI42-$BH42)/12)))-$BF42)/$BG42)^2*SIN(($BH42+11*($BI42-$BH42)/12))^2</f>
        <v/>
      </c>
      <c r="BV42">
        <f>((cc_D/2*(1-COS(($BH42+12*($BI42-$BH42)/12)))-$BF42)/$BG42)^2*SIN(($BH42+12*($BI42-$BH42)/12))^2</f>
        <v/>
      </c>
      <c r="BW42">
        <f>BJ42*COS(($BH42+0*($BI42-$BH42)/12))</f>
        <v/>
      </c>
      <c r="BX42">
        <f>BK42*COS(($BH42+1*($BI42-$BH42)/12))</f>
        <v/>
      </c>
      <c r="BY42">
        <f>BL42*COS(($BH42+2*($BI42-$BH42)/12))</f>
        <v/>
      </c>
      <c r="BZ42">
        <f>BM42*COS(($BH42+3*($BI42-$BH42)/12))</f>
        <v/>
      </c>
      <c r="CA42">
        <f>BN42*COS(($BH42+4*($BI42-$BH42)/12))</f>
        <v/>
      </c>
      <c r="CB42">
        <f>BO42*COS(($BH42+5*($BI42-$BH42)/12))</f>
        <v/>
      </c>
      <c r="CC42">
        <f>BP42*COS(($BH42+6*($BI42-$BH42)/12))</f>
        <v/>
      </c>
      <c r="CD42">
        <f>BQ42*COS(($BH42+7*($BI42-$BH42)/12))</f>
        <v/>
      </c>
      <c r="CE42">
        <f>BR42*COS(($BH42+8*($BI42-$BH42)/12))</f>
        <v/>
      </c>
      <c r="CF42">
        <f>BS42*COS(($BH42+9*($BI42-$BH42)/12))</f>
        <v/>
      </c>
      <c r="CG42">
        <f>BT42*COS(($BH42+10*($BI42-$BH42)/12))</f>
        <v/>
      </c>
      <c r="CH42">
        <f>BU42*COS(($BH42+11*($BI42-$BH42)/12))</f>
        <v/>
      </c>
      <c r="CI42">
        <f>BV42*COS(($BH42+12*($BI42-$BH42)/12))</f>
        <v/>
      </c>
    </row>
    <row r="43">
      <c r="B43" s="53" t="n">
        <v>18</v>
      </c>
      <c r="C43" s="54">
        <f>0.65*cc_D</f>
        <v/>
      </c>
      <c r="D43" s="55">
        <f>IF($C43&lt;=cc_D,3.5,2*$C43/($C43-3*cc_D/7))</f>
        <v/>
      </c>
      <c r="E43" s="56">
        <f>(fcd_cc*((cc_D/2)^2*($BI43-COS($BI43)*SIN($BI43))-2*(cc_D/2)^2*($BI43-$BH43)/12/3*SUMPRODUCT($BJ$4:$BV$4,$BJ43:$BV43))+SUMPRODUCT($J$5:$AG$5,$J43:$AG43))/1000</f>
        <v/>
      </c>
      <c r="F43" s="56">
        <f>(fcd_cc*(2/3*(cc_D/2)^3*SIN($BI43)^3-2*(cc_D/2)^3*($BI43-$BH43)/12/3*SUMPRODUCT($BW$4:$CI$4,$BW43:$CI43))+SUMPRODUCT($J$5:$AG$5,$J43:$AG43,$J$7:$AG$7))/1E6</f>
        <v/>
      </c>
      <c r="G43" s="56">
        <f>(fcd_cc*((cc_D/2)^2*($BI43-COS($BI43)*SIN($BI43))-2*(cc_D/2)^2*($BI43-$BH43)/12/3*SUMPRODUCT($BJ$4:$BV$4,$BJ43:$BV43))+SUMPRODUCT($J$5:$AG$5,$AH43:$BE43))/1000</f>
        <v/>
      </c>
      <c r="H43" s="56">
        <f>(fcd_cc*(2/3*(cc_D/2)^3*SIN($BI43)^3-2*(cc_D/2)^3*($BI43-$BH43)/12/3*SUMPRODUCT($BW$4:$CI$4,$BW43:$CI43))+SUMPRODUCT($J$5:$AG$5,$AH43:$BE43,$J$19:$AG$19))/1E6</f>
        <v/>
      </c>
      <c r="J43">
        <f>MAX(-fyd_cc,MIN(fyd_cc,Es_cc*IF($C43&lt;=cc_D,0.0035*($C43-J$6)/$C43,0.002*($C43-J$6)/($C43-3*cc_D/7))))-fcd_cc*(1-(1-MAX(0,MIN(1,IF($C43&lt;=cc_D,0.0035*($C43-J$6)/$C43,0.002*($C43-J$6)/($C43-3*cc_D/7))/0.002)))^2)</f>
        <v/>
      </c>
      <c r="K43">
        <f>MAX(-fyd_cc,MIN(fyd_cc,Es_cc*IF($C43&lt;=cc_D,0.0035*($C43-K$6)/$C43,0.002*($C43-K$6)/($C43-3*cc_D/7))))-fcd_cc*(1-(1-MAX(0,MIN(1,IF($C43&lt;=cc_D,0.0035*($C43-K$6)/$C43,0.002*($C43-K$6)/($C43-3*cc_D/7))/0.002)))^2)</f>
        <v/>
      </c>
      <c r="L43">
        <f>MAX(-fyd_cc,MIN(fyd_cc,Es_cc*IF($C43&lt;=cc_D,0.0035*($C43-L$6)/$C43,0.002*($C43-L$6)/($C43-3*cc_D/7))))-fcd_cc*(1-(1-MAX(0,MIN(1,IF($C43&lt;=cc_D,0.0035*($C43-L$6)/$C43,0.002*($C43-L$6)/($C43-3*cc_D/7))/0.002)))^2)</f>
        <v/>
      </c>
      <c r="M43">
        <f>MAX(-fyd_cc,MIN(fyd_cc,Es_cc*IF($C43&lt;=cc_D,0.0035*($C43-M$6)/$C43,0.002*($C43-M$6)/($C43-3*cc_D/7))))-fcd_cc*(1-(1-MAX(0,MIN(1,IF($C43&lt;=cc_D,0.0035*($C43-M$6)/$C43,0.002*($C43-M$6)/($C43-3*cc_D/7))/0.002)))^2)</f>
        <v/>
      </c>
      <c r="N43">
        <f>MAX(-fyd_cc,MIN(fyd_cc,Es_cc*IF($C43&lt;=cc_D,0.0035*($C43-N$6)/$C43,0.002*($C43-N$6)/($C43-3*cc_D/7))))-fcd_cc*(1-(1-MAX(0,MIN(1,IF($C43&lt;=cc_D,0.0035*($C43-N$6)/$C43,0.002*($C43-N$6)/($C43-3*cc_D/7))/0.002)))^2)</f>
        <v/>
      </c>
      <c r="O43">
        <f>MAX(-fyd_cc,MIN(fyd_cc,Es_cc*IF($C43&lt;=cc_D,0.0035*($C43-O$6)/$C43,0.002*($C43-O$6)/($C43-3*cc_D/7))))-fcd_cc*(1-(1-MAX(0,MIN(1,IF($C43&lt;=cc_D,0.0035*($C43-O$6)/$C43,0.002*($C43-O$6)/($C43-3*cc_D/7))/0.002)))^2)</f>
        <v/>
      </c>
      <c r="P43">
        <f>MAX(-fyd_cc,MIN(fyd_cc,Es_cc*IF($C43&lt;=cc_D,0.0035*($C43-P$6)/$C43,0.002*($C43-P$6)/($C43-3*cc_D/7))))-fcd_cc*(1-(1-MAX(0,MIN(1,IF($C43&lt;=cc_D,0.0035*($C43-P$6)/$C43,0.002*($C43-P$6)/($C43-3*cc_D/7))/0.002)))^2)</f>
        <v/>
      </c>
      <c r="Q43">
        <f>MAX(-fyd_cc,MIN(fyd_cc,Es_cc*IF($C43&lt;=cc_D,0.0035*($C43-Q$6)/$C43,0.002*($C43-Q$6)/($C43-3*cc_D/7))))-fcd_cc*(1-(1-MAX(0,MIN(1,IF($C43&lt;=cc_D,0.0035*($C43-Q$6)/$C43,0.002*($C43-Q$6)/($C43-3*cc_D/7))/0.002)))^2)</f>
        <v/>
      </c>
      <c r="R43">
        <f>MAX(-fyd_cc,MIN(fyd_cc,Es_cc*IF($C43&lt;=cc_D,0.0035*($C43-R$6)/$C43,0.002*($C43-R$6)/($C43-3*cc_D/7))))-fcd_cc*(1-(1-MAX(0,MIN(1,IF($C43&lt;=cc_D,0.0035*($C43-R$6)/$C43,0.002*($C43-R$6)/($C43-3*cc_D/7))/0.002)))^2)</f>
        <v/>
      </c>
      <c r="S43">
        <f>MAX(-fyd_cc,MIN(fyd_cc,Es_cc*IF($C43&lt;=cc_D,0.0035*($C43-S$6)/$C43,0.002*($C43-S$6)/($C43-3*cc_D/7))))-fcd_cc*(1-(1-MAX(0,MIN(1,IF($C43&lt;=cc_D,0.0035*($C43-S$6)/$C43,0.002*($C43-S$6)/($C43-3*cc_D/7))/0.002)))^2)</f>
        <v/>
      </c>
      <c r="T43">
        <f>MAX(-fyd_cc,MIN(fyd_cc,Es_cc*IF($C43&lt;=cc_D,0.0035*($C43-T$6)/$C43,0.002*($C43-T$6)/($C43-3*cc_D/7))))-fcd_cc*(1-(1-MAX(0,MIN(1,IF($C43&lt;=cc_D,0.0035*($C43-T$6)/$C43,0.002*($C43-T$6)/($C43-3*cc_D/7))/0.002)))^2)</f>
        <v/>
      </c>
      <c r="U43">
        <f>MAX(-fyd_cc,MIN(fyd_cc,Es_cc*IF($C43&lt;=cc_D,0.0035*($C43-U$6)/$C43,0.002*($C43-U$6)/($C43-3*cc_D/7))))-fcd_cc*(1-(1-MAX(0,MIN(1,IF($C43&lt;=cc_D,0.0035*($C43-U$6)/$C43,0.002*($C43-U$6)/($C43-3*cc_D/7))/0.002)))^2)</f>
        <v/>
      </c>
      <c r="V43">
        <f>MAX(-fyd_cc,MIN(fyd_cc,Es_cc*IF($C43&lt;=cc_D,0.0035*($C43-V$6)/$C43,0.002*($C43-V$6)/($C43-3*cc_D/7))))-fcd_cc*(1-(1-MAX(0,MIN(1,IF($C43&lt;=cc_D,0.0035*($C43-V$6)/$C43,0.002*($C43-V$6)/($C43-3*cc_D/7))/0.002)))^2)</f>
        <v/>
      </c>
      <c r="W43">
        <f>MAX(-fyd_cc,MIN(fyd_cc,Es_cc*IF($C43&lt;=cc_D,0.0035*($C43-W$6)/$C43,0.002*($C43-W$6)/($C43-3*cc_D/7))))-fcd_cc*(1-(1-MAX(0,MIN(1,IF($C43&lt;=cc_D,0.0035*($C43-W$6)/$C43,0.002*($C43-W$6)/($C43-3*cc_D/7))/0.002)))^2)</f>
        <v/>
      </c>
      <c r="X43">
        <f>MAX(-fyd_cc,MIN(fyd_cc,Es_cc*IF($C43&lt;=cc_D,0.0035*($C43-X$6)/$C43,0.002*($C43-X$6)/($C43-3*cc_D/7))))-fcd_cc*(1-(1-MAX(0,MIN(1,IF($C43&lt;=cc_D,0.0035*($C43-X$6)/$C43,0.002*($C43-X$6)/($C43-3*cc_D/7))/0.002)))^2)</f>
        <v/>
      </c>
      <c r="Y43">
        <f>MAX(-fyd_cc,MIN(fyd_cc,Es_cc*IF($C43&lt;=cc_D,0.0035*($C43-Y$6)/$C43,0.002*($C43-Y$6)/($C43-3*cc_D/7))))-fcd_cc*(1-(1-MAX(0,MIN(1,IF($C43&lt;=cc_D,0.0035*($C43-Y$6)/$C43,0.002*($C43-Y$6)/($C43-3*cc_D/7))/0.002)))^2)</f>
        <v/>
      </c>
      <c r="Z43">
        <f>MAX(-fyd_cc,MIN(fyd_cc,Es_cc*IF($C43&lt;=cc_D,0.0035*($C43-Z$6)/$C43,0.002*($C43-Z$6)/($C43-3*cc_D/7))))-fcd_cc*(1-(1-MAX(0,MIN(1,IF($C43&lt;=cc_D,0.0035*($C43-Z$6)/$C43,0.002*($C43-Z$6)/($C43-3*cc_D/7))/0.002)))^2)</f>
        <v/>
      </c>
      <c r="AA43">
        <f>MAX(-fyd_cc,MIN(fyd_cc,Es_cc*IF($C43&lt;=cc_D,0.0035*($C43-AA$6)/$C43,0.002*($C43-AA$6)/($C43-3*cc_D/7))))-fcd_cc*(1-(1-MAX(0,MIN(1,IF($C43&lt;=cc_D,0.0035*($C43-AA$6)/$C43,0.002*($C43-AA$6)/($C43-3*cc_D/7))/0.002)))^2)</f>
        <v/>
      </c>
      <c r="AB43">
        <f>MAX(-fyd_cc,MIN(fyd_cc,Es_cc*IF($C43&lt;=cc_D,0.0035*($C43-AB$6)/$C43,0.002*($C43-AB$6)/($C43-3*cc_D/7))))-fcd_cc*(1-(1-MAX(0,MIN(1,IF($C43&lt;=cc_D,0.0035*($C43-AB$6)/$C43,0.002*($C43-AB$6)/($C43-3*cc_D/7))/0.002)))^2)</f>
        <v/>
      </c>
      <c r="AC43">
        <f>MAX(-fyd_cc,MIN(fyd_cc,Es_cc*IF($C43&lt;=cc_D,0.0035*($C43-AC$6)/$C43,0.002*($C43-AC$6)/($C43-3*cc_D/7))))-fcd_cc*(1-(1-MAX(0,MIN(1,IF($C43&lt;=cc_D,0.0035*($C43-AC$6)/$C43,0.002*($C43-AC$6)/($C43-3*cc_D/7))/0.002)))^2)</f>
        <v/>
      </c>
      <c r="AD43">
        <f>MAX(-fyd_cc,MIN(fyd_cc,Es_cc*IF($C43&lt;=cc_D,0.0035*($C43-AD$6)/$C43,0.002*($C43-AD$6)/($C43-3*cc_D/7))))-fcd_cc*(1-(1-MAX(0,MIN(1,IF($C43&lt;=cc_D,0.0035*($C43-AD$6)/$C43,0.002*($C43-AD$6)/($C43-3*cc_D/7))/0.002)))^2)</f>
        <v/>
      </c>
      <c r="AE43">
        <f>MAX(-fyd_cc,MIN(fyd_cc,Es_cc*IF($C43&lt;=cc_D,0.0035*($C43-AE$6)/$C43,0.002*($C43-AE$6)/($C43-3*cc_D/7))))-fcd_cc*(1-(1-MAX(0,MIN(1,IF($C43&lt;=cc_D,0.0035*($C43-AE$6)/$C43,0.002*($C43-AE$6)/($C43-3*cc_D/7))/0.002)))^2)</f>
        <v/>
      </c>
      <c r="AF43">
        <f>MAX(-fyd_cc,MIN(fyd_cc,Es_cc*IF($C43&lt;=cc_D,0.0035*($C43-AF$6)/$C43,0.002*($C43-AF$6)/($C43-3*cc_D/7))))-fcd_cc*(1-(1-MAX(0,MIN(1,IF($C43&lt;=cc_D,0.0035*($C43-AF$6)/$C43,0.002*($C43-AF$6)/($C43-3*cc_D/7))/0.002)))^2)</f>
        <v/>
      </c>
      <c r="AG43">
        <f>MAX(-fyd_cc,MIN(fyd_cc,Es_cc*IF($C43&lt;=cc_D,0.0035*($C43-AG$6)/$C43,0.002*($C43-AG$6)/($C43-3*cc_D/7))))-fcd_cc*(1-(1-MAX(0,MIN(1,IF($C43&lt;=cc_D,0.0035*($C43-AG$6)/$C43,0.002*($C43-AG$6)/($C43-3*cc_D/7))/0.002)))^2)</f>
        <v/>
      </c>
      <c r="AH43">
        <f>MAX(-fyd_cc,MIN(fyd_cc,Es_cc*IF($C43&lt;=cc_D,0.0035*($C43-J$18)/$C43,0.002*($C43-J$18)/($C43-3*cc_D/7))))-fcd_cc*(1-(1-MAX(0,MIN(1,IF($C43&lt;=cc_D,0.0035*($C43-J$18)/$C43,0.002*($C43-J$18)/($C43-3*cc_D/7))/0.002)))^2)</f>
        <v/>
      </c>
      <c r="AI43">
        <f>MAX(-fyd_cc,MIN(fyd_cc,Es_cc*IF($C43&lt;=cc_D,0.0035*($C43-K$18)/$C43,0.002*($C43-K$18)/($C43-3*cc_D/7))))-fcd_cc*(1-(1-MAX(0,MIN(1,IF($C43&lt;=cc_D,0.0035*($C43-K$18)/$C43,0.002*($C43-K$18)/($C43-3*cc_D/7))/0.002)))^2)</f>
        <v/>
      </c>
      <c r="AJ43">
        <f>MAX(-fyd_cc,MIN(fyd_cc,Es_cc*IF($C43&lt;=cc_D,0.0035*($C43-L$18)/$C43,0.002*($C43-L$18)/($C43-3*cc_D/7))))-fcd_cc*(1-(1-MAX(0,MIN(1,IF($C43&lt;=cc_D,0.0035*($C43-L$18)/$C43,0.002*($C43-L$18)/($C43-3*cc_D/7))/0.002)))^2)</f>
        <v/>
      </c>
      <c r="AK43">
        <f>MAX(-fyd_cc,MIN(fyd_cc,Es_cc*IF($C43&lt;=cc_D,0.0035*($C43-M$18)/$C43,0.002*($C43-M$18)/($C43-3*cc_D/7))))-fcd_cc*(1-(1-MAX(0,MIN(1,IF($C43&lt;=cc_D,0.0035*($C43-M$18)/$C43,0.002*($C43-M$18)/($C43-3*cc_D/7))/0.002)))^2)</f>
        <v/>
      </c>
      <c r="AL43">
        <f>MAX(-fyd_cc,MIN(fyd_cc,Es_cc*IF($C43&lt;=cc_D,0.0035*($C43-N$18)/$C43,0.002*($C43-N$18)/($C43-3*cc_D/7))))-fcd_cc*(1-(1-MAX(0,MIN(1,IF($C43&lt;=cc_D,0.0035*($C43-N$18)/$C43,0.002*($C43-N$18)/($C43-3*cc_D/7))/0.002)))^2)</f>
        <v/>
      </c>
      <c r="AM43">
        <f>MAX(-fyd_cc,MIN(fyd_cc,Es_cc*IF($C43&lt;=cc_D,0.0035*($C43-O$18)/$C43,0.002*($C43-O$18)/($C43-3*cc_D/7))))-fcd_cc*(1-(1-MAX(0,MIN(1,IF($C43&lt;=cc_D,0.0035*($C43-O$18)/$C43,0.002*($C43-O$18)/($C43-3*cc_D/7))/0.002)))^2)</f>
        <v/>
      </c>
      <c r="AN43">
        <f>MAX(-fyd_cc,MIN(fyd_cc,Es_cc*IF($C43&lt;=cc_D,0.0035*($C43-P$18)/$C43,0.002*($C43-P$18)/($C43-3*cc_D/7))))-fcd_cc*(1-(1-MAX(0,MIN(1,IF($C43&lt;=cc_D,0.0035*($C43-P$18)/$C43,0.002*($C43-P$18)/($C43-3*cc_D/7))/0.002)))^2)</f>
        <v/>
      </c>
      <c r="AO43">
        <f>MAX(-fyd_cc,MIN(fyd_cc,Es_cc*IF($C43&lt;=cc_D,0.0035*($C43-Q$18)/$C43,0.002*($C43-Q$18)/($C43-3*cc_D/7))))-fcd_cc*(1-(1-MAX(0,MIN(1,IF($C43&lt;=cc_D,0.0035*($C43-Q$18)/$C43,0.002*($C43-Q$18)/($C43-3*cc_D/7))/0.002)))^2)</f>
        <v/>
      </c>
      <c r="AP43">
        <f>MAX(-fyd_cc,MIN(fyd_cc,Es_cc*IF($C43&lt;=cc_D,0.0035*($C43-R$18)/$C43,0.002*($C43-R$18)/($C43-3*cc_D/7))))-fcd_cc*(1-(1-MAX(0,MIN(1,IF($C43&lt;=cc_D,0.0035*($C43-R$18)/$C43,0.002*($C43-R$18)/($C43-3*cc_D/7))/0.002)))^2)</f>
        <v/>
      </c>
      <c r="AQ43">
        <f>MAX(-fyd_cc,MIN(fyd_cc,Es_cc*IF($C43&lt;=cc_D,0.0035*($C43-S$18)/$C43,0.002*($C43-S$18)/($C43-3*cc_D/7))))-fcd_cc*(1-(1-MAX(0,MIN(1,IF($C43&lt;=cc_D,0.0035*($C43-S$18)/$C43,0.002*($C43-S$18)/($C43-3*cc_D/7))/0.002)))^2)</f>
        <v/>
      </c>
      <c r="AR43">
        <f>MAX(-fyd_cc,MIN(fyd_cc,Es_cc*IF($C43&lt;=cc_D,0.0035*($C43-T$18)/$C43,0.002*($C43-T$18)/($C43-3*cc_D/7))))-fcd_cc*(1-(1-MAX(0,MIN(1,IF($C43&lt;=cc_D,0.0035*($C43-T$18)/$C43,0.002*($C43-T$18)/($C43-3*cc_D/7))/0.002)))^2)</f>
        <v/>
      </c>
      <c r="AS43">
        <f>MAX(-fyd_cc,MIN(fyd_cc,Es_cc*IF($C43&lt;=cc_D,0.0035*($C43-U$18)/$C43,0.002*($C43-U$18)/($C43-3*cc_D/7))))-fcd_cc*(1-(1-MAX(0,MIN(1,IF($C43&lt;=cc_D,0.0035*($C43-U$18)/$C43,0.002*($C43-U$18)/($C43-3*cc_D/7))/0.002)))^2)</f>
        <v/>
      </c>
      <c r="AT43">
        <f>MAX(-fyd_cc,MIN(fyd_cc,Es_cc*IF($C43&lt;=cc_D,0.0035*($C43-V$18)/$C43,0.002*($C43-V$18)/($C43-3*cc_D/7))))-fcd_cc*(1-(1-MAX(0,MIN(1,IF($C43&lt;=cc_D,0.0035*($C43-V$18)/$C43,0.002*($C43-V$18)/($C43-3*cc_D/7))/0.002)))^2)</f>
        <v/>
      </c>
      <c r="AU43">
        <f>MAX(-fyd_cc,MIN(fyd_cc,Es_cc*IF($C43&lt;=cc_D,0.0035*($C43-W$18)/$C43,0.002*($C43-W$18)/($C43-3*cc_D/7))))-fcd_cc*(1-(1-MAX(0,MIN(1,IF($C43&lt;=cc_D,0.0035*($C43-W$18)/$C43,0.002*($C43-W$18)/($C43-3*cc_D/7))/0.002)))^2)</f>
        <v/>
      </c>
      <c r="AV43">
        <f>MAX(-fyd_cc,MIN(fyd_cc,Es_cc*IF($C43&lt;=cc_D,0.0035*($C43-X$18)/$C43,0.002*($C43-X$18)/($C43-3*cc_D/7))))-fcd_cc*(1-(1-MAX(0,MIN(1,IF($C43&lt;=cc_D,0.0035*($C43-X$18)/$C43,0.002*($C43-X$18)/($C43-3*cc_D/7))/0.002)))^2)</f>
        <v/>
      </c>
      <c r="AW43">
        <f>MAX(-fyd_cc,MIN(fyd_cc,Es_cc*IF($C43&lt;=cc_D,0.0035*($C43-Y$18)/$C43,0.002*($C43-Y$18)/($C43-3*cc_D/7))))-fcd_cc*(1-(1-MAX(0,MIN(1,IF($C43&lt;=cc_D,0.0035*($C43-Y$18)/$C43,0.002*($C43-Y$18)/($C43-3*cc_D/7))/0.002)))^2)</f>
        <v/>
      </c>
      <c r="AX43">
        <f>MAX(-fyd_cc,MIN(fyd_cc,Es_cc*IF($C43&lt;=cc_D,0.0035*($C43-Z$18)/$C43,0.002*($C43-Z$18)/($C43-3*cc_D/7))))-fcd_cc*(1-(1-MAX(0,MIN(1,IF($C43&lt;=cc_D,0.0035*($C43-Z$18)/$C43,0.002*($C43-Z$18)/($C43-3*cc_D/7))/0.002)))^2)</f>
        <v/>
      </c>
      <c r="AY43">
        <f>MAX(-fyd_cc,MIN(fyd_cc,Es_cc*IF($C43&lt;=cc_D,0.0035*($C43-AA$18)/$C43,0.002*($C43-AA$18)/($C43-3*cc_D/7))))-fcd_cc*(1-(1-MAX(0,MIN(1,IF($C43&lt;=cc_D,0.0035*($C43-AA$18)/$C43,0.002*($C43-AA$18)/($C43-3*cc_D/7))/0.002)))^2)</f>
        <v/>
      </c>
      <c r="AZ43">
        <f>MAX(-fyd_cc,MIN(fyd_cc,Es_cc*IF($C43&lt;=cc_D,0.0035*($C43-AB$18)/$C43,0.002*($C43-AB$18)/($C43-3*cc_D/7))))-fcd_cc*(1-(1-MAX(0,MIN(1,IF($C43&lt;=cc_D,0.0035*($C43-AB$18)/$C43,0.002*($C43-AB$18)/($C43-3*cc_D/7))/0.002)))^2)</f>
        <v/>
      </c>
      <c r="BA43">
        <f>MAX(-fyd_cc,MIN(fyd_cc,Es_cc*IF($C43&lt;=cc_D,0.0035*($C43-AC$18)/$C43,0.002*($C43-AC$18)/($C43-3*cc_D/7))))-fcd_cc*(1-(1-MAX(0,MIN(1,IF($C43&lt;=cc_D,0.0035*($C43-AC$18)/$C43,0.002*($C43-AC$18)/($C43-3*cc_D/7))/0.002)))^2)</f>
        <v/>
      </c>
      <c r="BB43">
        <f>MAX(-fyd_cc,MIN(fyd_cc,Es_cc*IF($C43&lt;=cc_D,0.0035*($C43-AD$18)/$C43,0.002*($C43-AD$18)/($C43-3*cc_D/7))))-fcd_cc*(1-(1-MAX(0,MIN(1,IF($C43&lt;=cc_D,0.0035*($C43-AD$18)/$C43,0.002*($C43-AD$18)/($C43-3*cc_D/7))/0.002)))^2)</f>
        <v/>
      </c>
      <c r="BC43">
        <f>MAX(-fyd_cc,MIN(fyd_cc,Es_cc*IF($C43&lt;=cc_D,0.0035*($C43-AE$18)/$C43,0.002*($C43-AE$18)/($C43-3*cc_D/7))))-fcd_cc*(1-(1-MAX(0,MIN(1,IF($C43&lt;=cc_D,0.0035*($C43-AE$18)/$C43,0.002*($C43-AE$18)/($C43-3*cc_D/7))/0.002)))^2)</f>
        <v/>
      </c>
      <c r="BD43">
        <f>MAX(-fyd_cc,MIN(fyd_cc,Es_cc*IF($C43&lt;=cc_D,0.0035*($C43-AF$18)/$C43,0.002*($C43-AF$18)/($C43-3*cc_D/7))))-fcd_cc*(1-(1-MAX(0,MIN(1,IF($C43&lt;=cc_D,0.0035*($C43-AF$18)/$C43,0.002*($C43-AF$18)/($C43-3*cc_D/7))/0.002)))^2)</f>
        <v/>
      </c>
      <c r="BE43">
        <f>MAX(-fyd_cc,MIN(fyd_cc,Es_cc*IF($C43&lt;=cc_D,0.0035*($C43-AG$18)/$C43,0.002*($C43-AG$18)/($C43-3*cc_D/7))))-fcd_cc*(1-(1-MAX(0,MIN(1,IF($C43&lt;=cc_D,0.0035*($C43-AG$18)/$C43,0.002*($C43-AG$18)/($C43-3*cc_D/7))/0.002)))^2)</f>
        <v/>
      </c>
      <c r="BF43">
        <f>3*MIN($C43,cc_D)/7</f>
        <v/>
      </c>
      <c r="BG43">
        <f>$C43-$BF43</f>
        <v/>
      </c>
      <c r="BH43">
        <f>ACOS(MAX(-1,MIN(1,1-$BF43/(cc_D/2))))</f>
        <v/>
      </c>
      <c r="BI43">
        <f>ACOS(MAX(-1,MIN(1,1-MIN($C43,cc_D)/(cc_D/2))))</f>
        <v/>
      </c>
      <c r="BJ43">
        <f>((cc_D/2*(1-COS(($BH43+0*($BI43-$BH43)/12)))-$BF43)/$BG43)^2*SIN(($BH43+0*($BI43-$BH43)/12))^2</f>
        <v/>
      </c>
      <c r="BK43">
        <f>((cc_D/2*(1-COS(($BH43+1*($BI43-$BH43)/12)))-$BF43)/$BG43)^2*SIN(($BH43+1*($BI43-$BH43)/12))^2</f>
        <v/>
      </c>
      <c r="BL43">
        <f>((cc_D/2*(1-COS(($BH43+2*($BI43-$BH43)/12)))-$BF43)/$BG43)^2*SIN(($BH43+2*($BI43-$BH43)/12))^2</f>
        <v/>
      </c>
      <c r="BM43">
        <f>((cc_D/2*(1-COS(($BH43+3*($BI43-$BH43)/12)))-$BF43)/$BG43)^2*SIN(($BH43+3*($BI43-$BH43)/12))^2</f>
        <v/>
      </c>
      <c r="BN43">
        <f>((cc_D/2*(1-COS(($BH43+4*($BI43-$BH43)/12)))-$BF43)/$BG43)^2*SIN(($BH43+4*($BI43-$BH43)/12))^2</f>
        <v/>
      </c>
      <c r="BO43">
        <f>((cc_D/2*(1-COS(($BH43+5*($BI43-$BH43)/12)))-$BF43)/$BG43)^2*SIN(($BH43+5*($BI43-$BH43)/12))^2</f>
        <v/>
      </c>
      <c r="BP43">
        <f>((cc_D/2*(1-COS(($BH43+6*($BI43-$BH43)/12)))-$BF43)/$BG43)^2*SIN(($BH43+6*($BI43-$BH43)/12))^2</f>
        <v/>
      </c>
      <c r="BQ43">
        <f>((cc_D/2*(1-COS(($BH43+7*($BI43-$BH43)/12)))-$BF43)/$BG43)^2*SIN(($BH43+7*($BI43-$BH43)/12))^2</f>
        <v/>
      </c>
      <c r="BR43">
        <f>((cc_D/2*(1-COS(($BH43+8*($BI43-$BH43)/12)))-$BF43)/$BG43)^2*SIN(($BH43+8*($BI43-$BH43)/12))^2</f>
        <v/>
      </c>
      <c r="BS43">
        <f>((cc_D/2*(1-COS(($BH43+9*($BI43-$BH43)/12)))-$BF43)/$BG43)^2*SIN(($BH43+9*($BI43-$BH43)/12))^2</f>
        <v/>
      </c>
      <c r="BT43">
        <f>((cc_D/2*(1-COS(($BH43+10*($BI43-$BH43)/12)))-$BF43)/$BG43)^2*SIN(($BH43+10*($BI43-$BH43)/12))^2</f>
        <v/>
      </c>
      <c r="BU43">
        <f>((cc_D/2*(1-COS(($BH43+11*($BI43-$BH43)/12)))-$BF43)/$BG43)^2*SIN(($BH43+11*($BI43-$BH43)/12))^2</f>
        <v/>
      </c>
      <c r="BV43">
        <f>((cc_D/2*(1-COS(($BH43+12*($BI43-$BH43)/12)))-$BF43)/$BG43)^2*SIN(($BH43+12*($BI43-$BH43)/12))^2</f>
        <v/>
      </c>
      <c r="BW43">
        <f>BJ43*COS(($BH43+0*($BI43-$BH43)/12))</f>
        <v/>
      </c>
      <c r="BX43">
        <f>BK43*COS(($BH43+1*($BI43-$BH43)/12))</f>
        <v/>
      </c>
      <c r="BY43">
        <f>BL43*COS(($BH43+2*($BI43-$BH43)/12))</f>
        <v/>
      </c>
      <c r="BZ43">
        <f>BM43*COS(($BH43+3*($BI43-$BH43)/12))</f>
        <v/>
      </c>
      <c r="CA43">
        <f>BN43*COS(($BH43+4*($BI43-$BH43)/12))</f>
        <v/>
      </c>
      <c r="CB43">
        <f>BO43*COS(($BH43+5*($BI43-$BH43)/12))</f>
        <v/>
      </c>
      <c r="CC43">
        <f>BP43*COS(($BH43+6*($BI43-$BH43)/12))</f>
        <v/>
      </c>
      <c r="CD43">
        <f>BQ43*COS(($BH43+7*($BI43-$BH43)/12))</f>
        <v/>
      </c>
      <c r="CE43">
        <f>BR43*COS(($BH43+8*($BI43-$BH43)/12))</f>
        <v/>
      </c>
      <c r="CF43">
        <f>BS43*COS(($BH43+9*($BI43-$BH43)/12))</f>
        <v/>
      </c>
      <c r="CG43">
        <f>BT43*COS(($BH43+10*($BI43-$BH43)/12))</f>
        <v/>
      </c>
      <c r="CH43">
        <f>BU43*COS(($BH43+11*($BI43-$BH43)/12))</f>
        <v/>
      </c>
      <c r="CI43">
        <f>BV43*COS(($BH43+12*($BI43-$BH43)/12))</f>
        <v/>
      </c>
    </row>
    <row r="44">
      <c r="B44" s="53" t="n">
        <v>19</v>
      </c>
      <c r="C44" s="54">
        <f>0.7*cc_D</f>
        <v/>
      </c>
      <c r="D44" s="55">
        <f>IF($C44&lt;=cc_D,3.5,2*$C44/($C44-3*cc_D/7))</f>
        <v/>
      </c>
      <c r="E44" s="56">
        <f>(fcd_cc*((cc_D/2)^2*($BI44-COS($BI44)*SIN($BI44))-2*(cc_D/2)^2*($BI44-$BH44)/12/3*SUMPRODUCT($BJ$4:$BV$4,$BJ44:$BV44))+SUMPRODUCT($J$5:$AG$5,$J44:$AG44))/1000</f>
        <v/>
      </c>
      <c r="F44" s="56">
        <f>(fcd_cc*(2/3*(cc_D/2)^3*SIN($BI44)^3-2*(cc_D/2)^3*($BI44-$BH44)/12/3*SUMPRODUCT($BW$4:$CI$4,$BW44:$CI44))+SUMPRODUCT($J$5:$AG$5,$J44:$AG44,$J$7:$AG$7))/1E6</f>
        <v/>
      </c>
      <c r="G44" s="56">
        <f>(fcd_cc*((cc_D/2)^2*($BI44-COS($BI44)*SIN($BI44))-2*(cc_D/2)^2*($BI44-$BH44)/12/3*SUMPRODUCT($BJ$4:$BV$4,$BJ44:$BV44))+SUMPRODUCT($J$5:$AG$5,$AH44:$BE44))/1000</f>
        <v/>
      </c>
      <c r="H44" s="56">
        <f>(fcd_cc*(2/3*(cc_D/2)^3*SIN($BI44)^3-2*(cc_D/2)^3*($BI44-$BH44)/12/3*SUMPRODUCT($BW$4:$CI$4,$BW44:$CI44))+SUMPRODUCT($J$5:$AG$5,$AH44:$BE44,$J$19:$AG$19))/1E6</f>
        <v/>
      </c>
      <c r="J44">
        <f>MAX(-fyd_cc,MIN(fyd_cc,Es_cc*IF($C44&lt;=cc_D,0.0035*($C44-J$6)/$C44,0.002*($C44-J$6)/($C44-3*cc_D/7))))-fcd_cc*(1-(1-MAX(0,MIN(1,IF($C44&lt;=cc_D,0.0035*($C44-J$6)/$C44,0.002*($C44-J$6)/($C44-3*cc_D/7))/0.002)))^2)</f>
        <v/>
      </c>
      <c r="K44">
        <f>MAX(-fyd_cc,MIN(fyd_cc,Es_cc*IF($C44&lt;=cc_D,0.0035*($C44-K$6)/$C44,0.002*($C44-K$6)/($C44-3*cc_D/7))))-fcd_cc*(1-(1-MAX(0,MIN(1,IF($C44&lt;=cc_D,0.0035*($C44-K$6)/$C44,0.002*($C44-K$6)/($C44-3*cc_D/7))/0.002)))^2)</f>
        <v/>
      </c>
      <c r="L44">
        <f>MAX(-fyd_cc,MIN(fyd_cc,Es_cc*IF($C44&lt;=cc_D,0.0035*($C44-L$6)/$C44,0.002*($C44-L$6)/($C44-3*cc_D/7))))-fcd_cc*(1-(1-MAX(0,MIN(1,IF($C44&lt;=cc_D,0.0035*($C44-L$6)/$C44,0.002*($C44-L$6)/($C44-3*cc_D/7))/0.002)))^2)</f>
        <v/>
      </c>
      <c r="M44">
        <f>MAX(-fyd_cc,MIN(fyd_cc,Es_cc*IF($C44&lt;=cc_D,0.0035*($C44-M$6)/$C44,0.002*($C44-M$6)/($C44-3*cc_D/7))))-fcd_cc*(1-(1-MAX(0,MIN(1,IF($C44&lt;=cc_D,0.0035*($C44-M$6)/$C44,0.002*($C44-M$6)/($C44-3*cc_D/7))/0.002)))^2)</f>
        <v/>
      </c>
      <c r="N44">
        <f>MAX(-fyd_cc,MIN(fyd_cc,Es_cc*IF($C44&lt;=cc_D,0.0035*($C44-N$6)/$C44,0.002*($C44-N$6)/($C44-3*cc_D/7))))-fcd_cc*(1-(1-MAX(0,MIN(1,IF($C44&lt;=cc_D,0.0035*($C44-N$6)/$C44,0.002*($C44-N$6)/($C44-3*cc_D/7))/0.002)))^2)</f>
        <v/>
      </c>
      <c r="O44">
        <f>MAX(-fyd_cc,MIN(fyd_cc,Es_cc*IF($C44&lt;=cc_D,0.0035*($C44-O$6)/$C44,0.002*($C44-O$6)/($C44-3*cc_D/7))))-fcd_cc*(1-(1-MAX(0,MIN(1,IF($C44&lt;=cc_D,0.0035*($C44-O$6)/$C44,0.002*($C44-O$6)/($C44-3*cc_D/7))/0.002)))^2)</f>
        <v/>
      </c>
      <c r="P44">
        <f>MAX(-fyd_cc,MIN(fyd_cc,Es_cc*IF($C44&lt;=cc_D,0.0035*($C44-P$6)/$C44,0.002*($C44-P$6)/($C44-3*cc_D/7))))-fcd_cc*(1-(1-MAX(0,MIN(1,IF($C44&lt;=cc_D,0.0035*($C44-P$6)/$C44,0.002*($C44-P$6)/($C44-3*cc_D/7))/0.002)))^2)</f>
        <v/>
      </c>
      <c r="Q44">
        <f>MAX(-fyd_cc,MIN(fyd_cc,Es_cc*IF($C44&lt;=cc_D,0.0035*($C44-Q$6)/$C44,0.002*($C44-Q$6)/($C44-3*cc_D/7))))-fcd_cc*(1-(1-MAX(0,MIN(1,IF($C44&lt;=cc_D,0.0035*($C44-Q$6)/$C44,0.002*($C44-Q$6)/($C44-3*cc_D/7))/0.002)))^2)</f>
        <v/>
      </c>
      <c r="R44">
        <f>MAX(-fyd_cc,MIN(fyd_cc,Es_cc*IF($C44&lt;=cc_D,0.0035*($C44-R$6)/$C44,0.002*($C44-R$6)/($C44-3*cc_D/7))))-fcd_cc*(1-(1-MAX(0,MIN(1,IF($C44&lt;=cc_D,0.0035*($C44-R$6)/$C44,0.002*($C44-R$6)/($C44-3*cc_D/7))/0.002)))^2)</f>
        <v/>
      </c>
      <c r="S44">
        <f>MAX(-fyd_cc,MIN(fyd_cc,Es_cc*IF($C44&lt;=cc_D,0.0035*($C44-S$6)/$C44,0.002*($C44-S$6)/($C44-3*cc_D/7))))-fcd_cc*(1-(1-MAX(0,MIN(1,IF($C44&lt;=cc_D,0.0035*($C44-S$6)/$C44,0.002*($C44-S$6)/($C44-3*cc_D/7))/0.002)))^2)</f>
        <v/>
      </c>
      <c r="T44">
        <f>MAX(-fyd_cc,MIN(fyd_cc,Es_cc*IF($C44&lt;=cc_D,0.0035*($C44-T$6)/$C44,0.002*($C44-T$6)/($C44-3*cc_D/7))))-fcd_cc*(1-(1-MAX(0,MIN(1,IF($C44&lt;=cc_D,0.0035*($C44-T$6)/$C44,0.002*($C44-T$6)/($C44-3*cc_D/7))/0.002)))^2)</f>
        <v/>
      </c>
      <c r="U44">
        <f>MAX(-fyd_cc,MIN(fyd_cc,Es_cc*IF($C44&lt;=cc_D,0.0035*($C44-U$6)/$C44,0.002*($C44-U$6)/($C44-3*cc_D/7))))-fcd_cc*(1-(1-MAX(0,MIN(1,IF($C44&lt;=cc_D,0.0035*($C44-U$6)/$C44,0.002*($C44-U$6)/($C44-3*cc_D/7))/0.002)))^2)</f>
        <v/>
      </c>
      <c r="V44">
        <f>MAX(-fyd_cc,MIN(fyd_cc,Es_cc*IF($C44&lt;=cc_D,0.0035*($C44-V$6)/$C44,0.002*($C44-V$6)/($C44-3*cc_D/7))))-fcd_cc*(1-(1-MAX(0,MIN(1,IF($C44&lt;=cc_D,0.0035*($C44-V$6)/$C44,0.002*($C44-V$6)/($C44-3*cc_D/7))/0.002)))^2)</f>
        <v/>
      </c>
      <c r="W44">
        <f>MAX(-fyd_cc,MIN(fyd_cc,Es_cc*IF($C44&lt;=cc_D,0.0035*($C44-W$6)/$C44,0.002*($C44-W$6)/($C44-3*cc_D/7))))-fcd_cc*(1-(1-MAX(0,MIN(1,IF($C44&lt;=cc_D,0.0035*($C44-W$6)/$C44,0.002*($C44-W$6)/($C44-3*cc_D/7))/0.002)))^2)</f>
        <v/>
      </c>
      <c r="X44">
        <f>MAX(-fyd_cc,MIN(fyd_cc,Es_cc*IF($C44&lt;=cc_D,0.0035*($C44-X$6)/$C44,0.002*($C44-X$6)/($C44-3*cc_D/7))))-fcd_cc*(1-(1-MAX(0,MIN(1,IF($C44&lt;=cc_D,0.0035*($C44-X$6)/$C44,0.002*($C44-X$6)/($C44-3*cc_D/7))/0.002)))^2)</f>
        <v/>
      </c>
      <c r="Y44">
        <f>MAX(-fyd_cc,MIN(fyd_cc,Es_cc*IF($C44&lt;=cc_D,0.0035*($C44-Y$6)/$C44,0.002*($C44-Y$6)/($C44-3*cc_D/7))))-fcd_cc*(1-(1-MAX(0,MIN(1,IF($C44&lt;=cc_D,0.0035*($C44-Y$6)/$C44,0.002*($C44-Y$6)/($C44-3*cc_D/7))/0.002)))^2)</f>
        <v/>
      </c>
      <c r="Z44">
        <f>MAX(-fyd_cc,MIN(fyd_cc,Es_cc*IF($C44&lt;=cc_D,0.0035*($C44-Z$6)/$C44,0.002*($C44-Z$6)/($C44-3*cc_D/7))))-fcd_cc*(1-(1-MAX(0,MIN(1,IF($C44&lt;=cc_D,0.0035*($C44-Z$6)/$C44,0.002*($C44-Z$6)/($C44-3*cc_D/7))/0.002)))^2)</f>
        <v/>
      </c>
      <c r="AA44">
        <f>MAX(-fyd_cc,MIN(fyd_cc,Es_cc*IF($C44&lt;=cc_D,0.0035*($C44-AA$6)/$C44,0.002*($C44-AA$6)/($C44-3*cc_D/7))))-fcd_cc*(1-(1-MAX(0,MIN(1,IF($C44&lt;=cc_D,0.0035*($C44-AA$6)/$C44,0.002*($C44-AA$6)/($C44-3*cc_D/7))/0.002)))^2)</f>
        <v/>
      </c>
      <c r="AB44">
        <f>MAX(-fyd_cc,MIN(fyd_cc,Es_cc*IF($C44&lt;=cc_D,0.0035*($C44-AB$6)/$C44,0.002*($C44-AB$6)/($C44-3*cc_D/7))))-fcd_cc*(1-(1-MAX(0,MIN(1,IF($C44&lt;=cc_D,0.0035*($C44-AB$6)/$C44,0.002*($C44-AB$6)/($C44-3*cc_D/7))/0.002)))^2)</f>
        <v/>
      </c>
      <c r="AC44">
        <f>MAX(-fyd_cc,MIN(fyd_cc,Es_cc*IF($C44&lt;=cc_D,0.0035*($C44-AC$6)/$C44,0.002*($C44-AC$6)/($C44-3*cc_D/7))))-fcd_cc*(1-(1-MAX(0,MIN(1,IF($C44&lt;=cc_D,0.0035*($C44-AC$6)/$C44,0.002*($C44-AC$6)/($C44-3*cc_D/7))/0.002)))^2)</f>
        <v/>
      </c>
      <c r="AD44">
        <f>MAX(-fyd_cc,MIN(fyd_cc,Es_cc*IF($C44&lt;=cc_D,0.0035*($C44-AD$6)/$C44,0.002*($C44-AD$6)/($C44-3*cc_D/7))))-fcd_cc*(1-(1-MAX(0,MIN(1,IF($C44&lt;=cc_D,0.0035*($C44-AD$6)/$C44,0.002*($C44-AD$6)/($C44-3*cc_D/7))/0.002)))^2)</f>
        <v/>
      </c>
      <c r="AE44">
        <f>MAX(-fyd_cc,MIN(fyd_cc,Es_cc*IF($C44&lt;=cc_D,0.0035*($C44-AE$6)/$C44,0.002*($C44-AE$6)/($C44-3*cc_D/7))))-fcd_cc*(1-(1-MAX(0,MIN(1,IF($C44&lt;=cc_D,0.0035*($C44-AE$6)/$C44,0.002*($C44-AE$6)/($C44-3*cc_D/7))/0.002)))^2)</f>
        <v/>
      </c>
      <c r="AF44">
        <f>MAX(-fyd_cc,MIN(fyd_cc,Es_cc*IF($C44&lt;=cc_D,0.0035*($C44-AF$6)/$C44,0.002*($C44-AF$6)/($C44-3*cc_D/7))))-fcd_cc*(1-(1-MAX(0,MIN(1,IF($C44&lt;=cc_D,0.0035*($C44-AF$6)/$C44,0.002*($C44-AF$6)/($C44-3*cc_D/7))/0.002)))^2)</f>
        <v/>
      </c>
      <c r="AG44">
        <f>MAX(-fyd_cc,MIN(fyd_cc,Es_cc*IF($C44&lt;=cc_D,0.0035*($C44-AG$6)/$C44,0.002*($C44-AG$6)/($C44-3*cc_D/7))))-fcd_cc*(1-(1-MAX(0,MIN(1,IF($C44&lt;=cc_D,0.0035*($C44-AG$6)/$C44,0.002*($C44-AG$6)/($C44-3*cc_D/7))/0.002)))^2)</f>
        <v/>
      </c>
      <c r="AH44">
        <f>MAX(-fyd_cc,MIN(fyd_cc,Es_cc*IF($C44&lt;=cc_D,0.0035*($C44-J$18)/$C44,0.002*($C44-J$18)/($C44-3*cc_D/7))))-fcd_cc*(1-(1-MAX(0,MIN(1,IF($C44&lt;=cc_D,0.0035*($C44-J$18)/$C44,0.002*($C44-J$18)/($C44-3*cc_D/7))/0.002)))^2)</f>
        <v/>
      </c>
      <c r="AI44">
        <f>MAX(-fyd_cc,MIN(fyd_cc,Es_cc*IF($C44&lt;=cc_D,0.0035*($C44-K$18)/$C44,0.002*($C44-K$18)/($C44-3*cc_D/7))))-fcd_cc*(1-(1-MAX(0,MIN(1,IF($C44&lt;=cc_D,0.0035*($C44-K$18)/$C44,0.002*($C44-K$18)/($C44-3*cc_D/7))/0.002)))^2)</f>
        <v/>
      </c>
      <c r="AJ44">
        <f>MAX(-fyd_cc,MIN(fyd_cc,Es_cc*IF($C44&lt;=cc_D,0.0035*($C44-L$18)/$C44,0.002*($C44-L$18)/($C44-3*cc_D/7))))-fcd_cc*(1-(1-MAX(0,MIN(1,IF($C44&lt;=cc_D,0.0035*($C44-L$18)/$C44,0.002*($C44-L$18)/($C44-3*cc_D/7))/0.002)))^2)</f>
        <v/>
      </c>
      <c r="AK44">
        <f>MAX(-fyd_cc,MIN(fyd_cc,Es_cc*IF($C44&lt;=cc_D,0.0035*($C44-M$18)/$C44,0.002*($C44-M$18)/($C44-3*cc_D/7))))-fcd_cc*(1-(1-MAX(0,MIN(1,IF($C44&lt;=cc_D,0.0035*($C44-M$18)/$C44,0.002*($C44-M$18)/($C44-3*cc_D/7))/0.002)))^2)</f>
        <v/>
      </c>
      <c r="AL44">
        <f>MAX(-fyd_cc,MIN(fyd_cc,Es_cc*IF($C44&lt;=cc_D,0.0035*($C44-N$18)/$C44,0.002*($C44-N$18)/($C44-3*cc_D/7))))-fcd_cc*(1-(1-MAX(0,MIN(1,IF($C44&lt;=cc_D,0.0035*($C44-N$18)/$C44,0.002*($C44-N$18)/($C44-3*cc_D/7))/0.002)))^2)</f>
        <v/>
      </c>
      <c r="AM44">
        <f>MAX(-fyd_cc,MIN(fyd_cc,Es_cc*IF($C44&lt;=cc_D,0.0035*($C44-O$18)/$C44,0.002*($C44-O$18)/($C44-3*cc_D/7))))-fcd_cc*(1-(1-MAX(0,MIN(1,IF($C44&lt;=cc_D,0.0035*($C44-O$18)/$C44,0.002*($C44-O$18)/($C44-3*cc_D/7))/0.002)))^2)</f>
        <v/>
      </c>
      <c r="AN44">
        <f>MAX(-fyd_cc,MIN(fyd_cc,Es_cc*IF($C44&lt;=cc_D,0.0035*($C44-P$18)/$C44,0.002*($C44-P$18)/($C44-3*cc_D/7))))-fcd_cc*(1-(1-MAX(0,MIN(1,IF($C44&lt;=cc_D,0.0035*($C44-P$18)/$C44,0.002*($C44-P$18)/($C44-3*cc_D/7))/0.002)))^2)</f>
        <v/>
      </c>
      <c r="AO44">
        <f>MAX(-fyd_cc,MIN(fyd_cc,Es_cc*IF($C44&lt;=cc_D,0.0035*($C44-Q$18)/$C44,0.002*($C44-Q$18)/($C44-3*cc_D/7))))-fcd_cc*(1-(1-MAX(0,MIN(1,IF($C44&lt;=cc_D,0.0035*($C44-Q$18)/$C44,0.002*($C44-Q$18)/($C44-3*cc_D/7))/0.002)))^2)</f>
        <v/>
      </c>
      <c r="AP44">
        <f>MAX(-fyd_cc,MIN(fyd_cc,Es_cc*IF($C44&lt;=cc_D,0.0035*($C44-R$18)/$C44,0.002*($C44-R$18)/($C44-3*cc_D/7))))-fcd_cc*(1-(1-MAX(0,MIN(1,IF($C44&lt;=cc_D,0.0035*($C44-R$18)/$C44,0.002*($C44-R$18)/($C44-3*cc_D/7))/0.002)))^2)</f>
        <v/>
      </c>
      <c r="AQ44">
        <f>MAX(-fyd_cc,MIN(fyd_cc,Es_cc*IF($C44&lt;=cc_D,0.0035*($C44-S$18)/$C44,0.002*($C44-S$18)/($C44-3*cc_D/7))))-fcd_cc*(1-(1-MAX(0,MIN(1,IF($C44&lt;=cc_D,0.0035*($C44-S$18)/$C44,0.002*($C44-S$18)/($C44-3*cc_D/7))/0.002)))^2)</f>
        <v/>
      </c>
      <c r="AR44">
        <f>MAX(-fyd_cc,MIN(fyd_cc,Es_cc*IF($C44&lt;=cc_D,0.0035*($C44-T$18)/$C44,0.002*($C44-T$18)/($C44-3*cc_D/7))))-fcd_cc*(1-(1-MAX(0,MIN(1,IF($C44&lt;=cc_D,0.0035*($C44-T$18)/$C44,0.002*($C44-T$18)/($C44-3*cc_D/7))/0.002)))^2)</f>
        <v/>
      </c>
      <c r="AS44">
        <f>MAX(-fyd_cc,MIN(fyd_cc,Es_cc*IF($C44&lt;=cc_D,0.0035*($C44-U$18)/$C44,0.002*($C44-U$18)/($C44-3*cc_D/7))))-fcd_cc*(1-(1-MAX(0,MIN(1,IF($C44&lt;=cc_D,0.0035*($C44-U$18)/$C44,0.002*($C44-U$18)/($C44-3*cc_D/7))/0.002)))^2)</f>
        <v/>
      </c>
      <c r="AT44">
        <f>MAX(-fyd_cc,MIN(fyd_cc,Es_cc*IF($C44&lt;=cc_D,0.0035*($C44-V$18)/$C44,0.002*($C44-V$18)/($C44-3*cc_D/7))))-fcd_cc*(1-(1-MAX(0,MIN(1,IF($C44&lt;=cc_D,0.0035*($C44-V$18)/$C44,0.002*($C44-V$18)/($C44-3*cc_D/7))/0.002)))^2)</f>
        <v/>
      </c>
      <c r="AU44">
        <f>MAX(-fyd_cc,MIN(fyd_cc,Es_cc*IF($C44&lt;=cc_D,0.0035*($C44-W$18)/$C44,0.002*($C44-W$18)/($C44-3*cc_D/7))))-fcd_cc*(1-(1-MAX(0,MIN(1,IF($C44&lt;=cc_D,0.0035*($C44-W$18)/$C44,0.002*($C44-W$18)/($C44-3*cc_D/7))/0.002)))^2)</f>
        <v/>
      </c>
      <c r="AV44">
        <f>MAX(-fyd_cc,MIN(fyd_cc,Es_cc*IF($C44&lt;=cc_D,0.0035*($C44-X$18)/$C44,0.002*($C44-X$18)/($C44-3*cc_D/7))))-fcd_cc*(1-(1-MAX(0,MIN(1,IF($C44&lt;=cc_D,0.0035*($C44-X$18)/$C44,0.002*($C44-X$18)/($C44-3*cc_D/7))/0.002)))^2)</f>
        <v/>
      </c>
      <c r="AW44">
        <f>MAX(-fyd_cc,MIN(fyd_cc,Es_cc*IF($C44&lt;=cc_D,0.0035*($C44-Y$18)/$C44,0.002*($C44-Y$18)/($C44-3*cc_D/7))))-fcd_cc*(1-(1-MAX(0,MIN(1,IF($C44&lt;=cc_D,0.0035*($C44-Y$18)/$C44,0.002*($C44-Y$18)/($C44-3*cc_D/7))/0.002)))^2)</f>
        <v/>
      </c>
      <c r="AX44">
        <f>MAX(-fyd_cc,MIN(fyd_cc,Es_cc*IF($C44&lt;=cc_D,0.0035*($C44-Z$18)/$C44,0.002*($C44-Z$18)/($C44-3*cc_D/7))))-fcd_cc*(1-(1-MAX(0,MIN(1,IF($C44&lt;=cc_D,0.0035*($C44-Z$18)/$C44,0.002*($C44-Z$18)/($C44-3*cc_D/7))/0.002)))^2)</f>
        <v/>
      </c>
      <c r="AY44">
        <f>MAX(-fyd_cc,MIN(fyd_cc,Es_cc*IF($C44&lt;=cc_D,0.0035*($C44-AA$18)/$C44,0.002*($C44-AA$18)/($C44-3*cc_D/7))))-fcd_cc*(1-(1-MAX(0,MIN(1,IF($C44&lt;=cc_D,0.0035*($C44-AA$18)/$C44,0.002*($C44-AA$18)/($C44-3*cc_D/7))/0.002)))^2)</f>
        <v/>
      </c>
      <c r="AZ44">
        <f>MAX(-fyd_cc,MIN(fyd_cc,Es_cc*IF($C44&lt;=cc_D,0.0035*($C44-AB$18)/$C44,0.002*($C44-AB$18)/($C44-3*cc_D/7))))-fcd_cc*(1-(1-MAX(0,MIN(1,IF($C44&lt;=cc_D,0.0035*($C44-AB$18)/$C44,0.002*($C44-AB$18)/($C44-3*cc_D/7))/0.002)))^2)</f>
        <v/>
      </c>
      <c r="BA44">
        <f>MAX(-fyd_cc,MIN(fyd_cc,Es_cc*IF($C44&lt;=cc_D,0.0035*($C44-AC$18)/$C44,0.002*($C44-AC$18)/($C44-3*cc_D/7))))-fcd_cc*(1-(1-MAX(0,MIN(1,IF($C44&lt;=cc_D,0.0035*($C44-AC$18)/$C44,0.002*($C44-AC$18)/($C44-3*cc_D/7))/0.002)))^2)</f>
        <v/>
      </c>
      <c r="BB44">
        <f>MAX(-fyd_cc,MIN(fyd_cc,Es_cc*IF($C44&lt;=cc_D,0.0035*($C44-AD$18)/$C44,0.002*($C44-AD$18)/($C44-3*cc_D/7))))-fcd_cc*(1-(1-MAX(0,MIN(1,IF($C44&lt;=cc_D,0.0035*($C44-AD$18)/$C44,0.002*($C44-AD$18)/($C44-3*cc_D/7))/0.002)))^2)</f>
        <v/>
      </c>
      <c r="BC44">
        <f>MAX(-fyd_cc,MIN(fyd_cc,Es_cc*IF($C44&lt;=cc_D,0.0035*($C44-AE$18)/$C44,0.002*($C44-AE$18)/($C44-3*cc_D/7))))-fcd_cc*(1-(1-MAX(0,MIN(1,IF($C44&lt;=cc_D,0.0035*($C44-AE$18)/$C44,0.002*($C44-AE$18)/($C44-3*cc_D/7))/0.002)))^2)</f>
        <v/>
      </c>
      <c r="BD44">
        <f>MAX(-fyd_cc,MIN(fyd_cc,Es_cc*IF($C44&lt;=cc_D,0.0035*($C44-AF$18)/$C44,0.002*($C44-AF$18)/($C44-3*cc_D/7))))-fcd_cc*(1-(1-MAX(0,MIN(1,IF($C44&lt;=cc_D,0.0035*($C44-AF$18)/$C44,0.002*($C44-AF$18)/($C44-3*cc_D/7))/0.002)))^2)</f>
        <v/>
      </c>
      <c r="BE44">
        <f>MAX(-fyd_cc,MIN(fyd_cc,Es_cc*IF($C44&lt;=cc_D,0.0035*($C44-AG$18)/$C44,0.002*($C44-AG$18)/($C44-3*cc_D/7))))-fcd_cc*(1-(1-MAX(0,MIN(1,IF($C44&lt;=cc_D,0.0035*($C44-AG$18)/$C44,0.002*($C44-AG$18)/($C44-3*cc_D/7))/0.002)))^2)</f>
        <v/>
      </c>
      <c r="BF44">
        <f>3*MIN($C44,cc_D)/7</f>
        <v/>
      </c>
      <c r="BG44">
        <f>$C44-$BF44</f>
        <v/>
      </c>
      <c r="BH44">
        <f>ACOS(MAX(-1,MIN(1,1-$BF44/(cc_D/2))))</f>
        <v/>
      </c>
      <c r="BI44">
        <f>ACOS(MAX(-1,MIN(1,1-MIN($C44,cc_D)/(cc_D/2))))</f>
        <v/>
      </c>
      <c r="BJ44">
        <f>((cc_D/2*(1-COS(($BH44+0*($BI44-$BH44)/12)))-$BF44)/$BG44)^2*SIN(($BH44+0*($BI44-$BH44)/12))^2</f>
        <v/>
      </c>
      <c r="BK44">
        <f>((cc_D/2*(1-COS(($BH44+1*($BI44-$BH44)/12)))-$BF44)/$BG44)^2*SIN(($BH44+1*($BI44-$BH44)/12))^2</f>
        <v/>
      </c>
      <c r="BL44">
        <f>((cc_D/2*(1-COS(($BH44+2*($BI44-$BH44)/12)))-$BF44)/$BG44)^2*SIN(($BH44+2*($BI44-$BH44)/12))^2</f>
        <v/>
      </c>
      <c r="BM44">
        <f>((cc_D/2*(1-COS(($BH44+3*($BI44-$BH44)/12)))-$BF44)/$BG44)^2*SIN(($BH44+3*($BI44-$BH44)/12))^2</f>
        <v/>
      </c>
      <c r="BN44">
        <f>((cc_D/2*(1-COS(($BH44+4*($BI44-$BH44)/12)))-$BF44)/$BG44)^2*SIN(($BH44+4*($BI44-$BH44)/12))^2</f>
        <v/>
      </c>
      <c r="BO44">
        <f>((cc_D/2*(1-COS(($BH44+5*($BI44-$BH44)/12)))-$BF44)/$BG44)^2*SIN(($BH44+5*($BI44-$BH44)/12))^2</f>
        <v/>
      </c>
      <c r="BP44">
        <f>((cc_D/2*(1-COS(($BH44+6*($BI44-$BH44)/12)))-$BF44)/$BG44)^2*SIN(($BH44+6*($BI44-$BH44)/12))^2</f>
        <v/>
      </c>
      <c r="BQ44">
        <f>((cc_D/2*(1-COS(($BH44+7*($BI44-$BH44)/12)))-$BF44)/$BG44)^2*SIN(($BH44+7*($BI44-$BH44)/12))^2</f>
        <v/>
      </c>
      <c r="BR44">
        <f>((cc_D/2*(1-COS(($BH44+8*($BI44-$BH44)/12)))-$BF44)/$BG44)^2*SIN(($BH44+8*($BI44-$BH44)/12))^2</f>
        <v/>
      </c>
      <c r="BS44">
        <f>((cc_D/2*(1-COS(($BH44+9*($BI44-$BH44)/12)))-$BF44)/$BG44)^2*SIN(($BH44+9*($BI44-$BH44)/12))^2</f>
        <v/>
      </c>
      <c r="BT44">
        <f>((cc_D/2*(1-COS(($BH44+10*($BI44-$BH44)/12)))-$BF44)/$BG44)^2*SIN(($BH44+10*($BI44-$BH44)/12))^2</f>
        <v/>
      </c>
      <c r="BU44">
        <f>((cc_D/2*(1-COS(($BH44+11*($BI44-$BH44)/12)))-$BF44)/$BG44)^2*SIN(($BH44+11*($BI44-$BH44)/12))^2</f>
        <v/>
      </c>
      <c r="BV44">
        <f>((cc_D/2*(1-COS(($BH44+12*($BI44-$BH44)/12)))-$BF44)/$BG44)^2*SIN(($BH44+12*($BI44-$BH44)/12))^2</f>
        <v/>
      </c>
      <c r="BW44">
        <f>BJ44*COS(($BH44+0*($BI44-$BH44)/12))</f>
        <v/>
      </c>
      <c r="BX44">
        <f>BK44*COS(($BH44+1*($BI44-$BH44)/12))</f>
        <v/>
      </c>
      <c r="BY44">
        <f>BL44*COS(($BH44+2*($BI44-$BH44)/12))</f>
        <v/>
      </c>
      <c r="BZ44">
        <f>BM44*COS(($BH44+3*($BI44-$BH44)/12))</f>
        <v/>
      </c>
      <c r="CA44">
        <f>BN44*COS(($BH44+4*($BI44-$BH44)/12))</f>
        <v/>
      </c>
      <c r="CB44">
        <f>BO44*COS(($BH44+5*($BI44-$BH44)/12))</f>
        <v/>
      </c>
      <c r="CC44">
        <f>BP44*COS(($BH44+6*($BI44-$BH44)/12))</f>
        <v/>
      </c>
      <c r="CD44">
        <f>BQ44*COS(($BH44+7*($BI44-$BH44)/12))</f>
        <v/>
      </c>
      <c r="CE44">
        <f>BR44*COS(($BH44+8*($BI44-$BH44)/12))</f>
        <v/>
      </c>
      <c r="CF44">
        <f>BS44*COS(($BH44+9*($BI44-$BH44)/12))</f>
        <v/>
      </c>
      <c r="CG44">
        <f>BT44*COS(($BH44+10*($BI44-$BH44)/12))</f>
        <v/>
      </c>
      <c r="CH44">
        <f>BU44*COS(($BH44+11*($BI44-$BH44)/12))</f>
        <v/>
      </c>
      <c r="CI44">
        <f>BV44*COS(($BH44+12*($BI44-$BH44)/12))</f>
        <v/>
      </c>
    </row>
    <row r="45">
      <c r="B45" s="53" t="n">
        <v>20</v>
      </c>
      <c r="C45" s="54">
        <f>0.75*cc_D</f>
        <v/>
      </c>
      <c r="D45" s="55">
        <f>IF($C45&lt;=cc_D,3.5,2*$C45/($C45-3*cc_D/7))</f>
        <v/>
      </c>
      <c r="E45" s="56">
        <f>(fcd_cc*((cc_D/2)^2*($BI45-COS($BI45)*SIN($BI45))-2*(cc_D/2)^2*($BI45-$BH45)/12/3*SUMPRODUCT($BJ$4:$BV$4,$BJ45:$BV45))+SUMPRODUCT($J$5:$AG$5,$J45:$AG45))/1000</f>
        <v/>
      </c>
      <c r="F45" s="56">
        <f>(fcd_cc*(2/3*(cc_D/2)^3*SIN($BI45)^3-2*(cc_D/2)^3*($BI45-$BH45)/12/3*SUMPRODUCT($BW$4:$CI$4,$BW45:$CI45))+SUMPRODUCT($J$5:$AG$5,$J45:$AG45,$J$7:$AG$7))/1E6</f>
        <v/>
      </c>
      <c r="G45" s="56">
        <f>(fcd_cc*((cc_D/2)^2*($BI45-COS($BI45)*SIN($BI45))-2*(cc_D/2)^2*($BI45-$BH45)/12/3*SUMPRODUCT($BJ$4:$BV$4,$BJ45:$BV45))+SUMPRODUCT($J$5:$AG$5,$AH45:$BE45))/1000</f>
        <v/>
      </c>
      <c r="H45" s="56">
        <f>(fcd_cc*(2/3*(cc_D/2)^3*SIN($BI45)^3-2*(cc_D/2)^3*($BI45-$BH45)/12/3*SUMPRODUCT($BW$4:$CI$4,$BW45:$CI45))+SUMPRODUCT($J$5:$AG$5,$AH45:$BE45,$J$19:$AG$19))/1E6</f>
        <v/>
      </c>
      <c r="J45">
        <f>MAX(-fyd_cc,MIN(fyd_cc,Es_cc*IF($C45&lt;=cc_D,0.0035*($C45-J$6)/$C45,0.002*($C45-J$6)/($C45-3*cc_D/7))))-fcd_cc*(1-(1-MAX(0,MIN(1,IF($C45&lt;=cc_D,0.0035*($C45-J$6)/$C45,0.002*($C45-J$6)/($C45-3*cc_D/7))/0.002)))^2)</f>
        <v/>
      </c>
      <c r="K45">
        <f>MAX(-fyd_cc,MIN(fyd_cc,Es_cc*IF($C45&lt;=cc_D,0.0035*($C45-K$6)/$C45,0.002*($C45-K$6)/($C45-3*cc_D/7))))-fcd_cc*(1-(1-MAX(0,MIN(1,IF($C45&lt;=cc_D,0.0035*($C45-K$6)/$C45,0.002*($C45-K$6)/($C45-3*cc_D/7))/0.002)))^2)</f>
        <v/>
      </c>
      <c r="L45">
        <f>MAX(-fyd_cc,MIN(fyd_cc,Es_cc*IF($C45&lt;=cc_D,0.0035*($C45-L$6)/$C45,0.002*($C45-L$6)/($C45-3*cc_D/7))))-fcd_cc*(1-(1-MAX(0,MIN(1,IF($C45&lt;=cc_D,0.0035*($C45-L$6)/$C45,0.002*($C45-L$6)/($C45-3*cc_D/7))/0.002)))^2)</f>
        <v/>
      </c>
      <c r="M45">
        <f>MAX(-fyd_cc,MIN(fyd_cc,Es_cc*IF($C45&lt;=cc_D,0.0035*($C45-M$6)/$C45,0.002*($C45-M$6)/($C45-3*cc_D/7))))-fcd_cc*(1-(1-MAX(0,MIN(1,IF($C45&lt;=cc_D,0.0035*($C45-M$6)/$C45,0.002*($C45-M$6)/($C45-3*cc_D/7))/0.002)))^2)</f>
        <v/>
      </c>
      <c r="N45">
        <f>MAX(-fyd_cc,MIN(fyd_cc,Es_cc*IF($C45&lt;=cc_D,0.0035*($C45-N$6)/$C45,0.002*($C45-N$6)/($C45-3*cc_D/7))))-fcd_cc*(1-(1-MAX(0,MIN(1,IF($C45&lt;=cc_D,0.0035*($C45-N$6)/$C45,0.002*($C45-N$6)/($C45-3*cc_D/7))/0.002)))^2)</f>
        <v/>
      </c>
      <c r="O45">
        <f>MAX(-fyd_cc,MIN(fyd_cc,Es_cc*IF($C45&lt;=cc_D,0.0035*($C45-O$6)/$C45,0.002*($C45-O$6)/($C45-3*cc_D/7))))-fcd_cc*(1-(1-MAX(0,MIN(1,IF($C45&lt;=cc_D,0.0035*($C45-O$6)/$C45,0.002*($C45-O$6)/($C45-3*cc_D/7))/0.002)))^2)</f>
        <v/>
      </c>
      <c r="P45">
        <f>MAX(-fyd_cc,MIN(fyd_cc,Es_cc*IF($C45&lt;=cc_D,0.0035*($C45-P$6)/$C45,0.002*($C45-P$6)/($C45-3*cc_D/7))))-fcd_cc*(1-(1-MAX(0,MIN(1,IF($C45&lt;=cc_D,0.0035*($C45-P$6)/$C45,0.002*($C45-P$6)/($C45-3*cc_D/7))/0.002)))^2)</f>
        <v/>
      </c>
      <c r="Q45">
        <f>MAX(-fyd_cc,MIN(fyd_cc,Es_cc*IF($C45&lt;=cc_D,0.0035*($C45-Q$6)/$C45,0.002*($C45-Q$6)/($C45-3*cc_D/7))))-fcd_cc*(1-(1-MAX(0,MIN(1,IF($C45&lt;=cc_D,0.0035*($C45-Q$6)/$C45,0.002*($C45-Q$6)/($C45-3*cc_D/7))/0.002)))^2)</f>
        <v/>
      </c>
      <c r="R45">
        <f>MAX(-fyd_cc,MIN(fyd_cc,Es_cc*IF($C45&lt;=cc_D,0.0035*($C45-R$6)/$C45,0.002*($C45-R$6)/($C45-3*cc_D/7))))-fcd_cc*(1-(1-MAX(0,MIN(1,IF($C45&lt;=cc_D,0.0035*($C45-R$6)/$C45,0.002*($C45-R$6)/($C45-3*cc_D/7))/0.002)))^2)</f>
        <v/>
      </c>
      <c r="S45">
        <f>MAX(-fyd_cc,MIN(fyd_cc,Es_cc*IF($C45&lt;=cc_D,0.0035*($C45-S$6)/$C45,0.002*($C45-S$6)/($C45-3*cc_D/7))))-fcd_cc*(1-(1-MAX(0,MIN(1,IF($C45&lt;=cc_D,0.0035*($C45-S$6)/$C45,0.002*($C45-S$6)/($C45-3*cc_D/7))/0.002)))^2)</f>
        <v/>
      </c>
      <c r="T45">
        <f>MAX(-fyd_cc,MIN(fyd_cc,Es_cc*IF($C45&lt;=cc_D,0.0035*($C45-T$6)/$C45,0.002*($C45-T$6)/($C45-3*cc_D/7))))-fcd_cc*(1-(1-MAX(0,MIN(1,IF($C45&lt;=cc_D,0.0035*($C45-T$6)/$C45,0.002*($C45-T$6)/($C45-3*cc_D/7))/0.002)))^2)</f>
        <v/>
      </c>
      <c r="U45">
        <f>MAX(-fyd_cc,MIN(fyd_cc,Es_cc*IF($C45&lt;=cc_D,0.0035*($C45-U$6)/$C45,0.002*($C45-U$6)/($C45-3*cc_D/7))))-fcd_cc*(1-(1-MAX(0,MIN(1,IF($C45&lt;=cc_D,0.0035*($C45-U$6)/$C45,0.002*($C45-U$6)/($C45-3*cc_D/7))/0.002)))^2)</f>
        <v/>
      </c>
      <c r="V45">
        <f>MAX(-fyd_cc,MIN(fyd_cc,Es_cc*IF($C45&lt;=cc_D,0.0035*($C45-V$6)/$C45,0.002*($C45-V$6)/($C45-3*cc_D/7))))-fcd_cc*(1-(1-MAX(0,MIN(1,IF($C45&lt;=cc_D,0.0035*($C45-V$6)/$C45,0.002*($C45-V$6)/($C45-3*cc_D/7))/0.002)))^2)</f>
        <v/>
      </c>
      <c r="W45">
        <f>MAX(-fyd_cc,MIN(fyd_cc,Es_cc*IF($C45&lt;=cc_D,0.0035*($C45-W$6)/$C45,0.002*($C45-W$6)/($C45-3*cc_D/7))))-fcd_cc*(1-(1-MAX(0,MIN(1,IF($C45&lt;=cc_D,0.0035*($C45-W$6)/$C45,0.002*($C45-W$6)/($C45-3*cc_D/7))/0.002)))^2)</f>
        <v/>
      </c>
      <c r="X45">
        <f>MAX(-fyd_cc,MIN(fyd_cc,Es_cc*IF($C45&lt;=cc_D,0.0035*($C45-X$6)/$C45,0.002*($C45-X$6)/($C45-3*cc_D/7))))-fcd_cc*(1-(1-MAX(0,MIN(1,IF($C45&lt;=cc_D,0.0035*($C45-X$6)/$C45,0.002*($C45-X$6)/($C45-3*cc_D/7))/0.002)))^2)</f>
        <v/>
      </c>
      <c r="Y45">
        <f>MAX(-fyd_cc,MIN(fyd_cc,Es_cc*IF($C45&lt;=cc_D,0.0035*($C45-Y$6)/$C45,0.002*($C45-Y$6)/($C45-3*cc_D/7))))-fcd_cc*(1-(1-MAX(0,MIN(1,IF($C45&lt;=cc_D,0.0035*($C45-Y$6)/$C45,0.002*($C45-Y$6)/($C45-3*cc_D/7))/0.002)))^2)</f>
        <v/>
      </c>
      <c r="Z45">
        <f>MAX(-fyd_cc,MIN(fyd_cc,Es_cc*IF($C45&lt;=cc_D,0.0035*($C45-Z$6)/$C45,0.002*($C45-Z$6)/($C45-3*cc_D/7))))-fcd_cc*(1-(1-MAX(0,MIN(1,IF($C45&lt;=cc_D,0.0035*($C45-Z$6)/$C45,0.002*($C45-Z$6)/($C45-3*cc_D/7))/0.002)))^2)</f>
        <v/>
      </c>
      <c r="AA45">
        <f>MAX(-fyd_cc,MIN(fyd_cc,Es_cc*IF($C45&lt;=cc_D,0.0035*($C45-AA$6)/$C45,0.002*($C45-AA$6)/($C45-3*cc_D/7))))-fcd_cc*(1-(1-MAX(0,MIN(1,IF($C45&lt;=cc_D,0.0035*($C45-AA$6)/$C45,0.002*($C45-AA$6)/($C45-3*cc_D/7))/0.002)))^2)</f>
        <v/>
      </c>
      <c r="AB45">
        <f>MAX(-fyd_cc,MIN(fyd_cc,Es_cc*IF($C45&lt;=cc_D,0.0035*($C45-AB$6)/$C45,0.002*($C45-AB$6)/($C45-3*cc_D/7))))-fcd_cc*(1-(1-MAX(0,MIN(1,IF($C45&lt;=cc_D,0.0035*($C45-AB$6)/$C45,0.002*($C45-AB$6)/($C45-3*cc_D/7))/0.002)))^2)</f>
        <v/>
      </c>
      <c r="AC45">
        <f>MAX(-fyd_cc,MIN(fyd_cc,Es_cc*IF($C45&lt;=cc_D,0.0035*($C45-AC$6)/$C45,0.002*($C45-AC$6)/($C45-3*cc_D/7))))-fcd_cc*(1-(1-MAX(0,MIN(1,IF($C45&lt;=cc_D,0.0035*($C45-AC$6)/$C45,0.002*($C45-AC$6)/($C45-3*cc_D/7))/0.002)))^2)</f>
        <v/>
      </c>
      <c r="AD45">
        <f>MAX(-fyd_cc,MIN(fyd_cc,Es_cc*IF($C45&lt;=cc_D,0.0035*($C45-AD$6)/$C45,0.002*($C45-AD$6)/($C45-3*cc_D/7))))-fcd_cc*(1-(1-MAX(0,MIN(1,IF($C45&lt;=cc_D,0.0035*($C45-AD$6)/$C45,0.002*($C45-AD$6)/($C45-3*cc_D/7))/0.002)))^2)</f>
        <v/>
      </c>
      <c r="AE45">
        <f>MAX(-fyd_cc,MIN(fyd_cc,Es_cc*IF($C45&lt;=cc_D,0.0035*($C45-AE$6)/$C45,0.002*($C45-AE$6)/($C45-3*cc_D/7))))-fcd_cc*(1-(1-MAX(0,MIN(1,IF($C45&lt;=cc_D,0.0035*($C45-AE$6)/$C45,0.002*($C45-AE$6)/($C45-3*cc_D/7))/0.002)))^2)</f>
        <v/>
      </c>
      <c r="AF45">
        <f>MAX(-fyd_cc,MIN(fyd_cc,Es_cc*IF($C45&lt;=cc_D,0.0035*($C45-AF$6)/$C45,0.002*($C45-AF$6)/($C45-3*cc_D/7))))-fcd_cc*(1-(1-MAX(0,MIN(1,IF($C45&lt;=cc_D,0.0035*($C45-AF$6)/$C45,0.002*($C45-AF$6)/($C45-3*cc_D/7))/0.002)))^2)</f>
        <v/>
      </c>
      <c r="AG45">
        <f>MAX(-fyd_cc,MIN(fyd_cc,Es_cc*IF($C45&lt;=cc_D,0.0035*($C45-AG$6)/$C45,0.002*($C45-AG$6)/($C45-3*cc_D/7))))-fcd_cc*(1-(1-MAX(0,MIN(1,IF($C45&lt;=cc_D,0.0035*($C45-AG$6)/$C45,0.002*($C45-AG$6)/($C45-3*cc_D/7))/0.002)))^2)</f>
        <v/>
      </c>
      <c r="AH45">
        <f>MAX(-fyd_cc,MIN(fyd_cc,Es_cc*IF($C45&lt;=cc_D,0.0035*($C45-J$18)/$C45,0.002*($C45-J$18)/($C45-3*cc_D/7))))-fcd_cc*(1-(1-MAX(0,MIN(1,IF($C45&lt;=cc_D,0.0035*($C45-J$18)/$C45,0.002*($C45-J$18)/($C45-3*cc_D/7))/0.002)))^2)</f>
        <v/>
      </c>
      <c r="AI45">
        <f>MAX(-fyd_cc,MIN(fyd_cc,Es_cc*IF($C45&lt;=cc_D,0.0035*($C45-K$18)/$C45,0.002*($C45-K$18)/($C45-3*cc_D/7))))-fcd_cc*(1-(1-MAX(0,MIN(1,IF($C45&lt;=cc_D,0.0035*($C45-K$18)/$C45,0.002*($C45-K$18)/($C45-3*cc_D/7))/0.002)))^2)</f>
        <v/>
      </c>
      <c r="AJ45">
        <f>MAX(-fyd_cc,MIN(fyd_cc,Es_cc*IF($C45&lt;=cc_D,0.0035*($C45-L$18)/$C45,0.002*($C45-L$18)/($C45-3*cc_D/7))))-fcd_cc*(1-(1-MAX(0,MIN(1,IF($C45&lt;=cc_D,0.0035*($C45-L$18)/$C45,0.002*($C45-L$18)/($C45-3*cc_D/7))/0.002)))^2)</f>
        <v/>
      </c>
      <c r="AK45">
        <f>MAX(-fyd_cc,MIN(fyd_cc,Es_cc*IF($C45&lt;=cc_D,0.0035*($C45-M$18)/$C45,0.002*($C45-M$18)/($C45-3*cc_D/7))))-fcd_cc*(1-(1-MAX(0,MIN(1,IF($C45&lt;=cc_D,0.0035*($C45-M$18)/$C45,0.002*($C45-M$18)/($C45-3*cc_D/7))/0.002)))^2)</f>
        <v/>
      </c>
      <c r="AL45">
        <f>MAX(-fyd_cc,MIN(fyd_cc,Es_cc*IF($C45&lt;=cc_D,0.0035*($C45-N$18)/$C45,0.002*($C45-N$18)/($C45-3*cc_D/7))))-fcd_cc*(1-(1-MAX(0,MIN(1,IF($C45&lt;=cc_D,0.0035*($C45-N$18)/$C45,0.002*($C45-N$18)/($C45-3*cc_D/7))/0.002)))^2)</f>
        <v/>
      </c>
      <c r="AM45">
        <f>MAX(-fyd_cc,MIN(fyd_cc,Es_cc*IF($C45&lt;=cc_D,0.0035*($C45-O$18)/$C45,0.002*($C45-O$18)/($C45-3*cc_D/7))))-fcd_cc*(1-(1-MAX(0,MIN(1,IF($C45&lt;=cc_D,0.0035*($C45-O$18)/$C45,0.002*($C45-O$18)/($C45-3*cc_D/7))/0.002)))^2)</f>
        <v/>
      </c>
      <c r="AN45">
        <f>MAX(-fyd_cc,MIN(fyd_cc,Es_cc*IF($C45&lt;=cc_D,0.0035*($C45-P$18)/$C45,0.002*($C45-P$18)/($C45-3*cc_D/7))))-fcd_cc*(1-(1-MAX(0,MIN(1,IF($C45&lt;=cc_D,0.0035*($C45-P$18)/$C45,0.002*($C45-P$18)/($C45-3*cc_D/7))/0.002)))^2)</f>
        <v/>
      </c>
      <c r="AO45">
        <f>MAX(-fyd_cc,MIN(fyd_cc,Es_cc*IF($C45&lt;=cc_D,0.0035*($C45-Q$18)/$C45,0.002*($C45-Q$18)/($C45-3*cc_D/7))))-fcd_cc*(1-(1-MAX(0,MIN(1,IF($C45&lt;=cc_D,0.0035*($C45-Q$18)/$C45,0.002*($C45-Q$18)/($C45-3*cc_D/7))/0.002)))^2)</f>
        <v/>
      </c>
      <c r="AP45">
        <f>MAX(-fyd_cc,MIN(fyd_cc,Es_cc*IF($C45&lt;=cc_D,0.0035*($C45-R$18)/$C45,0.002*($C45-R$18)/($C45-3*cc_D/7))))-fcd_cc*(1-(1-MAX(0,MIN(1,IF($C45&lt;=cc_D,0.0035*($C45-R$18)/$C45,0.002*($C45-R$18)/($C45-3*cc_D/7))/0.002)))^2)</f>
        <v/>
      </c>
      <c r="AQ45">
        <f>MAX(-fyd_cc,MIN(fyd_cc,Es_cc*IF($C45&lt;=cc_D,0.0035*($C45-S$18)/$C45,0.002*($C45-S$18)/($C45-3*cc_D/7))))-fcd_cc*(1-(1-MAX(0,MIN(1,IF($C45&lt;=cc_D,0.0035*($C45-S$18)/$C45,0.002*($C45-S$18)/($C45-3*cc_D/7))/0.002)))^2)</f>
        <v/>
      </c>
      <c r="AR45">
        <f>MAX(-fyd_cc,MIN(fyd_cc,Es_cc*IF($C45&lt;=cc_D,0.0035*($C45-T$18)/$C45,0.002*($C45-T$18)/($C45-3*cc_D/7))))-fcd_cc*(1-(1-MAX(0,MIN(1,IF($C45&lt;=cc_D,0.0035*($C45-T$18)/$C45,0.002*($C45-T$18)/($C45-3*cc_D/7))/0.002)))^2)</f>
        <v/>
      </c>
      <c r="AS45">
        <f>MAX(-fyd_cc,MIN(fyd_cc,Es_cc*IF($C45&lt;=cc_D,0.0035*($C45-U$18)/$C45,0.002*($C45-U$18)/($C45-3*cc_D/7))))-fcd_cc*(1-(1-MAX(0,MIN(1,IF($C45&lt;=cc_D,0.0035*($C45-U$18)/$C45,0.002*($C45-U$18)/($C45-3*cc_D/7))/0.002)))^2)</f>
        <v/>
      </c>
      <c r="AT45">
        <f>MAX(-fyd_cc,MIN(fyd_cc,Es_cc*IF($C45&lt;=cc_D,0.0035*($C45-V$18)/$C45,0.002*($C45-V$18)/($C45-3*cc_D/7))))-fcd_cc*(1-(1-MAX(0,MIN(1,IF($C45&lt;=cc_D,0.0035*($C45-V$18)/$C45,0.002*($C45-V$18)/($C45-3*cc_D/7))/0.002)))^2)</f>
        <v/>
      </c>
      <c r="AU45">
        <f>MAX(-fyd_cc,MIN(fyd_cc,Es_cc*IF($C45&lt;=cc_D,0.0035*($C45-W$18)/$C45,0.002*($C45-W$18)/($C45-3*cc_D/7))))-fcd_cc*(1-(1-MAX(0,MIN(1,IF($C45&lt;=cc_D,0.0035*($C45-W$18)/$C45,0.002*($C45-W$18)/($C45-3*cc_D/7))/0.002)))^2)</f>
        <v/>
      </c>
      <c r="AV45">
        <f>MAX(-fyd_cc,MIN(fyd_cc,Es_cc*IF($C45&lt;=cc_D,0.0035*($C45-X$18)/$C45,0.002*($C45-X$18)/($C45-3*cc_D/7))))-fcd_cc*(1-(1-MAX(0,MIN(1,IF($C45&lt;=cc_D,0.0035*($C45-X$18)/$C45,0.002*($C45-X$18)/($C45-3*cc_D/7))/0.002)))^2)</f>
        <v/>
      </c>
      <c r="AW45">
        <f>MAX(-fyd_cc,MIN(fyd_cc,Es_cc*IF($C45&lt;=cc_D,0.0035*($C45-Y$18)/$C45,0.002*($C45-Y$18)/($C45-3*cc_D/7))))-fcd_cc*(1-(1-MAX(0,MIN(1,IF($C45&lt;=cc_D,0.0035*($C45-Y$18)/$C45,0.002*($C45-Y$18)/($C45-3*cc_D/7))/0.002)))^2)</f>
        <v/>
      </c>
      <c r="AX45">
        <f>MAX(-fyd_cc,MIN(fyd_cc,Es_cc*IF($C45&lt;=cc_D,0.0035*($C45-Z$18)/$C45,0.002*($C45-Z$18)/($C45-3*cc_D/7))))-fcd_cc*(1-(1-MAX(0,MIN(1,IF($C45&lt;=cc_D,0.0035*($C45-Z$18)/$C45,0.002*($C45-Z$18)/($C45-3*cc_D/7))/0.002)))^2)</f>
        <v/>
      </c>
      <c r="AY45">
        <f>MAX(-fyd_cc,MIN(fyd_cc,Es_cc*IF($C45&lt;=cc_D,0.0035*($C45-AA$18)/$C45,0.002*($C45-AA$18)/($C45-3*cc_D/7))))-fcd_cc*(1-(1-MAX(0,MIN(1,IF($C45&lt;=cc_D,0.0035*($C45-AA$18)/$C45,0.002*($C45-AA$18)/($C45-3*cc_D/7))/0.002)))^2)</f>
        <v/>
      </c>
      <c r="AZ45">
        <f>MAX(-fyd_cc,MIN(fyd_cc,Es_cc*IF($C45&lt;=cc_D,0.0035*($C45-AB$18)/$C45,0.002*($C45-AB$18)/($C45-3*cc_D/7))))-fcd_cc*(1-(1-MAX(0,MIN(1,IF($C45&lt;=cc_D,0.0035*($C45-AB$18)/$C45,0.002*($C45-AB$18)/($C45-3*cc_D/7))/0.002)))^2)</f>
        <v/>
      </c>
      <c r="BA45">
        <f>MAX(-fyd_cc,MIN(fyd_cc,Es_cc*IF($C45&lt;=cc_D,0.0035*($C45-AC$18)/$C45,0.002*($C45-AC$18)/($C45-3*cc_D/7))))-fcd_cc*(1-(1-MAX(0,MIN(1,IF($C45&lt;=cc_D,0.0035*($C45-AC$18)/$C45,0.002*($C45-AC$18)/($C45-3*cc_D/7))/0.002)))^2)</f>
        <v/>
      </c>
      <c r="BB45">
        <f>MAX(-fyd_cc,MIN(fyd_cc,Es_cc*IF($C45&lt;=cc_D,0.0035*($C45-AD$18)/$C45,0.002*($C45-AD$18)/($C45-3*cc_D/7))))-fcd_cc*(1-(1-MAX(0,MIN(1,IF($C45&lt;=cc_D,0.0035*($C45-AD$18)/$C45,0.002*($C45-AD$18)/($C45-3*cc_D/7))/0.002)))^2)</f>
        <v/>
      </c>
      <c r="BC45">
        <f>MAX(-fyd_cc,MIN(fyd_cc,Es_cc*IF($C45&lt;=cc_D,0.0035*($C45-AE$18)/$C45,0.002*($C45-AE$18)/($C45-3*cc_D/7))))-fcd_cc*(1-(1-MAX(0,MIN(1,IF($C45&lt;=cc_D,0.0035*($C45-AE$18)/$C45,0.002*($C45-AE$18)/($C45-3*cc_D/7))/0.002)))^2)</f>
        <v/>
      </c>
      <c r="BD45">
        <f>MAX(-fyd_cc,MIN(fyd_cc,Es_cc*IF($C45&lt;=cc_D,0.0035*($C45-AF$18)/$C45,0.002*($C45-AF$18)/($C45-3*cc_D/7))))-fcd_cc*(1-(1-MAX(0,MIN(1,IF($C45&lt;=cc_D,0.0035*($C45-AF$18)/$C45,0.002*($C45-AF$18)/($C45-3*cc_D/7))/0.002)))^2)</f>
        <v/>
      </c>
      <c r="BE45">
        <f>MAX(-fyd_cc,MIN(fyd_cc,Es_cc*IF($C45&lt;=cc_D,0.0035*($C45-AG$18)/$C45,0.002*($C45-AG$18)/($C45-3*cc_D/7))))-fcd_cc*(1-(1-MAX(0,MIN(1,IF($C45&lt;=cc_D,0.0035*($C45-AG$18)/$C45,0.002*($C45-AG$18)/($C45-3*cc_D/7))/0.002)))^2)</f>
        <v/>
      </c>
      <c r="BF45">
        <f>3*MIN($C45,cc_D)/7</f>
        <v/>
      </c>
      <c r="BG45">
        <f>$C45-$BF45</f>
        <v/>
      </c>
      <c r="BH45">
        <f>ACOS(MAX(-1,MIN(1,1-$BF45/(cc_D/2))))</f>
        <v/>
      </c>
      <c r="BI45">
        <f>ACOS(MAX(-1,MIN(1,1-MIN($C45,cc_D)/(cc_D/2))))</f>
        <v/>
      </c>
      <c r="BJ45">
        <f>((cc_D/2*(1-COS(($BH45+0*($BI45-$BH45)/12)))-$BF45)/$BG45)^2*SIN(($BH45+0*($BI45-$BH45)/12))^2</f>
        <v/>
      </c>
      <c r="BK45">
        <f>((cc_D/2*(1-COS(($BH45+1*($BI45-$BH45)/12)))-$BF45)/$BG45)^2*SIN(($BH45+1*($BI45-$BH45)/12))^2</f>
        <v/>
      </c>
      <c r="BL45">
        <f>((cc_D/2*(1-COS(($BH45+2*($BI45-$BH45)/12)))-$BF45)/$BG45)^2*SIN(($BH45+2*($BI45-$BH45)/12))^2</f>
        <v/>
      </c>
      <c r="BM45">
        <f>((cc_D/2*(1-COS(($BH45+3*($BI45-$BH45)/12)))-$BF45)/$BG45)^2*SIN(($BH45+3*($BI45-$BH45)/12))^2</f>
        <v/>
      </c>
      <c r="BN45">
        <f>((cc_D/2*(1-COS(($BH45+4*($BI45-$BH45)/12)))-$BF45)/$BG45)^2*SIN(($BH45+4*($BI45-$BH45)/12))^2</f>
        <v/>
      </c>
      <c r="BO45">
        <f>((cc_D/2*(1-COS(($BH45+5*($BI45-$BH45)/12)))-$BF45)/$BG45)^2*SIN(($BH45+5*($BI45-$BH45)/12))^2</f>
        <v/>
      </c>
      <c r="BP45">
        <f>((cc_D/2*(1-COS(($BH45+6*($BI45-$BH45)/12)))-$BF45)/$BG45)^2*SIN(($BH45+6*($BI45-$BH45)/12))^2</f>
        <v/>
      </c>
      <c r="BQ45">
        <f>((cc_D/2*(1-COS(($BH45+7*($BI45-$BH45)/12)))-$BF45)/$BG45)^2*SIN(($BH45+7*($BI45-$BH45)/12))^2</f>
        <v/>
      </c>
      <c r="BR45">
        <f>((cc_D/2*(1-COS(($BH45+8*($BI45-$BH45)/12)))-$BF45)/$BG45)^2*SIN(($BH45+8*($BI45-$BH45)/12))^2</f>
        <v/>
      </c>
      <c r="BS45">
        <f>((cc_D/2*(1-COS(($BH45+9*($BI45-$BH45)/12)))-$BF45)/$BG45)^2*SIN(($BH45+9*($BI45-$BH45)/12))^2</f>
        <v/>
      </c>
      <c r="BT45">
        <f>((cc_D/2*(1-COS(($BH45+10*($BI45-$BH45)/12)))-$BF45)/$BG45)^2*SIN(($BH45+10*($BI45-$BH45)/12))^2</f>
        <v/>
      </c>
      <c r="BU45">
        <f>((cc_D/2*(1-COS(($BH45+11*($BI45-$BH45)/12)))-$BF45)/$BG45)^2*SIN(($BH45+11*($BI45-$BH45)/12))^2</f>
        <v/>
      </c>
      <c r="BV45">
        <f>((cc_D/2*(1-COS(($BH45+12*($BI45-$BH45)/12)))-$BF45)/$BG45)^2*SIN(($BH45+12*($BI45-$BH45)/12))^2</f>
        <v/>
      </c>
      <c r="BW45">
        <f>BJ45*COS(($BH45+0*($BI45-$BH45)/12))</f>
        <v/>
      </c>
      <c r="BX45">
        <f>BK45*COS(($BH45+1*($BI45-$BH45)/12))</f>
        <v/>
      </c>
      <c r="BY45">
        <f>BL45*COS(($BH45+2*($BI45-$BH45)/12))</f>
        <v/>
      </c>
      <c r="BZ45">
        <f>BM45*COS(($BH45+3*($BI45-$BH45)/12))</f>
        <v/>
      </c>
      <c r="CA45">
        <f>BN45*COS(($BH45+4*($BI45-$BH45)/12))</f>
        <v/>
      </c>
      <c r="CB45">
        <f>BO45*COS(($BH45+5*($BI45-$BH45)/12))</f>
        <v/>
      </c>
      <c r="CC45">
        <f>BP45*COS(($BH45+6*($BI45-$BH45)/12))</f>
        <v/>
      </c>
      <c r="CD45">
        <f>BQ45*COS(($BH45+7*($BI45-$BH45)/12))</f>
        <v/>
      </c>
      <c r="CE45">
        <f>BR45*COS(($BH45+8*($BI45-$BH45)/12))</f>
        <v/>
      </c>
      <c r="CF45">
        <f>BS45*COS(($BH45+9*($BI45-$BH45)/12))</f>
        <v/>
      </c>
      <c r="CG45">
        <f>BT45*COS(($BH45+10*($BI45-$BH45)/12))</f>
        <v/>
      </c>
      <c r="CH45">
        <f>BU45*COS(($BH45+11*($BI45-$BH45)/12))</f>
        <v/>
      </c>
      <c r="CI45">
        <f>BV45*COS(($BH45+12*($BI45-$BH45)/12))</f>
        <v/>
      </c>
    </row>
    <row r="46">
      <c r="B46" s="53" t="n">
        <v>21</v>
      </c>
      <c r="C46" s="54">
        <f>0.8*cc_D</f>
        <v/>
      </c>
      <c r="D46" s="55">
        <f>IF($C46&lt;=cc_D,3.5,2*$C46/($C46-3*cc_D/7))</f>
        <v/>
      </c>
      <c r="E46" s="56">
        <f>(fcd_cc*((cc_D/2)^2*($BI46-COS($BI46)*SIN($BI46))-2*(cc_D/2)^2*($BI46-$BH46)/12/3*SUMPRODUCT($BJ$4:$BV$4,$BJ46:$BV46))+SUMPRODUCT($J$5:$AG$5,$J46:$AG46))/1000</f>
        <v/>
      </c>
      <c r="F46" s="56">
        <f>(fcd_cc*(2/3*(cc_D/2)^3*SIN($BI46)^3-2*(cc_D/2)^3*($BI46-$BH46)/12/3*SUMPRODUCT($BW$4:$CI$4,$BW46:$CI46))+SUMPRODUCT($J$5:$AG$5,$J46:$AG46,$J$7:$AG$7))/1E6</f>
        <v/>
      </c>
      <c r="G46" s="56">
        <f>(fcd_cc*((cc_D/2)^2*($BI46-COS($BI46)*SIN($BI46))-2*(cc_D/2)^2*($BI46-$BH46)/12/3*SUMPRODUCT($BJ$4:$BV$4,$BJ46:$BV46))+SUMPRODUCT($J$5:$AG$5,$AH46:$BE46))/1000</f>
        <v/>
      </c>
      <c r="H46" s="56">
        <f>(fcd_cc*(2/3*(cc_D/2)^3*SIN($BI46)^3-2*(cc_D/2)^3*($BI46-$BH46)/12/3*SUMPRODUCT($BW$4:$CI$4,$BW46:$CI46))+SUMPRODUCT($J$5:$AG$5,$AH46:$BE46,$J$19:$AG$19))/1E6</f>
        <v/>
      </c>
      <c r="J46">
        <f>MAX(-fyd_cc,MIN(fyd_cc,Es_cc*IF($C46&lt;=cc_D,0.0035*($C46-J$6)/$C46,0.002*($C46-J$6)/($C46-3*cc_D/7))))-fcd_cc*(1-(1-MAX(0,MIN(1,IF($C46&lt;=cc_D,0.0035*($C46-J$6)/$C46,0.002*($C46-J$6)/($C46-3*cc_D/7))/0.002)))^2)</f>
        <v/>
      </c>
      <c r="K46">
        <f>MAX(-fyd_cc,MIN(fyd_cc,Es_cc*IF($C46&lt;=cc_D,0.0035*($C46-K$6)/$C46,0.002*($C46-K$6)/($C46-3*cc_D/7))))-fcd_cc*(1-(1-MAX(0,MIN(1,IF($C46&lt;=cc_D,0.0035*($C46-K$6)/$C46,0.002*($C46-K$6)/($C46-3*cc_D/7))/0.002)))^2)</f>
        <v/>
      </c>
      <c r="L46">
        <f>MAX(-fyd_cc,MIN(fyd_cc,Es_cc*IF($C46&lt;=cc_D,0.0035*($C46-L$6)/$C46,0.002*($C46-L$6)/($C46-3*cc_D/7))))-fcd_cc*(1-(1-MAX(0,MIN(1,IF($C46&lt;=cc_D,0.0035*($C46-L$6)/$C46,0.002*($C46-L$6)/($C46-3*cc_D/7))/0.002)))^2)</f>
        <v/>
      </c>
      <c r="M46">
        <f>MAX(-fyd_cc,MIN(fyd_cc,Es_cc*IF($C46&lt;=cc_D,0.0035*($C46-M$6)/$C46,0.002*($C46-M$6)/($C46-3*cc_D/7))))-fcd_cc*(1-(1-MAX(0,MIN(1,IF($C46&lt;=cc_D,0.0035*($C46-M$6)/$C46,0.002*($C46-M$6)/($C46-3*cc_D/7))/0.002)))^2)</f>
        <v/>
      </c>
      <c r="N46">
        <f>MAX(-fyd_cc,MIN(fyd_cc,Es_cc*IF($C46&lt;=cc_D,0.0035*($C46-N$6)/$C46,0.002*($C46-N$6)/($C46-3*cc_D/7))))-fcd_cc*(1-(1-MAX(0,MIN(1,IF($C46&lt;=cc_D,0.0035*($C46-N$6)/$C46,0.002*($C46-N$6)/($C46-3*cc_D/7))/0.002)))^2)</f>
        <v/>
      </c>
      <c r="O46">
        <f>MAX(-fyd_cc,MIN(fyd_cc,Es_cc*IF($C46&lt;=cc_D,0.0035*($C46-O$6)/$C46,0.002*($C46-O$6)/($C46-3*cc_D/7))))-fcd_cc*(1-(1-MAX(0,MIN(1,IF($C46&lt;=cc_D,0.0035*($C46-O$6)/$C46,0.002*($C46-O$6)/($C46-3*cc_D/7))/0.002)))^2)</f>
        <v/>
      </c>
      <c r="P46">
        <f>MAX(-fyd_cc,MIN(fyd_cc,Es_cc*IF($C46&lt;=cc_D,0.0035*($C46-P$6)/$C46,0.002*($C46-P$6)/($C46-3*cc_D/7))))-fcd_cc*(1-(1-MAX(0,MIN(1,IF($C46&lt;=cc_D,0.0035*($C46-P$6)/$C46,0.002*($C46-P$6)/($C46-3*cc_D/7))/0.002)))^2)</f>
        <v/>
      </c>
      <c r="Q46">
        <f>MAX(-fyd_cc,MIN(fyd_cc,Es_cc*IF($C46&lt;=cc_D,0.0035*($C46-Q$6)/$C46,0.002*($C46-Q$6)/($C46-3*cc_D/7))))-fcd_cc*(1-(1-MAX(0,MIN(1,IF($C46&lt;=cc_D,0.0035*($C46-Q$6)/$C46,0.002*($C46-Q$6)/($C46-3*cc_D/7))/0.002)))^2)</f>
        <v/>
      </c>
      <c r="R46">
        <f>MAX(-fyd_cc,MIN(fyd_cc,Es_cc*IF($C46&lt;=cc_D,0.0035*($C46-R$6)/$C46,0.002*($C46-R$6)/($C46-3*cc_D/7))))-fcd_cc*(1-(1-MAX(0,MIN(1,IF($C46&lt;=cc_D,0.0035*($C46-R$6)/$C46,0.002*($C46-R$6)/($C46-3*cc_D/7))/0.002)))^2)</f>
        <v/>
      </c>
      <c r="S46">
        <f>MAX(-fyd_cc,MIN(fyd_cc,Es_cc*IF($C46&lt;=cc_D,0.0035*($C46-S$6)/$C46,0.002*($C46-S$6)/($C46-3*cc_D/7))))-fcd_cc*(1-(1-MAX(0,MIN(1,IF($C46&lt;=cc_D,0.0035*($C46-S$6)/$C46,0.002*($C46-S$6)/($C46-3*cc_D/7))/0.002)))^2)</f>
        <v/>
      </c>
      <c r="T46">
        <f>MAX(-fyd_cc,MIN(fyd_cc,Es_cc*IF($C46&lt;=cc_D,0.0035*($C46-T$6)/$C46,0.002*($C46-T$6)/($C46-3*cc_D/7))))-fcd_cc*(1-(1-MAX(0,MIN(1,IF($C46&lt;=cc_D,0.0035*($C46-T$6)/$C46,0.002*($C46-T$6)/($C46-3*cc_D/7))/0.002)))^2)</f>
        <v/>
      </c>
      <c r="U46">
        <f>MAX(-fyd_cc,MIN(fyd_cc,Es_cc*IF($C46&lt;=cc_D,0.0035*($C46-U$6)/$C46,0.002*($C46-U$6)/($C46-3*cc_D/7))))-fcd_cc*(1-(1-MAX(0,MIN(1,IF($C46&lt;=cc_D,0.0035*($C46-U$6)/$C46,0.002*($C46-U$6)/($C46-3*cc_D/7))/0.002)))^2)</f>
        <v/>
      </c>
      <c r="V46">
        <f>MAX(-fyd_cc,MIN(fyd_cc,Es_cc*IF($C46&lt;=cc_D,0.0035*($C46-V$6)/$C46,0.002*($C46-V$6)/($C46-3*cc_D/7))))-fcd_cc*(1-(1-MAX(0,MIN(1,IF($C46&lt;=cc_D,0.0035*($C46-V$6)/$C46,0.002*($C46-V$6)/($C46-3*cc_D/7))/0.002)))^2)</f>
        <v/>
      </c>
      <c r="W46">
        <f>MAX(-fyd_cc,MIN(fyd_cc,Es_cc*IF($C46&lt;=cc_D,0.0035*($C46-W$6)/$C46,0.002*($C46-W$6)/($C46-3*cc_D/7))))-fcd_cc*(1-(1-MAX(0,MIN(1,IF($C46&lt;=cc_D,0.0035*($C46-W$6)/$C46,0.002*($C46-W$6)/($C46-3*cc_D/7))/0.002)))^2)</f>
        <v/>
      </c>
      <c r="X46">
        <f>MAX(-fyd_cc,MIN(fyd_cc,Es_cc*IF($C46&lt;=cc_D,0.0035*($C46-X$6)/$C46,0.002*($C46-X$6)/($C46-3*cc_D/7))))-fcd_cc*(1-(1-MAX(0,MIN(1,IF($C46&lt;=cc_D,0.0035*($C46-X$6)/$C46,0.002*($C46-X$6)/($C46-3*cc_D/7))/0.002)))^2)</f>
        <v/>
      </c>
      <c r="Y46">
        <f>MAX(-fyd_cc,MIN(fyd_cc,Es_cc*IF($C46&lt;=cc_D,0.0035*($C46-Y$6)/$C46,0.002*($C46-Y$6)/($C46-3*cc_D/7))))-fcd_cc*(1-(1-MAX(0,MIN(1,IF($C46&lt;=cc_D,0.0035*($C46-Y$6)/$C46,0.002*($C46-Y$6)/($C46-3*cc_D/7))/0.002)))^2)</f>
        <v/>
      </c>
      <c r="Z46">
        <f>MAX(-fyd_cc,MIN(fyd_cc,Es_cc*IF($C46&lt;=cc_D,0.0035*($C46-Z$6)/$C46,0.002*($C46-Z$6)/($C46-3*cc_D/7))))-fcd_cc*(1-(1-MAX(0,MIN(1,IF($C46&lt;=cc_D,0.0035*($C46-Z$6)/$C46,0.002*($C46-Z$6)/($C46-3*cc_D/7))/0.002)))^2)</f>
        <v/>
      </c>
      <c r="AA46">
        <f>MAX(-fyd_cc,MIN(fyd_cc,Es_cc*IF($C46&lt;=cc_D,0.0035*($C46-AA$6)/$C46,0.002*($C46-AA$6)/($C46-3*cc_D/7))))-fcd_cc*(1-(1-MAX(0,MIN(1,IF($C46&lt;=cc_D,0.0035*($C46-AA$6)/$C46,0.002*($C46-AA$6)/($C46-3*cc_D/7))/0.002)))^2)</f>
        <v/>
      </c>
      <c r="AB46">
        <f>MAX(-fyd_cc,MIN(fyd_cc,Es_cc*IF($C46&lt;=cc_D,0.0035*($C46-AB$6)/$C46,0.002*($C46-AB$6)/($C46-3*cc_D/7))))-fcd_cc*(1-(1-MAX(0,MIN(1,IF($C46&lt;=cc_D,0.0035*($C46-AB$6)/$C46,0.002*($C46-AB$6)/($C46-3*cc_D/7))/0.002)))^2)</f>
        <v/>
      </c>
      <c r="AC46">
        <f>MAX(-fyd_cc,MIN(fyd_cc,Es_cc*IF($C46&lt;=cc_D,0.0035*($C46-AC$6)/$C46,0.002*($C46-AC$6)/($C46-3*cc_D/7))))-fcd_cc*(1-(1-MAX(0,MIN(1,IF($C46&lt;=cc_D,0.0035*($C46-AC$6)/$C46,0.002*($C46-AC$6)/($C46-3*cc_D/7))/0.002)))^2)</f>
        <v/>
      </c>
      <c r="AD46">
        <f>MAX(-fyd_cc,MIN(fyd_cc,Es_cc*IF($C46&lt;=cc_D,0.0035*($C46-AD$6)/$C46,0.002*($C46-AD$6)/($C46-3*cc_D/7))))-fcd_cc*(1-(1-MAX(0,MIN(1,IF($C46&lt;=cc_D,0.0035*($C46-AD$6)/$C46,0.002*($C46-AD$6)/($C46-3*cc_D/7))/0.002)))^2)</f>
        <v/>
      </c>
      <c r="AE46">
        <f>MAX(-fyd_cc,MIN(fyd_cc,Es_cc*IF($C46&lt;=cc_D,0.0035*($C46-AE$6)/$C46,0.002*($C46-AE$6)/($C46-3*cc_D/7))))-fcd_cc*(1-(1-MAX(0,MIN(1,IF($C46&lt;=cc_D,0.0035*($C46-AE$6)/$C46,0.002*($C46-AE$6)/($C46-3*cc_D/7))/0.002)))^2)</f>
        <v/>
      </c>
      <c r="AF46">
        <f>MAX(-fyd_cc,MIN(fyd_cc,Es_cc*IF($C46&lt;=cc_D,0.0035*($C46-AF$6)/$C46,0.002*($C46-AF$6)/($C46-3*cc_D/7))))-fcd_cc*(1-(1-MAX(0,MIN(1,IF($C46&lt;=cc_D,0.0035*($C46-AF$6)/$C46,0.002*($C46-AF$6)/($C46-3*cc_D/7))/0.002)))^2)</f>
        <v/>
      </c>
      <c r="AG46">
        <f>MAX(-fyd_cc,MIN(fyd_cc,Es_cc*IF($C46&lt;=cc_D,0.0035*($C46-AG$6)/$C46,0.002*($C46-AG$6)/($C46-3*cc_D/7))))-fcd_cc*(1-(1-MAX(0,MIN(1,IF($C46&lt;=cc_D,0.0035*($C46-AG$6)/$C46,0.002*($C46-AG$6)/($C46-3*cc_D/7))/0.002)))^2)</f>
        <v/>
      </c>
      <c r="AH46">
        <f>MAX(-fyd_cc,MIN(fyd_cc,Es_cc*IF($C46&lt;=cc_D,0.0035*($C46-J$18)/$C46,0.002*($C46-J$18)/($C46-3*cc_D/7))))-fcd_cc*(1-(1-MAX(0,MIN(1,IF($C46&lt;=cc_D,0.0035*($C46-J$18)/$C46,0.002*($C46-J$18)/($C46-3*cc_D/7))/0.002)))^2)</f>
        <v/>
      </c>
      <c r="AI46">
        <f>MAX(-fyd_cc,MIN(fyd_cc,Es_cc*IF($C46&lt;=cc_D,0.0035*($C46-K$18)/$C46,0.002*($C46-K$18)/($C46-3*cc_D/7))))-fcd_cc*(1-(1-MAX(0,MIN(1,IF($C46&lt;=cc_D,0.0035*($C46-K$18)/$C46,0.002*($C46-K$18)/($C46-3*cc_D/7))/0.002)))^2)</f>
        <v/>
      </c>
      <c r="AJ46">
        <f>MAX(-fyd_cc,MIN(fyd_cc,Es_cc*IF($C46&lt;=cc_D,0.0035*($C46-L$18)/$C46,0.002*($C46-L$18)/($C46-3*cc_D/7))))-fcd_cc*(1-(1-MAX(0,MIN(1,IF($C46&lt;=cc_D,0.0035*($C46-L$18)/$C46,0.002*($C46-L$18)/($C46-3*cc_D/7))/0.002)))^2)</f>
        <v/>
      </c>
      <c r="AK46">
        <f>MAX(-fyd_cc,MIN(fyd_cc,Es_cc*IF($C46&lt;=cc_D,0.0035*($C46-M$18)/$C46,0.002*($C46-M$18)/($C46-3*cc_D/7))))-fcd_cc*(1-(1-MAX(0,MIN(1,IF($C46&lt;=cc_D,0.0035*($C46-M$18)/$C46,0.002*($C46-M$18)/($C46-3*cc_D/7))/0.002)))^2)</f>
        <v/>
      </c>
      <c r="AL46">
        <f>MAX(-fyd_cc,MIN(fyd_cc,Es_cc*IF($C46&lt;=cc_D,0.0035*($C46-N$18)/$C46,0.002*($C46-N$18)/($C46-3*cc_D/7))))-fcd_cc*(1-(1-MAX(0,MIN(1,IF($C46&lt;=cc_D,0.0035*($C46-N$18)/$C46,0.002*($C46-N$18)/($C46-3*cc_D/7))/0.002)))^2)</f>
        <v/>
      </c>
      <c r="AM46">
        <f>MAX(-fyd_cc,MIN(fyd_cc,Es_cc*IF($C46&lt;=cc_D,0.0035*($C46-O$18)/$C46,0.002*($C46-O$18)/($C46-3*cc_D/7))))-fcd_cc*(1-(1-MAX(0,MIN(1,IF($C46&lt;=cc_D,0.0035*($C46-O$18)/$C46,0.002*($C46-O$18)/($C46-3*cc_D/7))/0.002)))^2)</f>
        <v/>
      </c>
      <c r="AN46">
        <f>MAX(-fyd_cc,MIN(fyd_cc,Es_cc*IF($C46&lt;=cc_D,0.0035*($C46-P$18)/$C46,0.002*($C46-P$18)/($C46-3*cc_D/7))))-fcd_cc*(1-(1-MAX(0,MIN(1,IF($C46&lt;=cc_D,0.0035*($C46-P$18)/$C46,0.002*($C46-P$18)/($C46-3*cc_D/7))/0.002)))^2)</f>
        <v/>
      </c>
      <c r="AO46">
        <f>MAX(-fyd_cc,MIN(fyd_cc,Es_cc*IF($C46&lt;=cc_D,0.0035*($C46-Q$18)/$C46,0.002*($C46-Q$18)/($C46-3*cc_D/7))))-fcd_cc*(1-(1-MAX(0,MIN(1,IF($C46&lt;=cc_D,0.0035*($C46-Q$18)/$C46,0.002*($C46-Q$18)/($C46-3*cc_D/7))/0.002)))^2)</f>
        <v/>
      </c>
      <c r="AP46">
        <f>MAX(-fyd_cc,MIN(fyd_cc,Es_cc*IF($C46&lt;=cc_D,0.0035*($C46-R$18)/$C46,0.002*($C46-R$18)/($C46-3*cc_D/7))))-fcd_cc*(1-(1-MAX(0,MIN(1,IF($C46&lt;=cc_D,0.0035*($C46-R$18)/$C46,0.002*($C46-R$18)/($C46-3*cc_D/7))/0.002)))^2)</f>
        <v/>
      </c>
      <c r="AQ46">
        <f>MAX(-fyd_cc,MIN(fyd_cc,Es_cc*IF($C46&lt;=cc_D,0.0035*($C46-S$18)/$C46,0.002*($C46-S$18)/($C46-3*cc_D/7))))-fcd_cc*(1-(1-MAX(0,MIN(1,IF($C46&lt;=cc_D,0.0035*($C46-S$18)/$C46,0.002*($C46-S$18)/($C46-3*cc_D/7))/0.002)))^2)</f>
        <v/>
      </c>
      <c r="AR46">
        <f>MAX(-fyd_cc,MIN(fyd_cc,Es_cc*IF($C46&lt;=cc_D,0.0035*($C46-T$18)/$C46,0.002*($C46-T$18)/($C46-3*cc_D/7))))-fcd_cc*(1-(1-MAX(0,MIN(1,IF($C46&lt;=cc_D,0.0035*($C46-T$18)/$C46,0.002*($C46-T$18)/($C46-3*cc_D/7))/0.002)))^2)</f>
        <v/>
      </c>
      <c r="AS46">
        <f>MAX(-fyd_cc,MIN(fyd_cc,Es_cc*IF($C46&lt;=cc_D,0.0035*($C46-U$18)/$C46,0.002*($C46-U$18)/($C46-3*cc_D/7))))-fcd_cc*(1-(1-MAX(0,MIN(1,IF($C46&lt;=cc_D,0.0035*($C46-U$18)/$C46,0.002*($C46-U$18)/($C46-3*cc_D/7))/0.002)))^2)</f>
        <v/>
      </c>
      <c r="AT46">
        <f>MAX(-fyd_cc,MIN(fyd_cc,Es_cc*IF($C46&lt;=cc_D,0.0035*($C46-V$18)/$C46,0.002*($C46-V$18)/($C46-3*cc_D/7))))-fcd_cc*(1-(1-MAX(0,MIN(1,IF($C46&lt;=cc_D,0.0035*($C46-V$18)/$C46,0.002*($C46-V$18)/($C46-3*cc_D/7))/0.002)))^2)</f>
        <v/>
      </c>
      <c r="AU46">
        <f>MAX(-fyd_cc,MIN(fyd_cc,Es_cc*IF($C46&lt;=cc_D,0.0035*($C46-W$18)/$C46,0.002*($C46-W$18)/($C46-3*cc_D/7))))-fcd_cc*(1-(1-MAX(0,MIN(1,IF($C46&lt;=cc_D,0.0035*($C46-W$18)/$C46,0.002*($C46-W$18)/($C46-3*cc_D/7))/0.002)))^2)</f>
        <v/>
      </c>
      <c r="AV46">
        <f>MAX(-fyd_cc,MIN(fyd_cc,Es_cc*IF($C46&lt;=cc_D,0.0035*($C46-X$18)/$C46,0.002*($C46-X$18)/($C46-3*cc_D/7))))-fcd_cc*(1-(1-MAX(0,MIN(1,IF($C46&lt;=cc_D,0.0035*($C46-X$18)/$C46,0.002*($C46-X$18)/($C46-3*cc_D/7))/0.002)))^2)</f>
        <v/>
      </c>
      <c r="AW46">
        <f>MAX(-fyd_cc,MIN(fyd_cc,Es_cc*IF($C46&lt;=cc_D,0.0035*($C46-Y$18)/$C46,0.002*($C46-Y$18)/($C46-3*cc_D/7))))-fcd_cc*(1-(1-MAX(0,MIN(1,IF($C46&lt;=cc_D,0.0035*($C46-Y$18)/$C46,0.002*($C46-Y$18)/($C46-3*cc_D/7))/0.002)))^2)</f>
        <v/>
      </c>
      <c r="AX46">
        <f>MAX(-fyd_cc,MIN(fyd_cc,Es_cc*IF($C46&lt;=cc_D,0.0035*($C46-Z$18)/$C46,0.002*($C46-Z$18)/($C46-3*cc_D/7))))-fcd_cc*(1-(1-MAX(0,MIN(1,IF($C46&lt;=cc_D,0.0035*($C46-Z$18)/$C46,0.002*($C46-Z$18)/($C46-3*cc_D/7))/0.002)))^2)</f>
        <v/>
      </c>
      <c r="AY46">
        <f>MAX(-fyd_cc,MIN(fyd_cc,Es_cc*IF($C46&lt;=cc_D,0.0035*($C46-AA$18)/$C46,0.002*($C46-AA$18)/($C46-3*cc_D/7))))-fcd_cc*(1-(1-MAX(0,MIN(1,IF($C46&lt;=cc_D,0.0035*($C46-AA$18)/$C46,0.002*($C46-AA$18)/($C46-3*cc_D/7))/0.002)))^2)</f>
        <v/>
      </c>
      <c r="AZ46">
        <f>MAX(-fyd_cc,MIN(fyd_cc,Es_cc*IF($C46&lt;=cc_D,0.0035*($C46-AB$18)/$C46,0.002*($C46-AB$18)/($C46-3*cc_D/7))))-fcd_cc*(1-(1-MAX(0,MIN(1,IF($C46&lt;=cc_D,0.0035*($C46-AB$18)/$C46,0.002*($C46-AB$18)/($C46-3*cc_D/7))/0.002)))^2)</f>
        <v/>
      </c>
      <c r="BA46">
        <f>MAX(-fyd_cc,MIN(fyd_cc,Es_cc*IF($C46&lt;=cc_D,0.0035*($C46-AC$18)/$C46,0.002*($C46-AC$18)/($C46-3*cc_D/7))))-fcd_cc*(1-(1-MAX(0,MIN(1,IF($C46&lt;=cc_D,0.0035*($C46-AC$18)/$C46,0.002*($C46-AC$18)/($C46-3*cc_D/7))/0.002)))^2)</f>
        <v/>
      </c>
      <c r="BB46">
        <f>MAX(-fyd_cc,MIN(fyd_cc,Es_cc*IF($C46&lt;=cc_D,0.0035*($C46-AD$18)/$C46,0.002*($C46-AD$18)/($C46-3*cc_D/7))))-fcd_cc*(1-(1-MAX(0,MIN(1,IF($C46&lt;=cc_D,0.0035*($C46-AD$18)/$C46,0.002*($C46-AD$18)/($C46-3*cc_D/7))/0.002)))^2)</f>
        <v/>
      </c>
      <c r="BC46">
        <f>MAX(-fyd_cc,MIN(fyd_cc,Es_cc*IF($C46&lt;=cc_D,0.0035*($C46-AE$18)/$C46,0.002*($C46-AE$18)/($C46-3*cc_D/7))))-fcd_cc*(1-(1-MAX(0,MIN(1,IF($C46&lt;=cc_D,0.0035*($C46-AE$18)/$C46,0.002*($C46-AE$18)/($C46-3*cc_D/7))/0.002)))^2)</f>
        <v/>
      </c>
      <c r="BD46">
        <f>MAX(-fyd_cc,MIN(fyd_cc,Es_cc*IF($C46&lt;=cc_D,0.0035*($C46-AF$18)/$C46,0.002*($C46-AF$18)/($C46-3*cc_D/7))))-fcd_cc*(1-(1-MAX(0,MIN(1,IF($C46&lt;=cc_D,0.0035*($C46-AF$18)/$C46,0.002*($C46-AF$18)/($C46-3*cc_D/7))/0.002)))^2)</f>
        <v/>
      </c>
      <c r="BE46">
        <f>MAX(-fyd_cc,MIN(fyd_cc,Es_cc*IF($C46&lt;=cc_D,0.0035*($C46-AG$18)/$C46,0.002*($C46-AG$18)/($C46-3*cc_D/7))))-fcd_cc*(1-(1-MAX(0,MIN(1,IF($C46&lt;=cc_D,0.0035*($C46-AG$18)/$C46,0.002*($C46-AG$18)/($C46-3*cc_D/7))/0.002)))^2)</f>
        <v/>
      </c>
      <c r="BF46">
        <f>3*MIN($C46,cc_D)/7</f>
        <v/>
      </c>
      <c r="BG46">
        <f>$C46-$BF46</f>
        <v/>
      </c>
      <c r="BH46">
        <f>ACOS(MAX(-1,MIN(1,1-$BF46/(cc_D/2))))</f>
        <v/>
      </c>
      <c r="BI46">
        <f>ACOS(MAX(-1,MIN(1,1-MIN($C46,cc_D)/(cc_D/2))))</f>
        <v/>
      </c>
      <c r="BJ46">
        <f>((cc_D/2*(1-COS(($BH46+0*($BI46-$BH46)/12)))-$BF46)/$BG46)^2*SIN(($BH46+0*($BI46-$BH46)/12))^2</f>
        <v/>
      </c>
      <c r="BK46">
        <f>((cc_D/2*(1-COS(($BH46+1*($BI46-$BH46)/12)))-$BF46)/$BG46)^2*SIN(($BH46+1*($BI46-$BH46)/12))^2</f>
        <v/>
      </c>
      <c r="BL46">
        <f>((cc_D/2*(1-COS(($BH46+2*($BI46-$BH46)/12)))-$BF46)/$BG46)^2*SIN(($BH46+2*($BI46-$BH46)/12))^2</f>
        <v/>
      </c>
      <c r="BM46">
        <f>((cc_D/2*(1-COS(($BH46+3*($BI46-$BH46)/12)))-$BF46)/$BG46)^2*SIN(($BH46+3*($BI46-$BH46)/12))^2</f>
        <v/>
      </c>
      <c r="BN46">
        <f>((cc_D/2*(1-COS(($BH46+4*($BI46-$BH46)/12)))-$BF46)/$BG46)^2*SIN(($BH46+4*($BI46-$BH46)/12))^2</f>
        <v/>
      </c>
      <c r="BO46">
        <f>((cc_D/2*(1-COS(($BH46+5*($BI46-$BH46)/12)))-$BF46)/$BG46)^2*SIN(($BH46+5*($BI46-$BH46)/12))^2</f>
        <v/>
      </c>
      <c r="BP46">
        <f>((cc_D/2*(1-COS(($BH46+6*($BI46-$BH46)/12)))-$BF46)/$BG46)^2*SIN(($BH46+6*($BI46-$BH46)/12))^2</f>
        <v/>
      </c>
      <c r="BQ46">
        <f>((cc_D/2*(1-COS(($BH46+7*($BI46-$BH46)/12)))-$BF46)/$BG46)^2*SIN(($BH46+7*($BI46-$BH46)/12))^2</f>
        <v/>
      </c>
      <c r="BR46">
        <f>((cc_D/2*(1-COS(($BH46+8*($BI46-$BH46)/12)))-$BF46)/$BG46)^2*SIN(($BH46+8*($BI46-$BH46)/12))^2</f>
        <v/>
      </c>
      <c r="BS46">
        <f>((cc_D/2*(1-COS(($BH46+9*($BI46-$BH46)/12)))-$BF46)/$BG46)^2*SIN(($BH46+9*($BI46-$BH46)/12))^2</f>
        <v/>
      </c>
      <c r="BT46">
        <f>((cc_D/2*(1-COS(($BH46+10*($BI46-$BH46)/12)))-$BF46)/$BG46)^2*SIN(($BH46+10*($BI46-$BH46)/12))^2</f>
        <v/>
      </c>
      <c r="BU46">
        <f>((cc_D/2*(1-COS(($BH46+11*($BI46-$BH46)/12)))-$BF46)/$BG46)^2*SIN(($BH46+11*($BI46-$BH46)/12))^2</f>
        <v/>
      </c>
      <c r="BV46">
        <f>((cc_D/2*(1-COS(($BH46+12*($BI46-$BH46)/12)))-$BF46)/$BG46)^2*SIN(($BH46+12*($BI46-$BH46)/12))^2</f>
        <v/>
      </c>
      <c r="BW46">
        <f>BJ46*COS(($BH46+0*($BI46-$BH46)/12))</f>
        <v/>
      </c>
      <c r="BX46">
        <f>BK46*COS(($BH46+1*($BI46-$BH46)/12))</f>
        <v/>
      </c>
      <c r="BY46">
        <f>BL46*COS(($BH46+2*($BI46-$BH46)/12))</f>
        <v/>
      </c>
      <c r="BZ46">
        <f>BM46*COS(($BH46+3*($BI46-$BH46)/12))</f>
        <v/>
      </c>
      <c r="CA46">
        <f>BN46*COS(($BH46+4*($BI46-$BH46)/12))</f>
        <v/>
      </c>
      <c r="CB46">
        <f>BO46*COS(($BH46+5*($BI46-$BH46)/12))</f>
        <v/>
      </c>
      <c r="CC46">
        <f>BP46*COS(($BH46+6*($BI46-$BH46)/12))</f>
        <v/>
      </c>
      <c r="CD46">
        <f>BQ46*COS(($BH46+7*($BI46-$BH46)/12))</f>
        <v/>
      </c>
      <c r="CE46">
        <f>BR46*COS(($BH46+8*($BI46-$BH46)/12))</f>
        <v/>
      </c>
      <c r="CF46">
        <f>BS46*COS(($BH46+9*($BI46-$BH46)/12))</f>
        <v/>
      </c>
      <c r="CG46">
        <f>BT46*COS(($BH46+10*($BI46-$BH46)/12))</f>
        <v/>
      </c>
      <c r="CH46">
        <f>BU46*COS(($BH46+11*($BI46-$BH46)/12))</f>
        <v/>
      </c>
      <c r="CI46">
        <f>BV46*COS(($BH46+12*($BI46-$BH46)/12))</f>
        <v/>
      </c>
    </row>
    <row r="47">
      <c r="B47" s="53" t="n">
        <v>22</v>
      </c>
      <c r="C47" s="54">
        <f>0.85*cc_D</f>
        <v/>
      </c>
      <c r="D47" s="55">
        <f>IF($C47&lt;=cc_D,3.5,2*$C47/($C47-3*cc_D/7))</f>
        <v/>
      </c>
      <c r="E47" s="56">
        <f>(fcd_cc*((cc_D/2)^2*($BI47-COS($BI47)*SIN($BI47))-2*(cc_D/2)^2*($BI47-$BH47)/12/3*SUMPRODUCT($BJ$4:$BV$4,$BJ47:$BV47))+SUMPRODUCT($J$5:$AG$5,$J47:$AG47))/1000</f>
        <v/>
      </c>
      <c r="F47" s="56">
        <f>(fcd_cc*(2/3*(cc_D/2)^3*SIN($BI47)^3-2*(cc_D/2)^3*($BI47-$BH47)/12/3*SUMPRODUCT($BW$4:$CI$4,$BW47:$CI47))+SUMPRODUCT($J$5:$AG$5,$J47:$AG47,$J$7:$AG$7))/1E6</f>
        <v/>
      </c>
      <c r="G47" s="56">
        <f>(fcd_cc*((cc_D/2)^2*($BI47-COS($BI47)*SIN($BI47))-2*(cc_D/2)^2*($BI47-$BH47)/12/3*SUMPRODUCT($BJ$4:$BV$4,$BJ47:$BV47))+SUMPRODUCT($J$5:$AG$5,$AH47:$BE47))/1000</f>
        <v/>
      </c>
      <c r="H47" s="56">
        <f>(fcd_cc*(2/3*(cc_D/2)^3*SIN($BI47)^3-2*(cc_D/2)^3*($BI47-$BH47)/12/3*SUMPRODUCT($BW$4:$CI$4,$BW47:$CI47))+SUMPRODUCT($J$5:$AG$5,$AH47:$BE47,$J$19:$AG$19))/1E6</f>
        <v/>
      </c>
      <c r="J47">
        <f>MAX(-fyd_cc,MIN(fyd_cc,Es_cc*IF($C47&lt;=cc_D,0.0035*($C47-J$6)/$C47,0.002*($C47-J$6)/($C47-3*cc_D/7))))-fcd_cc*(1-(1-MAX(0,MIN(1,IF($C47&lt;=cc_D,0.0035*($C47-J$6)/$C47,0.002*($C47-J$6)/($C47-3*cc_D/7))/0.002)))^2)</f>
        <v/>
      </c>
      <c r="K47">
        <f>MAX(-fyd_cc,MIN(fyd_cc,Es_cc*IF($C47&lt;=cc_D,0.0035*($C47-K$6)/$C47,0.002*($C47-K$6)/($C47-3*cc_D/7))))-fcd_cc*(1-(1-MAX(0,MIN(1,IF($C47&lt;=cc_D,0.0035*($C47-K$6)/$C47,0.002*($C47-K$6)/($C47-3*cc_D/7))/0.002)))^2)</f>
        <v/>
      </c>
      <c r="L47">
        <f>MAX(-fyd_cc,MIN(fyd_cc,Es_cc*IF($C47&lt;=cc_D,0.0035*($C47-L$6)/$C47,0.002*($C47-L$6)/($C47-3*cc_D/7))))-fcd_cc*(1-(1-MAX(0,MIN(1,IF($C47&lt;=cc_D,0.0035*($C47-L$6)/$C47,0.002*($C47-L$6)/($C47-3*cc_D/7))/0.002)))^2)</f>
        <v/>
      </c>
      <c r="M47">
        <f>MAX(-fyd_cc,MIN(fyd_cc,Es_cc*IF($C47&lt;=cc_D,0.0035*($C47-M$6)/$C47,0.002*($C47-M$6)/($C47-3*cc_D/7))))-fcd_cc*(1-(1-MAX(0,MIN(1,IF($C47&lt;=cc_D,0.0035*($C47-M$6)/$C47,0.002*($C47-M$6)/($C47-3*cc_D/7))/0.002)))^2)</f>
        <v/>
      </c>
      <c r="N47">
        <f>MAX(-fyd_cc,MIN(fyd_cc,Es_cc*IF($C47&lt;=cc_D,0.0035*($C47-N$6)/$C47,0.002*($C47-N$6)/($C47-3*cc_D/7))))-fcd_cc*(1-(1-MAX(0,MIN(1,IF($C47&lt;=cc_D,0.0035*($C47-N$6)/$C47,0.002*($C47-N$6)/($C47-3*cc_D/7))/0.002)))^2)</f>
        <v/>
      </c>
      <c r="O47">
        <f>MAX(-fyd_cc,MIN(fyd_cc,Es_cc*IF($C47&lt;=cc_D,0.0035*($C47-O$6)/$C47,0.002*($C47-O$6)/($C47-3*cc_D/7))))-fcd_cc*(1-(1-MAX(0,MIN(1,IF($C47&lt;=cc_D,0.0035*($C47-O$6)/$C47,0.002*($C47-O$6)/($C47-3*cc_D/7))/0.002)))^2)</f>
        <v/>
      </c>
      <c r="P47">
        <f>MAX(-fyd_cc,MIN(fyd_cc,Es_cc*IF($C47&lt;=cc_D,0.0035*($C47-P$6)/$C47,0.002*($C47-P$6)/($C47-3*cc_D/7))))-fcd_cc*(1-(1-MAX(0,MIN(1,IF($C47&lt;=cc_D,0.0035*($C47-P$6)/$C47,0.002*($C47-P$6)/($C47-3*cc_D/7))/0.002)))^2)</f>
        <v/>
      </c>
      <c r="Q47">
        <f>MAX(-fyd_cc,MIN(fyd_cc,Es_cc*IF($C47&lt;=cc_D,0.0035*($C47-Q$6)/$C47,0.002*($C47-Q$6)/($C47-3*cc_D/7))))-fcd_cc*(1-(1-MAX(0,MIN(1,IF($C47&lt;=cc_D,0.0035*($C47-Q$6)/$C47,0.002*($C47-Q$6)/($C47-3*cc_D/7))/0.002)))^2)</f>
        <v/>
      </c>
      <c r="R47">
        <f>MAX(-fyd_cc,MIN(fyd_cc,Es_cc*IF($C47&lt;=cc_D,0.0035*($C47-R$6)/$C47,0.002*($C47-R$6)/($C47-3*cc_D/7))))-fcd_cc*(1-(1-MAX(0,MIN(1,IF($C47&lt;=cc_D,0.0035*($C47-R$6)/$C47,0.002*($C47-R$6)/($C47-3*cc_D/7))/0.002)))^2)</f>
        <v/>
      </c>
      <c r="S47">
        <f>MAX(-fyd_cc,MIN(fyd_cc,Es_cc*IF($C47&lt;=cc_D,0.0035*($C47-S$6)/$C47,0.002*($C47-S$6)/($C47-3*cc_D/7))))-fcd_cc*(1-(1-MAX(0,MIN(1,IF($C47&lt;=cc_D,0.0035*($C47-S$6)/$C47,0.002*($C47-S$6)/($C47-3*cc_D/7))/0.002)))^2)</f>
        <v/>
      </c>
      <c r="T47">
        <f>MAX(-fyd_cc,MIN(fyd_cc,Es_cc*IF($C47&lt;=cc_D,0.0035*($C47-T$6)/$C47,0.002*($C47-T$6)/($C47-3*cc_D/7))))-fcd_cc*(1-(1-MAX(0,MIN(1,IF($C47&lt;=cc_D,0.0035*($C47-T$6)/$C47,0.002*($C47-T$6)/($C47-3*cc_D/7))/0.002)))^2)</f>
        <v/>
      </c>
      <c r="U47">
        <f>MAX(-fyd_cc,MIN(fyd_cc,Es_cc*IF($C47&lt;=cc_D,0.0035*($C47-U$6)/$C47,0.002*($C47-U$6)/($C47-3*cc_D/7))))-fcd_cc*(1-(1-MAX(0,MIN(1,IF($C47&lt;=cc_D,0.0035*($C47-U$6)/$C47,0.002*($C47-U$6)/($C47-3*cc_D/7))/0.002)))^2)</f>
        <v/>
      </c>
      <c r="V47">
        <f>MAX(-fyd_cc,MIN(fyd_cc,Es_cc*IF($C47&lt;=cc_D,0.0035*($C47-V$6)/$C47,0.002*($C47-V$6)/($C47-3*cc_D/7))))-fcd_cc*(1-(1-MAX(0,MIN(1,IF($C47&lt;=cc_D,0.0035*($C47-V$6)/$C47,0.002*($C47-V$6)/($C47-3*cc_D/7))/0.002)))^2)</f>
        <v/>
      </c>
      <c r="W47">
        <f>MAX(-fyd_cc,MIN(fyd_cc,Es_cc*IF($C47&lt;=cc_D,0.0035*($C47-W$6)/$C47,0.002*($C47-W$6)/($C47-3*cc_D/7))))-fcd_cc*(1-(1-MAX(0,MIN(1,IF($C47&lt;=cc_D,0.0035*($C47-W$6)/$C47,0.002*($C47-W$6)/($C47-3*cc_D/7))/0.002)))^2)</f>
        <v/>
      </c>
      <c r="X47">
        <f>MAX(-fyd_cc,MIN(fyd_cc,Es_cc*IF($C47&lt;=cc_D,0.0035*($C47-X$6)/$C47,0.002*($C47-X$6)/($C47-3*cc_D/7))))-fcd_cc*(1-(1-MAX(0,MIN(1,IF($C47&lt;=cc_D,0.0035*($C47-X$6)/$C47,0.002*($C47-X$6)/($C47-3*cc_D/7))/0.002)))^2)</f>
        <v/>
      </c>
      <c r="Y47">
        <f>MAX(-fyd_cc,MIN(fyd_cc,Es_cc*IF($C47&lt;=cc_D,0.0035*($C47-Y$6)/$C47,0.002*($C47-Y$6)/($C47-3*cc_D/7))))-fcd_cc*(1-(1-MAX(0,MIN(1,IF($C47&lt;=cc_D,0.0035*($C47-Y$6)/$C47,0.002*($C47-Y$6)/($C47-3*cc_D/7))/0.002)))^2)</f>
        <v/>
      </c>
      <c r="Z47">
        <f>MAX(-fyd_cc,MIN(fyd_cc,Es_cc*IF($C47&lt;=cc_D,0.0035*($C47-Z$6)/$C47,0.002*($C47-Z$6)/($C47-3*cc_D/7))))-fcd_cc*(1-(1-MAX(0,MIN(1,IF($C47&lt;=cc_D,0.0035*($C47-Z$6)/$C47,0.002*($C47-Z$6)/($C47-3*cc_D/7))/0.002)))^2)</f>
        <v/>
      </c>
      <c r="AA47">
        <f>MAX(-fyd_cc,MIN(fyd_cc,Es_cc*IF($C47&lt;=cc_D,0.0035*($C47-AA$6)/$C47,0.002*($C47-AA$6)/($C47-3*cc_D/7))))-fcd_cc*(1-(1-MAX(0,MIN(1,IF($C47&lt;=cc_D,0.0035*($C47-AA$6)/$C47,0.002*($C47-AA$6)/($C47-3*cc_D/7))/0.002)))^2)</f>
        <v/>
      </c>
      <c r="AB47">
        <f>MAX(-fyd_cc,MIN(fyd_cc,Es_cc*IF($C47&lt;=cc_D,0.0035*($C47-AB$6)/$C47,0.002*($C47-AB$6)/($C47-3*cc_D/7))))-fcd_cc*(1-(1-MAX(0,MIN(1,IF($C47&lt;=cc_D,0.0035*($C47-AB$6)/$C47,0.002*($C47-AB$6)/($C47-3*cc_D/7))/0.002)))^2)</f>
        <v/>
      </c>
      <c r="AC47">
        <f>MAX(-fyd_cc,MIN(fyd_cc,Es_cc*IF($C47&lt;=cc_D,0.0035*($C47-AC$6)/$C47,0.002*($C47-AC$6)/($C47-3*cc_D/7))))-fcd_cc*(1-(1-MAX(0,MIN(1,IF($C47&lt;=cc_D,0.0035*($C47-AC$6)/$C47,0.002*($C47-AC$6)/($C47-3*cc_D/7))/0.002)))^2)</f>
        <v/>
      </c>
      <c r="AD47">
        <f>MAX(-fyd_cc,MIN(fyd_cc,Es_cc*IF($C47&lt;=cc_D,0.0035*($C47-AD$6)/$C47,0.002*($C47-AD$6)/($C47-3*cc_D/7))))-fcd_cc*(1-(1-MAX(0,MIN(1,IF($C47&lt;=cc_D,0.0035*($C47-AD$6)/$C47,0.002*($C47-AD$6)/($C47-3*cc_D/7))/0.002)))^2)</f>
        <v/>
      </c>
      <c r="AE47">
        <f>MAX(-fyd_cc,MIN(fyd_cc,Es_cc*IF($C47&lt;=cc_D,0.0035*($C47-AE$6)/$C47,0.002*($C47-AE$6)/($C47-3*cc_D/7))))-fcd_cc*(1-(1-MAX(0,MIN(1,IF($C47&lt;=cc_D,0.0035*($C47-AE$6)/$C47,0.002*($C47-AE$6)/($C47-3*cc_D/7))/0.002)))^2)</f>
        <v/>
      </c>
      <c r="AF47">
        <f>MAX(-fyd_cc,MIN(fyd_cc,Es_cc*IF($C47&lt;=cc_D,0.0035*($C47-AF$6)/$C47,0.002*($C47-AF$6)/($C47-3*cc_D/7))))-fcd_cc*(1-(1-MAX(0,MIN(1,IF($C47&lt;=cc_D,0.0035*($C47-AF$6)/$C47,0.002*($C47-AF$6)/($C47-3*cc_D/7))/0.002)))^2)</f>
        <v/>
      </c>
      <c r="AG47">
        <f>MAX(-fyd_cc,MIN(fyd_cc,Es_cc*IF($C47&lt;=cc_D,0.0035*($C47-AG$6)/$C47,0.002*($C47-AG$6)/($C47-3*cc_D/7))))-fcd_cc*(1-(1-MAX(0,MIN(1,IF($C47&lt;=cc_D,0.0035*($C47-AG$6)/$C47,0.002*($C47-AG$6)/($C47-3*cc_D/7))/0.002)))^2)</f>
        <v/>
      </c>
      <c r="AH47">
        <f>MAX(-fyd_cc,MIN(fyd_cc,Es_cc*IF($C47&lt;=cc_D,0.0035*($C47-J$18)/$C47,0.002*($C47-J$18)/($C47-3*cc_D/7))))-fcd_cc*(1-(1-MAX(0,MIN(1,IF($C47&lt;=cc_D,0.0035*($C47-J$18)/$C47,0.002*($C47-J$18)/($C47-3*cc_D/7))/0.002)))^2)</f>
        <v/>
      </c>
      <c r="AI47">
        <f>MAX(-fyd_cc,MIN(fyd_cc,Es_cc*IF($C47&lt;=cc_D,0.0035*($C47-K$18)/$C47,0.002*($C47-K$18)/($C47-3*cc_D/7))))-fcd_cc*(1-(1-MAX(0,MIN(1,IF($C47&lt;=cc_D,0.0035*($C47-K$18)/$C47,0.002*($C47-K$18)/($C47-3*cc_D/7))/0.002)))^2)</f>
        <v/>
      </c>
      <c r="AJ47">
        <f>MAX(-fyd_cc,MIN(fyd_cc,Es_cc*IF($C47&lt;=cc_D,0.0035*($C47-L$18)/$C47,0.002*($C47-L$18)/($C47-3*cc_D/7))))-fcd_cc*(1-(1-MAX(0,MIN(1,IF($C47&lt;=cc_D,0.0035*($C47-L$18)/$C47,0.002*($C47-L$18)/($C47-3*cc_D/7))/0.002)))^2)</f>
        <v/>
      </c>
      <c r="AK47">
        <f>MAX(-fyd_cc,MIN(fyd_cc,Es_cc*IF($C47&lt;=cc_D,0.0035*($C47-M$18)/$C47,0.002*($C47-M$18)/($C47-3*cc_D/7))))-fcd_cc*(1-(1-MAX(0,MIN(1,IF($C47&lt;=cc_D,0.0035*($C47-M$18)/$C47,0.002*($C47-M$18)/($C47-3*cc_D/7))/0.002)))^2)</f>
        <v/>
      </c>
      <c r="AL47">
        <f>MAX(-fyd_cc,MIN(fyd_cc,Es_cc*IF($C47&lt;=cc_D,0.0035*($C47-N$18)/$C47,0.002*($C47-N$18)/($C47-3*cc_D/7))))-fcd_cc*(1-(1-MAX(0,MIN(1,IF($C47&lt;=cc_D,0.0035*($C47-N$18)/$C47,0.002*($C47-N$18)/($C47-3*cc_D/7))/0.002)))^2)</f>
        <v/>
      </c>
      <c r="AM47">
        <f>MAX(-fyd_cc,MIN(fyd_cc,Es_cc*IF($C47&lt;=cc_D,0.0035*($C47-O$18)/$C47,0.002*($C47-O$18)/($C47-3*cc_D/7))))-fcd_cc*(1-(1-MAX(0,MIN(1,IF($C47&lt;=cc_D,0.0035*($C47-O$18)/$C47,0.002*($C47-O$18)/($C47-3*cc_D/7))/0.002)))^2)</f>
        <v/>
      </c>
      <c r="AN47">
        <f>MAX(-fyd_cc,MIN(fyd_cc,Es_cc*IF($C47&lt;=cc_D,0.0035*($C47-P$18)/$C47,0.002*($C47-P$18)/($C47-3*cc_D/7))))-fcd_cc*(1-(1-MAX(0,MIN(1,IF($C47&lt;=cc_D,0.0035*($C47-P$18)/$C47,0.002*($C47-P$18)/($C47-3*cc_D/7))/0.002)))^2)</f>
        <v/>
      </c>
      <c r="AO47">
        <f>MAX(-fyd_cc,MIN(fyd_cc,Es_cc*IF($C47&lt;=cc_D,0.0035*($C47-Q$18)/$C47,0.002*($C47-Q$18)/($C47-3*cc_D/7))))-fcd_cc*(1-(1-MAX(0,MIN(1,IF($C47&lt;=cc_D,0.0035*($C47-Q$18)/$C47,0.002*($C47-Q$18)/($C47-3*cc_D/7))/0.002)))^2)</f>
        <v/>
      </c>
      <c r="AP47">
        <f>MAX(-fyd_cc,MIN(fyd_cc,Es_cc*IF($C47&lt;=cc_D,0.0035*($C47-R$18)/$C47,0.002*($C47-R$18)/($C47-3*cc_D/7))))-fcd_cc*(1-(1-MAX(0,MIN(1,IF($C47&lt;=cc_D,0.0035*($C47-R$18)/$C47,0.002*($C47-R$18)/($C47-3*cc_D/7))/0.002)))^2)</f>
        <v/>
      </c>
      <c r="AQ47">
        <f>MAX(-fyd_cc,MIN(fyd_cc,Es_cc*IF($C47&lt;=cc_D,0.0035*($C47-S$18)/$C47,0.002*($C47-S$18)/($C47-3*cc_D/7))))-fcd_cc*(1-(1-MAX(0,MIN(1,IF($C47&lt;=cc_D,0.0035*($C47-S$18)/$C47,0.002*($C47-S$18)/($C47-3*cc_D/7))/0.002)))^2)</f>
        <v/>
      </c>
      <c r="AR47">
        <f>MAX(-fyd_cc,MIN(fyd_cc,Es_cc*IF($C47&lt;=cc_D,0.0035*($C47-T$18)/$C47,0.002*($C47-T$18)/($C47-3*cc_D/7))))-fcd_cc*(1-(1-MAX(0,MIN(1,IF($C47&lt;=cc_D,0.0035*($C47-T$18)/$C47,0.002*($C47-T$18)/($C47-3*cc_D/7))/0.002)))^2)</f>
        <v/>
      </c>
      <c r="AS47">
        <f>MAX(-fyd_cc,MIN(fyd_cc,Es_cc*IF($C47&lt;=cc_D,0.0035*($C47-U$18)/$C47,0.002*($C47-U$18)/($C47-3*cc_D/7))))-fcd_cc*(1-(1-MAX(0,MIN(1,IF($C47&lt;=cc_D,0.0035*($C47-U$18)/$C47,0.002*($C47-U$18)/($C47-3*cc_D/7))/0.002)))^2)</f>
        <v/>
      </c>
      <c r="AT47">
        <f>MAX(-fyd_cc,MIN(fyd_cc,Es_cc*IF($C47&lt;=cc_D,0.0035*($C47-V$18)/$C47,0.002*($C47-V$18)/($C47-3*cc_D/7))))-fcd_cc*(1-(1-MAX(0,MIN(1,IF($C47&lt;=cc_D,0.0035*($C47-V$18)/$C47,0.002*($C47-V$18)/($C47-3*cc_D/7))/0.002)))^2)</f>
        <v/>
      </c>
      <c r="AU47">
        <f>MAX(-fyd_cc,MIN(fyd_cc,Es_cc*IF($C47&lt;=cc_D,0.0035*($C47-W$18)/$C47,0.002*($C47-W$18)/($C47-3*cc_D/7))))-fcd_cc*(1-(1-MAX(0,MIN(1,IF($C47&lt;=cc_D,0.0035*($C47-W$18)/$C47,0.002*($C47-W$18)/($C47-3*cc_D/7))/0.002)))^2)</f>
        <v/>
      </c>
      <c r="AV47">
        <f>MAX(-fyd_cc,MIN(fyd_cc,Es_cc*IF($C47&lt;=cc_D,0.0035*($C47-X$18)/$C47,0.002*($C47-X$18)/($C47-3*cc_D/7))))-fcd_cc*(1-(1-MAX(0,MIN(1,IF($C47&lt;=cc_D,0.0035*($C47-X$18)/$C47,0.002*($C47-X$18)/($C47-3*cc_D/7))/0.002)))^2)</f>
        <v/>
      </c>
      <c r="AW47">
        <f>MAX(-fyd_cc,MIN(fyd_cc,Es_cc*IF($C47&lt;=cc_D,0.0035*($C47-Y$18)/$C47,0.002*($C47-Y$18)/($C47-3*cc_D/7))))-fcd_cc*(1-(1-MAX(0,MIN(1,IF($C47&lt;=cc_D,0.0035*($C47-Y$18)/$C47,0.002*($C47-Y$18)/($C47-3*cc_D/7))/0.002)))^2)</f>
        <v/>
      </c>
      <c r="AX47">
        <f>MAX(-fyd_cc,MIN(fyd_cc,Es_cc*IF($C47&lt;=cc_D,0.0035*($C47-Z$18)/$C47,0.002*($C47-Z$18)/($C47-3*cc_D/7))))-fcd_cc*(1-(1-MAX(0,MIN(1,IF($C47&lt;=cc_D,0.0035*($C47-Z$18)/$C47,0.002*($C47-Z$18)/($C47-3*cc_D/7))/0.002)))^2)</f>
        <v/>
      </c>
      <c r="AY47">
        <f>MAX(-fyd_cc,MIN(fyd_cc,Es_cc*IF($C47&lt;=cc_D,0.0035*($C47-AA$18)/$C47,0.002*($C47-AA$18)/($C47-3*cc_D/7))))-fcd_cc*(1-(1-MAX(0,MIN(1,IF($C47&lt;=cc_D,0.0035*($C47-AA$18)/$C47,0.002*($C47-AA$18)/($C47-3*cc_D/7))/0.002)))^2)</f>
        <v/>
      </c>
      <c r="AZ47">
        <f>MAX(-fyd_cc,MIN(fyd_cc,Es_cc*IF($C47&lt;=cc_D,0.0035*($C47-AB$18)/$C47,0.002*($C47-AB$18)/($C47-3*cc_D/7))))-fcd_cc*(1-(1-MAX(0,MIN(1,IF($C47&lt;=cc_D,0.0035*($C47-AB$18)/$C47,0.002*($C47-AB$18)/($C47-3*cc_D/7))/0.002)))^2)</f>
        <v/>
      </c>
      <c r="BA47">
        <f>MAX(-fyd_cc,MIN(fyd_cc,Es_cc*IF($C47&lt;=cc_D,0.0035*($C47-AC$18)/$C47,0.002*($C47-AC$18)/($C47-3*cc_D/7))))-fcd_cc*(1-(1-MAX(0,MIN(1,IF($C47&lt;=cc_D,0.0035*($C47-AC$18)/$C47,0.002*($C47-AC$18)/($C47-3*cc_D/7))/0.002)))^2)</f>
        <v/>
      </c>
      <c r="BB47">
        <f>MAX(-fyd_cc,MIN(fyd_cc,Es_cc*IF($C47&lt;=cc_D,0.0035*($C47-AD$18)/$C47,0.002*($C47-AD$18)/($C47-3*cc_D/7))))-fcd_cc*(1-(1-MAX(0,MIN(1,IF($C47&lt;=cc_D,0.0035*($C47-AD$18)/$C47,0.002*($C47-AD$18)/($C47-3*cc_D/7))/0.002)))^2)</f>
        <v/>
      </c>
      <c r="BC47">
        <f>MAX(-fyd_cc,MIN(fyd_cc,Es_cc*IF($C47&lt;=cc_D,0.0035*($C47-AE$18)/$C47,0.002*($C47-AE$18)/($C47-3*cc_D/7))))-fcd_cc*(1-(1-MAX(0,MIN(1,IF($C47&lt;=cc_D,0.0035*($C47-AE$18)/$C47,0.002*($C47-AE$18)/($C47-3*cc_D/7))/0.002)))^2)</f>
        <v/>
      </c>
      <c r="BD47">
        <f>MAX(-fyd_cc,MIN(fyd_cc,Es_cc*IF($C47&lt;=cc_D,0.0035*($C47-AF$18)/$C47,0.002*($C47-AF$18)/($C47-3*cc_D/7))))-fcd_cc*(1-(1-MAX(0,MIN(1,IF($C47&lt;=cc_D,0.0035*($C47-AF$18)/$C47,0.002*($C47-AF$18)/($C47-3*cc_D/7))/0.002)))^2)</f>
        <v/>
      </c>
      <c r="BE47">
        <f>MAX(-fyd_cc,MIN(fyd_cc,Es_cc*IF($C47&lt;=cc_D,0.0035*($C47-AG$18)/$C47,0.002*($C47-AG$18)/($C47-3*cc_D/7))))-fcd_cc*(1-(1-MAX(0,MIN(1,IF($C47&lt;=cc_D,0.0035*($C47-AG$18)/$C47,0.002*($C47-AG$18)/($C47-3*cc_D/7))/0.002)))^2)</f>
        <v/>
      </c>
      <c r="BF47">
        <f>3*MIN($C47,cc_D)/7</f>
        <v/>
      </c>
      <c r="BG47">
        <f>$C47-$BF47</f>
        <v/>
      </c>
      <c r="BH47">
        <f>ACOS(MAX(-1,MIN(1,1-$BF47/(cc_D/2))))</f>
        <v/>
      </c>
      <c r="BI47">
        <f>ACOS(MAX(-1,MIN(1,1-MIN($C47,cc_D)/(cc_D/2))))</f>
        <v/>
      </c>
      <c r="BJ47">
        <f>((cc_D/2*(1-COS(($BH47+0*($BI47-$BH47)/12)))-$BF47)/$BG47)^2*SIN(($BH47+0*($BI47-$BH47)/12))^2</f>
        <v/>
      </c>
      <c r="BK47">
        <f>((cc_D/2*(1-COS(($BH47+1*($BI47-$BH47)/12)))-$BF47)/$BG47)^2*SIN(($BH47+1*($BI47-$BH47)/12))^2</f>
        <v/>
      </c>
      <c r="BL47">
        <f>((cc_D/2*(1-COS(($BH47+2*($BI47-$BH47)/12)))-$BF47)/$BG47)^2*SIN(($BH47+2*($BI47-$BH47)/12))^2</f>
        <v/>
      </c>
      <c r="BM47">
        <f>((cc_D/2*(1-COS(($BH47+3*($BI47-$BH47)/12)))-$BF47)/$BG47)^2*SIN(($BH47+3*($BI47-$BH47)/12))^2</f>
        <v/>
      </c>
      <c r="BN47">
        <f>((cc_D/2*(1-COS(($BH47+4*($BI47-$BH47)/12)))-$BF47)/$BG47)^2*SIN(($BH47+4*($BI47-$BH47)/12))^2</f>
        <v/>
      </c>
      <c r="BO47">
        <f>((cc_D/2*(1-COS(($BH47+5*($BI47-$BH47)/12)))-$BF47)/$BG47)^2*SIN(($BH47+5*($BI47-$BH47)/12))^2</f>
        <v/>
      </c>
      <c r="BP47">
        <f>((cc_D/2*(1-COS(($BH47+6*($BI47-$BH47)/12)))-$BF47)/$BG47)^2*SIN(($BH47+6*($BI47-$BH47)/12))^2</f>
        <v/>
      </c>
      <c r="BQ47">
        <f>((cc_D/2*(1-COS(($BH47+7*($BI47-$BH47)/12)))-$BF47)/$BG47)^2*SIN(($BH47+7*($BI47-$BH47)/12))^2</f>
        <v/>
      </c>
      <c r="BR47">
        <f>((cc_D/2*(1-COS(($BH47+8*($BI47-$BH47)/12)))-$BF47)/$BG47)^2*SIN(($BH47+8*($BI47-$BH47)/12))^2</f>
        <v/>
      </c>
      <c r="BS47">
        <f>((cc_D/2*(1-COS(($BH47+9*($BI47-$BH47)/12)))-$BF47)/$BG47)^2*SIN(($BH47+9*($BI47-$BH47)/12))^2</f>
        <v/>
      </c>
      <c r="BT47">
        <f>((cc_D/2*(1-COS(($BH47+10*($BI47-$BH47)/12)))-$BF47)/$BG47)^2*SIN(($BH47+10*($BI47-$BH47)/12))^2</f>
        <v/>
      </c>
      <c r="BU47">
        <f>((cc_D/2*(1-COS(($BH47+11*($BI47-$BH47)/12)))-$BF47)/$BG47)^2*SIN(($BH47+11*($BI47-$BH47)/12))^2</f>
        <v/>
      </c>
      <c r="BV47">
        <f>((cc_D/2*(1-COS(($BH47+12*($BI47-$BH47)/12)))-$BF47)/$BG47)^2*SIN(($BH47+12*($BI47-$BH47)/12))^2</f>
        <v/>
      </c>
      <c r="BW47">
        <f>BJ47*COS(($BH47+0*($BI47-$BH47)/12))</f>
        <v/>
      </c>
      <c r="BX47">
        <f>BK47*COS(($BH47+1*($BI47-$BH47)/12))</f>
        <v/>
      </c>
      <c r="BY47">
        <f>BL47*COS(($BH47+2*($BI47-$BH47)/12))</f>
        <v/>
      </c>
      <c r="BZ47">
        <f>BM47*COS(($BH47+3*($BI47-$BH47)/12))</f>
        <v/>
      </c>
      <c r="CA47">
        <f>BN47*COS(($BH47+4*($BI47-$BH47)/12))</f>
        <v/>
      </c>
      <c r="CB47">
        <f>BO47*COS(($BH47+5*($BI47-$BH47)/12))</f>
        <v/>
      </c>
      <c r="CC47">
        <f>BP47*COS(($BH47+6*($BI47-$BH47)/12))</f>
        <v/>
      </c>
      <c r="CD47">
        <f>BQ47*COS(($BH47+7*($BI47-$BH47)/12))</f>
        <v/>
      </c>
      <c r="CE47">
        <f>BR47*COS(($BH47+8*($BI47-$BH47)/12))</f>
        <v/>
      </c>
      <c r="CF47">
        <f>BS47*COS(($BH47+9*($BI47-$BH47)/12))</f>
        <v/>
      </c>
      <c r="CG47">
        <f>BT47*COS(($BH47+10*($BI47-$BH47)/12))</f>
        <v/>
      </c>
      <c r="CH47">
        <f>BU47*COS(($BH47+11*($BI47-$BH47)/12))</f>
        <v/>
      </c>
      <c r="CI47">
        <f>BV47*COS(($BH47+12*($BI47-$BH47)/12))</f>
        <v/>
      </c>
    </row>
    <row r="48">
      <c r="B48" s="53" t="n">
        <v>23</v>
      </c>
      <c r="C48" s="54">
        <f>0.9*cc_D</f>
        <v/>
      </c>
      <c r="D48" s="55">
        <f>IF($C48&lt;=cc_D,3.5,2*$C48/($C48-3*cc_D/7))</f>
        <v/>
      </c>
      <c r="E48" s="56">
        <f>(fcd_cc*((cc_D/2)^2*($BI48-COS($BI48)*SIN($BI48))-2*(cc_D/2)^2*($BI48-$BH48)/12/3*SUMPRODUCT($BJ$4:$BV$4,$BJ48:$BV48))+SUMPRODUCT($J$5:$AG$5,$J48:$AG48))/1000</f>
        <v/>
      </c>
      <c r="F48" s="56">
        <f>(fcd_cc*(2/3*(cc_D/2)^3*SIN($BI48)^3-2*(cc_D/2)^3*($BI48-$BH48)/12/3*SUMPRODUCT($BW$4:$CI$4,$BW48:$CI48))+SUMPRODUCT($J$5:$AG$5,$J48:$AG48,$J$7:$AG$7))/1E6</f>
        <v/>
      </c>
      <c r="G48" s="56">
        <f>(fcd_cc*((cc_D/2)^2*($BI48-COS($BI48)*SIN($BI48))-2*(cc_D/2)^2*($BI48-$BH48)/12/3*SUMPRODUCT($BJ$4:$BV$4,$BJ48:$BV48))+SUMPRODUCT($J$5:$AG$5,$AH48:$BE48))/1000</f>
        <v/>
      </c>
      <c r="H48" s="56">
        <f>(fcd_cc*(2/3*(cc_D/2)^3*SIN($BI48)^3-2*(cc_D/2)^3*($BI48-$BH48)/12/3*SUMPRODUCT($BW$4:$CI$4,$BW48:$CI48))+SUMPRODUCT($J$5:$AG$5,$AH48:$BE48,$J$19:$AG$19))/1E6</f>
        <v/>
      </c>
      <c r="J48">
        <f>MAX(-fyd_cc,MIN(fyd_cc,Es_cc*IF($C48&lt;=cc_D,0.0035*($C48-J$6)/$C48,0.002*($C48-J$6)/($C48-3*cc_D/7))))-fcd_cc*(1-(1-MAX(0,MIN(1,IF($C48&lt;=cc_D,0.0035*($C48-J$6)/$C48,0.002*($C48-J$6)/($C48-3*cc_D/7))/0.002)))^2)</f>
        <v/>
      </c>
      <c r="K48">
        <f>MAX(-fyd_cc,MIN(fyd_cc,Es_cc*IF($C48&lt;=cc_D,0.0035*($C48-K$6)/$C48,0.002*($C48-K$6)/($C48-3*cc_D/7))))-fcd_cc*(1-(1-MAX(0,MIN(1,IF($C48&lt;=cc_D,0.0035*($C48-K$6)/$C48,0.002*($C48-K$6)/($C48-3*cc_D/7))/0.002)))^2)</f>
        <v/>
      </c>
      <c r="L48">
        <f>MAX(-fyd_cc,MIN(fyd_cc,Es_cc*IF($C48&lt;=cc_D,0.0035*($C48-L$6)/$C48,0.002*($C48-L$6)/($C48-3*cc_D/7))))-fcd_cc*(1-(1-MAX(0,MIN(1,IF($C48&lt;=cc_D,0.0035*($C48-L$6)/$C48,0.002*($C48-L$6)/($C48-3*cc_D/7))/0.002)))^2)</f>
        <v/>
      </c>
      <c r="M48">
        <f>MAX(-fyd_cc,MIN(fyd_cc,Es_cc*IF($C48&lt;=cc_D,0.0035*($C48-M$6)/$C48,0.002*($C48-M$6)/($C48-3*cc_D/7))))-fcd_cc*(1-(1-MAX(0,MIN(1,IF($C48&lt;=cc_D,0.0035*($C48-M$6)/$C48,0.002*($C48-M$6)/($C48-3*cc_D/7))/0.002)))^2)</f>
        <v/>
      </c>
      <c r="N48">
        <f>MAX(-fyd_cc,MIN(fyd_cc,Es_cc*IF($C48&lt;=cc_D,0.0035*($C48-N$6)/$C48,0.002*($C48-N$6)/($C48-3*cc_D/7))))-fcd_cc*(1-(1-MAX(0,MIN(1,IF($C48&lt;=cc_D,0.0035*($C48-N$6)/$C48,0.002*($C48-N$6)/($C48-3*cc_D/7))/0.002)))^2)</f>
        <v/>
      </c>
      <c r="O48">
        <f>MAX(-fyd_cc,MIN(fyd_cc,Es_cc*IF($C48&lt;=cc_D,0.0035*($C48-O$6)/$C48,0.002*($C48-O$6)/($C48-3*cc_D/7))))-fcd_cc*(1-(1-MAX(0,MIN(1,IF($C48&lt;=cc_D,0.0035*($C48-O$6)/$C48,0.002*($C48-O$6)/($C48-3*cc_D/7))/0.002)))^2)</f>
        <v/>
      </c>
      <c r="P48">
        <f>MAX(-fyd_cc,MIN(fyd_cc,Es_cc*IF($C48&lt;=cc_D,0.0035*($C48-P$6)/$C48,0.002*($C48-P$6)/($C48-3*cc_D/7))))-fcd_cc*(1-(1-MAX(0,MIN(1,IF($C48&lt;=cc_D,0.0035*($C48-P$6)/$C48,0.002*($C48-P$6)/($C48-3*cc_D/7))/0.002)))^2)</f>
        <v/>
      </c>
      <c r="Q48">
        <f>MAX(-fyd_cc,MIN(fyd_cc,Es_cc*IF($C48&lt;=cc_D,0.0035*($C48-Q$6)/$C48,0.002*($C48-Q$6)/($C48-3*cc_D/7))))-fcd_cc*(1-(1-MAX(0,MIN(1,IF($C48&lt;=cc_D,0.0035*($C48-Q$6)/$C48,0.002*($C48-Q$6)/($C48-3*cc_D/7))/0.002)))^2)</f>
        <v/>
      </c>
      <c r="R48">
        <f>MAX(-fyd_cc,MIN(fyd_cc,Es_cc*IF($C48&lt;=cc_D,0.0035*($C48-R$6)/$C48,0.002*($C48-R$6)/($C48-3*cc_D/7))))-fcd_cc*(1-(1-MAX(0,MIN(1,IF($C48&lt;=cc_D,0.0035*($C48-R$6)/$C48,0.002*($C48-R$6)/($C48-3*cc_D/7))/0.002)))^2)</f>
        <v/>
      </c>
      <c r="S48">
        <f>MAX(-fyd_cc,MIN(fyd_cc,Es_cc*IF($C48&lt;=cc_D,0.0035*($C48-S$6)/$C48,0.002*($C48-S$6)/($C48-3*cc_D/7))))-fcd_cc*(1-(1-MAX(0,MIN(1,IF($C48&lt;=cc_D,0.0035*($C48-S$6)/$C48,0.002*($C48-S$6)/($C48-3*cc_D/7))/0.002)))^2)</f>
        <v/>
      </c>
      <c r="T48">
        <f>MAX(-fyd_cc,MIN(fyd_cc,Es_cc*IF($C48&lt;=cc_D,0.0035*($C48-T$6)/$C48,0.002*($C48-T$6)/($C48-3*cc_D/7))))-fcd_cc*(1-(1-MAX(0,MIN(1,IF($C48&lt;=cc_D,0.0035*($C48-T$6)/$C48,0.002*($C48-T$6)/($C48-3*cc_D/7))/0.002)))^2)</f>
        <v/>
      </c>
      <c r="U48">
        <f>MAX(-fyd_cc,MIN(fyd_cc,Es_cc*IF($C48&lt;=cc_D,0.0035*($C48-U$6)/$C48,0.002*($C48-U$6)/($C48-3*cc_D/7))))-fcd_cc*(1-(1-MAX(0,MIN(1,IF($C48&lt;=cc_D,0.0035*($C48-U$6)/$C48,0.002*($C48-U$6)/($C48-3*cc_D/7))/0.002)))^2)</f>
        <v/>
      </c>
      <c r="V48">
        <f>MAX(-fyd_cc,MIN(fyd_cc,Es_cc*IF($C48&lt;=cc_D,0.0035*($C48-V$6)/$C48,0.002*($C48-V$6)/($C48-3*cc_D/7))))-fcd_cc*(1-(1-MAX(0,MIN(1,IF($C48&lt;=cc_D,0.0035*($C48-V$6)/$C48,0.002*($C48-V$6)/($C48-3*cc_D/7))/0.002)))^2)</f>
        <v/>
      </c>
      <c r="W48">
        <f>MAX(-fyd_cc,MIN(fyd_cc,Es_cc*IF($C48&lt;=cc_D,0.0035*($C48-W$6)/$C48,0.002*($C48-W$6)/($C48-3*cc_D/7))))-fcd_cc*(1-(1-MAX(0,MIN(1,IF($C48&lt;=cc_D,0.0035*($C48-W$6)/$C48,0.002*($C48-W$6)/($C48-3*cc_D/7))/0.002)))^2)</f>
        <v/>
      </c>
      <c r="X48">
        <f>MAX(-fyd_cc,MIN(fyd_cc,Es_cc*IF($C48&lt;=cc_D,0.0035*($C48-X$6)/$C48,0.002*($C48-X$6)/($C48-3*cc_D/7))))-fcd_cc*(1-(1-MAX(0,MIN(1,IF($C48&lt;=cc_D,0.0035*($C48-X$6)/$C48,0.002*($C48-X$6)/($C48-3*cc_D/7))/0.002)))^2)</f>
        <v/>
      </c>
      <c r="Y48">
        <f>MAX(-fyd_cc,MIN(fyd_cc,Es_cc*IF($C48&lt;=cc_D,0.0035*($C48-Y$6)/$C48,0.002*($C48-Y$6)/($C48-3*cc_D/7))))-fcd_cc*(1-(1-MAX(0,MIN(1,IF($C48&lt;=cc_D,0.0035*($C48-Y$6)/$C48,0.002*($C48-Y$6)/($C48-3*cc_D/7))/0.002)))^2)</f>
        <v/>
      </c>
      <c r="Z48">
        <f>MAX(-fyd_cc,MIN(fyd_cc,Es_cc*IF($C48&lt;=cc_D,0.0035*($C48-Z$6)/$C48,0.002*($C48-Z$6)/($C48-3*cc_D/7))))-fcd_cc*(1-(1-MAX(0,MIN(1,IF($C48&lt;=cc_D,0.0035*($C48-Z$6)/$C48,0.002*($C48-Z$6)/($C48-3*cc_D/7))/0.002)))^2)</f>
        <v/>
      </c>
      <c r="AA48">
        <f>MAX(-fyd_cc,MIN(fyd_cc,Es_cc*IF($C48&lt;=cc_D,0.0035*($C48-AA$6)/$C48,0.002*($C48-AA$6)/($C48-3*cc_D/7))))-fcd_cc*(1-(1-MAX(0,MIN(1,IF($C48&lt;=cc_D,0.0035*($C48-AA$6)/$C48,0.002*($C48-AA$6)/($C48-3*cc_D/7))/0.002)))^2)</f>
        <v/>
      </c>
      <c r="AB48">
        <f>MAX(-fyd_cc,MIN(fyd_cc,Es_cc*IF($C48&lt;=cc_D,0.0035*($C48-AB$6)/$C48,0.002*($C48-AB$6)/($C48-3*cc_D/7))))-fcd_cc*(1-(1-MAX(0,MIN(1,IF($C48&lt;=cc_D,0.0035*($C48-AB$6)/$C48,0.002*($C48-AB$6)/($C48-3*cc_D/7))/0.002)))^2)</f>
        <v/>
      </c>
      <c r="AC48">
        <f>MAX(-fyd_cc,MIN(fyd_cc,Es_cc*IF($C48&lt;=cc_D,0.0035*($C48-AC$6)/$C48,0.002*($C48-AC$6)/($C48-3*cc_D/7))))-fcd_cc*(1-(1-MAX(0,MIN(1,IF($C48&lt;=cc_D,0.0035*($C48-AC$6)/$C48,0.002*($C48-AC$6)/($C48-3*cc_D/7))/0.002)))^2)</f>
        <v/>
      </c>
      <c r="AD48">
        <f>MAX(-fyd_cc,MIN(fyd_cc,Es_cc*IF($C48&lt;=cc_D,0.0035*($C48-AD$6)/$C48,0.002*($C48-AD$6)/($C48-3*cc_D/7))))-fcd_cc*(1-(1-MAX(0,MIN(1,IF($C48&lt;=cc_D,0.0035*($C48-AD$6)/$C48,0.002*($C48-AD$6)/($C48-3*cc_D/7))/0.002)))^2)</f>
        <v/>
      </c>
      <c r="AE48">
        <f>MAX(-fyd_cc,MIN(fyd_cc,Es_cc*IF($C48&lt;=cc_D,0.0035*($C48-AE$6)/$C48,0.002*($C48-AE$6)/($C48-3*cc_D/7))))-fcd_cc*(1-(1-MAX(0,MIN(1,IF($C48&lt;=cc_D,0.0035*($C48-AE$6)/$C48,0.002*($C48-AE$6)/($C48-3*cc_D/7))/0.002)))^2)</f>
        <v/>
      </c>
      <c r="AF48">
        <f>MAX(-fyd_cc,MIN(fyd_cc,Es_cc*IF($C48&lt;=cc_D,0.0035*($C48-AF$6)/$C48,0.002*($C48-AF$6)/($C48-3*cc_D/7))))-fcd_cc*(1-(1-MAX(0,MIN(1,IF($C48&lt;=cc_D,0.0035*($C48-AF$6)/$C48,0.002*($C48-AF$6)/($C48-3*cc_D/7))/0.002)))^2)</f>
        <v/>
      </c>
      <c r="AG48">
        <f>MAX(-fyd_cc,MIN(fyd_cc,Es_cc*IF($C48&lt;=cc_D,0.0035*($C48-AG$6)/$C48,0.002*($C48-AG$6)/($C48-3*cc_D/7))))-fcd_cc*(1-(1-MAX(0,MIN(1,IF($C48&lt;=cc_D,0.0035*($C48-AG$6)/$C48,0.002*($C48-AG$6)/($C48-3*cc_D/7))/0.002)))^2)</f>
        <v/>
      </c>
      <c r="AH48">
        <f>MAX(-fyd_cc,MIN(fyd_cc,Es_cc*IF($C48&lt;=cc_D,0.0035*($C48-J$18)/$C48,0.002*($C48-J$18)/($C48-3*cc_D/7))))-fcd_cc*(1-(1-MAX(0,MIN(1,IF($C48&lt;=cc_D,0.0035*($C48-J$18)/$C48,0.002*($C48-J$18)/($C48-3*cc_D/7))/0.002)))^2)</f>
        <v/>
      </c>
      <c r="AI48">
        <f>MAX(-fyd_cc,MIN(fyd_cc,Es_cc*IF($C48&lt;=cc_D,0.0035*($C48-K$18)/$C48,0.002*($C48-K$18)/($C48-3*cc_D/7))))-fcd_cc*(1-(1-MAX(0,MIN(1,IF($C48&lt;=cc_D,0.0035*($C48-K$18)/$C48,0.002*($C48-K$18)/($C48-3*cc_D/7))/0.002)))^2)</f>
        <v/>
      </c>
      <c r="AJ48">
        <f>MAX(-fyd_cc,MIN(fyd_cc,Es_cc*IF($C48&lt;=cc_D,0.0035*($C48-L$18)/$C48,0.002*($C48-L$18)/($C48-3*cc_D/7))))-fcd_cc*(1-(1-MAX(0,MIN(1,IF($C48&lt;=cc_D,0.0035*($C48-L$18)/$C48,0.002*($C48-L$18)/($C48-3*cc_D/7))/0.002)))^2)</f>
        <v/>
      </c>
      <c r="AK48">
        <f>MAX(-fyd_cc,MIN(fyd_cc,Es_cc*IF($C48&lt;=cc_D,0.0035*($C48-M$18)/$C48,0.002*($C48-M$18)/($C48-3*cc_D/7))))-fcd_cc*(1-(1-MAX(0,MIN(1,IF($C48&lt;=cc_D,0.0035*($C48-M$18)/$C48,0.002*($C48-M$18)/($C48-3*cc_D/7))/0.002)))^2)</f>
        <v/>
      </c>
      <c r="AL48">
        <f>MAX(-fyd_cc,MIN(fyd_cc,Es_cc*IF($C48&lt;=cc_D,0.0035*($C48-N$18)/$C48,0.002*($C48-N$18)/($C48-3*cc_D/7))))-fcd_cc*(1-(1-MAX(0,MIN(1,IF($C48&lt;=cc_D,0.0035*($C48-N$18)/$C48,0.002*($C48-N$18)/($C48-3*cc_D/7))/0.002)))^2)</f>
        <v/>
      </c>
      <c r="AM48">
        <f>MAX(-fyd_cc,MIN(fyd_cc,Es_cc*IF($C48&lt;=cc_D,0.0035*($C48-O$18)/$C48,0.002*($C48-O$18)/($C48-3*cc_D/7))))-fcd_cc*(1-(1-MAX(0,MIN(1,IF($C48&lt;=cc_D,0.0035*($C48-O$18)/$C48,0.002*($C48-O$18)/($C48-3*cc_D/7))/0.002)))^2)</f>
        <v/>
      </c>
      <c r="AN48">
        <f>MAX(-fyd_cc,MIN(fyd_cc,Es_cc*IF($C48&lt;=cc_D,0.0035*($C48-P$18)/$C48,0.002*($C48-P$18)/($C48-3*cc_D/7))))-fcd_cc*(1-(1-MAX(0,MIN(1,IF($C48&lt;=cc_D,0.0035*($C48-P$18)/$C48,0.002*($C48-P$18)/($C48-3*cc_D/7))/0.002)))^2)</f>
        <v/>
      </c>
      <c r="AO48">
        <f>MAX(-fyd_cc,MIN(fyd_cc,Es_cc*IF($C48&lt;=cc_D,0.0035*($C48-Q$18)/$C48,0.002*($C48-Q$18)/($C48-3*cc_D/7))))-fcd_cc*(1-(1-MAX(0,MIN(1,IF($C48&lt;=cc_D,0.0035*($C48-Q$18)/$C48,0.002*($C48-Q$18)/($C48-3*cc_D/7))/0.002)))^2)</f>
        <v/>
      </c>
      <c r="AP48">
        <f>MAX(-fyd_cc,MIN(fyd_cc,Es_cc*IF($C48&lt;=cc_D,0.0035*($C48-R$18)/$C48,0.002*($C48-R$18)/($C48-3*cc_D/7))))-fcd_cc*(1-(1-MAX(0,MIN(1,IF($C48&lt;=cc_D,0.0035*($C48-R$18)/$C48,0.002*($C48-R$18)/($C48-3*cc_D/7))/0.002)))^2)</f>
        <v/>
      </c>
      <c r="AQ48">
        <f>MAX(-fyd_cc,MIN(fyd_cc,Es_cc*IF($C48&lt;=cc_D,0.0035*($C48-S$18)/$C48,0.002*($C48-S$18)/($C48-3*cc_D/7))))-fcd_cc*(1-(1-MAX(0,MIN(1,IF($C48&lt;=cc_D,0.0035*($C48-S$18)/$C48,0.002*($C48-S$18)/($C48-3*cc_D/7))/0.002)))^2)</f>
        <v/>
      </c>
      <c r="AR48">
        <f>MAX(-fyd_cc,MIN(fyd_cc,Es_cc*IF($C48&lt;=cc_D,0.0035*($C48-T$18)/$C48,0.002*($C48-T$18)/($C48-3*cc_D/7))))-fcd_cc*(1-(1-MAX(0,MIN(1,IF($C48&lt;=cc_D,0.0035*($C48-T$18)/$C48,0.002*($C48-T$18)/($C48-3*cc_D/7))/0.002)))^2)</f>
        <v/>
      </c>
      <c r="AS48">
        <f>MAX(-fyd_cc,MIN(fyd_cc,Es_cc*IF($C48&lt;=cc_D,0.0035*($C48-U$18)/$C48,0.002*($C48-U$18)/($C48-3*cc_D/7))))-fcd_cc*(1-(1-MAX(0,MIN(1,IF($C48&lt;=cc_D,0.0035*($C48-U$18)/$C48,0.002*($C48-U$18)/($C48-3*cc_D/7))/0.002)))^2)</f>
        <v/>
      </c>
      <c r="AT48">
        <f>MAX(-fyd_cc,MIN(fyd_cc,Es_cc*IF($C48&lt;=cc_D,0.0035*($C48-V$18)/$C48,0.002*($C48-V$18)/($C48-3*cc_D/7))))-fcd_cc*(1-(1-MAX(0,MIN(1,IF($C48&lt;=cc_D,0.0035*($C48-V$18)/$C48,0.002*($C48-V$18)/($C48-3*cc_D/7))/0.002)))^2)</f>
        <v/>
      </c>
      <c r="AU48">
        <f>MAX(-fyd_cc,MIN(fyd_cc,Es_cc*IF($C48&lt;=cc_D,0.0035*($C48-W$18)/$C48,0.002*($C48-W$18)/($C48-3*cc_D/7))))-fcd_cc*(1-(1-MAX(0,MIN(1,IF($C48&lt;=cc_D,0.0035*($C48-W$18)/$C48,0.002*($C48-W$18)/($C48-3*cc_D/7))/0.002)))^2)</f>
        <v/>
      </c>
      <c r="AV48">
        <f>MAX(-fyd_cc,MIN(fyd_cc,Es_cc*IF($C48&lt;=cc_D,0.0035*($C48-X$18)/$C48,0.002*($C48-X$18)/($C48-3*cc_D/7))))-fcd_cc*(1-(1-MAX(0,MIN(1,IF($C48&lt;=cc_D,0.0035*($C48-X$18)/$C48,0.002*($C48-X$18)/($C48-3*cc_D/7))/0.002)))^2)</f>
        <v/>
      </c>
      <c r="AW48">
        <f>MAX(-fyd_cc,MIN(fyd_cc,Es_cc*IF($C48&lt;=cc_D,0.0035*($C48-Y$18)/$C48,0.002*($C48-Y$18)/($C48-3*cc_D/7))))-fcd_cc*(1-(1-MAX(0,MIN(1,IF($C48&lt;=cc_D,0.0035*($C48-Y$18)/$C48,0.002*($C48-Y$18)/($C48-3*cc_D/7))/0.002)))^2)</f>
        <v/>
      </c>
      <c r="AX48">
        <f>MAX(-fyd_cc,MIN(fyd_cc,Es_cc*IF($C48&lt;=cc_D,0.0035*($C48-Z$18)/$C48,0.002*($C48-Z$18)/($C48-3*cc_D/7))))-fcd_cc*(1-(1-MAX(0,MIN(1,IF($C48&lt;=cc_D,0.0035*($C48-Z$18)/$C48,0.002*($C48-Z$18)/($C48-3*cc_D/7))/0.002)))^2)</f>
        <v/>
      </c>
      <c r="AY48">
        <f>MAX(-fyd_cc,MIN(fyd_cc,Es_cc*IF($C48&lt;=cc_D,0.0035*($C48-AA$18)/$C48,0.002*($C48-AA$18)/($C48-3*cc_D/7))))-fcd_cc*(1-(1-MAX(0,MIN(1,IF($C48&lt;=cc_D,0.0035*($C48-AA$18)/$C48,0.002*($C48-AA$18)/($C48-3*cc_D/7))/0.002)))^2)</f>
        <v/>
      </c>
      <c r="AZ48">
        <f>MAX(-fyd_cc,MIN(fyd_cc,Es_cc*IF($C48&lt;=cc_D,0.0035*($C48-AB$18)/$C48,0.002*($C48-AB$18)/($C48-3*cc_D/7))))-fcd_cc*(1-(1-MAX(0,MIN(1,IF($C48&lt;=cc_D,0.0035*($C48-AB$18)/$C48,0.002*($C48-AB$18)/($C48-3*cc_D/7))/0.002)))^2)</f>
        <v/>
      </c>
      <c r="BA48">
        <f>MAX(-fyd_cc,MIN(fyd_cc,Es_cc*IF($C48&lt;=cc_D,0.0035*($C48-AC$18)/$C48,0.002*($C48-AC$18)/($C48-3*cc_D/7))))-fcd_cc*(1-(1-MAX(0,MIN(1,IF($C48&lt;=cc_D,0.0035*($C48-AC$18)/$C48,0.002*($C48-AC$18)/($C48-3*cc_D/7))/0.002)))^2)</f>
        <v/>
      </c>
      <c r="BB48">
        <f>MAX(-fyd_cc,MIN(fyd_cc,Es_cc*IF($C48&lt;=cc_D,0.0035*($C48-AD$18)/$C48,0.002*($C48-AD$18)/($C48-3*cc_D/7))))-fcd_cc*(1-(1-MAX(0,MIN(1,IF($C48&lt;=cc_D,0.0035*($C48-AD$18)/$C48,0.002*($C48-AD$18)/($C48-3*cc_D/7))/0.002)))^2)</f>
        <v/>
      </c>
      <c r="BC48">
        <f>MAX(-fyd_cc,MIN(fyd_cc,Es_cc*IF($C48&lt;=cc_D,0.0035*($C48-AE$18)/$C48,0.002*($C48-AE$18)/($C48-3*cc_D/7))))-fcd_cc*(1-(1-MAX(0,MIN(1,IF($C48&lt;=cc_D,0.0035*($C48-AE$18)/$C48,0.002*($C48-AE$18)/($C48-3*cc_D/7))/0.002)))^2)</f>
        <v/>
      </c>
      <c r="BD48">
        <f>MAX(-fyd_cc,MIN(fyd_cc,Es_cc*IF($C48&lt;=cc_D,0.0035*($C48-AF$18)/$C48,0.002*($C48-AF$18)/($C48-3*cc_D/7))))-fcd_cc*(1-(1-MAX(0,MIN(1,IF($C48&lt;=cc_D,0.0035*($C48-AF$18)/$C48,0.002*($C48-AF$18)/($C48-3*cc_D/7))/0.002)))^2)</f>
        <v/>
      </c>
      <c r="BE48">
        <f>MAX(-fyd_cc,MIN(fyd_cc,Es_cc*IF($C48&lt;=cc_D,0.0035*($C48-AG$18)/$C48,0.002*($C48-AG$18)/($C48-3*cc_D/7))))-fcd_cc*(1-(1-MAX(0,MIN(1,IF($C48&lt;=cc_D,0.0035*($C48-AG$18)/$C48,0.002*($C48-AG$18)/($C48-3*cc_D/7))/0.002)))^2)</f>
        <v/>
      </c>
      <c r="BF48">
        <f>3*MIN($C48,cc_D)/7</f>
        <v/>
      </c>
      <c r="BG48">
        <f>$C48-$BF48</f>
        <v/>
      </c>
      <c r="BH48">
        <f>ACOS(MAX(-1,MIN(1,1-$BF48/(cc_D/2))))</f>
        <v/>
      </c>
      <c r="BI48">
        <f>ACOS(MAX(-1,MIN(1,1-MIN($C48,cc_D)/(cc_D/2))))</f>
        <v/>
      </c>
      <c r="BJ48">
        <f>((cc_D/2*(1-COS(($BH48+0*($BI48-$BH48)/12)))-$BF48)/$BG48)^2*SIN(($BH48+0*($BI48-$BH48)/12))^2</f>
        <v/>
      </c>
      <c r="BK48">
        <f>((cc_D/2*(1-COS(($BH48+1*($BI48-$BH48)/12)))-$BF48)/$BG48)^2*SIN(($BH48+1*($BI48-$BH48)/12))^2</f>
        <v/>
      </c>
      <c r="BL48">
        <f>((cc_D/2*(1-COS(($BH48+2*($BI48-$BH48)/12)))-$BF48)/$BG48)^2*SIN(($BH48+2*($BI48-$BH48)/12))^2</f>
        <v/>
      </c>
      <c r="BM48">
        <f>((cc_D/2*(1-COS(($BH48+3*($BI48-$BH48)/12)))-$BF48)/$BG48)^2*SIN(($BH48+3*($BI48-$BH48)/12))^2</f>
        <v/>
      </c>
      <c r="BN48">
        <f>((cc_D/2*(1-COS(($BH48+4*($BI48-$BH48)/12)))-$BF48)/$BG48)^2*SIN(($BH48+4*($BI48-$BH48)/12))^2</f>
        <v/>
      </c>
      <c r="BO48">
        <f>((cc_D/2*(1-COS(($BH48+5*($BI48-$BH48)/12)))-$BF48)/$BG48)^2*SIN(($BH48+5*($BI48-$BH48)/12))^2</f>
        <v/>
      </c>
      <c r="BP48">
        <f>((cc_D/2*(1-COS(($BH48+6*($BI48-$BH48)/12)))-$BF48)/$BG48)^2*SIN(($BH48+6*($BI48-$BH48)/12))^2</f>
        <v/>
      </c>
      <c r="BQ48">
        <f>((cc_D/2*(1-COS(($BH48+7*($BI48-$BH48)/12)))-$BF48)/$BG48)^2*SIN(($BH48+7*($BI48-$BH48)/12))^2</f>
        <v/>
      </c>
      <c r="BR48">
        <f>((cc_D/2*(1-COS(($BH48+8*($BI48-$BH48)/12)))-$BF48)/$BG48)^2*SIN(($BH48+8*($BI48-$BH48)/12))^2</f>
        <v/>
      </c>
      <c r="BS48">
        <f>((cc_D/2*(1-COS(($BH48+9*($BI48-$BH48)/12)))-$BF48)/$BG48)^2*SIN(($BH48+9*($BI48-$BH48)/12))^2</f>
        <v/>
      </c>
      <c r="BT48">
        <f>((cc_D/2*(1-COS(($BH48+10*($BI48-$BH48)/12)))-$BF48)/$BG48)^2*SIN(($BH48+10*($BI48-$BH48)/12))^2</f>
        <v/>
      </c>
      <c r="BU48">
        <f>((cc_D/2*(1-COS(($BH48+11*($BI48-$BH48)/12)))-$BF48)/$BG48)^2*SIN(($BH48+11*($BI48-$BH48)/12))^2</f>
        <v/>
      </c>
      <c r="BV48">
        <f>((cc_D/2*(1-COS(($BH48+12*($BI48-$BH48)/12)))-$BF48)/$BG48)^2*SIN(($BH48+12*($BI48-$BH48)/12))^2</f>
        <v/>
      </c>
      <c r="BW48">
        <f>BJ48*COS(($BH48+0*($BI48-$BH48)/12))</f>
        <v/>
      </c>
      <c r="BX48">
        <f>BK48*COS(($BH48+1*($BI48-$BH48)/12))</f>
        <v/>
      </c>
      <c r="BY48">
        <f>BL48*COS(($BH48+2*($BI48-$BH48)/12))</f>
        <v/>
      </c>
      <c r="BZ48">
        <f>BM48*COS(($BH48+3*($BI48-$BH48)/12))</f>
        <v/>
      </c>
      <c r="CA48">
        <f>BN48*COS(($BH48+4*($BI48-$BH48)/12))</f>
        <v/>
      </c>
      <c r="CB48">
        <f>BO48*COS(($BH48+5*($BI48-$BH48)/12))</f>
        <v/>
      </c>
      <c r="CC48">
        <f>BP48*COS(($BH48+6*($BI48-$BH48)/12))</f>
        <v/>
      </c>
      <c r="CD48">
        <f>BQ48*COS(($BH48+7*($BI48-$BH48)/12))</f>
        <v/>
      </c>
      <c r="CE48">
        <f>BR48*COS(($BH48+8*($BI48-$BH48)/12))</f>
        <v/>
      </c>
      <c r="CF48">
        <f>BS48*COS(($BH48+9*($BI48-$BH48)/12))</f>
        <v/>
      </c>
      <c r="CG48">
        <f>BT48*COS(($BH48+10*($BI48-$BH48)/12))</f>
        <v/>
      </c>
      <c r="CH48">
        <f>BU48*COS(($BH48+11*($BI48-$BH48)/12))</f>
        <v/>
      </c>
      <c r="CI48">
        <f>BV48*COS(($BH48+12*($BI48-$BH48)/12))</f>
        <v/>
      </c>
    </row>
    <row r="49">
      <c r="B49" s="53" t="n">
        <v>24</v>
      </c>
      <c r="C49" s="54">
        <f>0.95*cc_D</f>
        <v/>
      </c>
      <c r="D49" s="55">
        <f>IF($C49&lt;=cc_D,3.5,2*$C49/($C49-3*cc_D/7))</f>
        <v/>
      </c>
      <c r="E49" s="56">
        <f>(fcd_cc*((cc_D/2)^2*($BI49-COS($BI49)*SIN($BI49))-2*(cc_D/2)^2*($BI49-$BH49)/12/3*SUMPRODUCT($BJ$4:$BV$4,$BJ49:$BV49))+SUMPRODUCT($J$5:$AG$5,$J49:$AG49))/1000</f>
        <v/>
      </c>
      <c r="F49" s="56">
        <f>(fcd_cc*(2/3*(cc_D/2)^3*SIN($BI49)^3-2*(cc_D/2)^3*($BI49-$BH49)/12/3*SUMPRODUCT($BW$4:$CI$4,$BW49:$CI49))+SUMPRODUCT($J$5:$AG$5,$J49:$AG49,$J$7:$AG$7))/1E6</f>
        <v/>
      </c>
      <c r="G49" s="56">
        <f>(fcd_cc*((cc_D/2)^2*($BI49-COS($BI49)*SIN($BI49))-2*(cc_D/2)^2*($BI49-$BH49)/12/3*SUMPRODUCT($BJ$4:$BV$4,$BJ49:$BV49))+SUMPRODUCT($J$5:$AG$5,$AH49:$BE49))/1000</f>
        <v/>
      </c>
      <c r="H49" s="56">
        <f>(fcd_cc*(2/3*(cc_D/2)^3*SIN($BI49)^3-2*(cc_D/2)^3*($BI49-$BH49)/12/3*SUMPRODUCT($BW$4:$CI$4,$BW49:$CI49))+SUMPRODUCT($J$5:$AG$5,$AH49:$BE49,$J$19:$AG$19))/1E6</f>
        <v/>
      </c>
      <c r="J49">
        <f>MAX(-fyd_cc,MIN(fyd_cc,Es_cc*IF($C49&lt;=cc_D,0.0035*($C49-J$6)/$C49,0.002*($C49-J$6)/($C49-3*cc_D/7))))-fcd_cc*(1-(1-MAX(0,MIN(1,IF($C49&lt;=cc_D,0.0035*($C49-J$6)/$C49,0.002*($C49-J$6)/($C49-3*cc_D/7))/0.002)))^2)</f>
        <v/>
      </c>
      <c r="K49">
        <f>MAX(-fyd_cc,MIN(fyd_cc,Es_cc*IF($C49&lt;=cc_D,0.0035*($C49-K$6)/$C49,0.002*($C49-K$6)/($C49-3*cc_D/7))))-fcd_cc*(1-(1-MAX(0,MIN(1,IF($C49&lt;=cc_D,0.0035*($C49-K$6)/$C49,0.002*($C49-K$6)/($C49-3*cc_D/7))/0.002)))^2)</f>
        <v/>
      </c>
      <c r="L49">
        <f>MAX(-fyd_cc,MIN(fyd_cc,Es_cc*IF($C49&lt;=cc_D,0.0035*($C49-L$6)/$C49,0.002*($C49-L$6)/($C49-3*cc_D/7))))-fcd_cc*(1-(1-MAX(0,MIN(1,IF($C49&lt;=cc_D,0.0035*($C49-L$6)/$C49,0.002*($C49-L$6)/($C49-3*cc_D/7))/0.002)))^2)</f>
        <v/>
      </c>
      <c r="M49">
        <f>MAX(-fyd_cc,MIN(fyd_cc,Es_cc*IF($C49&lt;=cc_D,0.0035*($C49-M$6)/$C49,0.002*($C49-M$6)/($C49-3*cc_D/7))))-fcd_cc*(1-(1-MAX(0,MIN(1,IF($C49&lt;=cc_D,0.0035*($C49-M$6)/$C49,0.002*($C49-M$6)/($C49-3*cc_D/7))/0.002)))^2)</f>
        <v/>
      </c>
      <c r="N49">
        <f>MAX(-fyd_cc,MIN(fyd_cc,Es_cc*IF($C49&lt;=cc_D,0.0035*($C49-N$6)/$C49,0.002*($C49-N$6)/($C49-3*cc_D/7))))-fcd_cc*(1-(1-MAX(0,MIN(1,IF($C49&lt;=cc_D,0.0035*($C49-N$6)/$C49,0.002*($C49-N$6)/($C49-3*cc_D/7))/0.002)))^2)</f>
        <v/>
      </c>
      <c r="O49">
        <f>MAX(-fyd_cc,MIN(fyd_cc,Es_cc*IF($C49&lt;=cc_D,0.0035*($C49-O$6)/$C49,0.002*($C49-O$6)/($C49-3*cc_D/7))))-fcd_cc*(1-(1-MAX(0,MIN(1,IF($C49&lt;=cc_D,0.0035*($C49-O$6)/$C49,0.002*($C49-O$6)/($C49-3*cc_D/7))/0.002)))^2)</f>
        <v/>
      </c>
      <c r="P49">
        <f>MAX(-fyd_cc,MIN(fyd_cc,Es_cc*IF($C49&lt;=cc_D,0.0035*($C49-P$6)/$C49,0.002*($C49-P$6)/($C49-3*cc_D/7))))-fcd_cc*(1-(1-MAX(0,MIN(1,IF($C49&lt;=cc_D,0.0035*($C49-P$6)/$C49,0.002*($C49-P$6)/($C49-3*cc_D/7))/0.002)))^2)</f>
        <v/>
      </c>
      <c r="Q49">
        <f>MAX(-fyd_cc,MIN(fyd_cc,Es_cc*IF($C49&lt;=cc_D,0.0035*($C49-Q$6)/$C49,0.002*($C49-Q$6)/($C49-3*cc_D/7))))-fcd_cc*(1-(1-MAX(0,MIN(1,IF($C49&lt;=cc_D,0.0035*($C49-Q$6)/$C49,0.002*($C49-Q$6)/($C49-3*cc_D/7))/0.002)))^2)</f>
        <v/>
      </c>
      <c r="R49">
        <f>MAX(-fyd_cc,MIN(fyd_cc,Es_cc*IF($C49&lt;=cc_D,0.0035*($C49-R$6)/$C49,0.002*($C49-R$6)/($C49-3*cc_D/7))))-fcd_cc*(1-(1-MAX(0,MIN(1,IF($C49&lt;=cc_D,0.0035*($C49-R$6)/$C49,0.002*($C49-R$6)/($C49-3*cc_D/7))/0.002)))^2)</f>
        <v/>
      </c>
      <c r="S49">
        <f>MAX(-fyd_cc,MIN(fyd_cc,Es_cc*IF($C49&lt;=cc_D,0.0035*($C49-S$6)/$C49,0.002*($C49-S$6)/($C49-3*cc_D/7))))-fcd_cc*(1-(1-MAX(0,MIN(1,IF($C49&lt;=cc_D,0.0035*($C49-S$6)/$C49,0.002*($C49-S$6)/($C49-3*cc_D/7))/0.002)))^2)</f>
        <v/>
      </c>
      <c r="T49">
        <f>MAX(-fyd_cc,MIN(fyd_cc,Es_cc*IF($C49&lt;=cc_D,0.0035*($C49-T$6)/$C49,0.002*($C49-T$6)/($C49-3*cc_D/7))))-fcd_cc*(1-(1-MAX(0,MIN(1,IF($C49&lt;=cc_D,0.0035*($C49-T$6)/$C49,0.002*($C49-T$6)/($C49-3*cc_D/7))/0.002)))^2)</f>
        <v/>
      </c>
      <c r="U49">
        <f>MAX(-fyd_cc,MIN(fyd_cc,Es_cc*IF($C49&lt;=cc_D,0.0035*($C49-U$6)/$C49,0.002*($C49-U$6)/($C49-3*cc_D/7))))-fcd_cc*(1-(1-MAX(0,MIN(1,IF($C49&lt;=cc_D,0.0035*($C49-U$6)/$C49,0.002*($C49-U$6)/($C49-3*cc_D/7))/0.002)))^2)</f>
        <v/>
      </c>
      <c r="V49">
        <f>MAX(-fyd_cc,MIN(fyd_cc,Es_cc*IF($C49&lt;=cc_D,0.0035*($C49-V$6)/$C49,0.002*($C49-V$6)/($C49-3*cc_D/7))))-fcd_cc*(1-(1-MAX(0,MIN(1,IF($C49&lt;=cc_D,0.0035*($C49-V$6)/$C49,0.002*($C49-V$6)/($C49-3*cc_D/7))/0.002)))^2)</f>
        <v/>
      </c>
      <c r="W49">
        <f>MAX(-fyd_cc,MIN(fyd_cc,Es_cc*IF($C49&lt;=cc_D,0.0035*($C49-W$6)/$C49,0.002*($C49-W$6)/($C49-3*cc_D/7))))-fcd_cc*(1-(1-MAX(0,MIN(1,IF($C49&lt;=cc_D,0.0035*($C49-W$6)/$C49,0.002*($C49-W$6)/($C49-3*cc_D/7))/0.002)))^2)</f>
        <v/>
      </c>
      <c r="X49">
        <f>MAX(-fyd_cc,MIN(fyd_cc,Es_cc*IF($C49&lt;=cc_D,0.0035*($C49-X$6)/$C49,0.002*($C49-X$6)/($C49-3*cc_D/7))))-fcd_cc*(1-(1-MAX(0,MIN(1,IF($C49&lt;=cc_D,0.0035*($C49-X$6)/$C49,0.002*($C49-X$6)/($C49-3*cc_D/7))/0.002)))^2)</f>
        <v/>
      </c>
      <c r="Y49">
        <f>MAX(-fyd_cc,MIN(fyd_cc,Es_cc*IF($C49&lt;=cc_D,0.0035*($C49-Y$6)/$C49,0.002*($C49-Y$6)/($C49-3*cc_D/7))))-fcd_cc*(1-(1-MAX(0,MIN(1,IF($C49&lt;=cc_D,0.0035*($C49-Y$6)/$C49,0.002*($C49-Y$6)/($C49-3*cc_D/7))/0.002)))^2)</f>
        <v/>
      </c>
      <c r="Z49">
        <f>MAX(-fyd_cc,MIN(fyd_cc,Es_cc*IF($C49&lt;=cc_D,0.0035*($C49-Z$6)/$C49,0.002*($C49-Z$6)/($C49-3*cc_D/7))))-fcd_cc*(1-(1-MAX(0,MIN(1,IF($C49&lt;=cc_D,0.0035*($C49-Z$6)/$C49,0.002*($C49-Z$6)/($C49-3*cc_D/7))/0.002)))^2)</f>
        <v/>
      </c>
      <c r="AA49">
        <f>MAX(-fyd_cc,MIN(fyd_cc,Es_cc*IF($C49&lt;=cc_D,0.0035*($C49-AA$6)/$C49,0.002*($C49-AA$6)/($C49-3*cc_D/7))))-fcd_cc*(1-(1-MAX(0,MIN(1,IF($C49&lt;=cc_D,0.0035*($C49-AA$6)/$C49,0.002*($C49-AA$6)/($C49-3*cc_D/7))/0.002)))^2)</f>
        <v/>
      </c>
      <c r="AB49">
        <f>MAX(-fyd_cc,MIN(fyd_cc,Es_cc*IF($C49&lt;=cc_D,0.0035*($C49-AB$6)/$C49,0.002*($C49-AB$6)/($C49-3*cc_D/7))))-fcd_cc*(1-(1-MAX(0,MIN(1,IF($C49&lt;=cc_D,0.0035*($C49-AB$6)/$C49,0.002*($C49-AB$6)/($C49-3*cc_D/7))/0.002)))^2)</f>
        <v/>
      </c>
      <c r="AC49">
        <f>MAX(-fyd_cc,MIN(fyd_cc,Es_cc*IF($C49&lt;=cc_D,0.0035*($C49-AC$6)/$C49,0.002*($C49-AC$6)/($C49-3*cc_D/7))))-fcd_cc*(1-(1-MAX(0,MIN(1,IF($C49&lt;=cc_D,0.0035*($C49-AC$6)/$C49,0.002*($C49-AC$6)/($C49-3*cc_D/7))/0.002)))^2)</f>
        <v/>
      </c>
      <c r="AD49">
        <f>MAX(-fyd_cc,MIN(fyd_cc,Es_cc*IF($C49&lt;=cc_D,0.0035*($C49-AD$6)/$C49,0.002*($C49-AD$6)/($C49-3*cc_D/7))))-fcd_cc*(1-(1-MAX(0,MIN(1,IF($C49&lt;=cc_D,0.0035*($C49-AD$6)/$C49,0.002*($C49-AD$6)/($C49-3*cc_D/7))/0.002)))^2)</f>
        <v/>
      </c>
      <c r="AE49">
        <f>MAX(-fyd_cc,MIN(fyd_cc,Es_cc*IF($C49&lt;=cc_D,0.0035*($C49-AE$6)/$C49,0.002*($C49-AE$6)/($C49-3*cc_D/7))))-fcd_cc*(1-(1-MAX(0,MIN(1,IF($C49&lt;=cc_D,0.0035*($C49-AE$6)/$C49,0.002*($C49-AE$6)/($C49-3*cc_D/7))/0.002)))^2)</f>
        <v/>
      </c>
      <c r="AF49">
        <f>MAX(-fyd_cc,MIN(fyd_cc,Es_cc*IF($C49&lt;=cc_D,0.0035*($C49-AF$6)/$C49,0.002*($C49-AF$6)/($C49-3*cc_D/7))))-fcd_cc*(1-(1-MAX(0,MIN(1,IF($C49&lt;=cc_D,0.0035*($C49-AF$6)/$C49,0.002*($C49-AF$6)/($C49-3*cc_D/7))/0.002)))^2)</f>
        <v/>
      </c>
      <c r="AG49">
        <f>MAX(-fyd_cc,MIN(fyd_cc,Es_cc*IF($C49&lt;=cc_D,0.0035*($C49-AG$6)/$C49,0.002*($C49-AG$6)/($C49-3*cc_D/7))))-fcd_cc*(1-(1-MAX(0,MIN(1,IF($C49&lt;=cc_D,0.0035*($C49-AG$6)/$C49,0.002*($C49-AG$6)/($C49-3*cc_D/7))/0.002)))^2)</f>
        <v/>
      </c>
      <c r="AH49">
        <f>MAX(-fyd_cc,MIN(fyd_cc,Es_cc*IF($C49&lt;=cc_D,0.0035*($C49-J$18)/$C49,0.002*($C49-J$18)/($C49-3*cc_D/7))))-fcd_cc*(1-(1-MAX(0,MIN(1,IF($C49&lt;=cc_D,0.0035*($C49-J$18)/$C49,0.002*($C49-J$18)/($C49-3*cc_D/7))/0.002)))^2)</f>
        <v/>
      </c>
      <c r="AI49">
        <f>MAX(-fyd_cc,MIN(fyd_cc,Es_cc*IF($C49&lt;=cc_D,0.0035*($C49-K$18)/$C49,0.002*($C49-K$18)/($C49-3*cc_D/7))))-fcd_cc*(1-(1-MAX(0,MIN(1,IF($C49&lt;=cc_D,0.0035*($C49-K$18)/$C49,0.002*($C49-K$18)/($C49-3*cc_D/7))/0.002)))^2)</f>
        <v/>
      </c>
      <c r="AJ49">
        <f>MAX(-fyd_cc,MIN(fyd_cc,Es_cc*IF($C49&lt;=cc_D,0.0035*($C49-L$18)/$C49,0.002*($C49-L$18)/($C49-3*cc_D/7))))-fcd_cc*(1-(1-MAX(0,MIN(1,IF($C49&lt;=cc_D,0.0035*($C49-L$18)/$C49,0.002*($C49-L$18)/($C49-3*cc_D/7))/0.002)))^2)</f>
        <v/>
      </c>
      <c r="AK49">
        <f>MAX(-fyd_cc,MIN(fyd_cc,Es_cc*IF($C49&lt;=cc_D,0.0035*($C49-M$18)/$C49,0.002*($C49-M$18)/($C49-3*cc_D/7))))-fcd_cc*(1-(1-MAX(0,MIN(1,IF($C49&lt;=cc_D,0.0035*($C49-M$18)/$C49,0.002*($C49-M$18)/($C49-3*cc_D/7))/0.002)))^2)</f>
        <v/>
      </c>
      <c r="AL49">
        <f>MAX(-fyd_cc,MIN(fyd_cc,Es_cc*IF($C49&lt;=cc_D,0.0035*($C49-N$18)/$C49,0.002*($C49-N$18)/($C49-3*cc_D/7))))-fcd_cc*(1-(1-MAX(0,MIN(1,IF($C49&lt;=cc_D,0.0035*($C49-N$18)/$C49,0.002*($C49-N$18)/($C49-3*cc_D/7))/0.002)))^2)</f>
        <v/>
      </c>
      <c r="AM49">
        <f>MAX(-fyd_cc,MIN(fyd_cc,Es_cc*IF($C49&lt;=cc_D,0.0035*($C49-O$18)/$C49,0.002*($C49-O$18)/($C49-3*cc_D/7))))-fcd_cc*(1-(1-MAX(0,MIN(1,IF($C49&lt;=cc_D,0.0035*($C49-O$18)/$C49,0.002*($C49-O$18)/($C49-3*cc_D/7))/0.002)))^2)</f>
        <v/>
      </c>
      <c r="AN49">
        <f>MAX(-fyd_cc,MIN(fyd_cc,Es_cc*IF($C49&lt;=cc_D,0.0035*($C49-P$18)/$C49,0.002*($C49-P$18)/($C49-3*cc_D/7))))-fcd_cc*(1-(1-MAX(0,MIN(1,IF($C49&lt;=cc_D,0.0035*($C49-P$18)/$C49,0.002*($C49-P$18)/($C49-3*cc_D/7))/0.002)))^2)</f>
        <v/>
      </c>
      <c r="AO49">
        <f>MAX(-fyd_cc,MIN(fyd_cc,Es_cc*IF($C49&lt;=cc_D,0.0035*($C49-Q$18)/$C49,0.002*($C49-Q$18)/($C49-3*cc_D/7))))-fcd_cc*(1-(1-MAX(0,MIN(1,IF($C49&lt;=cc_D,0.0035*($C49-Q$18)/$C49,0.002*($C49-Q$18)/($C49-3*cc_D/7))/0.002)))^2)</f>
        <v/>
      </c>
      <c r="AP49">
        <f>MAX(-fyd_cc,MIN(fyd_cc,Es_cc*IF($C49&lt;=cc_D,0.0035*($C49-R$18)/$C49,0.002*($C49-R$18)/($C49-3*cc_D/7))))-fcd_cc*(1-(1-MAX(0,MIN(1,IF($C49&lt;=cc_D,0.0035*($C49-R$18)/$C49,0.002*($C49-R$18)/($C49-3*cc_D/7))/0.002)))^2)</f>
        <v/>
      </c>
      <c r="AQ49">
        <f>MAX(-fyd_cc,MIN(fyd_cc,Es_cc*IF($C49&lt;=cc_D,0.0035*($C49-S$18)/$C49,0.002*($C49-S$18)/($C49-3*cc_D/7))))-fcd_cc*(1-(1-MAX(0,MIN(1,IF($C49&lt;=cc_D,0.0035*($C49-S$18)/$C49,0.002*($C49-S$18)/($C49-3*cc_D/7))/0.002)))^2)</f>
        <v/>
      </c>
      <c r="AR49">
        <f>MAX(-fyd_cc,MIN(fyd_cc,Es_cc*IF($C49&lt;=cc_D,0.0035*($C49-T$18)/$C49,0.002*($C49-T$18)/($C49-3*cc_D/7))))-fcd_cc*(1-(1-MAX(0,MIN(1,IF($C49&lt;=cc_D,0.0035*($C49-T$18)/$C49,0.002*($C49-T$18)/($C49-3*cc_D/7))/0.002)))^2)</f>
        <v/>
      </c>
      <c r="AS49">
        <f>MAX(-fyd_cc,MIN(fyd_cc,Es_cc*IF($C49&lt;=cc_D,0.0035*($C49-U$18)/$C49,0.002*($C49-U$18)/($C49-3*cc_D/7))))-fcd_cc*(1-(1-MAX(0,MIN(1,IF($C49&lt;=cc_D,0.0035*($C49-U$18)/$C49,0.002*($C49-U$18)/($C49-3*cc_D/7))/0.002)))^2)</f>
        <v/>
      </c>
      <c r="AT49">
        <f>MAX(-fyd_cc,MIN(fyd_cc,Es_cc*IF($C49&lt;=cc_D,0.0035*($C49-V$18)/$C49,0.002*($C49-V$18)/($C49-3*cc_D/7))))-fcd_cc*(1-(1-MAX(0,MIN(1,IF($C49&lt;=cc_D,0.0035*($C49-V$18)/$C49,0.002*($C49-V$18)/($C49-3*cc_D/7))/0.002)))^2)</f>
        <v/>
      </c>
      <c r="AU49">
        <f>MAX(-fyd_cc,MIN(fyd_cc,Es_cc*IF($C49&lt;=cc_D,0.0035*($C49-W$18)/$C49,0.002*($C49-W$18)/($C49-3*cc_D/7))))-fcd_cc*(1-(1-MAX(0,MIN(1,IF($C49&lt;=cc_D,0.0035*($C49-W$18)/$C49,0.002*($C49-W$18)/($C49-3*cc_D/7))/0.002)))^2)</f>
        <v/>
      </c>
      <c r="AV49">
        <f>MAX(-fyd_cc,MIN(fyd_cc,Es_cc*IF($C49&lt;=cc_D,0.0035*($C49-X$18)/$C49,0.002*($C49-X$18)/($C49-3*cc_D/7))))-fcd_cc*(1-(1-MAX(0,MIN(1,IF($C49&lt;=cc_D,0.0035*($C49-X$18)/$C49,0.002*($C49-X$18)/($C49-3*cc_D/7))/0.002)))^2)</f>
        <v/>
      </c>
      <c r="AW49">
        <f>MAX(-fyd_cc,MIN(fyd_cc,Es_cc*IF($C49&lt;=cc_D,0.0035*($C49-Y$18)/$C49,0.002*($C49-Y$18)/($C49-3*cc_D/7))))-fcd_cc*(1-(1-MAX(0,MIN(1,IF($C49&lt;=cc_D,0.0035*($C49-Y$18)/$C49,0.002*($C49-Y$18)/($C49-3*cc_D/7))/0.002)))^2)</f>
        <v/>
      </c>
      <c r="AX49">
        <f>MAX(-fyd_cc,MIN(fyd_cc,Es_cc*IF($C49&lt;=cc_D,0.0035*($C49-Z$18)/$C49,0.002*($C49-Z$18)/($C49-3*cc_D/7))))-fcd_cc*(1-(1-MAX(0,MIN(1,IF($C49&lt;=cc_D,0.0035*($C49-Z$18)/$C49,0.002*($C49-Z$18)/($C49-3*cc_D/7))/0.002)))^2)</f>
        <v/>
      </c>
      <c r="AY49">
        <f>MAX(-fyd_cc,MIN(fyd_cc,Es_cc*IF($C49&lt;=cc_D,0.0035*($C49-AA$18)/$C49,0.002*($C49-AA$18)/($C49-3*cc_D/7))))-fcd_cc*(1-(1-MAX(0,MIN(1,IF($C49&lt;=cc_D,0.0035*($C49-AA$18)/$C49,0.002*($C49-AA$18)/($C49-3*cc_D/7))/0.002)))^2)</f>
        <v/>
      </c>
      <c r="AZ49">
        <f>MAX(-fyd_cc,MIN(fyd_cc,Es_cc*IF($C49&lt;=cc_D,0.0035*($C49-AB$18)/$C49,0.002*($C49-AB$18)/($C49-3*cc_D/7))))-fcd_cc*(1-(1-MAX(0,MIN(1,IF($C49&lt;=cc_D,0.0035*($C49-AB$18)/$C49,0.002*($C49-AB$18)/($C49-3*cc_D/7))/0.002)))^2)</f>
        <v/>
      </c>
      <c r="BA49">
        <f>MAX(-fyd_cc,MIN(fyd_cc,Es_cc*IF($C49&lt;=cc_D,0.0035*($C49-AC$18)/$C49,0.002*($C49-AC$18)/($C49-3*cc_D/7))))-fcd_cc*(1-(1-MAX(0,MIN(1,IF($C49&lt;=cc_D,0.0035*($C49-AC$18)/$C49,0.002*($C49-AC$18)/($C49-3*cc_D/7))/0.002)))^2)</f>
        <v/>
      </c>
      <c r="BB49">
        <f>MAX(-fyd_cc,MIN(fyd_cc,Es_cc*IF($C49&lt;=cc_D,0.0035*($C49-AD$18)/$C49,0.002*($C49-AD$18)/($C49-3*cc_D/7))))-fcd_cc*(1-(1-MAX(0,MIN(1,IF($C49&lt;=cc_D,0.0035*($C49-AD$18)/$C49,0.002*($C49-AD$18)/($C49-3*cc_D/7))/0.002)))^2)</f>
        <v/>
      </c>
      <c r="BC49">
        <f>MAX(-fyd_cc,MIN(fyd_cc,Es_cc*IF($C49&lt;=cc_D,0.0035*($C49-AE$18)/$C49,0.002*($C49-AE$18)/($C49-3*cc_D/7))))-fcd_cc*(1-(1-MAX(0,MIN(1,IF($C49&lt;=cc_D,0.0035*($C49-AE$18)/$C49,0.002*($C49-AE$18)/($C49-3*cc_D/7))/0.002)))^2)</f>
        <v/>
      </c>
      <c r="BD49">
        <f>MAX(-fyd_cc,MIN(fyd_cc,Es_cc*IF($C49&lt;=cc_D,0.0035*($C49-AF$18)/$C49,0.002*($C49-AF$18)/($C49-3*cc_D/7))))-fcd_cc*(1-(1-MAX(0,MIN(1,IF($C49&lt;=cc_D,0.0035*($C49-AF$18)/$C49,0.002*($C49-AF$18)/($C49-3*cc_D/7))/0.002)))^2)</f>
        <v/>
      </c>
      <c r="BE49">
        <f>MAX(-fyd_cc,MIN(fyd_cc,Es_cc*IF($C49&lt;=cc_D,0.0035*($C49-AG$18)/$C49,0.002*($C49-AG$18)/($C49-3*cc_D/7))))-fcd_cc*(1-(1-MAX(0,MIN(1,IF($C49&lt;=cc_D,0.0035*($C49-AG$18)/$C49,0.002*($C49-AG$18)/($C49-3*cc_D/7))/0.002)))^2)</f>
        <v/>
      </c>
      <c r="BF49">
        <f>3*MIN($C49,cc_D)/7</f>
        <v/>
      </c>
      <c r="BG49">
        <f>$C49-$BF49</f>
        <v/>
      </c>
      <c r="BH49">
        <f>ACOS(MAX(-1,MIN(1,1-$BF49/(cc_D/2))))</f>
        <v/>
      </c>
      <c r="BI49">
        <f>ACOS(MAX(-1,MIN(1,1-MIN($C49,cc_D)/(cc_D/2))))</f>
        <v/>
      </c>
      <c r="BJ49">
        <f>((cc_D/2*(1-COS(($BH49+0*($BI49-$BH49)/12)))-$BF49)/$BG49)^2*SIN(($BH49+0*($BI49-$BH49)/12))^2</f>
        <v/>
      </c>
      <c r="BK49">
        <f>((cc_D/2*(1-COS(($BH49+1*($BI49-$BH49)/12)))-$BF49)/$BG49)^2*SIN(($BH49+1*($BI49-$BH49)/12))^2</f>
        <v/>
      </c>
      <c r="BL49">
        <f>((cc_D/2*(1-COS(($BH49+2*($BI49-$BH49)/12)))-$BF49)/$BG49)^2*SIN(($BH49+2*($BI49-$BH49)/12))^2</f>
        <v/>
      </c>
      <c r="BM49">
        <f>((cc_D/2*(1-COS(($BH49+3*($BI49-$BH49)/12)))-$BF49)/$BG49)^2*SIN(($BH49+3*($BI49-$BH49)/12))^2</f>
        <v/>
      </c>
      <c r="BN49">
        <f>((cc_D/2*(1-COS(($BH49+4*($BI49-$BH49)/12)))-$BF49)/$BG49)^2*SIN(($BH49+4*($BI49-$BH49)/12))^2</f>
        <v/>
      </c>
      <c r="BO49">
        <f>((cc_D/2*(1-COS(($BH49+5*($BI49-$BH49)/12)))-$BF49)/$BG49)^2*SIN(($BH49+5*($BI49-$BH49)/12))^2</f>
        <v/>
      </c>
      <c r="BP49">
        <f>((cc_D/2*(1-COS(($BH49+6*($BI49-$BH49)/12)))-$BF49)/$BG49)^2*SIN(($BH49+6*($BI49-$BH49)/12))^2</f>
        <v/>
      </c>
      <c r="BQ49">
        <f>((cc_D/2*(1-COS(($BH49+7*($BI49-$BH49)/12)))-$BF49)/$BG49)^2*SIN(($BH49+7*($BI49-$BH49)/12))^2</f>
        <v/>
      </c>
      <c r="BR49">
        <f>((cc_D/2*(1-COS(($BH49+8*($BI49-$BH49)/12)))-$BF49)/$BG49)^2*SIN(($BH49+8*($BI49-$BH49)/12))^2</f>
        <v/>
      </c>
      <c r="BS49">
        <f>((cc_D/2*(1-COS(($BH49+9*($BI49-$BH49)/12)))-$BF49)/$BG49)^2*SIN(($BH49+9*($BI49-$BH49)/12))^2</f>
        <v/>
      </c>
      <c r="BT49">
        <f>((cc_D/2*(1-COS(($BH49+10*($BI49-$BH49)/12)))-$BF49)/$BG49)^2*SIN(($BH49+10*($BI49-$BH49)/12))^2</f>
        <v/>
      </c>
      <c r="BU49">
        <f>((cc_D/2*(1-COS(($BH49+11*($BI49-$BH49)/12)))-$BF49)/$BG49)^2*SIN(($BH49+11*($BI49-$BH49)/12))^2</f>
        <v/>
      </c>
      <c r="BV49">
        <f>((cc_D/2*(1-COS(($BH49+12*($BI49-$BH49)/12)))-$BF49)/$BG49)^2*SIN(($BH49+12*($BI49-$BH49)/12))^2</f>
        <v/>
      </c>
      <c r="BW49">
        <f>BJ49*COS(($BH49+0*($BI49-$BH49)/12))</f>
        <v/>
      </c>
      <c r="BX49">
        <f>BK49*COS(($BH49+1*($BI49-$BH49)/12))</f>
        <v/>
      </c>
      <c r="BY49">
        <f>BL49*COS(($BH49+2*($BI49-$BH49)/12))</f>
        <v/>
      </c>
      <c r="BZ49">
        <f>BM49*COS(($BH49+3*($BI49-$BH49)/12))</f>
        <v/>
      </c>
      <c r="CA49">
        <f>BN49*COS(($BH49+4*($BI49-$BH49)/12))</f>
        <v/>
      </c>
      <c r="CB49">
        <f>BO49*COS(($BH49+5*($BI49-$BH49)/12))</f>
        <v/>
      </c>
      <c r="CC49">
        <f>BP49*COS(($BH49+6*($BI49-$BH49)/12))</f>
        <v/>
      </c>
      <c r="CD49">
        <f>BQ49*COS(($BH49+7*($BI49-$BH49)/12))</f>
        <v/>
      </c>
      <c r="CE49">
        <f>BR49*COS(($BH49+8*($BI49-$BH49)/12))</f>
        <v/>
      </c>
      <c r="CF49">
        <f>BS49*COS(($BH49+9*($BI49-$BH49)/12))</f>
        <v/>
      </c>
      <c r="CG49">
        <f>BT49*COS(($BH49+10*($BI49-$BH49)/12))</f>
        <v/>
      </c>
      <c r="CH49">
        <f>BU49*COS(($BH49+11*($BI49-$BH49)/12))</f>
        <v/>
      </c>
      <c r="CI49">
        <f>BV49*COS(($BH49+12*($BI49-$BH49)/12))</f>
        <v/>
      </c>
    </row>
    <row r="50">
      <c r="B50" s="53" t="n">
        <v>25</v>
      </c>
      <c r="C50" s="54">
        <f>1.0*cc_D</f>
        <v/>
      </c>
      <c r="D50" s="55">
        <f>IF($C50&lt;=cc_D,3.5,2*$C50/($C50-3*cc_D/7))</f>
        <v/>
      </c>
      <c r="E50" s="56">
        <f>(fcd_cc*((cc_D/2)^2*($BI50-COS($BI50)*SIN($BI50))-2*(cc_D/2)^2*($BI50-$BH50)/12/3*SUMPRODUCT($BJ$4:$BV$4,$BJ50:$BV50))+SUMPRODUCT($J$5:$AG$5,$J50:$AG50))/1000</f>
        <v/>
      </c>
      <c r="F50" s="56">
        <f>(fcd_cc*(2/3*(cc_D/2)^3*SIN($BI50)^3-2*(cc_D/2)^3*($BI50-$BH50)/12/3*SUMPRODUCT($BW$4:$CI$4,$BW50:$CI50))+SUMPRODUCT($J$5:$AG$5,$J50:$AG50,$J$7:$AG$7))/1E6</f>
        <v/>
      </c>
      <c r="G50" s="56">
        <f>(fcd_cc*((cc_D/2)^2*($BI50-COS($BI50)*SIN($BI50))-2*(cc_D/2)^2*($BI50-$BH50)/12/3*SUMPRODUCT($BJ$4:$BV$4,$BJ50:$BV50))+SUMPRODUCT($J$5:$AG$5,$AH50:$BE50))/1000</f>
        <v/>
      </c>
      <c r="H50" s="56">
        <f>(fcd_cc*(2/3*(cc_D/2)^3*SIN($BI50)^3-2*(cc_D/2)^3*($BI50-$BH50)/12/3*SUMPRODUCT($BW$4:$CI$4,$BW50:$CI50))+SUMPRODUCT($J$5:$AG$5,$AH50:$BE50,$J$19:$AG$19))/1E6</f>
        <v/>
      </c>
      <c r="J50">
        <f>MAX(-fyd_cc,MIN(fyd_cc,Es_cc*IF($C50&lt;=cc_D,0.0035*($C50-J$6)/$C50,0.002*($C50-J$6)/($C50-3*cc_D/7))))-fcd_cc*(1-(1-MAX(0,MIN(1,IF($C50&lt;=cc_D,0.0035*($C50-J$6)/$C50,0.002*($C50-J$6)/($C50-3*cc_D/7))/0.002)))^2)</f>
        <v/>
      </c>
      <c r="K50">
        <f>MAX(-fyd_cc,MIN(fyd_cc,Es_cc*IF($C50&lt;=cc_D,0.0035*($C50-K$6)/$C50,0.002*($C50-K$6)/($C50-3*cc_D/7))))-fcd_cc*(1-(1-MAX(0,MIN(1,IF($C50&lt;=cc_D,0.0035*($C50-K$6)/$C50,0.002*($C50-K$6)/($C50-3*cc_D/7))/0.002)))^2)</f>
        <v/>
      </c>
      <c r="L50">
        <f>MAX(-fyd_cc,MIN(fyd_cc,Es_cc*IF($C50&lt;=cc_D,0.0035*($C50-L$6)/$C50,0.002*($C50-L$6)/($C50-3*cc_D/7))))-fcd_cc*(1-(1-MAX(0,MIN(1,IF($C50&lt;=cc_D,0.0035*($C50-L$6)/$C50,0.002*($C50-L$6)/($C50-3*cc_D/7))/0.002)))^2)</f>
        <v/>
      </c>
      <c r="M50">
        <f>MAX(-fyd_cc,MIN(fyd_cc,Es_cc*IF($C50&lt;=cc_D,0.0035*($C50-M$6)/$C50,0.002*($C50-M$6)/($C50-3*cc_D/7))))-fcd_cc*(1-(1-MAX(0,MIN(1,IF($C50&lt;=cc_D,0.0035*($C50-M$6)/$C50,0.002*($C50-M$6)/($C50-3*cc_D/7))/0.002)))^2)</f>
        <v/>
      </c>
      <c r="N50">
        <f>MAX(-fyd_cc,MIN(fyd_cc,Es_cc*IF($C50&lt;=cc_D,0.0035*($C50-N$6)/$C50,0.002*($C50-N$6)/($C50-3*cc_D/7))))-fcd_cc*(1-(1-MAX(0,MIN(1,IF($C50&lt;=cc_D,0.0035*($C50-N$6)/$C50,0.002*($C50-N$6)/($C50-3*cc_D/7))/0.002)))^2)</f>
        <v/>
      </c>
      <c r="O50">
        <f>MAX(-fyd_cc,MIN(fyd_cc,Es_cc*IF($C50&lt;=cc_D,0.0035*($C50-O$6)/$C50,0.002*($C50-O$6)/($C50-3*cc_D/7))))-fcd_cc*(1-(1-MAX(0,MIN(1,IF($C50&lt;=cc_D,0.0035*($C50-O$6)/$C50,0.002*($C50-O$6)/($C50-3*cc_D/7))/0.002)))^2)</f>
        <v/>
      </c>
      <c r="P50">
        <f>MAX(-fyd_cc,MIN(fyd_cc,Es_cc*IF($C50&lt;=cc_D,0.0035*($C50-P$6)/$C50,0.002*($C50-P$6)/($C50-3*cc_D/7))))-fcd_cc*(1-(1-MAX(0,MIN(1,IF($C50&lt;=cc_D,0.0035*($C50-P$6)/$C50,0.002*($C50-P$6)/($C50-3*cc_D/7))/0.002)))^2)</f>
        <v/>
      </c>
      <c r="Q50">
        <f>MAX(-fyd_cc,MIN(fyd_cc,Es_cc*IF($C50&lt;=cc_D,0.0035*($C50-Q$6)/$C50,0.002*($C50-Q$6)/($C50-3*cc_D/7))))-fcd_cc*(1-(1-MAX(0,MIN(1,IF($C50&lt;=cc_D,0.0035*($C50-Q$6)/$C50,0.002*($C50-Q$6)/($C50-3*cc_D/7))/0.002)))^2)</f>
        <v/>
      </c>
      <c r="R50">
        <f>MAX(-fyd_cc,MIN(fyd_cc,Es_cc*IF($C50&lt;=cc_D,0.0035*($C50-R$6)/$C50,0.002*($C50-R$6)/($C50-3*cc_D/7))))-fcd_cc*(1-(1-MAX(0,MIN(1,IF($C50&lt;=cc_D,0.0035*($C50-R$6)/$C50,0.002*($C50-R$6)/($C50-3*cc_D/7))/0.002)))^2)</f>
        <v/>
      </c>
      <c r="S50">
        <f>MAX(-fyd_cc,MIN(fyd_cc,Es_cc*IF($C50&lt;=cc_D,0.0035*($C50-S$6)/$C50,0.002*($C50-S$6)/($C50-3*cc_D/7))))-fcd_cc*(1-(1-MAX(0,MIN(1,IF($C50&lt;=cc_D,0.0035*($C50-S$6)/$C50,0.002*($C50-S$6)/($C50-3*cc_D/7))/0.002)))^2)</f>
        <v/>
      </c>
      <c r="T50">
        <f>MAX(-fyd_cc,MIN(fyd_cc,Es_cc*IF($C50&lt;=cc_D,0.0035*($C50-T$6)/$C50,0.002*($C50-T$6)/($C50-3*cc_D/7))))-fcd_cc*(1-(1-MAX(0,MIN(1,IF($C50&lt;=cc_D,0.0035*($C50-T$6)/$C50,0.002*($C50-T$6)/($C50-3*cc_D/7))/0.002)))^2)</f>
        <v/>
      </c>
      <c r="U50">
        <f>MAX(-fyd_cc,MIN(fyd_cc,Es_cc*IF($C50&lt;=cc_D,0.0035*($C50-U$6)/$C50,0.002*($C50-U$6)/($C50-3*cc_D/7))))-fcd_cc*(1-(1-MAX(0,MIN(1,IF($C50&lt;=cc_D,0.0035*($C50-U$6)/$C50,0.002*($C50-U$6)/($C50-3*cc_D/7))/0.002)))^2)</f>
        <v/>
      </c>
      <c r="V50">
        <f>MAX(-fyd_cc,MIN(fyd_cc,Es_cc*IF($C50&lt;=cc_D,0.0035*($C50-V$6)/$C50,0.002*($C50-V$6)/($C50-3*cc_D/7))))-fcd_cc*(1-(1-MAX(0,MIN(1,IF($C50&lt;=cc_D,0.0035*($C50-V$6)/$C50,0.002*($C50-V$6)/($C50-3*cc_D/7))/0.002)))^2)</f>
        <v/>
      </c>
      <c r="W50">
        <f>MAX(-fyd_cc,MIN(fyd_cc,Es_cc*IF($C50&lt;=cc_D,0.0035*($C50-W$6)/$C50,0.002*($C50-W$6)/($C50-3*cc_D/7))))-fcd_cc*(1-(1-MAX(0,MIN(1,IF($C50&lt;=cc_D,0.0035*($C50-W$6)/$C50,0.002*($C50-W$6)/($C50-3*cc_D/7))/0.002)))^2)</f>
        <v/>
      </c>
      <c r="X50">
        <f>MAX(-fyd_cc,MIN(fyd_cc,Es_cc*IF($C50&lt;=cc_D,0.0035*($C50-X$6)/$C50,0.002*($C50-X$6)/($C50-3*cc_D/7))))-fcd_cc*(1-(1-MAX(0,MIN(1,IF($C50&lt;=cc_D,0.0035*($C50-X$6)/$C50,0.002*($C50-X$6)/($C50-3*cc_D/7))/0.002)))^2)</f>
        <v/>
      </c>
      <c r="Y50">
        <f>MAX(-fyd_cc,MIN(fyd_cc,Es_cc*IF($C50&lt;=cc_D,0.0035*($C50-Y$6)/$C50,0.002*($C50-Y$6)/($C50-3*cc_D/7))))-fcd_cc*(1-(1-MAX(0,MIN(1,IF($C50&lt;=cc_D,0.0035*($C50-Y$6)/$C50,0.002*($C50-Y$6)/($C50-3*cc_D/7))/0.002)))^2)</f>
        <v/>
      </c>
      <c r="Z50">
        <f>MAX(-fyd_cc,MIN(fyd_cc,Es_cc*IF($C50&lt;=cc_D,0.0035*($C50-Z$6)/$C50,0.002*($C50-Z$6)/($C50-3*cc_D/7))))-fcd_cc*(1-(1-MAX(0,MIN(1,IF($C50&lt;=cc_D,0.0035*($C50-Z$6)/$C50,0.002*($C50-Z$6)/($C50-3*cc_D/7))/0.002)))^2)</f>
        <v/>
      </c>
      <c r="AA50">
        <f>MAX(-fyd_cc,MIN(fyd_cc,Es_cc*IF($C50&lt;=cc_D,0.0035*($C50-AA$6)/$C50,0.002*($C50-AA$6)/($C50-3*cc_D/7))))-fcd_cc*(1-(1-MAX(0,MIN(1,IF($C50&lt;=cc_D,0.0035*($C50-AA$6)/$C50,0.002*($C50-AA$6)/($C50-3*cc_D/7))/0.002)))^2)</f>
        <v/>
      </c>
      <c r="AB50">
        <f>MAX(-fyd_cc,MIN(fyd_cc,Es_cc*IF($C50&lt;=cc_D,0.0035*($C50-AB$6)/$C50,0.002*($C50-AB$6)/($C50-3*cc_D/7))))-fcd_cc*(1-(1-MAX(0,MIN(1,IF($C50&lt;=cc_D,0.0035*($C50-AB$6)/$C50,0.002*($C50-AB$6)/($C50-3*cc_D/7))/0.002)))^2)</f>
        <v/>
      </c>
      <c r="AC50">
        <f>MAX(-fyd_cc,MIN(fyd_cc,Es_cc*IF($C50&lt;=cc_D,0.0035*($C50-AC$6)/$C50,0.002*($C50-AC$6)/($C50-3*cc_D/7))))-fcd_cc*(1-(1-MAX(0,MIN(1,IF($C50&lt;=cc_D,0.0035*($C50-AC$6)/$C50,0.002*($C50-AC$6)/($C50-3*cc_D/7))/0.002)))^2)</f>
        <v/>
      </c>
      <c r="AD50">
        <f>MAX(-fyd_cc,MIN(fyd_cc,Es_cc*IF($C50&lt;=cc_D,0.0035*($C50-AD$6)/$C50,0.002*($C50-AD$6)/($C50-3*cc_D/7))))-fcd_cc*(1-(1-MAX(0,MIN(1,IF($C50&lt;=cc_D,0.0035*($C50-AD$6)/$C50,0.002*($C50-AD$6)/($C50-3*cc_D/7))/0.002)))^2)</f>
        <v/>
      </c>
      <c r="AE50">
        <f>MAX(-fyd_cc,MIN(fyd_cc,Es_cc*IF($C50&lt;=cc_D,0.0035*($C50-AE$6)/$C50,0.002*($C50-AE$6)/($C50-3*cc_D/7))))-fcd_cc*(1-(1-MAX(0,MIN(1,IF($C50&lt;=cc_D,0.0035*($C50-AE$6)/$C50,0.002*($C50-AE$6)/($C50-3*cc_D/7))/0.002)))^2)</f>
        <v/>
      </c>
      <c r="AF50">
        <f>MAX(-fyd_cc,MIN(fyd_cc,Es_cc*IF($C50&lt;=cc_D,0.0035*($C50-AF$6)/$C50,0.002*($C50-AF$6)/($C50-3*cc_D/7))))-fcd_cc*(1-(1-MAX(0,MIN(1,IF($C50&lt;=cc_D,0.0035*($C50-AF$6)/$C50,0.002*($C50-AF$6)/($C50-3*cc_D/7))/0.002)))^2)</f>
        <v/>
      </c>
      <c r="AG50">
        <f>MAX(-fyd_cc,MIN(fyd_cc,Es_cc*IF($C50&lt;=cc_D,0.0035*($C50-AG$6)/$C50,0.002*($C50-AG$6)/($C50-3*cc_D/7))))-fcd_cc*(1-(1-MAX(0,MIN(1,IF($C50&lt;=cc_D,0.0035*($C50-AG$6)/$C50,0.002*($C50-AG$6)/($C50-3*cc_D/7))/0.002)))^2)</f>
        <v/>
      </c>
      <c r="AH50">
        <f>MAX(-fyd_cc,MIN(fyd_cc,Es_cc*IF($C50&lt;=cc_D,0.0035*($C50-J$18)/$C50,0.002*($C50-J$18)/($C50-3*cc_D/7))))-fcd_cc*(1-(1-MAX(0,MIN(1,IF($C50&lt;=cc_D,0.0035*($C50-J$18)/$C50,0.002*($C50-J$18)/($C50-3*cc_D/7))/0.002)))^2)</f>
        <v/>
      </c>
      <c r="AI50">
        <f>MAX(-fyd_cc,MIN(fyd_cc,Es_cc*IF($C50&lt;=cc_D,0.0035*($C50-K$18)/$C50,0.002*($C50-K$18)/($C50-3*cc_D/7))))-fcd_cc*(1-(1-MAX(0,MIN(1,IF($C50&lt;=cc_D,0.0035*($C50-K$18)/$C50,0.002*($C50-K$18)/($C50-3*cc_D/7))/0.002)))^2)</f>
        <v/>
      </c>
      <c r="AJ50">
        <f>MAX(-fyd_cc,MIN(fyd_cc,Es_cc*IF($C50&lt;=cc_D,0.0035*($C50-L$18)/$C50,0.002*($C50-L$18)/($C50-3*cc_D/7))))-fcd_cc*(1-(1-MAX(0,MIN(1,IF($C50&lt;=cc_D,0.0035*($C50-L$18)/$C50,0.002*($C50-L$18)/($C50-3*cc_D/7))/0.002)))^2)</f>
        <v/>
      </c>
      <c r="AK50">
        <f>MAX(-fyd_cc,MIN(fyd_cc,Es_cc*IF($C50&lt;=cc_D,0.0035*($C50-M$18)/$C50,0.002*($C50-M$18)/($C50-3*cc_D/7))))-fcd_cc*(1-(1-MAX(0,MIN(1,IF($C50&lt;=cc_D,0.0035*($C50-M$18)/$C50,0.002*($C50-M$18)/($C50-3*cc_D/7))/0.002)))^2)</f>
        <v/>
      </c>
      <c r="AL50">
        <f>MAX(-fyd_cc,MIN(fyd_cc,Es_cc*IF($C50&lt;=cc_D,0.0035*($C50-N$18)/$C50,0.002*($C50-N$18)/($C50-3*cc_D/7))))-fcd_cc*(1-(1-MAX(0,MIN(1,IF($C50&lt;=cc_D,0.0035*($C50-N$18)/$C50,0.002*($C50-N$18)/($C50-3*cc_D/7))/0.002)))^2)</f>
        <v/>
      </c>
      <c r="AM50">
        <f>MAX(-fyd_cc,MIN(fyd_cc,Es_cc*IF($C50&lt;=cc_D,0.0035*($C50-O$18)/$C50,0.002*($C50-O$18)/($C50-3*cc_D/7))))-fcd_cc*(1-(1-MAX(0,MIN(1,IF($C50&lt;=cc_D,0.0035*($C50-O$18)/$C50,0.002*($C50-O$18)/($C50-3*cc_D/7))/0.002)))^2)</f>
        <v/>
      </c>
      <c r="AN50">
        <f>MAX(-fyd_cc,MIN(fyd_cc,Es_cc*IF($C50&lt;=cc_D,0.0035*($C50-P$18)/$C50,0.002*($C50-P$18)/($C50-3*cc_D/7))))-fcd_cc*(1-(1-MAX(0,MIN(1,IF($C50&lt;=cc_D,0.0035*($C50-P$18)/$C50,0.002*($C50-P$18)/($C50-3*cc_D/7))/0.002)))^2)</f>
        <v/>
      </c>
      <c r="AO50">
        <f>MAX(-fyd_cc,MIN(fyd_cc,Es_cc*IF($C50&lt;=cc_D,0.0035*($C50-Q$18)/$C50,0.002*($C50-Q$18)/($C50-3*cc_D/7))))-fcd_cc*(1-(1-MAX(0,MIN(1,IF($C50&lt;=cc_D,0.0035*($C50-Q$18)/$C50,0.002*($C50-Q$18)/($C50-3*cc_D/7))/0.002)))^2)</f>
        <v/>
      </c>
      <c r="AP50">
        <f>MAX(-fyd_cc,MIN(fyd_cc,Es_cc*IF($C50&lt;=cc_D,0.0035*($C50-R$18)/$C50,0.002*($C50-R$18)/($C50-3*cc_D/7))))-fcd_cc*(1-(1-MAX(0,MIN(1,IF($C50&lt;=cc_D,0.0035*($C50-R$18)/$C50,0.002*($C50-R$18)/($C50-3*cc_D/7))/0.002)))^2)</f>
        <v/>
      </c>
      <c r="AQ50">
        <f>MAX(-fyd_cc,MIN(fyd_cc,Es_cc*IF($C50&lt;=cc_D,0.0035*($C50-S$18)/$C50,0.002*($C50-S$18)/($C50-3*cc_D/7))))-fcd_cc*(1-(1-MAX(0,MIN(1,IF($C50&lt;=cc_D,0.0035*($C50-S$18)/$C50,0.002*($C50-S$18)/($C50-3*cc_D/7))/0.002)))^2)</f>
        <v/>
      </c>
      <c r="AR50">
        <f>MAX(-fyd_cc,MIN(fyd_cc,Es_cc*IF($C50&lt;=cc_D,0.0035*($C50-T$18)/$C50,0.002*($C50-T$18)/($C50-3*cc_D/7))))-fcd_cc*(1-(1-MAX(0,MIN(1,IF($C50&lt;=cc_D,0.0035*($C50-T$18)/$C50,0.002*($C50-T$18)/($C50-3*cc_D/7))/0.002)))^2)</f>
        <v/>
      </c>
      <c r="AS50">
        <f>MAX(-fyd_cc,MIN(fyd_cc,Es_cc*IF($C50&lt;=cc_D,0.0035*($C50-U$18)/$C50,0.002*($C50-U$18)/($C50-3*cc_D/7))))-fcd_cc*(1-(1-MAX(0,MIN(1,IF($C50&lt;=cc_D,0.0035*($C50-U$18)/$C50,0.002*($C50-U$18)/($C50-3*cc_D/7))/0.002)))^2)</f>
        <v/>
      </c>
      <c r="AT50">
        <f>MAX(-fyd_cc,MIN(fyd_cc,Es_cc*IF($C50&lt;=cc_D,0.0035*($C50-V$18)/$C50,0.002*($C50-V$18)/($C50-3*cc_D/7))))-fcd_cc*(1-(1-MAX(0,MIN(1,IF($C50&lt;=cc_D,0.0035*($C50-V$18)/$C50,0.002*($C50-V$18)/($C50-3*cc_D/7))/0.002)))^2)</f>
        <v/>
      </c>
      <c r="AU50">
        <f>MAX(-fyd_cc,MIN(fyd_cc,Es_cc*IF($C50&lt;=cc_D,0.0035*($C50-W$18)/$C50,0.002*($C50-W$18)/($C50-3*cc_D/7))))-fcd_cc*(1-(1-MAX(0,MIN(1,IF($C50&lt;=cc_D,0.0035*($C50-W$18)/$C50,0.002*($C50-W$18)/($C50-3*cc_D/7))/0.002)))^2)</f>
        <v/>
      </c>
      <c r="AV50">
        <f>MAX(-fyd_cc,MIN(fyd_cc,Es_cc*IF($C50&lt;=cc_D,0.0035*($C50-X$18)/$C50,0.002*($C50-X$18)/($C50-3*cc_D/7))))-fcd_cc*(1-(1-MAX(0,MIN(1,IF($C50&lt;=cc_D,0.0035*($C50-X$18)/$C50,0.002*($C50-X$18)/($C50-3*cc_D/7))/0.002)))^2)</f>
        <v/>
      </c>
      <c r="AW50">
        <f>MAX(-fyd_cc,MIN(fyd_cc,Es_cc*IF($C50&lt;=cc_D,0.0035*($C50-Y$18)/$C50,0.002*($C50-Y$18)/($C50-3*cc_D/7))))-fcd_cc*(1-(1-MAX(0,MIN(1,IF($C50&lt;=cc_D,0.0035*($C50-Y$18)/$C50,0.002*($C50-Y$18)/($C50-3*cc_D/7))/0.002)))^2)</f>
        <v/>
      </c>
      <c r="AX50">
        <f>MAX(-fyd_cc,MIN(fyd_cc,Es_cc*IF($C50&lt;=cc_D,0.0035*($C50-Z$18)/$C50,0.002*($C50-Z$18)/($C50-3*cc_D/7))))-fcd_cc*(1-(1-MAX(0,MIN(1,IF($C50&lt;=cc_D,0.0035*($C50-Z$18)/$C50,0.002*($C50-Z$18)/($C50-3*cc_D/7))/0.002)))^2)</f>
        <v/>
      </c>
      <c r="AY50">
        <f>MAX(-fyd_cc,MIN(fyd_cc,Es_cc*IF($C50&lt;=cc_D,0.0035*($C50-AA$18)/$C50,0.002*($C50-AA$18)/($C50-3*cc_D/7))))-fcd_cc*(1-(1-MAX(0,MIN(1,IF($C50&lt;=cc_D,0.0035*($C50-AA$18)/$C50,0.002*($C50-AA$18)/($C50-3*cc_D/7))/0.002)))^2)</f>
        <v/>
      </c>
      <c r="AZ50">
        <f>MAX(-fyd_cc,MIN(fyd_cc,Es_cc*IF($C50&lt;=cc_D,0.0035*($C50-AB$18)/$C50,0.002*($C50-AB$18)/($C50-3*cc_D/7))))-fcd_cc*(1-(1-MAX(0,MIN(1,IF($C50&lt;=cc_D,0.0035*($C50-AB$18)/$C50,0.002*($C50-AB$18)/($C50-3*cc_D/7))/0.002)))^2)</f>
        <v/>
      </c>
      <c r="BA50">
        <f>MAX(-fyd_cc,MIN(fyd_cc,Es_cc*IF($C50&lt;=cc_D,0.0035*($C50-AC$18)/$C50,0.002*($C50-AC$18)/($C50-3*cc_D/7))))-fcd_cc*(1-(1-MAX(0,MIN(1,IF($C50&lt;=cc_D,0.0035*($C50-AC$18)/$C50,0.002*($C50-AC$18)/($C50-3*cc_D/7))/0.002)))^2)</f>
        <v/>
      </c>
      <c r="BB50">
        <f>MAX(-fyd_cc,MIN(fyd_cc,Es_cc*IF($C50&lt;=cc_D,0.0035*($C50-AD$18)/$C50,0.002*($C50-AD$18)/($C50-3*cc_D/7))))-fcd_cc*(1-(1-MAX(0,MIN(1,IF($C50&lt;=cc_D,0.0035*($C50-AD$18)/$C50,0.002*($C50-AD$18)/($C50-3*cc_D/7))/0.002)))^2)</f>
        <v/>
      </c>
      <c r="BC50">
        <f>MAX(-fyd_cc,MIN(fyd_cc,Es_cc*IF($C50&lt;=cc_D,0.0035*($C50-AE$18)/$C50,0.002*($C50-AE$18)/($C50-3*cc_D/7))))-fcd_cc*(1-(1-MAX(0,MIN(1,IF($C50&lt;=cc_D,0.0035*($C50-AE$18)/$C50,0.002*($C50-AE$18)/($C50-3*cc_D/7))/0.002)))^2)</f>
        <v/>
      </c>
      <c r="BD50">
        <f>MAX(-fyd_cc,MIN(fyd_cc,Es_cc*IF($C50&lt;=cc_D,0.0035*($C50-AF$18)/$C50,0.002*($C50-AF$18)/($C50-3*cc_D/7))))-fcd_cc*(1-(1-MAX(0,MIN(1,IF($C50&lt;=cc_D,0.0035*($C50-AF$18)/$C50,0.002*($C50-AF$18)/($C50-3*cc_D/7))/0.002)))^2)</f>
        <v/>
      </c>
      <c r="BE50">
        <f>MAX(-fyd_cc,MIN(fyd_cc,Es_cc*IF($C50&lt;=cc_D,0.0035*($C50-AG$18)/$C50,0.002*($C50-AG$18)/($C50-3*cc_D/7))))-fcd_cc*(1-(1-MAX(0,MIN(1,IF($C50&lt;=cc_D,0.0035*($C50-AG$18)/$C50,0.002*($C50-AG$18)/($C50-3*cc_D/7))/0.002)))^2)</f>
        <v/>
      </c>
      <c r="BF50">
        <f>3*MIN($C50,cc_D)/7</f>
        <v/>
      </c>
      <c r="BG50">
        <f>$C50-$BF50</f>
        <v/>
      </c>
      <c r="BH50">
        <f>ACOS(MAX(-1,MIN(1,1-$BF50/(cc_D/2))))</f>
        <v/>
      </c>
      <c r="BI50">
        <f>ACOS(MAX(-1,MIN(1,1-MIN($C50,cc_D)/(cc_D/2))))</f>
        <v/>
      </c>
      <c r="BJ50">
        <f>((cc_D/2*(1-COS(($BH50+0*($BI50-$BH50)/12)))-$BF50)/$BG50)^2*SIN(($BH50+0*($BI50-$BH50)/12))^2</f>
        <v/>
      </c>
      <c r="BK50">
        <f>((cc_D/2*(1-COS(($BH50+1*($BI50-$BH50)/12)))-$BF50)/$BG50)^2*SIN(($BH50+1*($BI50-$BH50)/12))^2</f>
        <v/>
      </c>
      <c r="BL50">
        <f>((cc_D/2*(1-COS(($BH50+2*($BI50-$BH50)/12)))-$BF50)/$BG50)^2*SIN(($BH50+2*($BI50-$BH50)/12))^2</f>
        <v/>
      </c>
      <c r="BM50">
        <f>((cc_D/2*(1-COS(($BH50+3*($BI50-$BH50)/12)))-$BF50)/$BG50)^2*SIN(($BH50+3*($BI50-$BH50)/12))^2</f>
        <v/>
      </c>
      <c r="BN50">
        <f>((cc_D/2*(1-COS(($BH50+4*($BI50-$BH50)/12)))-$BF50)/$BG50)^2*SIN(($BH50+4*($BI50-$BH50)/12))^2</f>
        <v/>
      </c>
      <c r="BO50">
        <f>((cc_D/2*(1-COS(($BH50+5*($BI50-$BH50)/12)))-$BF50)/$BG50)^2*SIN(($BH50+5*($BI50-$BH50)/12))^2</f>
        <v/>
      </c>
      <c r="BP50">
        <f>((cc_D/2*(1-COS(($BH50+6*($BI50-$BH50)/12)))-$BF50)/$BG50)^2*SIN(($BH50+6*($BI50-$BH50)/12))^2</f>
        <v/>
      </c>
      <c r="BQ50">
        <f>((cc_D/2*(1-COS(($BH50+7*($BI50-$BH50)/12)))-$BF50)/$BG50)^2*SIN(($BH50+7*($BI50-$BH50)/12))^2</f>
        <v/>
      </c>
      <c r="BR50">
        <f>((cc_D/2*(1-COS(($BH50+8*($BI50-$BH50)/12)))-$BF50)/$BG50)^2*SIN(($BH50+8*($BI50-$BH50)/12))^2</f>
        <v/>
      </c>
      <c r="BS50">
        <f>((cc_D/2*(1-COS(($BH50+9*($BI50-$BH50)/12)))-$BF50)/$BG50)^2*SIN(($BH50+9*($BI50-$BH50)/12))^2</f>
        <v/>
      </c>
      <c r="BT50">
        <f>((cc_D/2*(1-COS(($BH50+10*($BI50-$BH50)/12)))-$BF50)/$BG50)^2*SIN(($BH50+10*($BI50-$BH50)/12))^2</f>
        <v/>
      </c>
      <c r="BU50">
        <f>((cc_D/2*(1-COS(($BH50+11*($BI50-$BH50)/12)))-$BF50)/$BG50)^2*SIN(($BH50+11*($BI50-$BH50)/12))^2</f>
        <v/>
      </c>
      <c r="BV50">
        <f>((cc_D/2*(1-COS(($BH50+12*($BI50-$BH50)/12)))-$BF50)/$BG50)^2*SIN(($BH50+12*($BI50-$BH50)/12))^2</f>
        <v/>
      </c>
      <c r="BW50">
        <f>BJ50*COS(($BH50+0*($BI50-$BH50)/12))</f>
        <v/>
      </c>
      <c r="BX50">
        <f>BK50*COS(($BH50+1*($BI50-$BH50)/12))</f>
        <v/>
      </c>
      <c r="BY50">
        <f>BL50*COS(($BH50+2*($BI50-$BH50)/12))</f>
        <v/>
      </c>
      <c r="BZ50">
        <f>BM50*COS(($BH50+3*($BI50-$BH50)/12))</f>
        <v/>
      </c>
      <c r="CA50">
        <f>BN50*COS(($BH50+4*($BI50-$BH50)/12))</f>
        <v/>
      </c>
      <c r="CB50">
        <f>BO50*COS(($BH50+5*($BI50-$BH50)/12))</f>
        <v/>
      </c>
      <c r="CC50">
        <f>BP50*COS(($BH50+6*($BI50-$BH50)/12))</f>
        <v/>
      </c>
      <c r="CD50">
        <f>BQ50*COS(($BH50+7*($BI50-$BH50)/12))</f>
        <v/>
      </c>
      <c r="CE50">
        <f>BR50*COS(($BH50+8*($BI50-$BH50)/12))</f>
        <v/>
      </c>
      <c r="CF50">
        <f>BS50*COS(($BH50+9*($BI50-$BH50)/12))</f>
        <v/>
      </c>
      <c r="CG50">
        <f>BT50*COS(($BH50+10*($BI50-$BH50)/12))</f>
        <v/>
      </c>
      <c r="CH50">
        <f>BU50*COS(($BH50+11*($BI50-$BH50)/12))</f>
        <v/>
      </c>
      <c r="CI50">
        <f>BV50*COS(($BH50+12*($BI50-$BH50)/12))</f>
        <v/>
      </c>
    </row>
    <row r="51">
      <c r="B51" s="53" t="n">
        <v>26</v>
      </c>
      <c r="C51" s="54">
        <f>1.05*cc_D</f>
        <v/>
      </c>
      <c r="D51" s="55">
        <f>IF($C51&lt;=cc_D,3.5,2*$C51/($C51-3*cc_D/7))</f>
        <v/>
      </c>
      <c r="E51" s="56">
        <f>(fcd_cc*((cc_D/2)^2*($BI51-COS($BI51)*SIN($BI51))-2*(cc_D/2)^2*($BI51-$BH51)/12/3*SUMPRODUCT($BJ$4:$BV$4,$BJ51:$BV51))+SUMPRODUCT($J$5:$AG$5,$J51:$AG51))/1000</f>
        <v/>
      </c>
      <c r="F51" s="56">
        <f>(fcd_cc*(2/3*(cc_D/2)^3*SIN($BI51)^3-2*(cc_D/2)^3*($BI51-$BH51)/12/3*SUMPRODUCT($BW$4:$CI$4,$BW51:$CI51))+SUMPRODUCT($J$5:$AG$5,$J51:$AG51,$J$7:$AG$7))/1E6</f>
        <v/>
      </c>
      <c r="G51" s="56">
        <f>(fcd_cc*((cc_D/2)^2*($BI51-COS($BI51)*SIN($BI51))-2*(cc_D/2)^2*($BI51-$BH51)/12/3*SUMPRODUCT($BJ$4:$BV$4,$BJ51:$BV51))+SUMPRODUCT($J$5:$AG$5,$AH51:$BE51))/1000</f>
        <v/>
      </c>
      <c r="H51" s="56">
        <f>(fcd_cc*(2/3*(cc_D/2)^3*SIN($BI51)^3-2*(cc_D/2)^3*($BI51-$BH51)/12/3*SUMPRODUCT($BW$4:$CI$4,$BW51:$CI51))+SUMPRODUCT($J$5:$AG$5,$AH51:$BE51,$J$19:$AG$19))/1E6</f>
        <v/>
      </c>
      <c r="J51">
        <f>MAX(-fyd_cc,MIN(fyd_cc,Es_cc*IF($C51&lt;=cc_D,0.0035*($C51-J$6)/$C51,0.002*($C51-J$6)/($C51-3*cc_D/7))))-fcd_cc*(1-(1-MAX(0,MIN(1,IF($C51&lt;=cc_D,0.0035*($C51-J$6)/$C51,0.002*($C51-J$6)/($C51-3*cc_D/7))/0.002)))^2)</f>
        <v/>
      </c>
      <c r="K51">
        <f>MAX(-fyd_cc,MIN(fyd_cc,Es_cc*IF($C51&lt;=cc_D,0.0035*($C51-K$6)/$C51,0.002*($C51-K$6)/($C51-3*cc_D/7))))-fcd_cc*(1-(1-MAX(0,MIN(1,IF($C51&lt;=cc_D,0.0035*($C51-K$6)/$C51,0.002*($C51-K$6)/($C51-3*cc_D/7))/0.002)))^2)</f>
        <v/>
      </c>
      <c r="L51">
        <f>MAX(-fyd_cc,MIN(fyd_cc,Es_cc*IF($C51&lt;=cc_D,0.0035*($C51-L$6)/$C51,0.002*($C51-L$6)/($C51-3*cc_D/7))))-fcd_cc*(1-(1-MAX(0,MIN(1,IF($C51&lt;=cc_D,0.0035*($C51-L$6)/$C51,0.002*($C51-L$6)/($C51-3*cc_D/7))/0.002)))^2)</f>
        <v/>
      </c>
      <c r="M51">
        <f>MAX(-fyd_cc,MIN(fyd_cc,Es_cc*IF($C51&lt;=cc_D,0.0035*($C51-M$6)/$C51,0.002*($C51-M$6)/($C51-3*cc_D/7))))-fcd_cc*(1-(1-MAX(0,MIN(1,IF($C51&lt;=cc_D,0.0035*($C51-M$6)/$C51,0.002*($C51-M$6)/($C51-3*cc_D/7))/0.002)))^2)</f>
        <v/>
      </c>
      <c r="N51">
        <f>MAX(-fyd_cc,MIN(fyd_cc,Es_cc*IF($C51&lt;=cc_D,0.0035*($C51-N$6)/$C51,0.002*($C51-N$6)/($C51-3*cc_D/7))))-fcd_cc*(1-(1-MAX(0,MIN(1,IF($C51&lt;=cc_D,0.0035*($C51-N$6)/$C51,0.002*($C51-N$6)/($C51-3*cc_D/7))/0.002)))^2)</f>
        <v/>
      </c>
      <c r="O51">
        <f>MAX(-fyd_cc,MIN(fyd_cc,Es_cc*IF($C51&lt;=cc_D,0.0035*($C51-O$6)/$C51,0.002*($C51-O$6)/($C51-3*cc_D/7))))-fcd_cc*(1-(1-MAX(0,MIN(1,IF($C51&lt;=cc_D,0.0035*($C51-O$6)/$C51,0.002*($C51-O$6)/($C51-3*cc_D/7))/0.002)))^2)</f>
        <v/>
      </c>
      <c r="P51">
        <f>MAX(-fyd_cc,MIN(fyd_cc,Es_cc*IF($C51&lt;=cc_D,0.0035*($C51-P$6)/$C51,0.002*($C51-P$6)/($C51-3*cc_D/7))))-fcd_cc*(1-(1-MAX(0,MIN(1,IF($C51&lt;=cc_D,0.0035*($C51-P$6)/$C51,0.002*($C51-P$6)/($C51-3*cc_D/7))/0.002)))^2)</f>
        <v/>
      </c>
      <c r="Q51">
        <f>MAX(-fyd_cc,MIN(fyd_cc,Es_cc*IF($C51&lt;=cc_D,0.0035*($C51-Q$6)/$C51,0.002*($C51-Q$6)/($C51-3*cc_D/7))))-fcd_cc*(1-(1-MAX(0,MIN(1,IF($C51&lt;=cc_D,0.0035*($C51-Q$6)/$C51,0.002*($C51-Q$6)/($C51-3*cc_D/7))/0.002)))^2)</f>
        <v/>
      </c>
      <c r="R51">
        <f>MAX(-fyd_cc,MIN(fyd_cc,Es_cc*IF($C51&lt;=cc_D,0.0035*($C51-R$6)/$C51,0.002*($C51-R$6)/($C51-3*cc_D/7))))-fcd_cc*(1-(1-MAX(0,MIN(1,IF($C51&lt;=cc_D,0.0035*($C51-R$6)/$C51,0.002*($C51-R$6)/($C51-3*cc_D/7))/0.002)))^2)</f>
        <v/>
      </c>
      <c r="S51">
        <f>MAX(-fyd_cc,MIN(fyd_cc,Es_cc*IF($C51&lt;=cc_D,0.0035*($C51-S$6)/$C51,0.002*($C51-S$6)/($C51-3*cc_D/7))))-fcd_cc*(1-(1-MAX(0,MIN(1,IF($C51&lt;=cc_D,0.0035*($C51-S$6)/$C51,0.002*($C51-S$6)/($C51-3*cc_D/7))/0.002)))^2)</f>
        <v/>
      </c>
      <c r="T51">
        <f>MAX(-fyd_cc,MIN(fyd_cc,Es_cc*IF($C51&lt;=cc_D,0.0035*($C51-T$6)/$C51,0.002*($C51-T$6)/($C51-3*cc_D/7))))-fcd_cc*(1-(1-MAX(0,MIN(1,IF($C51&lt;=cc_D,0.0035*($C51-T$6)/$C51,0.002*($C51-T$6)/($C51-3*cc_D/7))/0.002)))^2)</f>
        <v/>
      </c>
      <c r="U51">
        <f>MAX(-fyd_cc,MIN(fyd_cc,Es_cc*IF($C51&lt;=cc_D,0.0035*($C51-U$6)/$C51,0.002*($C51-U$6)/($C51-3*cc_D/7))))-fcd_cc*(1-(1-MAX(0,MIN(1,IF($C51&lt;=cc_D,0.0035*($C51-U$6)/$C51,0.002*($C51-U$6)/($C51-3*cc_D/7))/0.002)))^2)</f>
        <v/>
      </c>
      <c r="V51">
        <f>MAX(-fyd_cc,MIN(fyd_cc,Es_cc*IF($C51&lt;=cc_D,0.0035*($C51-V$6)/$C51,0.002*($C51-V$6)/($C51-3*cc_D/7))))-fcd_cc*(1-(1-MAX(0,MIN(1,IF($C51&lt;=cc_D,0.0035*($C51-V$6)/$C51,0.002*($C51-V$6)/($C51-3*cc_D/7))/0.002)))^2)</f>
        <v/>
      </c>
      <c r="W51">
        <f>MAX(-fyd_cc,MIN(fyd_cc,Es_cc*IF($C51&lt;=cc_D,0.0035*($C51-W$6)/$C51,0.002*($C51-W$6)/($C51-3*cc_D/7))))-fcd_cc*(1-(1-MAX(0,MIN(1,IF($C51&lt;=cc_D,0.0035*($C51-W$6)/$C51,0.002*($C51-W$6)/($C51-3*cc_D/7))/0.002)))^2)</f>
        <v/>
      </c>
      <c r="X51">
        <f>MAX(-fyd_cc,MIN(fyd_cc,Es_cc*IF($C51&lt;=cc_D,0.0035*($C51-X$6)/$C51,0.002*($C51-X$6)/($C51-3*cc_D/7))))-fcd_cc*(1-(1-MAX(0,MIN(1,IF($C51&lt;=cc_D,0.0035*($C51-X$6)/$C51,0.002*($C51-X$6)/($C51-3*cc_D/7))/0.002)))^2)</f>
        <v/>
      </c>
      <c r="Y51">
        <f>MAX(-fyd_cc,MIN(fyd_cc,Es_cc*IF($C51&lt;=cc_D,0.0035*($C51-Y$6)/$C51,0.002*($C51-Y$6)/($C51-3*cc_D/7))))-fcd_cc*(1-(1-MAX(0,MIN(1,IF($C51&lt;=cc_D,0.0035*($C51-Y$6)/$C51,0.002*($C51-Y$6)/($C51-3*cc_D/7))/0.002)))^2)</f>
        <v/>
      </c>
      <c r="Z51">
        <f>MAX(-fyd_cc,MIN(fyd_cc,Es_cc*IF($C51&lt;=cc_D,0.0035*($C51-Z$6)/$C51,0.002*($C51-Z$6)/($C51-3*cc_D/7))))-fcd_cc*(1-(1-MAX(0,MIN(1,IF($C51&lt;=cc_D,0.0035*($C51-Z$6)/$C51,0.002*($C51-Z$6)/($C51-3*cc_D/7))/0.002)))^2)</f>
        <v/>
      </c>
      <c r="AA51">
        <f>MAX(-fyd_cc,MIN(fyd_cc,Es_cc*IF($C51&lt;=cc_D,0.0035*($C51-AA$6)/$C51,0.002*($C51-AA$6)/($C51-3*cc_D/7))))-fcd_cc*(1-(1-MAX(0,MIN(1,IF($C51&lt;=cc_D,0.0035*($C51-AA$6)/$C51,0.002*($C51-AA$6)/($C51-3*cc_D/7))/0.002)))^2)</f>
        <v/>
      </c>
      <c r="AB51">
        <f>MAX(-fyd_cc,MIN(fyd_cc,Es_cc*IF($C51&lt;=cc_D,0.0035*($C51-AB$6)/$C51,0.002*($C51-AB$6)/($C51-3*cc_D/7))))-fcd_cc*(1-(1-MAX(0,MIN(1,IF($C51&lt;=cc_D,0.0035*($C51-AB$6)/$C51,0.002*($C51-AB$6)/($C51-3*cc_D/7))/0.002)))^2)</f>
        <v/>
      </c>
      <c r="AC51">
        <f>MAX(-fyd_cc,MIN(fyd_cc,Es_cc*IF($C51&lt;=cc_D,0.0035*($C51-AC$6)/$C51,0.002*($C51-AC$6)/($C51-3*cc_D/7))))-fcd_cc*(1-(1-MAX(0,MIN(1,IF($C51&lt;=cc_D,0.0035*($C51-AC$6)/$C51,0.002*($C51-AC$6)/($C51-3*cc_D/7))/0.002)))^2)</f>
        <v/>
      </c>
      <c r="AD51">
        <f>MAX(-fyd_cc,MIN(fyd_cc,Es_cc*IF($C51&lt;=cc_D,0.0035*($C51-AD$6)/$C51,0.002*($C51-AD$6)/($C51-3*cc_D/7))))-fcd_cc*(1-(1-MAX(0,MIN(1,IF($C51&lt;=cc_D,0.0035*($C51-AD$6)/$C51,0.002*($C51-AD$6)/($C51-3*cc_D/7))/0.002)))^2)</f>
        <v/>
      </c>
      <c r="AE51">
        <f>MAX(-fyd_cc,MIN(fyd_cc,Es_cc*IF($C51&lt;=cc_D,0.0035*($C51-AE$6)/$C51,0.002*($C51-AE$6)/($C51-3*cc_D/7))))-fcd_cc*(1-(1-MAX(0,MIN(1,IF($C51&lt;=cc_D,0.0035*($C51-AE$6)/$C51,0.002*($C51-AE$6)/($C51-3*cc_D/7))/0.002)))^2)</f>
        <v/>
      </c>
      <c r="AF51">
        <f>MAX(-fyd_cc,MIN(fyd_cc,Es_cc*IF($C51&lt;=cc_D,0.0035*($C51-AF$6)/$C51,0.002*($C51-AF$6)/($C51-3*cc_D/7))))-fcd_cc*(1-(1-MAX(0,MIN(1,IF($C51&lt;=cc_D,0.0035*($C51-AF$6)/$C51,0.002*($C51-AF$6)/($C51-3*cc_D/7))/0.002)))^2)</f>
        <v/>
      </c>
      <c r="AG51">
        <f>MAX(-fyd_cc,MIN(fyd_cc,Es_cc*IF($C51&lt;=cc_D,0.0035*($C51-AG$6)/$C51,0.002*($C51-AG$6)/($C51-3*cc_D/7))))-fcd_cc*(1-(1-MAX(0,MIN(1,IF($C51&lt;=cc_D,0.0035*($C51-AG$6)/$C51,0.002*($C51-AG$6)/($C51-3*cc_D/7))/0.002)))^2)</f>
        <v/>
      </c>
      <c r="AH51">
        <f>MAX(-fyd_cc,MIN(fyd_cc,Es_cc*IF($C51&lt;=cc_D,0.0035*($C51-J$18)/$C51,0.002*($C51-J$18)/($C51-3*cc_D/7))))-fcd_cc*(1-(1-MAX(0,MIN(1,IF($C51&lt;=cc_D,0.0035*($C51-J$18)/$C51,0.002*($C51-J$18)/($C51-3*cc_D/7))/0.002)))^2)</f>
        <v/>
      </c>
      <c r="AI51">
        <f>MAX(-fyd_cc,MIN(fyd_cc,Es_cc*IF($C51&lt;=cc_D,0.0035*($C51-K$18)/$C51,0.002*($C51-K$18)/($C51-3*cc_D/7))))-fcd_cc*(1-(1-MAX(0,MIN(1,IF($C51&lt;=cc_D,0.0035*($C51-K$18)/$C51,0.002*($C51-K$18)/($C51-3*cc_D/7))/0.002)))^2)</f>
        <v/>
      </c>
      <c r="AJ51">
        <f>MAX(-fyd_cc,MIN(fyd_cc,Es_cc*IF($C51&lt;=cc_D,0.0035*($C51-L$18)/$C51,0.002*($C51-L$18)/($C51-3*cc_D/7))))-fcd_cc*(1-(1-MAX(0,MIN(1,IF($C51&lt;=cc_D,0.0035*($C51-L$18)/$C51,0.002*($C51-L$18)/($C51-3*cc_D/7))/0.002)))^2)</f>
        <v/>
      </c>
      <c r="AK51">
        <f>MAX(-fyd_cc,MIN(fyd_cc,Es_cc*IF($C51&lt;=cc_D,0.0035*($C51-M$18)/$C51,0.002*($C51-M$18)/($C51-3*cc_D/7))))-fcd_cc*(1-(1-MAX(0,MIN(1,IF($C51&lt;=cc_D,0.0035*($C51-M$18)/$C51,0.002*($C51-M$18)/($C51-3*cc_D/7))/0.002)))^2)</f>
        <v/>
      </c>
      <c r="AL51">
        <f>MAX(-fyd_cc,MIN(fyd_cc,Es_cc*IF($C51&lt;=cc_D,0.0035*($C51-N$18)/$C51,0.002*($C51-N$18)/($C51-3*cc_D/7))))-fcd_cc*(1-(1-MAX(0,MIN(1,IF($C51&lt;=cc_D,0.0035*($C51-N$18)/$C51,0.002*($C51-N$18)/($C51-3*cc_D/7))/0.002)))^2)</f>
        <v/>
      </c>
      <c r="AM51">
        <f>MAX(-fyd_cc,MIN(fyd_cc,Es_cc*IF($C51&lt;=cc_D,0.0035*($C51-O$18)/$C51,0.002*($C51-O$18)/($C51-3*cc_D/7))))-fcd_cc*(1-(1-MAX(0,MIN(1,IF($C51&lt;=cc_D,0.0035*($C51-O$18)/$C51,0.002*($C51-O$18)/($C51-3*cc_D/7))/0.002)))^2)</f>
        <v/>
      </c>
      <c r="AN51">
        <f>MAX(-fyd_cc,MIN(fyd_cc,Es_cc*IF($C51&lt;=cc_D,0.0035*($C51-P$18)/$C51,0.002*($C51-P$18)/($C51-3*cc_D/7))))-fcd_cc*(1-(1-MAX(0,MIN(1,IF($C51&lt;=cc_D,0.0035*($C51-P$18)/$C51,0.002*($C51-P$18)/($C51-3*cc_D/7))/0.002)))^2)</f>
        <v/>
      </c>
      <c r="AO51">
        <f>MAX(-fyd_cc,MIN(fyd_cc,Es_cc*IF($C51&lt;=cc_D,0.0035*($C51-Q$18)/$C51,0.002*($C51-Q$18)/($C51-3*cc_D/7))))-fcd_cc*(1-(1-MAX(0,MIN(1,IF($C51&lt;=cc_D,0.0035*($C51-Q$18)/$C51,0.002*($C51-Q$18)/($C51-3*cc_D/7))/0.002)))^2)</f>
        <v/>
      </c>
      <c r="AP51">
        <f>MAX(-fyd_cc,MIN(fyd_cc,Es_cc*IF($C51&lt;=cc_D,0.0035*($C51-R$18)/$C51,0.002*($C51-R$18)/($C51-3*cc_D/7))))-fcd_cc*(1-(1-MAX(0,MIN(1,IF($C51&lt;=cc_D,0.0035*($C51-R$18)/$C51,0.002*($C51-R$18)/($C51-3*cc_D/7))/0.002)))^2)</f>
        <v/>
      </c>
      <c r="AQ51">
        <f>MAX(-fyd_cc,MIN(fyd_cc,Es_cc*IF($C51&lt;=cc_D,0.0035*($C51-S$18)/$C51,0.002*($C51-S$18)/($C51-3*cc_D/7))))-fcd_cc*(1-(1-MAX(0,MIN(1,IF($C51&lt;=cc_D,0.0035*($C51-S$18)/$C51,0.002*($C51-S$18)/($C51-3*cc_D/7))/0.002)))^2)</f>
        <v/>
      </c>
      <c r="AR51">
        <f>MAX(-fyd_cc,MIN(fyd_cc,Es_cc*IF($C51&lt;=cc_D,0.0035*($C51-T$18)/$C51,0.002*($C51-T$18)/($C51-3*cc_D/7))))-fcd_cc*(1-(1-MAX(0,MIN(1,IF($C51&lt;=cc_D,0.0035*($C51-T$18)/$C51,0.002*($C51-T$18)/($C51-3*cc_D/7))/0.002)))^2)</f>
        <v/>
      </c>
      <c r="AS51">
        <f>MAX(-fyd_cc,MIN(fyd_cc,Es_cc*IF($C51&lt;=cc_D,0.0035*($C51-U$18)/$C51,0.002*($C51-U$18)/($C51-3*cc_D/7))))-fcd_cc*(1-(1-MAX(0,MIN(1,IF($C51&lt;=cc_D,0.0035*($C51-U$18)/$C51,0.002*($C51-U$18)/($C51-3*cc_D/7))/0.002)))^2)</f>
        <v/>
      </c>
      <c r="AT51">
        <f>MAX(-fyd_cc,MIN(fyd_cc,Es_cc*IF($C51&lt;=cc_D,0.0035*($C51-V$18)/$C51,0.002*($C51-V$18)/($C51-3*cc_D/7))))-fcd_cc*(1-(1-MAX(0,MIN(1,IF($C51&lt;=cc_D,0.0035*($C51-V$18)/$C51,0.002*($C51-V$18)/($C51-3*cc_D/7))/0.002)))^2)</f>
        <v/>
      </c>
      <c r="AU51">
        <f>MAX(-fyd_cc,MIN(fyd_cc,Es_cc*IF($C51&lt;=cc_D,0.0035*($C51-W$18)/$C51,0.002*($C51-W$18)/($C51-3*cc_D/7))))-fcd_cc*(1-(1-MAX(0,MIN(1,IF($C51&lt;=cc_D,0.0035*($C51-W$18)/$C51,0.002*($C51-W$18)/($C51-3*cc_D/7))/0.002)))^2)</f>
        <v/>
      </c>
      <c r="AV51">
        <f>MAX(-fyd_cc,MIN(fyd_cc,Es_cc*IF($C51&lt;=cc_D,0.0035*($C51-X$18)/$C51,0.002*($C51-X$18)/($C51-3*cc_D/7))))-fcd_cc*(1-(1-MAX(0,MIN(1,IF($C51&lt;=cc_D,0.0035*($C51-X$18)/$C51,0.002*($C51-X$18)/($C51-3*cc_D/7))/0.002)))^2)</f>
        <v/>
      </c>
      <c r="AW51">
        <f>MAX(-fyd_cc,MIN(fyd_cc,Es_cc*IF($C51&lt;=cc_D,0.0035*($C51-Y$18)/$C51,0.002*($C51-Y$18)/($C51-3*cc_D/7))))-fcd_cc*(1-(1-MAX(0,MIN(1,IF($C51&lt;=cc_D,0.0035*($C51-Y$18)/$C51,0.002*($C51-Y$18)/($C51-3*cc_D/7))/0.002)))^2)</f>
        <v/>
      </c>
      <c r="AX51">
        <f>MAX(-fyd_cc,MIN(fyd_cc,Es_cc*IF($C51&lt;=cc_D,0.0035*($C51-Z$18)/$C51,0.002*($C51-Z$18)/($C51-3*cc_D/7))))-fcd_cc*(1-(1-MAX(0,MIN(1,IF($C51&lt;=cc_D,0.0035*($C51-Z$18)/$C51,0.002*($C51-Z$18)/($C51-3*cc_D/7))/0.002)))^2)</f>
        <v/>
      </c>
      <c r="AY51">
        <f>MAX(-fyd_cc,MIN(fyd_cc,Es_cc*IF($C51&lt;=cc_D,0.0035*($C51-AA$18)/$C51,0.002*($C51-AA$18)/($C51-3*cc_D/7))))-fcd_cc*(1-(1-MAX(0,MIN(1,IF($C51&lt;=cc_D,0.0035*($C51-AA$18)/$C51,0.002*($C51-AA$18)/($C51-3*cc_D/7))/0.002)))^2)</f>
        <v/>
      </c>
      <c r="AZ51">
        <f>MAX(-fyd_cc,MIN(fyd_cc,Es_cc*IF($C51&lt;=cc_D,0.0035*($C51-AB$18)/$C51,0.002*($C51-AB$18)/($C51-3*cc_D/7))))-fcd_cc*(1-(1-MAX(0,MIN(1,IF($C51&lt;=cc_D,0.0035*($C51-AB$18)/$C51,0.002*($C51-AB$18)/($C51-3*cc_D/7))/0.002)))^2)</f>
        <v/>
      </c>
      <c r="BA51">
        <f>MAX(-fyd_cc,MIN(fyd_cc,Es_cc*IF($C51&lt;=cc_D,0.0035*($C51-AC$18)/$C51,0.002*($C51-AC$18)/($C51-3*cc_D/7))))-fcd_cc*(1-(1-MAX(0,MIN(1,IF($C51&lt;=cc_D,0.0035*($C51-AC$18)/$C51,0.002*($C51-AC$18)/($C51-3*cc_D/7))/0.002)))^2)</f>
        <v/>
      </c>
      <c r="BB51">
        <f>MAX(-fyd_cc,MIN(fyd_cc,Es_cc*IF($C51&lt;=cc_D,0.0035*($C51-AD$18)/$C51,0.002*($C51-AD$18)/($C51-3*cc_D/7))))-fcd_cc*(1-(1-MAX(0,MIN(1,IF($C51&lt;=cc_D,0.0035*($C51-AD$18)/$C51,0.002*($C51-AD$18)/($C51-3*cc_D/7))/0.002)))^2)</f>
        <v/>
      </c>
      <c r="BC51">
        <f>MAX(-fyd_cc,MIN(fyd_cc,Es_cc*IF($C51&lt;=cc_D,0.0035*($C51-AE$18)/$C51,0.002*($C51-AE$18)/($C51-3*cc_D/7))))-fcd_cc*(1-(1-MAX(0,MIN(1,IF($C51&lt;=cc_D,0.0035*($C51-AE$18)/$C51,0.002*($C51-AE$18)/($C51-3*cc_D/7))/0.002)))^2)</f>
        <v/>
      </c>
      <c r="BD51">
        <f>MAX(-fyd_cc,MIN(fyd_cc,Es_cc*IF($C51&lt;=cc_D,0.0035*($C51-AF$18)/$C51,0.002*($C51-AF$18)/($C51-3*cc_D/7))))-fcd_cc*(1-(1-MAX(0,MIN(1,IF($C51&lt;=cc_D,0.0035*($C51-AF$18)/$C51,0.002*($C51-AF$18)/($C51-3*cc_D/7))/0.002)))^2)</f>
        <v/>
      </c>
      <c r="BE51">
        <f>MAX(-fyd_cc,MIN(fyd_cc,Es_cc*IF($C51&lt;=cc_D,0.0035*($C51-AG$18)/$C51,0.002*($C51-AG$18)/($C51-3*cc_D/7))))-fcd_cc*(1-(1-MAX(0,MIN(1,IF($C51&lt;=cc_D,0.0035*($C51-AG$18)/$C51,0.002*($C51-AG$18)/($C51-3*cc_D/7))/0.002)))^2)</f>
        <v/>
      </c>
      <c r="BF51">
        <f>3*MIN($C51,cc_D)/7</f>
        <v/>
      </c>
      <c r="BG51">
        <f>$C51-$BF51</f>
        <v/>
      </c>
      <c r="BH51">
        <f>ACOS(MAX(-1,MIN(1,1-$BF51/(cc_D/2))))</f>
        <v/>
      </c>
      <c r="BI51">
        <f>ACOS(MAX(-1,MIN(1,1-MIN($C51,cc_D)/(cc_D/2))))</f>
        <v/>
      </c>
      <c r="BJ51">
        <f>((cc_D/2*(1-COS(($BH51+0*($BI51-$BH51)/12)))-$BF51)/$BG51)^2*SIN(($BH51+0*($BI51-$BH51)/12))^2</f>
        <v/>
      </c>
      <c r="BK51">
        <f>((cc_D/2*(1-COS(($BH51+1*($BI51-$BH51)/12)))-$BF51)/$BG51)^2*SIN(($BH51+1*($BI51-$BH51)/12))^2</f>
        <v/>
      </c>
      <c r="BL51">
        <f>((cc_D/2*(1-COS(($BH51+2*($BI51-$BH51)/12)))-$BF51)/$BG51)^2*SIN(($BH51+2*($BI51-$BH51)/12))^2</f>
        <v/>
      </c>
      <c r="BM51">
        <f>((cc_D/2*(1-COS(($BH51+3*($BI51-$BH51)/12)))-$BF51)/$BG51)^2*SIN(($BH51+3*($BI51-$BH51)/12))^2</f>
        <v/>
      </c>
      <c r="BN51">
        <f>((cc_D/2*(1-COS(($BH51+4*($BI51-$BH51)/12)))-$BF51)/$BG51)^2*SIN(($BH51+4*($BI51-$BH51)/12))^2</f>
        <v/>
      </c>
      <c r="BO51">
        <f>((cc_D/2*(1-COS(($BH51+5*($BI51-$BH51)/12)))-$BF51)/$BG51)^2*SIN(($BH51+5*($BI51-$BH51)/12))^2</f>
        <v/>
      </c>
      <c r="BP51">
        <f>((cc_D/2*(1-COS(($BH51+6*($BI51-$BH51)/12)))-$BF51)/$BG51)^2*SIN(($BH51+6*($BI51-$BH51)/12))^2</f>
        <v/>
      </c>
      <c r="BQ51">
        <f>((cc_D/2*(1-COS(($BH51+7*($BI51-$BH51)/12)))-$BF51)/$BG51)^2*SIN(($BH51+7*($BI51-$BH51)/12))^2</f>
        <v/>
      </c>
      <c r="BR51">
        <f>((cc_D/2*(1-COS(($BH51+8*($BI51-$BH51)/12)))-$BF51)/$BG51)^2*SIN(($BH51+8*($BI51-$BH51)/12))^2</f>
        <v/>
      </c>
      <c r="BS51">
        <f>((cc_D/2*(1-COS(($BH51+9*($BI51-$BH51)/12)))-$BF51)/$BG51)^2*SIN(($BH51+9*($BI51-$BH51)/12))^2</f>
        <v/>
      </c>
      <c r="BT51">
        <f>((cc_D/2*(1-COS(($BH51+10*($BI51-$BH51)/12)))-$BF51)/$BG51)^2*SIN(($BH51+10*($BI51-$BH51)/12))^2</f>
        <v/>
      </c>
      <c r="BU51">
        <f>((cc_D/2*(1-COS(($BH51+11*($BI51-$BH51)/12)))-$BF51)/$BG51)^2*SIN(($BH51+11*($BI51-$BH51)/12))^2</f>
        <v/>
      </c>
      <c r="BV51">
        <f>((cc_D/2*(1-COS(($BH51+12*($BI51-$BH51)/12)))-$BF51)/$BG51)^2*SIN(($BH51+12*($BI51-$BH51)/12))^2</f>
        <v/>
      </c>
      <c r="BW51">
        <f>BJ51*COS(($BH51+0*($BI51-$BH51)/12))</f>
        <v/>
      </c>
      <c r="BX51">
        <f>BK51*COS(($BH51+1*($BI51-$BH51)/12))</f>
        <v/>
      </c>
      <c r="BY51">
        <f>BL51*COS(($BH51+2*($BI51-$BH51)/12))</f>
        <v/>
      </c>
      <c r="BZ51">
        <f>BM51*COS(($BH51+3*($BI51-$BH51)/12))</f>
        <v/>
      </c>
      <c r="CA51">
        <f>BN51*COS(($BH51+4*($BI51-$BH51)/12))</f>
        <v/>
      </c>
      <c r="CB51">
        <f>BO51*COS(($BH51+5*($BI51-$BH51)/12))</f>
        <v/>
      </c>
      <c r="CC51">
        <f>BP51*COS(($BH51+6*($BI51-$BH51)/12))</f>
        <v/>
      </c>
      <c r="CD51">
        <f>BQ51*COS(($BH51+7*($BI51-$BH51)/12))</f>
        <v/>
      </c>
      <c r="CE51">
        <f>BR51*COS(($BH51+8*($BI51-$BH51)/12))</f>
        <v/>
      </c>
      <c r="CF51">
        <f>BS51*COS(($BH51+9*($BI51-$BH51)/12))</f>
        <v/>
      </c>
      <c r="CG51">
        <f>BT51*COS(($BH51+10*($BI51-$BH51)/12))</f>
        <v/>
      </c>
      <c r="CH51">
        <f>BU51*COS(($BH51+11*($BI51-$BH51)/12))</f>
        <v/>
      </c>
      <c r="CI51">
        <f>BV51*COS(($BH51+12*($BI51-$BH51)/12))</f>
        <v/>
      </c>
    </row>
    <row r="52">
      <c r="B52" s="53" t="n">
        <v>27</v>
      </c>
      <c r="C52" s="54">
        <f>1.1*cc_D</f>
        <v/>
      </c>
      <c r="D52" s="55">
        <f>IF($C52&lt;=cc_D,3.5,2*$C52/($C52-3*cc_D/7))</f>
        <v/>
      </c>
      <c r="E52" s="56">
        <f>(fcd_cc*((cc_D/2)^2*($BI52-COS($BI52)*SIN($BI52))-2*(cc_D/2)^2*($BI52-$BH52)/12/3*SUMPRODUCT($BJ$4:$BV$4,$BJ52:$BV52))+SUMPRODUCT($J$5:$AG$5,$J52:$AG52))/1000</f>
        <v/>
      </c>
      <c r="F52" s="56">
        <f>(fcd_cc*(2/3*(cc_D/2)^3*SIN($BI52)^3-2*(cc_D/2)^3*($BI52-$BH52)/12/3*SUMPRODUCT($BW$4:$CI$4,$BW52:$CI52))+SUMPRODUCT($J$5:$AG$5,$J52:$AG52,$J$7:$AG$7))/1E6</f>
        <v/>
      </c>
      <c r="G52" s="56">
        <f>(fcd_cc*((cc_D/2)^2*($BI52-COS($BI52)*SIN($BI52))-2*(cc_D/2)^2*($BI52-$BH52)/12/3*SUMPRODUCT($BJ$4:$BV$4,$BJ52:$BV52))+SUMPRODUCT($J$5:$AG$5,$AH52:$BE52))/1000</f>
        <v/>
      </c>
      <c r="H52" s="56">
        <f>(fcd_cc*(2/3*(cc_D/2)^3*SIN($BI52)^3-2*(cc_D/2)^3*($BI52-$BH52)/12/3*SUMPRODUCT($BW$4:$CI$4,$BW52:$CI52))+SUMPRODUCT($J$5:$AG$5,$AH52:$BE52,$J$19:$AG$19))/1E6</f>
        <v/>
      </c>
      <c r="J52">
        <f>MAX(-fyd_cc,MIN(fyd_cc,Es_cc*IF($C52&lt;=cc_D,0.0035*($C52-J$6)/$C52,0.002*($C52-J$6)/($C52-3*cc_D/7))))-fcd_cc*(1-(1-MAX(0,MIN(1,IF($C52&lt;=cc_D,0.0035*($C52-J$6)/$C52,0.002*($C52-J$6)/($C52-3*cc_D/7))/0.002)))^2)</f>
        <v/>
      </c>
      <c r="K52">
        <f>MAX(-fyd_cc,MIN(fyd_cc,Es_cc*IF($C52&lt;=cc_D,0.0035*($C52-K$6)/$C52,0.002*($C52-K$6)/($C52-3*cc_D/7))))-fcd_cc*(1-(1-MAX(0,MIN(1,IF($C52&lt;=cc_D,0.0035*($C52-K$6)/$C52,0.002*($C52-K$6)/($C52-3*cc_D/7))/0.002)))^2)</f>
        <v/>
      </c>
      <c r="L52">
        <f>MAX(-fyd_cc,MIN(fyd_cc,Es_cc*IF($C52&lt;=cc_D,0.0035*($C52-L$6)/$C52,0.002*($C52-L$6)/($C52-3*cc_D/7))))-fcd_cc*(1-(1-MAX(0,MIN(1,IF($C52&lt;=cc_D,0.0035*($C52-L$6)/$C52,0.002*($C52-L$6)/($C52-3*cc_D/7))/0.002)))^2)</f>
        <v/>
      </c>
      <c r="M52">
        <f>MAX(-fyd_cc,MIN(fyd_cc,Es_cc*IF($C52&lt;=cc_D,0.0035*($C52-M$6)/$C52,0.002*($C52-M$6)/($C52-3*cc_D/7))))-fcd_cc*(1-(1-MAX(0,MIN(1,IF($C52&lt;=cc_D,0.0035*($C52-M$6)/$C52,0.002*($C52-M$6)/($C52-3*cc_D/7))/0.002)))^2)</f>
        <v/>
      </c>
      <c r="N52">
        <f>MAX(-fyd_cc,MIN(fyd_cc,Es_cc*IF($C52&lt;=cc_D,0.0035*($C52-N$6)/$C52,0.002*($C52-N$6)/($C52-3*cc_D/7))))-fcd_cc*(1-(1-MAX(0,MIN(1,IF($C52&lt;=cc_D,0.0035*($C52-N$6)/$C52,0.002*($C52-N$6)/($C52-3*cc_D/7))/0.002)))^2)</f>
        <v/>
      </c>
      <c r="O52">
        <f>MAX(-fyd_cc,MIN(fyd_cc,Es_cc*IF($C52&lt;=cc_D,0.0035*($C52-O$6)/$C52,0.002*($C52-O$6)/($C52-3*cc_D/7))))-fcd_cc*(1-(1-MAX(0,MIN(1,IF($C52&lt;=cc_D,0.0035*($C52-O$6)/$C52,0.002*($C52-O$6)/($C52-3*cc_D/7))/0.002)))^2)</f>
        <v/>
      </c>
      <c r="P52">
        <f>MAX(-fyd_cc,MIN(fyd_cc,Es_cc*IF($C52&lt;=cc_D,0.0035*($C52-P$6)/$C52,0.002*($C52-P$6)/($C52-3*cc_D/7))))-fcd_cc*(1-(1-MAX(0,MIN(1,IF($C52&lt;=cc_D,0.0035*($C52-P$6)/$C52,0.002*($C52-P$6)/($C52-3*cc_D/7))/0.002)))^2)</f>
        <v/>
      </c>
      <c r="Q52">
        <f>MAX(-fyd_cc,MIN(fyd_cc,Es_cc*IF($C52&lt;=cc_D,0.0035*($C52-Q$6)/$C52,0.002*($C52-Q$6)/($C52-3*cc_D/7))))-fcd_cc*(1-(1-MAX(0,MIN(1,IF($C52&lt;=cc_D,0.0035*($C52-Q$6)/$C52,0.002*($C52-Q$6)/($C52-3*cc_D/7))/0.002)))^2)</f>
        <v/>
      </c>
      <c r="R52">
        <f>MAX(-fyd_cc,MIN(fyd_cc,Es_cc*IF($C52&lt;=cc_D,0.0035*($C52-R$6)/$C52,0.002*($C52-R$6)/($C52-3*cc_D/7))))-fcd_cc*(1-(1-MAX(0,MIN(1,IF($C52&lt;=cc_D,0.0035*($C52-R$6)/$C52,0.002*($C52-R$6)/($C52-3*cc_D/7))/0.002)))^2)</f>
        <v/>
      </c>
      <c r="S52">
        <f>MAX(-fyd_cc,MIN(fyd_cc,Es_cc*IF($C52&lt;=cc_D,0.0035*($C52-S$6)/$C52,0.002*($C52-S$6)/($C52-3*cc_D/7))))-fcd_cc*(1-(1-MAX(0,MIN(1,IF($C52&lt;=cc_D,0.0035*($C52-S$6)/$C52,0.002*($C52-S$6)/($C52-3*cc_D/7))/0.002)))^2)</f>
        <v/>
      </c>
      <c r="T52">
        <f>MAX(-fyd_cc,MIN(fyd_cc,Es_cc*IF($C52&lt;=cc_D,0.0035*($C52-T$6)/$C52,0.002*($C52-T$6)/($C52-3*cc_D/7))))-fcd_cc*(1-(1-MAX(0,MIN(1,IF($C52&lt;=cc_D,0.0035*($C52-T$6)/$C52,0.002*($C52-T$6)/($C52-3*cc_D/7))/0.002)))^2)</f>
        <v/>
      </c>
      <c r="U52">
        <f>MAX(-fyd_cc,MIN(fyd_cc,Es_cc*IF($C52&lt;=cc_D,0.0035*($C52-U$6)/$C52,0.002*($C52-U$6)/($C52-3*cc_D/7))))-fcd_cc*(1-(1-MAX(0,MIN(1,IF($C52&lt;=cc_D,0.0035*($C52-U$6)/$C52,0.002*($C52-U$6)/($C52-3*cc_D/7))/0.002)))^2)</f>
        <v/>
      </c>
      <c r="V52">
        <f>MAX(-fyd_cc,MIN(fyd_cc,Es_cc*IF($C52&lt;=cc_D,0.0035*($C52-V$6)/$C52,0.002*($C52-V$6)/($C52-3*cc_D/7))))-fcd_cc*(1-(1-MAX(0,MIN(1,IF($C52&lt;=cc_D,0.0035*($C52-V$6)/$C52,0.002*($C52-V$6)/($C52-3*cc_D/7))/0.002)))^2)</f>
        <v/>
      </c>
      <c r="W52">
        <f>MAX(-fyd_cc,MIN(fyd_cc,Es_cc*IF($C52&lt;=cc_D,0.0035*($C52-W$6)/$C52,0.002*($C52-W$6)/($C52-3*cc_D/7))))-fcd_cc*(1-(1-MAX(0,MIN(1,IF($C52&lt;=cc_D,0.0035*($C52-W$6)/$C52,0.002*($C52-W$6)/($C52-3*cc_D/7))/0.002)))^2)</f>
        <v/>
      </c>
      <c r="X52">
        <f>MAX(-fyd_cc,MIN(fyd_cc,Es_cc*IF($C52&lt;=cc_D,0.0035*($C52-X$6)/$C52,0.002*($C52-X$6)/($C52-3*cc_D/7))))-fcd_cc*(1-(1-MAX(0,MIN(1,IF($C52&lt;=cc_D,0.0035*($C52-X$6)/$C52,0.002*($C52-X$6)/($C52-3*cc_D/7))/0.002)))^2)</f>
        <v/>
      </c>
      <c r="Y52">
        <f>MAX(-fyd_cc,MIN(fyd_cc,Es_cc*IF($C52&lt;=cc_D,0.0035*($C52-Y$6)/$C52,0.002*($C52-Y$6)/($C52-3*cc_D/7))))-fcd_cc*(1-(1-MAX(0,MIN(1,IF($C52&lt;=cc_D,0.0035*($C52-Y$6)/$C52,0.002*($C52-Y$6)/($C52-3*cc_D/7))/0.002)))^2)</f>
        <v/>
      </c>
      <c r="Z52">
        <f>MAX(-fyd_cc,MIN(fyd_cc,Es_cc*IF($C52&lt;=cc_D,0.0035*($C52-Z$6)/$C52,0.002*($C52-Z$6)/($C52-3*cc_D/7))))-fcd_cc*(1-(1-MAX(0,MIN(1,IF($C52&lt;=cc_D,0.0035*($C52-Z$6)/$C52,0.002*($C52-Z$6)/($C52-3*cc_D/7))/0.002)))^2)</f>
        <v/>
      </c>
      <c r="AA52">
        <f>MAX(-fyd_cc,MIN(fyd_cc,Es_cc*IF($C52&lt;=cc_D,0.0035*($C52-AA$6)/$C52,0.002*($C52-AA$6)/($C52-3*cc_D/7))))-fcd_cc*(1-(1-MAX(0,MIN(1,IF($C52&lt;=cc_D,0.0035*($C52-AA$6)/$C52,0.002*($C52-AA$6)/($C52-3*cc_D/7))/0.002)))^2)</f>
        <v/>
      </c>
      <c r="AB52">
        <f>MAX(-fyd_cc,MIN(fyd_cc,Es_cc*IF($C52&lt;=cc_D,0.0035*($C52-AB$6)/$C52,0.002*($C52-AB$6)/($C52-3*cc_D/7))))-fcd_cc*(1-(1-MAX(0,MIN(1,IF($C52&lt;=cc_D,0.0035*($C52-AB$6)/$C52,0.002*($C52-AB$6)/($C52-3*cc_D/7))/0.002)))^2)</f>
        <v/>
      </c>
      <c r="AC52">
        <f>MAX(-fyd_cc,MIN(fyd_cc,Es_cc*IF($C52&lt;=cc_D,0.0035*($C52-AC$6)/$C52,0.002*($C52-AC$6)/($C52-3*cc_D/7))))-fcd_cc*(1-(1-MAX(0,MIN(1,IF($C52&lt;=cc_D,0.0035*($C52-AC$6)/$C52,0.002*($C52-AC$6)/($C52-3*cc_D/7))/0.002)))^2)</f>
        <v/>
      </c>
      <c r="AD52">
        <f>MAX(-fyd_cc,MIN(fyd_cc,Es_cc*IF($C52&lt;=cc_D,0.0035*($C52-AD$6)/$C52,0.002*($C52-AD$6)/($C52-3*cc_D/7))))-fcd_cc*(1-(1-MAX(0,MIN(1,IF($C52&lt;=cc_D,0.0035*($C52-AD$6)/$C52,0.002*($C52-AD$6)/($C52-3*cc_D/7))/0.002)))^2)</f>
        <v/>
      </c>
      <c r="AE52">
        <f>MAX(-fyd_cc,MIN(fyd_cc,Es_cc*IF($C52&lt;=cc_D,0.0035*($C52-AE$6)/$C52,0.002*($C52-AE$6)/($C52-3*cc_D/7))))-fcd_cc*(1-(1-MAX(0,MIN(1,IF($C52&lt;=cc_D,0.0035*($C52-AE$6)/$C52,0.002*($C52-AE$6)/($C52-3*cc_D/7))/0.002)))^2)</f>
        <v/>
      </c>
      <c r="AF52">
        <f>MAX(-fyd_cc,MIN(fyd_cc,Es_cc*IF($C52&lt;=cc_D,0.0035*($C52-AF$6)/$C52,0.002*($C52-AF$6)/($C52-3*cc_D/7))))-fcd_cc*(1-(1-MAX(0,MIN(1,IF($C52&lt;=cc_D,0.0035*($C52-AF$6)/$C52,0.002*($C52-AF$6)/($C52-3*cc_D/7))/0.002)))^2)</f>
        <v/>
      </c>
      <c r="AG52">
        <f>MAX(-fyd_cc,MIN(fyd_cc,Es_cc*IF($C52&lt;=cc_D,0.0035*($C52-AG$6)/$C52,0.002*($C52-AG$6)/($C52-3*cc_D/7))))-fcd_cc*(1-(1-MAX(0,MIN(1,IF($C52&lt;=cc_D,0.0035*($C52-AG$6)/$C52,0.002*($C52-AG$6)/($C52-3*cc_D/7))/0.002)))^2)</f>
        <v/>
      </c>
      <c r="AH52">
        <f>MAX(-fyd_cc,MIN(fyd_cc,Es_cc*IF($C52&lt;=cc_D,0.0035*($C52-J$18)/$C52,0.002*($C52-J$18)/($C52-3*cc_D/7))))-fcd_cc*(1-(1-MAX(0,MIN(1,IF($C52&lt;=cc_D,0.0035*($C52-J$18)/$C52,0.002*($C52-J$18)/($C52-3*cc_D/7))/0.002)))^2)</f>
        <v/>
      </c>
      <c r="AI52">
        <f>MAX(-fyd_cc,MIN(fyd_cc,Es_cc*IF($C52&lt;=cc_D,0.0035*($C52-K$18)/$C52,0.002*($C52-K$18)/($C52-3*cc_D/7))))-fcd_cc*(1-(1-MAX(0,MIN(1,IF($C52&lt;=cc_D,0.0035*($C52-K$18)/$C52,0.002*($C52-K$18)/($C52-3*cc_D/7))/0.002)))^2)</f>
        <v/>
      </c>
      <c r="AJ52">
        <f>MAX(-fyd_cc,MIN(fyd_cc,Es_cc*IF($C52&lt;=cc_D,0.0035*($C52-L$18)/$C52,0.002*($C52-L$18)/($C52-3*cc_D/7))))-fcd_cc*(1-(1-MAX(0,MIN(1,IF($C52&lt;=cc_D,0.0035*($C52-L$18)/$C52,0.002*($C52-L$18)/($C52-3*cc_D/7))/0.002)))^2)</f>
        <v/>
      </c>
      <c r="AK52">
        <f>MAX(-fyd_cc,MIN(fyd_cc,Es_cc*IF($C52&lt;=cc_D,0.0035*($C52-M$18)/$C52,0.002*($C52-M$18)/($C52-3*cc_D/7))))-fcd_cc*(1-(1-MAX(0,MIN(1,IF($C52&lt;=cc_D,0.0035*($C52-M$18)/$C52,0.002*($C52-M$18)/($C52-3*cc_D/7))/0.002)))^2)</f>
        <v/>
      </c>
      <c r="AL52">
        <f>MAX(-fyd_cc,MIN(fyd_cc,Es_cc*IF($C52&lt;=cc_D,0.0035*($C52-N$18)/$C52,0.002*($C52-N$18)/($C52-3*cc_D/7))))-fcd_cc*(1-(1-MAX(0,MIN(1,IF($C52&lt;=cc_D,0.0035*($C52-N$18)/$C52,0.002*($C52-N$18)/($C52-3*cc_D/7))/0.002)))^2)</f>
        <v/>
      </c>
      <c r="AM52">
        <f>MAX(-fyd_cc,MIN(fyd_cc,Es_cc*IF($C52&lt;=cc_D,0.0035*($C52-O$18)/$C52,0.002*($C52-O$18)/($C52-3*cc_D/7))))-fcd_cc*(1-(1-MAX(0,MIN(1,IF($C52&lt;=cc_D,0.0035*($C52-O$18)/$C52,0.002*($C52-O$18)/($C52-3*cc_D/7))/0.002)))^2)</f>
        <v/>
      </c>
      <c r="AN52">
        <f>MAX(-fyd_cc,MIN(fyd_cc,Es_cc*IF($C52&lt;=cc_D,0.0035*($C52-P$18)/$C52,0.002*($C52-P$18)/($C52-3*cc_D/7))))-fcd_cc*(1-(1-MAX(0,MIN(1,IF($C52&lt;=cc_D,0.0035*($C52-P$18)/$C52,0.002*($C52-P$18)/($C52-3*cc_D/7))/0.002)))^2)</f>
        <v/>
      </c>
      <c r="AO52">
        <f>MAX(-fyd_cc,MIN(fyd_cc,Es_cc*IF($C52&lt;=cc_D,0.0035*($C52-Q$18)/$C52,0.002*($C52-Q$18)/($C52-3*cc_D/7))))-fcd_cc*(1-(1-MAX(0,MIN(1,IF($C52&lt;=cc_D,0.0035*($C52-Q$18)/$C52,0.002*($C52-Q$18)/($C52-3*cc_D/7))/0.002)))^2)</f>
        <v/>
      </c>
      <c r="AP52">
        <f>MAX(-fyd_cc,MIN(fyd_cc,Es_cc*IF($C52&lt;=cc_D,0.0035*($C52-R$18)/$C52,0.002*($C52-R$18)/($C52-3*cc_D/7))))-fcd_cc*(1-(1-MAX(0,MIN(1,IF($C52&lt;=cc_D,0.0035*($C52-R$18)/$C52,0.002*($C52-R$18)/($C52-3*cc_D/7))/0.002)))^2)</f>
        <v/>
      </c>
      <c r="AQ52">
        <f>MAX(-fyd_cc,MIN(fyd_cc,Es_cc*IF($C52&lt;=cc_D,0.0035*($C52-S$18)/$C52,0.002*($C52-S$18)/($C52-3*cc_D/7))))-fcd_cc*(1-(1-MAX(0,MIN(1,IF($C52&lt;=cc_D,0.0035*($C52-S$18)/$C52,0.002*($C52-S$18)/($C52-3*cc_D/7))/0.002)))^2)</f>
        <v/>
      </c>
      <c r="AR52">
        <f>MAX(-fyd_cc,MIN(fyd_cc,Es_cc*IF($C52&lt;=cc_D,0.0035*($C52-T$18)/$C52,0.002*($C52-T$18)/($C52-3*cc_D/7))))-fcd_cc*(1-(1-MAX(0,MIN(1,IF($C52&lt;=cc_D,0.0035*($C52-T$18)/$C52,0.002*($C52-T$18)/($C52-3*cc_D/7))/0.002)))^2)</f>
        <v/>
      </c>
      <c r="AS52">
        <f>MAX(-fyd_cc,MIN(fyd_cc,Es_cc*IF($C52&lt;=cc_D,0.0035*($C52-U$18)/$C52,0.002*($C52-U$18)/($C52-3*cc_D/7))))-fcd_cc*(1-(1-MAX(0,MIN(1,IF($C52&lt;=cc_D,0.0035*($C52-U$18)/$C52,0.002*($C52-U$18)/($C52-3*cc_D/7))/0.002)))^2)</f>
        <v/>
      </c>
      <c r="AT52">
        <f>MAX(-fyd_cc,MIN(fyd_cc,Es_cc*IF($C52&lt;=cc_D,0.0035*($C52-V$18)/$C52,0.002*($C52-V$18)/($C52-3*cc_D/7))))-fcd_cc*(1-(1-MAX(0,MIN(1,IF($C52&lt;=cc_D,0.0035*($C52-V$18)/$C52,0.002*($C52-V$18)/($C52-3*cc_D/7))/0.002)))^2)</f>
        <v/>
      </c>
      <c r="AU52">
        <f>MAX(-fyd_cc,MIN(fyd_cc,Es_cc*IF($C52&lt;=cc_D,0.0035*($C52-W$18)/$C52,0.002*($C52-W$18)/($C52-3*cc_D/7))))-fcd_cc*(1-(1-MAX(0,MIN(1,IF($C52&lt;=cc_D,0.0035*($C52-W$18)/$C52,0.002*($C52-W$18)/($C52-3*cc_D/7))/0.002)))^2)</f>
        <v/>
      </c>
      <c r="AV52">
        <f>MAX(-fyd_cc,MIN(fyd_cc,Es_cc*IF($C52&lt;=cc_D,0.0035*($C52-X$18)/$C52,0.002*($C52-X$18)/($C52-3*cc_D/7))))-fcd_cc*(1-(1-MAX(0,MIN(1,IF($C52&lt;=cc_D,0.0035*($C52-X$18)/$C52,0.002*($C52-X$18)/($C52-3*cc_D/7))/0.002)))^2)</f>
        <v/>
      </c>
      <c r="AW52">
        <f>MAX(-fyd_cc,MIN(fyd_cc,Es_cc*IF($C52&lt;=cc_D,0.0035*($C52-Y$18)/$C52,0.002*($C52-Y$18)/($C52-3*cc_D/7))))-fcd_cc*(1-(1-MAX(0,MIN(1,IF($C52&lt;=cc_D,0.0035*($C52-Y$18)/$C52,0.002*($C52-Y$18)/($C52-3*cc_D/7))/0.002)))^2)</f>
        <v/>
      </c>
      <c r="AX52">
        <f>MAX(-fyd_cc,MIN(fyd_cc,Es_cc*IF($C52&lt;=cc_D,0.0035*($C52-Z$18)/$C52,0.002*($C52-Z$18)/($C52-3*cc_D/7))))-fcd_cc*(1-(1-MAX(0,MIN(1,IF($C52&lt;=cc_D,0.0035*($C52-Z$18)/$C52,0.002*($C52-Z$18)/($C52-3*cc_D/7))/0.002)))^2)</f>
        <v/>
      </c>
      <c r="AY52">
        <f>MAX(-fyd_cc,MIN(fyd_cc,Es_cc*IF($C52&lt;=cc_D,0.0035*($C52-AA$18)/$C52,0.002*($C52-AA$18)/($C52-3*cc_D/7))))-fcd_cc*(1-(1-MAX(0,MIN(1,IF($C52&lt;=cc_D,0.0035*($C52-AA$18)/$C52,0.002*($C52-AA$18)/($C52-3*cc_D/7))/0.002)))^2)</f>
        <v/>
      </c>
      <c r="AZ52">
        <f>MAX(-fyd_cc,MIN(fyd_cc,Es_cc*IF($C52&lt;=cc_D,0.0035*($C52-AB$18)/$C52,0.002*($C52-AB$18)/($C52-3*cc_D/7))))-fcd_cc*(1-(1-MAX(0,MIN(1,IF($C52&lt;=cc_D,0.0035*($C52-AB$18)/$C52,0.002*($C52-AB$18)/($C52-3*cc_D/7))/0.002)))^2)</f>
        <v/>
      </c>
      <c r="BA52">
        <f>MAX(-fyd_cc,MIN(fyd_cc,Es_cc*IF($C52&lt;=cc_D,0.0035*($C52-AC$18)/$C52,0.002*($C52-AC$18)/($C52-3*cc_D/7))))-fcd_cc*(1-(1-MAX(0,MIN(1,IF($C52&lt;=cc_D,0.0035*($C52-AC$18)/$C52,0.002*($C52-AC$18)/($C52-3*cc_D/7))/0.002)))^2)</f>
        <v/>
      </c>
      <c r="BB52">
        <f>MAX(-fyd_cc,MIN(fyd_cc,Es_cc*IF($C52&lt;=cc_D,0.0035*($C52-AD$18)/$C52,0.002*($C52-AD$18)/($C52-3*cc_D/7))))-fcd_cc*(1-(1-MAX(0,MIN(1,IF($C52&lt;=cc_D,0.0035*($C52-AD$18)/$C52,0.002*($C52-AD$18)/($C52-3*cc_D/7))/0.002)))^2)</f>
        <v/>
      </c>
      <c r="BC52">
        <f>MAX(-fyd_cc,MIN(fyd_cc,Es_cc*IF($C52&lt;=cc_D,0.0035*($C52-AE$18)/$C52,0.002*($C52-AE$18)/($C52-3*cc_D/7))))-fcd_cc*(1-(1-MAX(0,MIN(1,IF($C52&lt;=cc_D,0.0035*($C52-AE$18)/$C52,0.002*($C52-AE$18)/($C52-3*cc_D/7))/0.002)))^2)</f>
        <v/>
      </c>
      <c r="BD52">
        <f>MAX(-fyd_cc,MIN(fyd_cc,Es_cc*IF($C52&lt;=cc_D,0.0035*($C52-AF$18)/$C52,0.002*($C52-AF$18)/($C52-3*cc_D/7))))-fcd_cc*(1-(1-MAX(0,MIN(1,IF($C52&lt;=cc_D,0.0035*($C52-AF$18)/$C52,0.002*($C52-AF$18)/($C52-3*cc_D/7))/0.002)))^2)</f>
        <v/>
      </c>
      <c r="BE52">
        <f>MAX(-fyd_cc,MIN(fyd_cc,Es_cc*IF($C52&lt;=cc_D,0.0035*($C52-AG$18)/$C52,0.002*($C52-AG$18)/($C52-3*cc_D/7))))-fcd_cc*(1-(1-MAX(0,MIN(1,IF($C52&lt;=cc_D,0.0035*($C52-AG$18)/$C52,0.002*($C52-AG$18)/($C52-3*cc_D/7))/0.002)))^2)</f>
        <v/>
      </c>
      <c r="BF52">
        <f>3*MIN($C52,cc_D)/7</f>
        <v/>
      </c>
      <c r="BG52">
        <f>$C52-$BF52</f>
        <v/>
      </c>
      <c r="BH52">
        <f>ACOS(MAX(-1,MIN(1,1-$BF52/(cc_D/2))))</f>
        <v/>
      </c>
      <c r="BI52">
        <f>ACOS(MAX(-1,MIN(1,1-MIN($C52,cc_D)/(cc_D/2))))</f>
        <v/>
      </c>
      <c r="BJ52">
        <f>((cc_D/2*(1-COS(($BH52+0*($BI52-$BH52)/12)))-$BF52)/$BG52)^2*SIN(($BH52+0*($BI52-$BH52)/12))^2</f>
        <v/>
      </c>
      <c r="BK52">
        <f>((cc_D/2*(1-COS(($BH52+1*($BI52-$BH52)/12)))-$BF52)/$BG52)^2*SIN(($BH52+1*($BI52-$BH52)/12))^2</f>
        <v/>
      </c>
      <c r="BL52">
        <f>((cc_D/2*(1-COS(($BH52+2*($BI52-$BH52)/12)))-$BF52)/$BG52)^2*SIN(($BH52+2*($BI52-$BH52)/12))^2</f>
        <v/>
      </c>
      <c r="BM52">
        <f>((cc_D/2*(1-COS(($BH52+3*($BI52-$BH52)/12)))-$BF52)/$BG52)^2*SIN(($BH52+3*($BI52-$BH52)/12))^2</f>
        <v/>
      </c>
      <c r="BN52">
        <f>((cc_D/2*(1-COS(($BH52+4*($BI52-$BH52)/12)))-$BF52)/$BG52)^2*SIN(($BH52+4*($BI52-$BH52)/12))^2</f>
        <v/>
      </c>
      <c r="BO52">
        <f>((cc_D/2*(1-COS(($BH52+5*($BI52-$BH52)/12)))-$BF52)/$BG52)^2*SIN(($BH52+5*($BI52-$BH52)/12))^2</f>
        <v/>
      </c>
      <c r="BP52">
        <f>((cc_D/2*(1-COS(($BH52+6*($BI52-$BH52)/12)))-$BF52)/$BG52)^2*SIN(($BH52+6*($BI52-$BH52)/12))^2</f>
        <v/>
      </c>
      <c r="BQ52">
        <f>((cc_D/2*(1-COS(($BH52+7*($BI52-$BH52)/12)))-$BF52)/$BG52)^2*SIN(($BH52+7*($BI52-$BH52)/12))^2</f>
        <v/>
      </c>
      <c r="BR52">
        <f>((cc_D/2*(1-COS(($BH52+8*($BI52-$BH52)/12)))-$BF52)/$BG52)^2*SIN(($BH52+8*($BI52-$BH52)/12))^2</f>
        <v/>
      </c>
      <c r="BS52">
        <f>((cc_D/2*(1-COS(($BH52+9*($BI52-$BH52)/12)))-$BF52)/$BG52)^2*SIN(($BH52+9*($BI52-$BH52)/12))^2</f>
        <v/>
      </c>
      <c r="BT52">
        <f>((cc_D/2*(1-COS(($BH52+10*($BI52-$BH52)/12)))-$BF52)/$BG52)^2*SIN(($BH52+10*($BI52-$BH52)/12))^2</f>
        <v/>
      </c>
      <c r="BU52">
        <f>((cc_D/2*(1-COS(($BH52+11*($BI52-$BH52)/12)))-$BF52)/$BG52)^2*SIN(($BH52+11*($BI52-$BH52)/12))^2</f>
        <v/>
      </c>
      <c r="BV52">
        <f>((cc_D/2*(1-COS(($BH52+12*($BI52-$BH52)/12)))-$BF52)/$BG52)^2*SIN(($BH52+12*($BI52-$BH52)/12))^2</f>
        <v/>
      </c>
      <c r="BW52">
        <f>BJ52*COS(($BH52+0*($BI52-$BH52)/12))</f>
        <v/>
      </c>
      <c r="BX52">
        <f>BK52*COS(($BH52+1*($BI52-$BH52)/12))</f>
        <v/>
      </c>
      <c r="BY52">
        <f>BL52*COS(($BH52+2*($BI52-$BH52)/12))</f>
        <v/>
      </c>
      <c r="BZ52">
        <f>BM52*COS(($BH52+3*($BI52-$BH52)/12))</f>
        <v/>
      </c>
      <c r="CA52">
        <f>BN52*COS(($BH52+4*($BI52-$BH52)/12))</f>
        <v/>
      </c>
      <c r="CB52">
        <f>BO52*COS(($BH52+5*($BI52-$BH52)/12))</f>
        <v/>
      </c>
      <c r="CC52">
        <f>BP52*COS(($BH52+6*($BI52-$BH52)/12))</f>
        <v/>
      </c>
      <c r="CD52">
        <f>BQ52*COS(($BH52+7*($BI52-$BH52)/12))</f>
        <v/>
      </c>
      <c r="CE52">
        <f>BR52*COS(($BH52+8*($BI52-$BH52)/12))</f>
        <v/>
      </c>
      <c r="CF52">
        <f>BS52*COS(($BH52+9*($BI52-$BH52)/12))</f>
        <v/>
      </c>
      <c r="CG52">
        <f>BT52*COS(($BH52+10*($BI52-$BH52)/12))</f>
        <v/>
      </c>
      <c r="CH52">
        <f>BU52*COS(($BH52+11*($BI52-$BH52)/12))</f>
        <v/>
      </c>
      <c r="CI52">
        <f>BV52*COS(($BH52+12*($BI52-$BH52)/12))</f>
        <v/>
      </c>
    </row>
    <row r="53">
      <c r="B53" s="53" t="n">
        <v>28</v>
      </c>
      <c r="C53" s="54">
        <f>1.2*cc_D</f>
        <v/>
      </c>
      <c r="D53" s="55">
        <f>IF($C53&lt;=cc_D,3.5,2*$C53/($C53-3*cc_D/7))</f>
        <v/>
      </c>
      <c r="E53" s="56">
        <f>(fcd_cc*((cc_D/2)^2*($BI53-COS($BI53)*SIN($BI53))-2*(cc_D/2)^2*($BI53-$BH53)/12/3*SUMPRODUCT($BJ$4:$BV$4,$BJ53:$BV53))+SUMPRODUCT($J$5:$AG$5,$J53:$AG53))/1000</f>
        <v/>
      </c>
      <c r="F53" s="56">
        <f>(fcd_cc*(2/3*(cc_D/2)^3*SIN($BI53)^3-2*(cc_D/2)^3*($BI53-$BH53)/12/3*SUMPRODUCT($BW$4:$CI$4,$BW53:$CI53))+SUMPRODUCT($J$5:$AG$5,$J53:$AG53,$J$7:$AG$7))/1E6</f>
        <v/>
      </c>
      <c r="G53" s="56">
        <f>(fcd_cc*((cc_D/2)^2*($BI53-COS($BI53)*SIN($BI53))-2*(cc_D/2)^2*($BI53-$BH53)/12/3*SUMPRODUCT($BJ$4:$BV$4,$BJ53:$BV53))+SUMPRODUCT($J$5:$AG$5,$AH53:$BE53))/1000</f>
        <v/>
      </c>
      <c r="H53" s="56">
        <f>(fcd_cc*(2/3*(cc_D/2)^3*SIN($BI53)^3-2*(cc_D/2)^3*($BI53-$BH53)/12/3*SUMPRODUCT($BW$4:$CI$4,$BW53:$CI53))+SUMPRODUCT($J$5:$AG$5,$AH53:$BE53,$J$19:$AG$19))/1E6</f>
        <v/>
      </c>
      <c r="J53">
        <f>MAX(-fyd_cc,MIN(fyd_cc,Es_cc*IF($C53&lt;=cc_D,0.0035*($C53-J$6)/$C53,0.002*($C53-J$6)/($C53-3*cc_D/7))))-fcd_cc*(1-(1-MAX(0,MIN(1,IF($C53&lt;=cc_D,0.0035*($C53-J$6)/$C53,0.002*($C53-J$6)/($C53-3*cc_D/7))/0.002)))^2)</f>
        <v/>
      </c>
      <c r="K53">
        <f>MAX(-fyd_cc,MIN(fyd_cc,Es_cc*IF($C53&lt;=cc_D,0.0035*($C53-K$6)/$C53,0.002*($C53-K$6)/($C53-3*cc_D/7))))-fcd_cc*(1-(1-MAX(0,MIN(1,IF($C53&lt;=cc_D,0.0035*($C53-K$6)/$C53,0.002*($C53-K$6)/($C53-3*cc_D/7))/0.002)))^2)</f>
        <v/>
      </c>
      <c r="L53">
        <f>MAX(-fyd_cc,MIN(fyd_cc,Es_cc*IF($C53&lt;=cc_D,0.0035*($C53-L$6)/$C53,0.002*($C53-L$6)/($C53-3*cc_D/7))))-fcd_cc*(1-(1-MAX(0,MIN(1,IF($C53&lt;=cc_D,0.0035*($C53-L$6)/$C53,0.002*($C53-L$6)/($C53-3*cc_D/7))/0.002)))^2)</f>
        <v/>
      </c>
      <c r="M53">
        <f>MAX(-fyd_cc,MIN(fyd_cc,Es_cc*IF($C53&lt;=cc_D,0.0035*($C53-M$6)/$C53,0.002*($C53-M$6)/($C53-3*cc_D/7))))-fcd_cc*(1-(1-MAX(0,MIN(1,IF($C53&lt;=cc_D,0.0035*($C53-M$6)/$C53,0.002*($C53-M$6)/($C53-3*cc_D/7))/0.002)))^2)</f>
        <v/>
      </c>
      <c r="N53">
        <f>MAX(-fyd_cc,MIN(fyd_cc,Es_cc*IF($C53&lt;=cc_D,0.0035*($C53-N$6)/$C53,0.002*($C53-N$6)/($C53-3*cc_D/7))))-fcd_cc*(1-(1-MAX(0,MIN(1,IF($C53&lt;=cc_D,0.0035*($C53-N$6)/$C53,0.002*($C53-N$6)/($C53-3*cc_D/7))/0.002)))^2)</f>
        <v/>
      </c>
      <c r="O53">
        <f>MAX(-fyd_cc,MIN(fyd_cc,Es_cc*IF($C53&lt;=cc_D,0.0035*($C53-O$6)/$C53,0.002*($C53-O$6)/($C53-3*cc_D/7))))-fcd_cc*(1-(1-MAX(0,MIN(1,IF($C53&lt;=cc_D,0.0035*($C53-O$6)/$C53,0.002*($C53-O$6)/($C53-3*cc_D/7))/0.002)))^2)</f>
        <v/>
      </c>
      <c r="P53">
        <f>MAX(-fyd_cc,MIN(fyd_cc,Es_cc*IF($C53&lt;=cc_D,0.0035*($C53-P$6)/$C53,0.002*($C53-P$6)/($C53-3*cc_D/7))))-fcd_cc*(1-(1-MAX(0,MIN(1,IF($C53&lt;=cc_D,0.0035*($C53-P$6)/$C53,0.002*($C53-P$6)/($C53-3*cc_D/7))/0.002)))^2)</f>
        <v/>
      </c>
      <c r="Q53">
        <f>MAX(-fyd_cc,MIN(fyd_cc,Es_cc*IF($C53&lt;=cc_D,0.0035*($C53-Q$6)/$C53,0.002*($C53-Q$6)/($C53-3*cc_D/7))))-fcd_cc*(1-(1-MAX(0,MIN(1,IF($C53&lt;=cc_D,0.0035*($C53-Q$6)/$C53,0.002*($C53-Q$6)/($C53-3*cc_D/7))/0.002)))^2)</f>
        <v/>
      </c>
      <c r="R53">
        <f>MAX(-fyd_cc,MIN(fyd_cc,Es_cc*IF($C53&lt;=cc_D,0.0035*($C53-R$6)/$C53,0.002*($C53-R$6)/($C53-3*cc_D/7))))-fcd_cc*(1-(1-MAX(0,MIN(1,IF($C53&lt;=cc_D,0.0035*($C53-R$6)/$C53,0.002*($C53-R$6)/($C53-3*cc_D/7))/0.002)))^2)</f>
        <v/>
      </c>
      <c r="S53">
        <f>MAX(-fyd_cc,MIN(fyd_cc,Es_cc*IF($C53&lt;=cc_D,0.0035*($C53-S$6)/$C53,0.002*($C53-S$6)/($C53-3*cc_D/7))))-fcd_cc*(1-(1-MAX(0,MIN(1,IF($C53&lt;=cc_D,0.0035*($C53-S$6)/$C53,0.002*($C53-S$6)/($C53-3*cc_D/7))/0.002)))^2)</f>
        <v/>
      </c>
      <c r="T53">
        <f>MAX(-fyd_cc,MIN(fyd_cc,Es_cc*IF($C53&lt;=cc_D,0.0035*($C53-T$6)/$C53,0.002*($C53-T$6)/($C53-3*cc_D/7))))-fcd_cc*(1-(1-MAX(0,MIN(1,IF($C53&lt;=cc_D,0.0035*($C53-T$6)/$C53,0.002*($C53-T$6)/($C53-3*cc_D/7))/0.002)))^2)</f>
        <v/>
      </c>
      <c r="U53">
        <f>MAX(-fyd_cc,MIN(fyd_cc,Es_cc*IF($C53&lt;=cc_D,0.0035*($C53-U$6)/$C53,0.002*($C53-U$6)/($C53-3*cc_D/7))))-fcd_cc*(1-(1-MAX(0,MIN(1,IF($C53&lt;=cc_D,0.0035*($C53-U$6)/$C53,0.002*($C53-U$6)/($C53-3*cc_D/7))/0.002)))^2)</f>
        <v/>
      </c>
      <c r="V53">
        <f>MAX(-fyd_cc,MIN(fyd_cc,Es_cc*IF($C53&lt;=cc_D,0.0035*($C53-V$6)/$C53,0.002*($C53-V$6)/($C53-3*cc_D/7))))-fcd_cc*(1-(1-MAX(0,MIN(1,IF($C53&lt;=cc_D,0.0035*($C53-V$6)/$C53,0.002*($C53-V$6)/($C53-3*cc_D/7))/0.002)))^2)</f>
        <v/>
      </c>
      <c r="W53">
        <f>MAX(-fyd_cc,MIN(fyd_cc,Es_cc*IF($C53&lt;=cc_D,0.0035*($C53-W$6)/$C53,0.002*($C53-W$6)/($C53-3*cc_D/7))))-fcd_cc*(1-(1-MAX(0,MIN(1,IF($C53&lt;=cc_D,0.0035*($C53-W$6)/$C53,0.002*($C53-W$6)/($C53-3*cc_D/7))/0.002)))^2)</f>
        <v/>
      </c>
      <c r="X53">
        <f>MAX(-fyd_cc,MIN(fyd_cc,Es_cc*IF($C53&lt;=cc_D,0.0035*($C53-X$6)/$C53,0.002*($C53-X$6)/($C53-3*cc_D/7))))-fcd_cc*(1-(1-MAX(0,MIN(1,IF($C53&lt;=cc_D,0.0035*($C53-X$6)/$C53,0.002*($C53-X$6)/($C53-3*cc_D/7))/0.002)))^2)</f>
        <v/>
      </c>
      <c r="Y53">
        <f>MAX(-fyd_cc,MIN(fyd_cc,Es_cc*IF($C53&lt;=cc_D,0.0035*($C53-Y$6)/$C53,0.002*($C53-Y$6)/($C53-3*cc_D/7))))-fcd_cc*(1-(1-MAX(0,MIN(1,IF($C53&lt;=cc_D,0.0035*($C53-Y$6)/$C53,0.002*($C53-Y$6)/($C53-3*cc_D/7))/0.002)))^2)</f>
        <v/>
      </c>
      <c r="Z53">
        <f>MAX(-fyd_cc,MIN(fyd_cc,Es_cc*IF($C53&lt;=cc_D,0.0035*($C53-Z$6)/$C53,0.002*($C53-Z$6)/($C53-3*cc_D/7))))-fcd_cc*(1-(1-MAX(0,MIN(1,IF($C53&lt;=cc_D,0.0035*($C53-Z$6)/$C53,0.002*($C53-Z$6)/($C53-3*cc_D/7))/0.002)))^2)</f>
        <v/>
      </c>
      <c r="AA53">
        <f>MAX(-fyd_cc,MIN(fyd_cc,Es_cc*IF($C53&lt;=cc_D,0.0035*($C53-AA$6)/$C53,0.002*($C53-AA$6)/($C53-3*cc_D/7))))-fcd_cc*(1-(1-MAX(0,MIN(1,IF($C53&lt;=cc_D,0.0035*($C53-AA$6)/$C53,0.002*($C53-AA$6)/($C53-3*cc_D/7))/0.002)))^2)</f>
        <v/>
      </c>
      <c r="AB53">
        <f>MAX(-fyd_cc,MIN(fyd_cc,Es_cc*IF($C53&lt;=cc_D,0.0035*($C53-AB$6)/$C53,0.002*($C53-AB$6)/($C53-3*cc_D/7))))-fcd_cc*(1-(1-MAX(0,MIN(1,IF($C53&lt;=cc_D,0.0035*($C53-AB$6)/$C53,0.002*($C53-AB$6)/($C53-3*cc_D/7))/0.002)))^2)</f>
        <v/>
      </c>
      <c r="AC53">
        <f>MAX(-fyd_cc,MIN(fyd_cc,Es_cc*IF($C53&lt;=cc_D,0.0035*($C53-AC$6)/$C53,0.002*($C53-AC$6)/($C53-3*cc_D/7))))-fcd_cc*(1-(1-MAX(0,MIN(1,IF($C53&lt;=cc_D,0.0035*($C53-AC$6)/$C53,0.002*($C53-AC$6)/($C53-3*cc_D/7))/0.002)))^2)</f>
        <v/>
      </c>
      <c r="AD53">
        <f>MAX(-fyd_cc,MIN(fyd_cc,Es_cc*IF($C53&lt;=cc_D,0.0035*($C53-AD$6)/$C53,0.002*($C53-AD$6)/($C53-3*cc_D/7))))-fcd_cc*(1-(1-MAX(0,MIN(1,IF($C53&lt;=cc_D,0.0035*($C53-AD$6)/$C53,0.002*($C53-AD$6)/($C53-3*cc_D/7))/0.002)))^2)</f>
        <v/>
      </c>
      <c r="AE53">
        <f>MAX(-fyd_cc,MIN(fyd_cc,Es_cc*IF($C53&lt;=cc_D,0.0035*($C53-AE$6)/$C53,0.002*($C53-AE$6)/($C53-3*cc_D/7))))-fcd_cc*(1-(1-MAX(0,MIN(1,IF($C53&lt;=cc_D,0.0035*($C53-AE$6)/$C53,0.002*($C53-AE$6)/($C53-3*cc_D/7))/0.002)))^2)</f>
        <v/>
      </c>
      <c r="AF53">
        <f>MAX(-fyd_cc,MIN(fyd_cc,Es_cc*IF($C53&lt;=cc_D,0.0035*($C53-AF$6)/$C53,0.002*($C53-AF$6)/($C53-3*cc_D/7))))-fcd_cc*(1-(1-MAX(0,MIN(1,IF($C53&lt;=cc_D,0.0035*($C53-AF$6)/$C53,0.002*($C53-AF$6)/($C53-3*cc_D/7))/0.002)))^2)</f>
        <v/>
      </c>
      <c r="AG53">
        <f>MAX(-fyd_cc,MIN(fyd_cc,Es_cc*IF($C53&lt;=cc_D,0.0035*($C53-AG$6)/$C53,0.002*($C53-AG$6)/($C53-3*cc_D/7))))-fcd_cc*(1-(1-MAX(0,MIN(1,IF($C53&lt;=cc_D,0.0035*($C53-AG$6)/$C53,0.002*($C53-AG$6)/($C53-3*cc_D/7))/0.002)))^2)</f>
        <v/>
      </c>
      <c r="AH53">
        <f>MAX(-fyd_cc,MIN(fyd_cc,Es_cc*IF($C53&lt;=cc_D,0.0035*($C53-J$18)/$C53,0.002*($C53-J$18)/($C53-3*cc_D/7))))-fcd_cc*(1-(1-MAX(0,MIN(1,IF($C53&lt;=cc_D,0.0035*($C53-J$18)/$C53,0.002*($C53-J$18)/($C53-3*cc_D/7))/0.002)))^2)</f>
        <v/>
      </c>
      <c r="AI53">
        <f>MAX(-fyd_cc,MIN(fyd_cc,Es_cc*IF($C53&lt;=cc_D,0.0035*($C53-K$18)/$C53,0.002*($C53-K$18)/($C53-3*cc_D/7))))-fcd_cc*(1-(1-MAX(0,MIN(1,IF($C53&lt;=cc_D,0.0035*($C53-K$18)/$C53,0.002*($C53-K$18)/($C53-3*cc_D/7))/0.002)))^2)</f>
        <v/>
      </c>
      <c r="AJ53">
        <f>MAX(-fyd_cc,MIN(fyd_cc,Es_cc*IF($C53&lt;=cc_D,0.0035*($C53-L$18)/$C53,0.002*($C53-L$18)/($C53-3*cc_D/7))))-fcd_cc*(1-(1-MAX(0,MIN(1,IF($C53&lt;=cc_D,0.0035*($C53-L$18)/$C53,0.002*($C53-L$18)/($C53-3*cc_D/7))/0.002)))^2)</f>
        <v/>
      </c>
      <c r="AK53">
        <f>MAX(-fyd_cc,MIN(fyd_cc,Es_cc*IF($C53&lt;=cc_D,0.0035*($C53-M$18)/$C53,0.002*($C53-M$18)/($C53-3*cc_D/7))))-fcd_cc*(1-(1-MAX(0,MIN(1,IF($C53&lt;=cc_D,0.0035*($C53-M$18)/$C53,0.002*($C53-M$18)/($C53-3*cc_D/7))/0.002)))^2)</f>
        <v/>
      </c>
      <c r="AL53">
        <f>MAX(-fyd_cc,MIN(fyd_cc,Es_cc*IF($C53&lt;=cc_D,0.0035*($C53-N$18)/$C53,0.002*($C53-N$18)/($C53-3*cc_D/7))))-fcd_cc*(1-(1-MAX(0,MIN(1,IF($C53&lt;=cc_D,0.0035*($C53-N$18)/$C53,0.002*($C53-N$18)/($C53-3*cc_D/7))/0.002)))^2)</f>
        <v/>
      </c>
      <c r="AM53">
        <f>MAX(-fyd_cc,MIN(fyd_cc,Es_cc*IF($C53&lt;=cc_D,0.0035*($C53-O$18)/$C53,0.002*($C53-O$18)/($C53-3*cc_D/7))))-fcd_cc*(1-(1-MAX(0,MIN(1,IF($C53&lt;=cc_D,0.0035*($C53-O$18)/$C53,0.002*($C53-O$18)/($C53-3*cc_D/7))/0.002)))^2)</f>
        <v/>
      </c>
      <c r="AN53">
        <f>MAX(-fyd_cc,MIN(fyd_cc,Es_cc*IF($C53&lt;=cc_D,0.0035*($C53-P$18)/$C53,0.002*($C53-P$18)/($C53-3*cc_D/7))))-fcd_cc*(1-(1-MAX(0,MIN(1,IF($C53&lt;=cc_D,0.0035*($C53-P$18)/$C53,0.002*($C53-P$18)/($C53-3*cc_D/7))/0.002)))^2)</f>
        <v/>
      </c>
      <c r="AO53">
        <f>MAX(-fyd_cc,MIN(fyd_cc,Es_cc*IF($C53&lt;=cc_D,0.0035*($C53-Q$18)/$C53,0.002*($C53-Q$18)/($C53-3*cc_D/7))))-fcd_cc*(1-(1-MAX(0,MIN(1,IF($C53&lt;=cc_D,0.0035*($C53-Q$18)/$C53,0.002*($C53-Q$18)/($C53-3*cc_D/7))/0.002)))^2)</f>
        <v/>
      </c>
      <c r="AP53">
        <f>MAX(-fyd_cc,MIN(fyd_cc,Es_cc*IF($C53&lt;=cc_D,0.0035*($C53-R$18)/$C53,0.002*($C53-R$18)/($C53-3*cc_D/7))))-fcd_cc*(1-(1-MAX(0,MIN(1,IF($C53&lt;=cc_D,0.0035*($C53-R$18)/$C53,0.002*($C53-R$18)/($C53-3*cc_D/7))/0.002)))^2)</f>
        <v/>
      </c>
      <c r="AQ53">
        <f>MAX(-fyd_cc,MIN(fyd_cc,Es_cc*IF($C53&lt;=cc_D,0.0035*($C53-S$18)/$C53,0.002*($C53-S$18)/($C53-3*cc_D/7))))-fcd_cc*(1-(1-MAX(0,MIN(1,IF($C53&lt;=cc_D,0.0035*($C53-S$18)/$C53,0.002*($C53-S$18)/($C53-3*cc_D/7))/0.002)))^2)</f>
        <v/>
      </c>
      <c r="AR53">
        <f>MAX(-fyd_cc,MIN(fyd_cc,Es_cc*IF($C53&lt;=cc_D,0.0035*($C53-T$18)/$C53,0.002*($C53-T$18)/($C53-3*cc_D/7))))-fcd_cc*(1-(1-MAX(0,MIN(1,IF($C53&lt;=cc_D,0.0035*($C53-T$18)/$C53,0.002*($C53-T$18)/($C53-3*cc_D/7))/0.002)))^2)</f>
        <v/>
      </c>
      <c r="AS53">
        <f>MAX(-fyd_cc,MIN(fyd_cc,Es_cc*IF($C53&lt;=cc_D,0.0035*($C53-U$18)/$C53,0.002*($C53-U$18)/($C53-3*cc_D/7))))-fcd_cc*(1-(1-MAX(0,MIN(1,IF($C53&lt;=cc_D,0.0035*($C53-U$18)/$C53,0.002*($C53-U$18)/($C53-3*cc_D/7))/0.002)))^2)</f>
        <v/>
      </c>
      <c r="AT53">
        <f>MAX(-fyd_cc,MIN(fyd_cc,Es_cc*IF($C53&lt;=cc_D,0.0035*($C53-V$18)/$C53,0.002*($C53-V$18)/($C53-3*cc_D/7))))-fcd_cc*(1-(1-MAX(0,MIN(1,IF($C53&lt;=cc_D,0.0035*($C53-V$18)/$C53,0.002*($C53-V$18)/($C53-3*cc_D/7))/0.002)))^2)</f>
        <v/>
      </c>
      <c r="AU53">
        <f>MAX(-fyd_cc,MIN(fyd_cc,Es_cc*IF($C53&lt;=cc_D,0.0035*($C53-W$18)/$C53,0.002*($C53-W$18)/($C53-3*cc_D/7))))-fcd_cc*(1-(1-MAX(0,MIN(1,IF($C53&lt;=cc_D,0.0035*($C53-W$18)/$C53,0.002*($C53-W$18)/($C53-3*cc_D/7))/0.002)))^2)</f>
        <v/>
      </c>
      <c r="AV53">
        <f>MAX(-fyd_cc,MIN(fyd_cc,Es_cc*IF($C53&lt;=cc_D,0.0035*($C53-X$18)/$C53,0.002*($C53-X$18)/($C53-3*cc_D/7))))-fcd_cc*(1-(1-MAX(0,MIN(1,IF($C53&lt;=cc_D,0.0035*($C53-X$18)/$C53,0.002*($C53-X$18)/($C53-3*cc_D/7))/0.002)))^2)</f>
        <v/>
      </c>
      <c r="AW53">
        <f>MAX(-fyd_cc,MIN(fyd_cc,Es_cc*IF($C53&lt;=cc_D,0.0035*($C53-Y$18)/$C53,0.002*($C53-Y$18)/($C53-3*cc_D/7))))-fcd_cc*(1-(1-MAX(0,MIN(1,IF($C53&lt;=cc_D,0.0035*($C53-Y$18)/$C53,0.002*($C53-Y$18)/($C53-3*cc_D/7))/0.002)))^2)</f>
        <v/>
      </c>
      <c r="AX53">
        <f>MAX(-fyd_cc,MIN(fyd_cc,Es_cc*IF($C53&lt;=cc_D,0.0035*($C53-Z$18)/$C53,0.002*($C53-Z$18)/($C53-3*cc_D/7))))-fcd_cc*(1-(1-MAX(0,MIN(1,IF($C53&lt;=cc_D,0.0035*($C53-Z$18)/$C53,0.002*($C53-Z$18)/($C53-3*cc_D/7))/0.002)))^2)</f>
        <v/>
      </c>
      <c r="AY53">
        <f>MAX(-fyd_cc,MIN(fyd_cc,Es_cc*IF($C53&lt;=cc_D,0.0035*($C53-AA$18)/$C53,0.002*($C53-AA$18)/($C53-3*cc_D/7))))-fcd_cc*(1-(1-MAX(0,MIN(1,IF($C53&lt;=cc_D,0.0035*($C53-AA$18)/$C53,0.002*($C53-AA$18)/($C53-3*cc_D/7))/0.002)))^2)</f>
        <v/>
      </c>
      <c r="AZ53">
        <f>MAX(-fyd_cc,MIN(fyd_cc,Es_cc*IF($C53&lt;=cc_D,0.0035*($C53-AB$18)/$C53,0.002*($C53-AB$18)/($C53-3*cc_D/7))))-fcd_cc*(1-(1-MAX(0,MIN(1,IF($C53&lt;=cc_D,0.0035*($C53-AB$18)/$C53,0.002*($C53-AB$18)/($C53-3*cc_D/7))/0.002)))^2)</f>
        <v/>
      </c>
      <c r="BA53">
        <f>MAX(-fyd_cc,MIN(fyd_cc,Es_cc*IF($C53&lt;=cc_D,0.0035*($C53-AC$18)/$C53,0.002*($C53-AC$18)/($C53-3*cc_D/7))))-fcd_cc*(1-(1-MAX(0,MIN(1,IF($C53&lt;=cc_D,0.0035*($C53-AC$18)/$C53,0.002*($C53-AC$18)/($C53-3*cc_D/7))/0.002)))^2)</f>
        <v/>
      </c>
      <c r="BB53">
        <f>MAX(-fyd_cc,MIN(fyd_cc,Es_cc*IF($C53&lt;=cc_D,0.0035*($C53-AD$18)/$C53,0.002*($C53-AD$18)/($C53-3*cc_D/7))))-fcd_cc*(1-(1-MAX(0,MIN(1,IF($C53&lt;=cc_D,0.0035*($C53-AD$18)/$C53,0.002*($C53-AD$18)/($C53-3*cc_D/7))/0.002)))^2)</f>
        <v/>
      </c>
      <c r="BC53">
        <f>MAX(-fyd_cc,MIN(fyd_cc,Es_cc*IF($C53&lt;=cc_D,0.0035*($C53-AE$18)/$C53,0.002*($C53-AE$18)/($C53-3*cc_D/7))))-fcd_cc*(1-(1-MAX(0,MIN(1,IF($C53&lt;=cc_D,0.0035*($C53-AE$18)/$C53,0.002*($C53-AE$18)/($C53-3*cc_D/7))/0.002)))^2)</f>
        <v/>
      </c>
      <c r="BD53">
        <f>MAX(-fyd_cc,MIN(fyd_cc,Es_cc*IF($C53&lt;=cc_D,0.0035*($C53-AF$18)/$C53,0.002*($C53-AF$18)/($C53-3*cc_D/7))))-fcd_cc*(1-(1-MAX(0,MIN(1,IF($C53&lt;=cc_D,0.0035*($C53-AF$18)/$C53,0.002*($C53-AF$18)/($C53-3*cc_D/7))/0.002)))^2)</f>
        <v/>
      </c>
      <c r="BE53">
        <f>MAX(-fyd_cc,MIN(fyd_cc,Es_cc*IF($C53&lt;=cc_D,0.0035*($C53-AG$18)/$C53,0.002*($C53-AG$18)/($C53-3*cc_D/7))))-fcd_cc*(1-(1-MAX(0,MIN(1,IF($C53&lt;=cc_D,0.0035*($C53-AG$18)/$C53,0.002*($C53-AG$18)/($C53-3*cc_D/7))/0.002)))^2)</f>
        <v/>
      </c>
      <c r="BF53">
        <f>3*MIN($C53,cc_D)/7</f>
        <v/>
      </c>
      <c r="BG53">
        <f>$C53-$BF53</f>
        <v/>
      </c>
      <c r="BH53">
        <f>ACOS(MAX(-1,MIN(1,1-$BF53/(cc_D/2))))</f>
        <v/>
      </c>
      <c r="BI53">
        <f>ACOS(MAX(-1,MIN(1,1-MIN($C53,cc_D)/(cc_D/2))))</f>
        <v/>
      </c>
      <c r="BJ53">
        <f>((cc_D/2*(1-COS(($BH53+0*($BI53-$BH53)/12)))-$BF53)/$BG53)^2*SIN(($BH53+0*($BI53-$BH53)/12))^2</f>
        <v/>
      </c>
      <c r="BK53">
        <f>((cc_D/2*(1-COS(($BH53+1*($BI53-$BH53)/12)))-$BF53)/$BG53)^2*SIN(($BH53+1*($BI53-$BH53)/12))^2</f>
        <v/>
      </c>
      <c r="BL53">
        <f>((cc_D/2*(1-COS(($BH53+2*($BI53-$BH53)/12)))-$BF53)/$BG53)^2*SIN(($BH53+2*($BI53-$BH53)/12))^2</f>
        <v/>
      </c>
      <c r="BM53">
        <f>((cc_D/2*(1-COS(($BH53+3*($BI53-$BH53)/12)))-$BF53)/$BG53)^2*SIN(($BH53+3*($BI53-$BH53)/12))^2</f>
        <v/>
      </c>
      <c r="BN53">
        <f>((cc_D/2*(1-COS(($BH53+4*($BI53-$BH53)/12)))-$BF53)/$BG53)^2*SIN(($BH53+4*($BI53-$BH53)/12))^2</f>
        <v/>
      </c>
      <c r="BO53">
        <f>((cc_D/2*(1-COS(($BH53+5*($BI53-$BH53)/12)))-$BF53)/$BG53)^2*SIN(($BH53+5*($BI53-$BH53)/12))^2</f>
        <v/>
      </c>
      <c r="BP53">
        <f>((cc_D/2*(1-COS(($BH53+6*($BI53-$BH53)/12)))-$BF53)/$BG53)^2*SIN(($BH53+6*($BI53-$BH53)/12))^2</f>
        <v/>
      </c>
      <c r="BQ53">
        <f>((cc_D/2*(1-COS(($BH53+7*($BI53-$BH53)/12)))-$BF53)/$BG53)^2*SIN(($BH53+7*($BI53-$BH53)/12))^2</f>
        <v/>
      </c>
      <c r="BR53">
        <f>((cc_D/2*(1-COS(($BH53+8*($BI53-$BH53)/12)))-$BF53)/$BG53)^2*SIN(($BH53+8*($BI53-$BH53)/12))^2</f>
        <v/>
      </c>
      <c r="BS53">
        <f>((cc_D/2*(1-COS(($BH53+9*($BI53-$BH53)/12)))-$BF53)/$BG53)^2*SIN(($BH53+9*($BI53-$BH53)/12))^2</f>
        <v/>
      </c>
      <c r="BT53">
        <f>((cc_D/2*(1-COS(($BH53+10*($BI53-$BH53)/12)))-$BF53)/$BG53)^2*SIN(($BH53+10*($BI53-$BH53)/12))^2</f>
        <v/>
      </c>
      <c r="BU53">
        <f>((cc_D/2*(1-COS(($BH53+11*($BI53-$BH53)/12)))-$BF53)/$BG53)^2*SIN(($BH53+11*($BI53-$BH53)/12))^2</f>
        <v/>
      </c>
      <c r="BV53">
        <f>((cc_D/2*(1-COS(($BH53+12*($BI53-$BH53)/12)))-$BF53)/$BG53)^2*SIN(($BH53+12*($BI53-$BH53)/12))^2</f>
        <v/>
      </c>
      <c r="BW53">
        <f>BJ53*COS(($BH53+0*($BI53-$BH53)/12))</f>
        <v/>
      </c>
      <c r="BX53">
        <f>BK53*COS(($BH53+1*($BI53-$BH53)/12))</f>
        <v/>
      </c>
      <c r="BY53">
        <f>BL53*COS(($BH53+2*($BI53-$BH53)/12))</f>
        <v/>
      </c>
      <c r="BZ53">
        <f>BM53*COS(($BH53+3*($BI53-$BH53)/12))</f>
        <v/>
      </c>
      <c r="CA53">
        <f>BN53*COS(($BH53+4*($BI53-$BH53)/12))</f>
        <v/>
      </c>
      <c r="CB53">
        <f>BO53*COS(($BH53+5*($BI53-$BH53)/12))</f>
        <v/>
      </c>
      <c r="CC53">
        <f>BP53*COS(($BH53+6*($BI53-$BH53)/12))</f>
        <v/>
      </c>
      <c r="CD53">
        <f>BQ53*COS(($BH53+7*($BI53-$BH53)/12))</f>
        <v/>
      </c>
      <c r="CE53">
        <f>BR53*COS(($BH53+8*($BI53-$BH53)/12))</f>
        <v/>
      </c>
      <c r="CF53">
        <f>BS53*COS(($BH53+9*($BI53-$BH53)/12))</f>
        <v/>
      </c>
      <c r="CG53">
        <f>BT53*COS(($BH53+10*($BI53-$BH53)/12))</f>
        <v/>
      </c>
      <c r="CH53">
        <f>BU53*COS(($BH53+11*($BI53-$BH53)/12))</f>
        <v/>
      </c>
      <c r="CI53">
        <f>BV53*COS(($BH53+12*($BI53-$BH53)/12))</f>
        <v/>
      </c>
    </row>
    <row r="54">
      <c r="B54" s="53" t="n">
        <v>29</v>
      </c>
      <c r="C54" s="54">
        <f>1.35*cc_D</f>
        <v/>
      </c>
      <c r="D54" s="55">
        <f>IF($C54&lt;=cc_D,3.5,2*$C54/($C54-3*cc_D/7))</f>
        <v/>
      </c>
      <c r="E54" s="56">
        <f>(fcd_cc*((cc_D/2)^2*($BI54-COS($BI54)*SIN($BI54))-2*(cc_D/2)^2*($BI54-$BH54)/12/3*SUMPRODUCT($BJ$4:$BV$4,$BJ54:$BV54))+SUMPRODUCT($J$5:$AG$5,$J54:$AG54))/1000</f>
        <v/>
      </c>
      <c r="F54" s="56">
        <f>(fcd_cc*(2/3*(cc_D/2)^3*SIN($BI54)^3-2*(cc_D/2)^3*($BI54-$BH54)/12/3*SUMPRODUCT($BW$4:$CI$4,$BW54:$CI54))+SUMPRODUCT($J$5:$AG$5,$J54:$AG54,$J$7:$AG$7))/1E6</f>
        <v/>
      </c>
      <c r="G54" s="56">
        <f>(fcd_cc*((cc_D/2)^2*($BI54-COS($BI54)*SIN($BI54))-2*(cc_D/2)^2*($BI54-$BH54)/12/3*SUMPRODUCT($BJ$4:$BV$4,$BJ54:$BV54))+SUMPRODUCT($J$5:$AG$5,$AH54:$BE54))/1000</f>
        <v/>
      </c>
      <c r="H54" s="56">
        <f>(fcd_cc*(2/3*(cc_D/2)^3*SIN($BI54)^3-2*(cc_D/2)^3*($BI54-$BH54)/12/3*SUMPRODUCT($BW$4:$CI$4,$BW54:$CI54))+SUMPRODUCT($J$5:$AG$5,$AH54:$BE54,$J$19:$AG$19))/1E6</f>
        <v/>
      </c>
      <c r="J54">
        <f>MAX(-fyd_cc,MIN(fyd_cc,Es_cc*IF($C54&lt;=cc_D,0.0035*($C54-J$6)/$C54,0.002*($C54-J$6)/($C54-3*cc_D/7))))-fcd_cc*(1-(1-MAX(0,MIN(1,IF($C54&lt;=cc_D,0.0035*($C54-J$6)/$C54,0.002*($C54-J$6)/($C54-3*cc_D/7))/0.002)))^2)</f>
        <v/>
      </c>
      <c r="K54">
        <f>MAX(-fyd_cc,MIN(fyd_cc,Es_cc*IF($C54&lt;=cc_D,0.0035*($C54-K$6)/$C54,0.002*($C54-K$6)/($C54-3*cc_D/7))))-fcd_cc*(1-(1-MAX(0,MIN(1,IF($C54&lt;=cc_D,0.0035*($C54-K$6)/$C54,0.002*($C54-K$6)/($C54-3*cc_D/7))/0.002)))^2)</f>
        <v/>
      </c>
      <c r="L54">
        <f>MAX(-fyd_cc,MIN(fyd_cc,Es_cc*IF($C54&lt;=cc_D,0.0035*($C54-L$6)/$C54,0.002*($C54-L$6)/($C54-3*cc_D/7))))-fcd_cc*(1-(1-MAX(0,MIN(1,IF($C54&lt;=cc_D,0.0035*($C54-L$6)/$C54,0.002*($C54-L$6)/($C54-3*cc_D/7))/0.002)))^2)</f>
        <v/>
      </c>
      <c r="M54">
        <f>MAX(-fyd_cc,MIN(fyd_cc,Es_cc*IF($C54&lt;=cc_D,0.0035*($C54-M$6)/$C54,0.002*($C54-M$6)/($C54-3*cc_D/7))))-fcd_cc*(1-(1-MAX(0,MIN(1,IF($C54&lt;=cc_D,0.0035*($C54-M$6)/$C54,0.002*($C54-M$6)/($C54-3*cc_D/7))/0.002)))^2)</f>
        <v/>
      </c>
      <c r="N54">
        <f>MAX(-fyd_cc,MIN(fyd_cc,Es_cc*IF($C54&lt;=cc_D,0.0035*($C54-N$6)/$C54,0.002*($C54-N$6)/($C54-3*cc_D/7))))-fcd_cc*(1-(1-MAX(0,MIN(1,IF($C54&lt;=cc_D,0.0035*($C54-N$6)/$C54,0.002*($C54-N$6)/($C54-3*cc_D/7))/0.002)))^2)</f>
        <v/>
      </c>
      <c r="O54">
        <f>MAX(-fyd_cc,MIN(fyd_cc,Es_cc*IF($C54&lt;=cc_D,0.0035*($C54-O$6)/$C54,0.002*($C54-O$6)/($C54-3*cc_D/7))))-fcd_cc*(1-(1-MAX(0,MIN(1,IF($C54&lt;=cc_D,0.0035*($C54-O$6)/$C54,0.002*($C54-O$6)/($C54-3*cc_D/7))/0.002)))^2)</f>
        <v/>
      </c>
      <c r="P54">
        <f>MAX(-fyd_cc,MIN(fyd_cc,Es_cc*IF($C54&lt;=cc_D,0.0035*($C54-P$6)/$C54,0.002*($C54-P$6)/($C54-3*cc_D/7))))-fcd_cc*(1-(1-MAX(0,MIN(1,IF($C54&lt;=cc_D,0.0035*($C54-P$6)/$C54,0.002*($C54-P$6)/($C54-3*cc_D/7))/0.002)))^2)</f>
        <v/>
      </c>
      <c r="Q54">
        <f>MAX(-fyd_cc,MIN(fyd_cc,Es_cc*IF($C54&lt;=cc_D,0.0035*($C54-Q$6)/$C54,0.002*($C54-Q$6)/($C54-3*cc_D/7))))-fcd_cc*(1-(1-MAX(0,MIN(1,IF($C54&lt;=cc_D,0.0035*($C54-Q$6)/$C54,0.002*($C54-Q$6)/($C54-3*cc_D/7))/0.002)))^2)</f>
        <v/>
      </c>
      <c r="R54">
        <f>MAX(-fyd_cc,MIN(fyd_cc,Es_cc*IF($C54&lt;=cc_D,0.0035*($C54-R$6)/$C54,0.002*($C54-R$6)/($C54-3*cc_D/7))))-fcd_cc*(1-(1-MAX(0,MIN(1,IF($C54&lt;=cc_D,0.0035*($C54-R$6)/$C54,0.002*($C54-R$6)/($C54-3*cc_D/7))/0.002)))^2)</f>
        <v/>
      </c>
      <c r="S54">
        <f>MAX(-fyd_cc,MIN(fyd_cc,Es_cc*IF($C54&lt;=cc_D,0.0035*($C54-S$6)/$C54,0.002*($C54-S$6)/($C54-3*cc_D/7))))-fcd_cc*(1-(1-MAX(0,MIN(1,IF($C54&lt;=cc_D,0.0035*($C54-S$6)/$C54,0.002*($C54-S$6)/($C54-3*cc_D/7))/0.002)))^2)</f>
        <v/>
      </c>
      <c r="T54">
        <f>MAX(-fyd_cc,MIN(fyd_cc,Es_cc*IF($C54&lt;=cc_D,0.0035*($C54-T$6)/$C54,0.002*($C54-T$6)/($C54-3*cc_D/7))))-fcd_cc*(1-(1-MAX(0,MIN(1,IF($C54&lt;=cc_D,0.0035*($C54-T$6)/$C54,0.002*($C54-T$6)/($C54-3*cc_D/7))/0.002)))^2)</f>
        <v/>
      </c>
      <c r="U54">
        <f>MAX(-fyd_cc,MIN(fyd_cc,Es_cc*IF($C54&lt;=cc_D,0.0035*($C54-U$6)/$C54,0.002*($C54-U$6)/($C54-3*cc_D/7))))-fcd_cc*(1-(1-MAX(0,MIN(1,IF($C54&lt;=cc_D,0.0035*($C54-U$6)/$C54,0.002*($C54-U$6)/($C54-3*cc_D/7))/0.002)))^2)</f>
        <v/>
      </c>
      <c r="V54">
        <f>MAX(-fyd_cc,MIN(fyd_cc,Es_cc*IF($C54&lt;=cc_D,0.0035*($C54-V$6)/$C54,0.002*($C54-V$6)/($C54-3*cc_D/7))))-fcd_cc*(1-(1-MAX(0,MIN(1,IF($C54&lt;=cc_D,0.0035*($C54-V$6)/$C54,0.002*($C54-V$6)/($C54-3*cc_D/7))/0.002)))^2)</f>
        <v/>
      </c>
      <c r="W54">
        <f>MAX(-fyd_cc,MIN(fyd_cc,Es_cc*IF($C54&lt;=cc_D,0.0035*($C54-W$6)/$C54,0.002*($C54-W$6)/($C54-3*cc_D/7))))-fcd_cc*(1-(1-MAX(0,MIN(1,IF($C54&lt;=cc_D,0.0035*($C54-W$6)/$C54,0.002*($C54-W$6)/($C54-3*cc_D/7))/0.002)))^2)</f>
        <v/>
      </c>
      <c r="X54">
        <f>MAX(-fyd_cc,MIN(fyd_cc,Es_cc*IF($C54&lt;=cc_D,0.0035*($C54-X$6)/$C54,0.002*($C54-X$6)/($C54-3*cc_D/7))))-fcd_cc*(1-(1-MAX(0,MIN(1,IF($C54&lt;=cc_D,0.0035*($C54-X$6)/$C54,0.002*($C54-X$6)/($C54-3*cc_D/7))/0.002)))^2)</f>
        <v/>
      </c>
      <c r="Y54">
        <f>MAX(-fyd_cc,MIN(fyd_cc,Es_cc*IF($C54&lt;=cc_D,0.0035*($C54-Y$6)/$C54,0.002*($C54-Y$6)/($C54-3*cc_D/7))))-fcd_cc*(1-(1-MAX(0,MIN(1,IF($C54&lt;=cc_D,0.0035*($C54-Y$6)/$C54,0.002*($C54-Y$6)/($C54-3*cc_D/7))/0.002)))^2)</f>
        <v/>
      </c>
      <c r="Z54">
        <f>MAX(-fyd_cc,MIN(fyd_cc,Es_cc*IF($C54&lt;=cc_D,0.0035*($C54-Z$6)/$C54,0.002*($C54-Z$6)/($C54-3*cc_D/7))))-fcd_cc*(1-(1-MAX(0,MIN(1,IF($C54&lt;=cc_D,0.0035*($C54-Z$6)/$C54,0.002*($C54-Z$6)/($C54-3*cc_D/7))/0.002)))^2)</f>
        <v/>
      </c>
      <c r="AA54">
        <f>MAX(-fyd_cc,MIN(fyd_cc,Es_cc*IF($C54&lt;=cc_D,0.0035*($C54-AA$6)/$C54,0.002*($C54-AA$6)/($C54-3*cc_D/7))))-fcd_cc*(1-(1-MAX(0,MIN(1,IF($C54&lt;=cc_D,0.0035*($C54-AA$6)/$C54,0.002*($C54-AA$6)/($C54-3*cc_D/7))/0.002)))^2)</f>
        <v/>
      </c>
      <c r="AB54">
        <f>MAX(-fyd_cc,MIN(fyd_cc,Es_cc*IF($C54&lt;=cc_D,0.0035*($C54-AB$6)/$C54,0.002*($C54-AB$6)/($C54-3*cc_D/7))))-fcd_cc*(1-(1-MAX(0,MIN(1,IF($C54&lt;=cc_D,0.0035*($C54-AB$6)/$C54,0.002*($C54-AB$6)/($C54-3*cc_D/7))/0.002)))^2)</f>
        <v/>
      </c>
      <c r="AC54">
        <f>MAX(-fyd_cc,MIN(fyd_cc,Es_cc*IF($C54&lt;=cc_D,0.0035*($C54-AC$6)/$C54,0.002*($C54-AC$6)/($C54-3*cc_D/7))))-fcd_cc*(1-(1-MAX(0,MIN(1,IF($C54&lt;=cc_D,0.0035*($C54-AC$6)/$C54,0.002*($C54-AC$6)/($C54-3*cc_D/7))/0.002)))^2)</f>
        <v/>
      </c>
      <c r="AD54">
        <f>MAX(-fyd_cc,MIN(fyd_cc,Es_cc*IF($C54&lt;=cc_D,0.0035*($C54-AD$6)/$C54,0.002*($C54-AD$6)/($C54-3*cc_D/7))))-fcd_cc*(1-(1-MAX(0,MIN(1,IF($C54&lt;=cc_D,0.0035*($C54-AD$6)/$C54,0.002*($C54-AD$6)/($C54-3*cc_D/7))/0.002)))^2)</f>
        <v/>
      </c>
      <c r="AE54">
        <f>MAX(-fyd_cc,MIN(fyd_cc,Es_cc*IF($C54&lt;=cc_D,0.0035*($C54-AE$6)/$C54,0.002*($C54-AE$6)/($C54-3*cc_D/7))))-fcd_cc*(1-(1-MAX(0,MIN(1,IF($C54&lt;=cc_D,0.0035*($C54-AE$6)/$C54,0.002*($C54-AE$6)/($C54-3*cc_D/7))/0.002)))^2)</f>
        <v/>
      </c>
      <c r="AF54">
        <f>MAX(-fyd_cc,MIN(fyd_cc,Es_cc*IF($C54&lt;=cc_D,0.0035*($C54-AF$6)/$C54,0.002*($C54-AF$6)/($C54-3*cc_D/7))))-fcd_cc*(1-(1-MAX(0,MIN(1,IF($C54&lt;=cc_D,0.0035*($C54-AF$6)/$C54,0.002*($C54-AF$6)/($C54-3*cc_D/7))/0.002)))^2)</f>
        <v/>
      </c>
      <c r="AG54">
        <f>MAX(-fyd_cc,MIN(fyd_cc,Es_cc*IF($C54&lt;=cc_D,0.0035*($C54-AG$6)/$C54,0.002*($C54-AG$6)/($C54-3*cc_D/7))))-fcd_cc*(1-(1-MAX(0,MIN(1,IF($C54&lt;=cc_D,0.0035*($C54-AG$6)/$C54,0.002*($C54-AG$6)/($C54-3*cc_D/7))/0.002)))^2)</f>
        <v/>
      </c>
      <c r="AH54">
        <f>MAX(-fyd_cc,MIN(fyd_cc,Es_cc*IF($C54&lt;=cc_D,0.0035*($C54-J$18)/$C54,0.002*($C54-J$18)/($C54-3*cc_D/7))))-fcd_cc*(1-(1-MAX(0,MIN(1,IF($C54&lt;=cc_D,0.0035*($C54-J$18)/$C54,0.002*($C54-J$18)/($C54-3*cc_D/7))/0.002)))^2)</f>
        <v/>
      </c>
      <c r="AI54">
        <f>MAX(-fyd_cc,MIN(fyd_cc,Es_cc*IF($C54&lt;=cc_D,0.0035*($C54-K$18)/$C54,0.002*($C54-K$18)/($C54-3*cc_D/7))))-fcd_cc*(1-(1-MAX(0,MIN(1,IF($C54&lt;=cc_D,0.0035*($C54-K$18)/$C54,0.002*($C54-K$18)/($C54-3*cc_D/7))/0.002)))^2)</f>
        <v/>
      </c>
      <c r="AJ54">
        <f>MAX(-fyd_cc,MIN(fyd_cc,Es_cc*IF($C54&lt;=cc_D,0.0035*($C54-L$18)/$C54,0.002*($C54-L$18)/($C54-3*cc_D/7))))-fcd_cc*(1-(1-MAX(0,MIN(1,IF($C54&lt;=cc_D,0.0035*($C54-L$18)/$C54,0.002*($C54-L$18)/($C54-3*cc_D/7))/0.002)))^2)</f>
        <v/>
      </c>
      <c r="AK54">
        <f>MAX(-fyd_cc,MIN(fyd_cc,Es_cc*IF($C54&lt;=cc_D,0.0035*($C54-M$18)/$C54,0.002*($C54-M$18)/($C54-3*cc_D/7))))-fcd_cc*(1-(1-MAX(0,MIN(1,IF($C54&lt;=cc_D,0.0035*($C54-M$18)/$C54,0.002*($C54-M$18)/($C54-3*cc_D/7))/0.002)))^2)</f>
        <v/>
      </c>
      <c r="AL54">
        <f>MAX(-fyd_cc,MIN(fyd_cc,Es_cc*IF($C54&lt;=cc_D,0.0035*($C54-N$18)/$C54,0.002*($C54-N$18)/($C54-3*cc_D/7))))-fcd_cc*(1-(1-MAX(0,MIN(1,IF($C54&lt;=cc_D,0.0035*($C54-N$18)/$C54,0.002*($C54-N$18)/($C54-3*cc_D/7))/0.002)))^2)</f>
        <v/>
      </c>
      <c r="AM54">
        <f>MAX(-fyd_cc,MIN(fyd_cc,Es_cc*IF($C54&lt;=cc_D,0.0035*($C54-O$18)/$C54,0.002*($C54-O$18)/($C54-3*cc_D/7))))-fcd_cc*(1-(1-MAX(0,MIN(1,IF($C54&lt;=cc_D,0.0035*($C54-O$18)/$C54,0.002*($C54-O$18)/($C54-3*cc_D/7))/0.002)))^2)</f>
        <v/>
      </c>
      <c r="AN54">
        <f>MAX(-fyd_cc,MIN(fyd_cc,Es_cc*IF($C54&lt;=cc_D,0.0035*($C54-P$18)/$C54,0.002*($C54-P$18)/($C54-3*cc_D/7))))-fcd_cc*(1-(1-MAX(0,MIN(1,IF($C54&lt;=cc_D,0.0035*($C54-P$18)/$C54,0.002*($C54-P$18)/($C54-3*cc_D/7))/0.002)))^2)</f>
        <v/>
      </c>
      <c r="AO54">
        <f>MAX(-fyd_cc,MIN(fyd_cc,Es_cc*IF($C54&lt;=cc_D,0.0035*($C54-Q$18)/$C54,0.002*($C54-Q$18)/($C54-3*cc_D/7))))-fcd_cc*(1-(1-MAX(0,MIN(1,IF($C54&lt;=cc_D,0.0035*($C54-Q$18)/$C54,0.002*($C54-Q$18)/($C54-3*cc_D/7))/0.002)))^2)</f>
        <v/>
      </c>
      <c r="AP54">
        <f>MAX(-fyd_cc,MIN(fyd_cc,Es_cc*IF($C54&lt;=cc_D,0.0035*($C54-R$18)/$C54,0.002*($C54-R$18)/($C54-3*cc_D/7))))-fcd_cc*(1-(1-MAX(0,MIN(1,IF($C54&lt;=cc_D,0.0035*($C54-R$18)/$C54,0.002*($C54-R$18)/($C54-3*cc_D/7))/0.002)))^2)</f>
        <v/>
      </c>
      <c r="AQ54">
        <f>MAX(-fyd_cc,MIN(fyd_cc,Es_cc*IF($C54&lt;=cc_D,0.0035*($C54-S$18)/$C54,0.002*($C54-S$18)/($C54-3*cc_D/7))))-fcd_cc*(1-(1-MAX(0,MIN(1,IF($C54&lt;=cc_D,0.0035*($C54-S$18)/$C54,0.002*($C54-S$18)/($C54-3*cc_D/7))/0.002)))^2)</f>
        <v/>
      </c>
      <c r="AR54">
        <f>MAX(-fyd_cc,MIN(fyd_cc,Es_cc*IF($C54&lt;=cc_D,0.0035*($C54-T$18)/$C54,0.002*($C54-T$18)/($C54-3*cc_D/7))))-fcd_cc*(1-(1-MAX(0,MIN(1,IF($C54&lt;=cc_D,0.0035*($C54-T$18)/$C54,0.002*($C54-T$18)/($C54-3*cc_D/7))/0.002)))^2)</f>
        <v/>
      </c>
      <c r="AS54">
        <f>MAX(-fyd_cc,MIN(fyd_cc,Es_cc*IF($C54&lt;=cc_D,0.0035*($C54-U$18)/$C54,0.002*($C54-U$18)/($C54-3*cc_D/7))))-fcd_cc*(1-(1-MAX(0,MIN(1,IF($C54&lt;=cc_D,0.0035*($C54-U$18)/$C54,0.002*($C54-U$18)/($C54-3*cc_D/7))/0.002)))^2)</f>
        <v/>
      </c>
      <c r="AT54">
        <f>MAX(-fyd_cc,MIN(fyd_cc,Es_cc*IF($C54&lt;=cc_D,0.0035*($C54-V$18)/$C54,0.002*($C54-V$18)/($C54-3*cc_D/7))))-fcd_cc*(1-(1-MAX(0,MIN(1,IF($C54&lt;=cc_D,0.0035*($C54-V$18)/$C54,0.002*($C54-V$18)/($C54-3*cc_D/7))/0.002)))^2)</f>
        <v/>
      </c>
      <c r="AU54">
        <f>MAX(-fyd_cc,MIN(fyd_cc,Es_cc*IF($C54&lt;=cc_D,0.0035*($C54-W$18)/$C54,0.002*($C54-W$18)/($C54-3*cc_D/7))))-fcd_cc*(1-(1-MAX(0,MIN(1,IF($C54&lt;=cc_D,0.0035*($C54-W$18)/$C54,0.002*($C54-W$18)/($C54-3*cc_D/7))/0.002)))^2)</f>
        <v/>
      </c>
      <c r="AV54">
        <f>MAX(-fyd_cc,MIN(fyd_cc,Es_cc*IF($C54&lt;=cc_D,0.0035*($C54-X$18)/$C54,0.002*($C54-X$18)/($C54-3*cc_D/7))))-fcd_cc*(1-(1-MAX(0,MIN(1,IF($C54&lt;=cc_D,0.0035*($C54-X$18)/$C54,0.002*($C54-X$18)/($C54-3*cc_D/7))/0.002)))^2)</f>
        <v/>
      </c>
      <c r="AW54">
        <f>MAX(-fyd_cc,MIN(fyd_cc,Es_cc*IF($C54&lt;=cc_D,0.0035*($C54-Y$18)/$C54,0.002*($C54-Y$18)/($C54-3*cc_D/7))))-fcd_cc*(1-(1-MAX(0,MIN(1,IF($C54&lt;=cc_D,0.0035*($C54-Y$18)/$C54,0.002*($C54-Y$18)/($C54-3*cc_D/7))/0.002)))^2)</f>
        <v/>
      </c>
      <c r="AX54">
        <f>MAX(-fyd_cc,MIN(fyd_cc,Es_cc*IF($C54&lt;=cc_D,0.0035*($C54-Z$18)/$C54,0.002*($C54-Z$18)/($C54-3*cc_D/7))))-fcd_cc*(1-(1-MAX(0,MIN(1,IF($C54&lt;=cc_D,0.0035*($C54-Z$18)/$C54,0.002*($C54-Z$18)/($C54-3*cc_D/7))/0.002)))^2)</f>
        <v/>
      </c>
      <c r="AY54">
        <f>MAX(-fyd_cc,MIN(fyd_cc,Es_cc*IF($C54&lt;=cc_D,0.0035*($C54-AA$18)/$C54,0.002*($C54-AA$18)/($C54-3*cc_D/7))))-fcd_cc*(1-(1-MAX(0,MIN(1,IF($C54&lt;=cc_D,0.0035*($C54-AA$18)/$C54,0.002*($C54-AA$18)/($C54-3*cc_D/7))/0.002)))^2)</f>
        <v/>
      </c>
      <c r="AZ54">
        <f>MAX(-fyd_cc,MIN(fyd_cc,Es_cc*IF($C54&lt;=cc_D,0.0035*($C54-AB$18)/$C54,0.002*($C54-AB$18)/($C54-3*cc_D/7))))-fcd_cc*(1-(1-MAX(0,MIN(1,IF($C54&lt;=cc_D,0.0035*($C54-AB$18)/$C54,0.002*($C54-AB$18)/($C54-3*cc_D/7))/0.002)))^2)</f>
        <v/>
      </c>
      <c r="BA54">
        <f>MAX(-fyd_cc,MIN(fyd_cc,Es_cc*IF($C54&lt;=cc_D,0.0035*($C54-AC$18)/$C54,0.002*($C54-AC$18)/($C54-3*cc_D/7))))-fcd_cc*(1-(1-MAX(0,MIN(1,IF($C54&lt;=cc_D,0.0035*($C54-AC$18)/$C54,0.002*($C54-AC$18)/($C54-3*cc_D/7))/0.002)))^2)</f>
        <v/>
      </c>
      <c r="BB54">
        <f>MAX(-fyd_cc,MIN(fyd_cc,Es_cc*IF($C54&lt;=cc_D,0.0035*($C54-AD$18)/$C54,0.002*($C54-AD$18)/($C54-3*cc_D/7))))-fcd_cc*(1-(1-MAX(0,MIN(1,IF($C54&lt;=cc_D,0.0035*($C54-AD$18)/$C54,0.002*($C54-AD$18)/($C54-3*cc_D/7))/0.002)))^2)</f>
        <v/>
      </c>
      <c r="BC54">
        <f>MAX(-fyd_cc,MIN(fyd_cc,Es_cc*IF($C54&lt;=cc_D,0.0035*($C54-AE$18)/$C54,0.002*($C54-AE$18)/($C54-3*cc_D/7))))-fcd_cc*(1-(1-MAX(0,MIN(1,IF($C54&lt;=cc_D,0.0035*($C54-AE$18)/$C54,0.002*($C54-AE$18)/($C54-3*cc_D/7))/0.002)))^2)</f>
        <v/>
      </c>
      <c r="BD54">
        <f>MAX(-fyd_cc,MIN(fyd_cc,Es_cc*IF($C54&lt;=cc_D,0.0035*($C54-AF$18)/$C54,0.002*($C54-AF$18)/($C54-3*cc_D/7))))-fcd_cc*(1-(1-MAX(0,MIN(1,IF($C54&lt;=cc_D,0.0035*($C54-AF$18)/$C54,0.002*($C54-AF$18)/($C54-3*cc_D/7))/0.002)))^2)</f>
        <v/>
      </c>
      <c r="BE54">
        <f>MAX(-fyd_cc,MIN(fyd_cc,Es_cc*IF($C54&lt;=cc_D,0.0035*($C54-AG$18)/$C54,0.002*($C54-AG$18)/($C54-3*cc_D/7))))-fcd_cc*(1-(1-MAX(0,MIN(1,IF($C54&lt;=cc_D,0.0035*($C54-AG$18)/$C54,0.002*($C54-AG$18)/($C54-3*cc_D/7))/0.002)))^2)</f>
        <v/>
      </c>
      <c r="BF54">
        <f>3*MIN($C54,cc_D)/7</f>
        <v/>
      </c>
      <c r="BG54">
        <f>$C54-$BF54</f>
        <v/>
      </c>
      <c r="BH54">
        <f>ACOS(MAX(-1,MIN(1,1-$BF54/(cc_D/2))))</f>
        <v/>
      </c>
      <c r="BI54">
        <f>ACOS(MAX(-1,MIN(1,1-MIN($C54,cc_D)/(cc_D/2))))</f>
        <v/>
      </c>
      <c r="BJ54">
        <f>((cc_D/2*(1-COS(($BH54+0*($BI54-$BH54)/12)))-$BF54)/$BG54)^2*SIN(($BH54+0*($BI54-$BH54)/12))^2</f>
        <v/>
      </c>
      <c r="BK54">
        <f>((cc_D/2*(1-COS(($BH54+1*($BI54-$BH54)/12)))-$BF54)/$BG54)^2*SIN(($BH54+1*($BI54-$BH54)/12))^2</f>
        <v/>
      </c>
      <c r="BL54">
        <f>((cc_D/2*(1-COS(($BH54+2*($BI54-$BH54)/12)))-$BF54)/$BG54)^2*SIN(($BH54+2*($BI54-$BH54)/12))^2</f>
        <v/>
      </c>
      <c r="BM54">
        <f>((cc_D/2*(1-COS(($BH54+3*($BI54-$BH54)/12)))-$BF54)/$BG54)^2*SIN(($BH54+3*($BI54-$BH54)/12))^2</f>
        <v/>
      </c>
      <c r="BN54">
        <f>((cc_D/2*(1-COS(($BH54+4*($BI54-$BH54)/12)))-$BF54)/$BG54)^2*SIN(($BH54+4*($BI54-$BH54)/12))^2</f>
        <v/>
      </c>
      <c r="BO54">
        <f>((cc_D/2*(1-COS(($BH54+5*($BI54-$BH54)/12)))-$BF54)/$BG54)^2*SIN(($BH54+5*($BI54-$BH54)/12))^2</f>
        <v/>
      </c>
      <c r="BP54">
        <f>((cc_D/2*(1-COS(($BH54+6*($BI54-$BH54)/12)))-$BF54)/$BG54)^2*SIN(($BH54+6*($BI54-$BH54)/12))^2</f>
        <v/>
      </c>
      <c r="BQ54">
        <f>((cc_D/2*(1-COS(($BH54+7*($BI54-$BH54)/12)))-$BF54)/$BG54)^2*SIN(($BH54+7*($BI54-$BH54)/12))^2</f>
        <v/>
      </c>
      <c r="BR54">
        <f>((cc_D/2*(1-COS(($BH54+8*($BI54-$BH54)/12)))-$BF54)/$BG54)^2*SIN(($BH54+8*($BI54-$BH54)/12))^2</f>
        <v/>
      </c>
      <c r="BS54">
        <f>((cc_D/2*(1-COS(($BH54+9*($BI54-$BH54)/12)))-$BF54)/$BG54)^2*SIN(($BH54+9*($BI54-$BH54)/12))^2</f>
        <v/>
      </c>
      <c r="BT54">
        <f>((cc_D/2*(1-COS(($BH54+10*($BI54-$BH54)/12)))-$BF54)/$BG54)^2*SIN(($BH54+10*($BI54-$BH54)/12))^2</f>
        <v/>
      </c>
      <c r="BU54">
        <f>((cc_D/2*(1-COS(($BH54+11*($BI54-$BH54)/12)))-$BF54)/$BG54)^2*SIN(($BH54+11*($BI54-$BH54)/12))^2</f>
        <v/>
      </c>
      <c r="BV54">
        <f>((cc_D/2*(1-COS(($BH54+12*($BI54-$BH54)/12)))-$BF54)/$BG54)^2*SIN(($BH54+12*($BI54-$BH54)/12))^2</f>
        <v/>
      </c>
      <c r="BW54">
        <f>BJ54*COS(($BH54+0*($BI54-$BH54)/12))</f>
        <v/>
      </c>
      <c r="BX54">
        <f>BK54*COS(($BH54+1*($BI54-$BH54)/12))</f>
        <v/>
      </c>
      <c r="BY54">
        <f>BL54*COS(($BH54+2*($BI54-$BH54)/12))</f>
        <v/>
      </c>
      <c r="BZ54">
        <f>BM54*COS(($BH54+3*($BI54-$BH54)/12))</f>
        <v/>
      </c>
      <c r="CA54">
        <f>BN54*COS(($BH54+4*($BI54-$BH54)/12))</f>
        <v/>
      </c>
      <c r="CB54">
        <f>BO54*COS(($BH54+5*($BI54-$BH54)/12))</f>
        <v/>
      </c>
      <c r="CC54">
        <f>BP54*COS(($BH54+6*($BI54-$BH54)/12))</f>
        <v/>
      </c>
      <c r="CD54">
        <f>BQ54*COS(($BH54+7*($BI54-$BH54)/12))</f>
        <v/>
      </c>
      <c r="CE54">
        <f>BR54*COS(($BH54+8*($BI54-$BH54)/12))</f>
        <v/>
      </c>
      <c r="CF54">
        <f>BS54*COS(($BH54+9*($BI54-$BH54)/12))</f>
        <v/>
      </c>
      <c r="CG54">
        <f>BT54*COS(($BH54+10*($BI54-$BH54)/12))</f>
        <v/>
      </c>
      <c r="CH54">
        <f>BU54*COS(($BH54+11*($BI54-$BH54)/12))</f>
        <v/>
      </c>
      <c r="CI54">
        <f>BV54*COS(($BH54+12*($BI54-$BH54)/12))</f>
        <v/>
      </c>
    </row>
    <row r="55">
      <c r="B55" s="53" t="n">
        <v>30</v>
      </c>
      <c r="C55" s="54">
        <f>1.5*cc_D</f>
        <v/>
      </c>
      <c r="D55" s="55">
        <f>IF($C55&lt;=cc_D,3.5,2*$C55/($C55-3*cc_D/7))</f>
        <v/>
      </c>
      <c r="E55" s="56">
        <f>(fcd_cc*((cc_D/2)^2*($BI55-COS($BI55)*SIN($BI55))-2*(cc_D/2)^2*($BI55-$BH55)/12/3*SUMPRODUCT($BJ$4:$BV$4,$BJ55:$BV55))+SUMPRODUCT($J$5:$AG$5,$J55:$AG55))/1000</f>
        <v/>
      </c>
      <c r="F55" s="56">
        <f>(fcd_cc*(2/3*(cc_D/2)^3*SIN($BI55)^3-2*(cc_D/2)^3*($BI55-$BH55)/12/3*SUMPRODUCT($BW$4:$CI$4,$BW55:$CI55))+SUMPRODUCT($J$5:$AG$5,$J55:$AG55,$J$7:$AG$7))/1E6</f>
        <v/>
      </c>
      <c r="G55" s="56">
        <f>(fcd_cc*((cc_D/2)^2*($BI55-COS($BI55)*SIN($BI55))-2*(cc_D/2)^2*($BI55-$BH55)/12/3*SUMPRODUCT($BJ$4:$BV$4,$BJ55:$BV55))+SUMPRODUCT($J$5:$AG$5,$AH55:$BE55))/1000</f>
        <v/>
      </c>
      <c r="H55" s="56">
        <f>(fcd_cc*(2/3*(cc_D/2)^3*SIN($BI55)^3-2*(cc_D/2)^3*($BI55-$BH55)/12/3*SUMPRODUCT($BW$4:$CI$4,$BW55:$CI55))+SUMPRODUCT($J$5:$AG$5,$AH55:$BE55,$J$19:$AG$19))/1E6</f>
        <v/>
      </c>
      <c r="J55">
        <f>MAX(-fyd_cc,MIN(fyd_cc,Es_cc*IF($C55&lt;=cc_D,0.0035*($C55-J$6)/$C55,0.002*($C55-J$6)/($C55-3*cc_D/7))))-fcd_cc*(1-(1-MAX(0,MIN(1,IF($C55&lt;=cc_D,0.0035*($C55-J$6)/$C55,0.002*($C55-J$6)/($C55-3*cc_D/7))/0.002)))^2)</f>
        <v/>
      </c>
      <c r="K55">
        <f>MAX(-fyd_cc,MIN(fyd_cc,Es_cc*IF($C55&lt;=cc_D,0.0035*($C55-K$6)/$C55,0.002*($C55-K$6)/($C55-3*cc_D/7))))-fcd_cc*(1-(1-MAX(0,MIN(1,IF($C55&lt;=cc_D,0.0035*($C55-K$6)/$C55,0.002*($C55-K$6)/($C55-3*cc_D/7))/0.002)))^2)</f>
        <v/>
      </c>
      <c r="L55">
        <f>MAX(-fyd_cc,MIN(fyd_cc,Es_cc*IF($C55&lt;=cc_D,0.0035*($C55-L$6)/$C55,0.002*($C55-L$6)/($C55-3*cc_D/7))))-fcd_cc*(1-(1-MAX(0,MIN(1,IF($C55&lt;=cc_D,0.0035*($C55-L$6)/$C55,0.002*($C55-L$6)/($C55-3*cc_D/7))/0.002)))^2)</f>
        <v/>
      </c>
      <c r="M55">
        <f>MAX(-fyd_cc,MIN(fyd_cc,Es_cc*IF($C55&lt;=cc_D,0.0035*($C55-M$6)/$C55,0.002*($C55-M$6)/($C55-3*cc_D/7))))-fcd_cc*(1-(1-MAX(0,MIN(1,IF($C55&lt;=cc_D,0.0035*($C55-M$6)/$C55,0.002*($C55-M$6)/($C55-3*cc_D/7))/0.002)))^2)</f>
        <v/>
      </c>
      <c r="N55">
        <f>MAX(-fyd_cc,MIN(fyd_cc,Es_cc*IF($C55&lt;=cc_D,0.0035*($C55-N$6)/$C55,0.002*($C55-N$6)/($C55-3*cc_D/7))))-fcd_cc*(1-(1-MAX(0,MIN(1,IF($C55&lt;=cc_D,0.0035*($C55-N$6)/$C55,0.002*($C55-N$6)/($C55-3*cc_D/7))/0.002)))^2)</f>
        <v/>
      </c>
      <c r="O55">
        <f>MAX(-fyd_cc,MIN(fyd_cc,Es_cc*IF($C55&lt;=cc_D,0.0035*($C55-O$6)/$C55,0.002*($C55-O$6)/($C55-3*cc_D/7))))-fcd_cc*(1-(1-MAX(0,MIN(1,IF($C55&lt;=cc_D,0.0035*($C55-O$6)/$C55,0.002*($C55-O$6)/($C55-3*cc_D/7))/0.002)))^2)</f>
        <v/>
      </c>
      <c r="P55">
        <f>MAX(-fyd_cc,MIN(fyd_cc,Es_cc*IF($C55&lt;=cc_D,0.0035*($C55-P$6)/$C55,0.002*($C55-P$6)/($C55-3*cc_D/7))))-fcd_cc*(1-(1-MAX(0,MIN(1,IF($C55&lt;=cc_D,0.0035*($C55-P$6)/$C55,0.002*($C55-P$6)/($C55-3*cc_D/7))/0.002)))^2)</f>
        <v/>
      </c>
      <c r="Q55">
        <f>MAX(-fyd_cc,MIN(fyd_cc,Es_cc*IF($C55&lt;=cc_D,0.0035*($C55-Q$6)/$C55,0.002*($C55-Q$6)/($C55-3*cc_D/7))))-fcd_cc*(1-(1-MAX(0,MIN(1,IF($C55&lt;=cc_D,0.0035*($C55-Q$6)/$C55,0.002*($C55-Q$6)/($C55-3*cc_D/7))/0.002)))^2)</f>
        <v/>
      </c>
      <c r="R55">
        <f>MAX(-fyd_cc,MIN(fyd_cc,Es_cc*IF($C55&lt;=cc_D,0.0035*($C55-R$6)/$C55,0.002*($C55-R$6)/($C55-3*cc_D/7))))-fcd_cc*(1-(1-MAX(0,MIN(1,IF($C55&lt;=cc_D,0.0035*($C55-R$6)/$C55,0.002*($C55-R$6)/($C55-3*cc_D/7))/0.002)))^2)</f>
        <v/>
      </c>
      <c r="S55">
        <f>MAX(-fyd_cc,MIN(fyd_cc,Es_cc*IF($C55&lt;=cc_D,0.0035*($C55-S$6)/$C55,0.002*($C55-S$6)/($C55-3*cc_D/7))))-fcd_cc*(1-(1-MAX(0,MIN(1,IF($C55&lt;=cc_D,0.0035*($C55-S$6)/$C55,0.002*($C55-S$6)/($C55-3*cc_D/7))/0.002)))^2)</f>
        <v/>
      </c>
      <c r="T55">
        <f>MAX(-fyd_cc,MIN(fyd_cc,Es_cc*IF($C55&lt;=cc_D,0.0035*($C55-T$6)/$C55,0.002*($C55-T$6)/($C55-3*cc_D/7))))-fcd_cc*(1-(1-MAX(0,MIN(1,IF($C55&lt;=cc_D,0.0035*($C55-T$6)/$C55,0.002*($C55-T$6)/($C55-3*cc_D/7))/0.002)))^2)</f>
        <v/>
      </c>
      <c r="U55">
        <f>MAX(-fyd_cc,MIN(fyd_cc,Es_cc*IF($C55&lt;=cc_D,0.0035*($C55-U$6)/$C55,0.002*($C55-U$6)/($C55-3*cc_D/7))))-fcd_cc*(1-(1-MAX(0,MIN(1,IF($C55&lt;=cc_D,0.0035*($C55-U$6)/$C55,0.002*($C55-U$6)/($C55-3*cc_D/7))/0.002)))^2)</f>
        <v/>
      </c>
      <c r="V55">
        <f>MAX(-fyd_cc,MIN(fyd_cc,Es_cc*IF($C55&lt;=cc_D,0.0035*($C55-V$6)/$C55,0.002*($C55-V$6)/($C55-3*cc_D/7))))-fcd_cc*(1-(1-MAX(0,MIN(1,IF($C55&lt;=cc_D,0.0035*($C55-V$6)/$C55,0.002*($C55-V$6)/($C55-3*cc_D/7))/0.002)))^2)</f>
        <v/>
      </c>
      <c r="W55">
        <f>MAX(-fyd_cc,MIN(fyd_cc,Es_cc*IF($C55&lt;=cc_D,0.0035*($C55-W$6)/$C55,0.002*($C55-W$6)/($C55-3*cc_D/7))))-fcd_cc*(1-(1-MAX(0,MIN(1,IF($C55&lt;=cc_D,0.0035*($C55-W$6)/$C55,0.002*($C55-W$6)/($C55-3*cc_D/7))/0.002)))^2)</f>
        <v/>
      </c>
      <c r="X55">
        <f>MAX(-fyd_cc,MIN(fyd_cc,Es_cc*IF($C55&lt;=cc_D,0.0035*($C55-X$6)/$C55,0.002*($C55-X$6)/($C55-3*cc_D/7))))-fcd_cc*(1-(1-MAX(0,MIN(1,IF($C55&lt;=cc_D,0.0035*($C55-X$6)/$C55,0.002*($C55-X$6)/($C55-3*cc_D/7))/0.002)))^2)</f>
        <v/>
      </c>
      <c r="Y55">
        <f>MAX(-fyd_cc,MIN(fyd_cc,Es_cc*IF($C55&lt;=cc_D,0.0035*($C55-Y$6)/$C55,0.002*($C55-Y$6)/($C55-3*cc_D/7))))-fcd_cc*(1-(1-MAX(0,MIN(1,IF($C55&lt;=cc_D,0.0035*($C55-Y$6)/$C55,0.002*($C55-Y$6)/($C55-3*cc_D/7))/0.002)))^2)</f>
        <v/>
      </c>
      <c r="Z55">
        <f>MAX(-fyd_cc,MIN(fyd_cc,Es_cc*IF($C55&lt;=cc_D,0.0035*($C55-Z$6)/$C55,0.002*($C55-Z$6)/($C55-3*cc_D/7))))-fcd_cc*(1-(1-MAX(0,MIN(1,IF($C55&lt;=cc_D,0.0035*($C55-Z$6)/$C55,0.002*($C55-Z$6)/($C55-3*cc_D/7))/0.002)))^2)</f>
        <v/>
      </c>
      <c r="AA55">
        <f>MAX(-fyd_cc,MIN(fyd_cc,Es_cc*IF($C55&lt;=cc_D,0.0035*($C55-AA$6)/$C55,0.002*($C55-AA$6)/($C55-3*cc_D/7))))-fcd_cc*(1-(1-MAX(0,MIN(1,IF($C55&lt;=cc_D,0.0035*($C55-AA$6)/$C55,0.002*($C55-AA$6)/($C55-3*cc_D/7))/0.002)))^2)</f>
        <v/>
      </c>
      <c r="AB55">
        <f>MAX(-fyd_cc,MIN(fyd_cc,Es_cc*IF($C55&lt;=cc_D,0.0035*($C55-AB$6)/$C55,0.002*($C55-AB$6)/($C55-3*cc_D/7))))-fcd_cc*(1-(1-MAX(0,MIN(1,IF($C55&lt;=cc_D,0.0035*($C55-AB$6)/$C55,0.002*($C55-AB$6)/($C55-3*cc_D/7))/0.002)))^2)</f>
        <v/>
      </c>
      <c r="AC55">
        <f>MAX(-fyd_cc,MIN(fyd_cc,Es_cc*IF($C55&lt;=cc_D,0.0035*($C55-AC$6)/$C55,0.002*($C55-AC$6)/($C55-3*cc_D/7))))-fcd_cc*(1-(1-MAX(0,MIN(1,IF($C55&lt;=cc_D,0.0035*($C55-AC$6)/$C55,0.002*($C55-AC$6)/($C55-3*cc_D/7))/0.002)))^2)</f>
        <v/>
      </c>
      <c r="AD55">
        <f>MAX(-fyd_cc,MIN(fyd_cc,Es_cc*IF($C55&lt;=cc_D,0.0035*($C55-AD$6)/$C55,0.002*($C55-AD$6)/($C55-3*cc_D/7))))-fcd_cc*(1-(1-MAX(0,MIN(1,IF($C55&lt;=cc_D,0.0035*($C55-AD$6)/$C55,0.002*($C55-AD$6)/($C55-3*cc_D/7))/0.002)))^2)</f>
        <v/>
      </c>
      <c r="AE55">
        <f>MAX(-fyd_cc,MIN(fyd_cc,Es_cc*IF($C55&lt;=cc_D,0.0035*($C55-AE$6)/$C55,0.002*($C55-AE$6)/($C55-3*cc_D/7))))-fcd_cc*(1-(1-MAX(0,MIN(1,IF($C55&lt;=cc_D,0.0035*($C55-AE$6)/$C55,0.002*($C55-AE$6)/($C55-3*cc_D/7))/0.002)))^2)</f>
        <v/>
      </c>
      <c r="AF55">
        <f>MAX(-fyd_cc,MIN(fyd_cc,Es_cc*IF($C55&lt;=cc_D,0.0035*($C55-AF$6)/$C55,0.002*($C55-AF$6)/($C55-3*cc_D/7))))-fcd_cc*(1-(1-MAX(0,MIN(1,IF($C55&lt;=cc_D,0.0035*($C55-AF$6)/$C55,0.002*($C55-AF$6)/($C55-3*cc_D/7))/0.002)))^2)</f>
        <v/>
      </c>
      <c r="AG55">
        <f>MAX(-fyd_cc,MIN(fyd_cc,Es_cc*IF($C55&lt;=cc_D,0.0035*($C55-AG$6)/$C55,0.002*($C55-AG$6)/($C55-3*cc_D/7))))-fcd_cc*(1-(1-MAX(0,MIN(1,IF($C55&lt;=cc_D,0.0035*($C55-AG$6)/$C55,0.002*($C55-AG$6)/($C55-3*cc_D/7))/0.002)))^2)</f>
        <v/>
      </c>
      <c r="AH55">
        <f>MAX(-fyd_cc,MIN(fyd_cc,Es_cc*IF($C55&lt;=cc_D,0.0035*($C55-J$18)/$C55,0.002*($C55-J$18)/($C55-3*cc_D/7))))-fcd_cc*(1-(1-MAX(0,MIN(1,IF($C55&lt;=cc_D,0.0035*($C55-J$18)/$C55,0.002*($C55-J$18)/($C55-3*cc_D/7))/0.002)))^2)</f>
        <v/>
      </c>
      <c r="AI55">
        <f>MAX(-fyd_cc,MIN(fyd_cc,Es_cc*IF($C55&lt;=cc_D,0.0035*($C55-K$18)/$C55,0.002*($C55-K$18)/($C55-3*cc_D/7))))-fcd_cc*(1-(1-MAX(0,MIN(1,IF($C55&lt;=cc_D,0.0035*($C55-K$18)/$C55,0.002*($C55-K$18)/($C55-3*cc_D/7))/0.002)))^2)</f>
        <v/>
      </c>
      <c r="AJ55">
        <f>MAX(-fyd_cc,MIN(fyd_cc,Es_cc*IF($C55&lt;=cc_D,0.0035*($C55-L$18)/$C55,0.002*($C55-L$18)/($C55-3*cc_D/7))))-fcd_cc*(1-(1-MAX(0,MIN(1,IF($C55&lt;=cc_D,0.0035*($C55-L$18)/$C55,0.002*($C55-L$18)/($C55-3*cc_D/7))/0.002)))^2)</f>
        <v/>
      </c>
      <c r="AK55">
        <f>MAX(-fyd_cc,MIN(fyd_cc,Es_cc*IF($C55&lt;=cc_D,0.0035*($C55-M$18)/$C55,0.002*($C55-M$18)/($C55-3*cc_D/7))))-fcd_cc*(1-(1-MAX(0,MIN(1,IF($C55&lt;=cc_D,0.0035*($C55-M$18)/$C55,0.002*($C55-M$18)/($C55-3*cc_D/7))/0.002)))^2)</f>
        <v/>
      </c>
      <c r="AL55">
        <f>MAX(-fyd_cc,MIN(fyd_cc,Es_cc*IF($C55&lt;=cc_D,0.0035*($C55-N$18)/$C55,0.002*($C55-N$18)/($C55-3*cc_D/7))))-fcd_cc*(1-(1-MAX(0,MIN(1,IF($C55&lt;=cc_D,0.0035*($C55-N$18)/$C55,0.002*($C55-N$18)/($C55-3*cc_D/7))/0.002)))^2)</f>
        <v/>
      </c>
      <c r="AM55">
        <f>MAX(-fyd_cc,MIN(fyd_cc,Es_cc*IF($C55&lt;=cc_D,0.0035*($C55-O$18)/$C55,0.002*($C55-O$18)/($C55-3*cc_D/7))))-fcd_cc*(1-(1-MAX(0,MIN(1,IF($C55&lt;=cc_D,0.0035*($C55-O$18)/$C55,0.002*($C55-O$18)/($C55-3*cc_D/7))/0.002)))^2)</f>
        <v/>
      </c>
      <c r="AN55">
        <f>MAX(-fyd_cc,MIN(fyd_cc,Es_cc*IF($C55&lt;=cc_D,0.0035*($C55-P$18)/$C55,0.002*($C55-P$18)/($C55-3*cc_D/7))))-fcd_cc*(1-(1-MAX(0,MIN(1,IF($C55&lt;=cc_D,0.0035*($C55-P$18)/$C55,0.002*($C55-P$18)/($C55-3*cc_D/7))/0.002)))^2)</f>
        <v/>
      </c>
      <c r="AO55">
        <f>MAX(-fyd_cc,MIN(fyd_cc,Es_cc*IF($C55&lt;=cc_D,0.0035*($C55-Q$18)/$C55,0.002*($C55-Q$18)/($C55-3*cc_D/7))))-fcd_cc*(1-(1-MAX(0,MIN(1,IF($C55&lt;=cc_D,0.0035*($C55-Q$18)/$C55,0.002*($C55-Q$18)/($C55-3*cc_D/7))/0.002)))^2)</f>
        <v/>
      </c>
      <c r="AP55">
        <f>MAX(-fyd_cc,MIN(fyd_cc,Es_cc*IF($C55&lt;=cc_D,0.0035*($C55-R$18)/$C55,0.002*($C55-R$18)/($C55-3*cc_D/7))))-fcd_cc*(1-(1-MAX(0,MIN(1,IF($C55&lt;=cc_D,0.0035*($C55-R$18)/$C55,0.002*($C55-R$18)/($C55-3*cc_D/7))/0.002)))^2)</f>
        <v/>
      </c>
      <c r="AQ55">
        <f>MAX(-fyd_cc,MIN(fyd_cc,Es_cc*IF($C55&lt;=cc_D,0.0035*($C55-S$18)/$C55,0.002*($C55-S$18)/($C55-3*cc_D/7))))-fcd_cc*(1-(1-MAX(0,MIN(1,IF($C55&lt;=cc_D,0.0035*($C55-S$18)/$C55,0.002*($C55-S$18)/($C55-3*cc_D/7))/0.002)))^2)</f>
        <v/>
      </c>
      <c r="AR55">
        <f>MAX(-fyd_cc,MIN(fyd_cc,Es_cc*IF($C55&lt;=cc_D,0.0035*($C55-T$18)/$C55,0.002*($C55-T$18)/($C55-3*cc_D/7))))-fcd_cc*(1-(1-MAX(0,MIN(1,IF($C55&lt;=cc_D,0.0035*($C55-T$18)/$C55,0.002*($C55-T$18)/($C55-3*cc_D/7))/0.002)))^2)</f>
        <v/>
      </c>
      <c r="AS55">
        <f>MAX(-fyd_cc,MIN(fyd_cc,Es_cc*IF($C55&lt;=cc_D,0.0035*($C55-U$18)/$C55,0.002*($C55-U$18)/($C55-3*cc_D/7))))-fcd_cc*(1-(1-MAX(0,MIN(1,IF($C55&lt;=cc_D,0.0035*($C55-U$18)/$C55,0.002*($C55-U$18)/($C55-3*cc_D/7))/0.002)))^2)</f>
        <v/>
      </c>
      <c r="AT55">
        <f>MAX(-fyd_cc,MIN(fyd_cc,Es_cc*IF($C55&lt;=cc_D,0.0035*($C55-V$18)/$C55,0.002*($C55-V$18)/($C55-3*cc_D/7))))-fcd_cc*(1-(1-MAX(0,MIN(1,IF($C55&lt;=cc_D,0.0035*($C55-V$18)/$C55,0.002*($C55-V$18)/($C55-3*cc_D/7))/0.002)))^2)</f>
        <v/>
      </c>
      <c r="AU55">
        <f>MAX(-fyd_cc,MIN(fyd_cc,Es_cc*IF($C55&lt;=cc_D,0.0035*($C55-W$18)/$C55,0.002*($C55-W$18)/($C55-3*cc_D/7))))-fcd_cc*(1-(1-MAX(0,MIN(1,IF($C55&lt;=cc_D,0.0035*($C55-W$18)/$C55,0.002*($C55-W$18)/($C55-3*cc_D/7))/0.002)))^2)</f>
        <v/>
      </c>
      <c r="AV55">
        <f>MAX(-fyd_cc,MIN(fyd_cc,Es_cc*IF($C55&lt;=cc_D,0.0035*($C55-X$18)/$C55,0.002*($C55-X$18)/($C55-3*cc_D/7))))-fcd_cc*(1-(1-MAX(0,MIN(1,IF($C55&lt;=cc_D,0.0035*($C55-X$18)/$C55,0.002*($C55-X$18)/($C55-3*cc_D/7))/0.002)))^2)</f>
        <v/>
      </c>
      <c r="AW55">
        <f>MAX(-fyd_cc,MIN(fyd_cc,Es_cc*IF($C55&lt;=cc_D,0.0035*($C55-Y$18)/$C55,0.002*($C55-Y$18)/($C55-3*cc_D/7))))-fcd_cc*(1-(1-MAX(0,MIN(1,IF($C55&lt;=cc_D,0.0035*($C55-Y$18)/$C55,0.002*($C55-Y$18)/($C55-3*cc_D/7))/0.002)))^2)</f>
        <v/>
      </c>
      <c r="AX55">
        <f>MAX(-fyd_cc,MIN(fyd_cc,Es_cc*IF($C55&lt;=cc_D,0.0035*($C55-Z$18)/$C55,0.002*($C55-Z$18)/($C55-3*cc_D/7))))-fcd_cc*(1-(1-MAX(0,MIN(1,IF($C55&lt;=cc_D,0.0035*($C55-Z$18)/$C55,0.002*($C55-Z$18)/($C55-3*cc_D/7))/0.002)))^2)</f>
        <v/>
      </c>
      <c r="AY55">
        <f>MAX(-fyd_cc,MIN(fyd_cc,Es_cc*IF($C55&lt;=cc_D,0.0035*($C55-AA$18)/$C55,0.002*($C55-AA$18)/($C55-3*cc_D/7))))-fcd_cc*(1-(1-MAX(0,MIN(1,IF($C55&lt;=cc_D,0.0035*($C55-AA$18)/$C55,0.002*($C55-AA$18)/($C55-3*cc_D/7))/0.002)))^2)</f>
        <v/>
      </c>
      <c r="AZ55">
        <f>MAX(-fyd_cc,MIN(fyd_cc,Es_cc*IF($C55&lt;=cc_D,0.0035*($C55-AB$18)/$C55,0.002*($C55-AB$18)/($C55-3*cc_D/7))))-fcd_cc*(1-(1-MAX(0,MIN(1,IF($C55&lt;=cc_D,0.0035*($C55-AB$18)/$C55,0.002*($C55-AB$18)/($C55-3*cc_D/7))/0.002)))^2)</f>
        <v/>
      </c>
      <c r="BA55">
        <f>MAX(-fyd_cc,MIN(fyd_cc,Es_cc*IF($C55&lt;=cc_D,0.0035*($C55-AC$18)/$C55,0.002*($C55-AC$18)/($C55-3*cc_D/7))))-fcd_cc*(1-(1-MAX(0,MIN(1,IF($C55&lt;=cc_D,0.0035*($C55-AC$18)/$C55,0.002*($C55-AC$18)/($C55-3*cc_D/7))/0.002)))^2)</f>
        <v/>
      </c>
      <c r="BB55">
        <f>MAX(-fyd_cc,MIN(fyd_cc,Es_cc*IF($C55&lt;=cc_D,0.0035*($C55-AD$18)/$C55,0.002*($C55-AD$18)/($C55-3*cc_D/7))))-fcd_cc*(1-(1-MAX(0,MIN(1,IF($C55&lt;=cc_D,0.0035*($C55-AD$18)/$C55,0.002*($C55-AD$18)/($C55-3*cc_D/7))/0.002)))^2)</f>
        <v/>
      </c>
      <c r="BC55">
        <f>MAX(-fyd_cc,MIN(fyd_cc,Es_cc*IF($C55&lt;=cc_D,0.0035*($C55-AE$18)/$C55,0.002*($C55-AE$18)/($C55-3*cc_D/7))))-fcd_cc*(1-(1-MAX(0,MIN(1,IF($C55&lt;=cc_D,0.0035*($C55-AE$18)/$C55,0.002*($C55-AE$18)/($C55-3*cc_D/7))/0.002)))^2)</f>
        <v/>
      </c>
      <c r="BD55">
        <f>MAX(-fyd_cc,MIN(fyd_cc,Es_cc*IF($C55&lt;=cc_D,0.0035*($C55-AF$18)/$C55,0.002*($C55-AF$18)/($C55-3*cc_D/7))))-fcd_cc*(1-(1-MAX(0,MIN(1,IF($C55&lt;=cc_D,0.0035*($C55-AF$18)/$C55,0.002*($C55-AF$18)/($C55-3*cc_D/7))/0.002)))^2)</f>
        <v/>
      </c>
      <c r="BE55">
        <f>MAX(-fyd_cc,MIN(fyd_cc,Es_cc*IF($C55&lt;=cc_D,0.0035*($C55-AG$18)/$C55,0.002*($C55-AG$18)/($C55-3*cc_D/7))))-fcd_cc*(1-(1-MAX(0,MIN(1,IF($C55&lt;=cc_D,0.0035*($C55-AG$18)/$C55,0.002*($C55-AG$18)/($C55-3*cc_D/7))/0.002)))^2)</f>
        <v/>
      </c>
      <c r="BF55">
        <f>3*MIN($C55,cc_D)/7</f>
        <v/>
      </c>
      <c r="BG55">
        <f>$C55-$BF55</f>
        <v/>
      </c>
      <c r="BH55">
        <f>ACOS(MAX(-1,MIN(1,1-$BF55/(cc_D/2))))</f>
        <v/>
      </c>
      <c r="BI55">
        <f>ACOS(MAX(-1,MIN(1,1-MIN($C55,cc_D)/(cc_D/2))))</f>
        <v/>
      </c>
      <c r="BJ55">
        <f>((cc_D/2*(1-COS(($BH55+0*($BI55-$BH55)/12)))-$BF55)/$BG55)^2*SIN(($BH55+0*($BI55-$BH55)/12))^2</f>
        <v/>
      </c>
      <c r="BK55">
        <f>((cc_D/2*(1-COS(($BH55+1*($BI55-$BH55)/12)))-$BF55)/$BG55)^2*SIN(($BH55+1*($BI55-$BH55)/12))^2</f>
        <v/>
      </c>
      <c r="BL55">
        <f>((cc_D/2*(1-COS(($BH55+2*($BI55-$BH55)/12)))-$BF55)/$BG55)^2*SIN(($BH55+2*($BI55-$BH55)/12))^2</f>
        <v/>
      </c>
      <c r="BM55">
        <f>((cc_D/2*(1-COS(($BH55+3*($BI55-$BH55)/12)))-$BF55)/$BG55)^2*SIN(($BH55+3*($BI55-$BH55)/12))^2</f>
        <v/>
      </c>
      <c r="BN55">
        <f>((cc_D/2*(1-COS(($BH55+4*($BI55-$BH55)/12)))-$BF55)/$BG55)^2*SIN(($BH55+4*($BI55-$BH55)/12))^2</f>
        <v/>
      </c>
      <c r="BO55">
        <f>((cc_D/2*(1-COS(($BH55+5*($BI55-$BH55)/12)))-$BF55)/$BG55)^2*SIN(($BH55+5*($BI55-$BH55)/12))^2</f>
        <v/>
      </c>
      <c r="BP55">
        <f>((cc_D/2*(1-COS(($BH55+6*($BI55-$BH55)/12)))-$BF55)/$BG55)^2*SIN(($BH55+6*($BI55-$BH55)/12))^2</f>
        <v/>
      </c>
      <c r="BQ55">
        <f>((cc_D/2*(1-COS(($BH55+7*($BI55-$BH55)/12)))-$BF55)/$BG55)^2*SIN(($BH55+7*($BI55-$BH55)/12))^2</f>
        <v/>
      </c>
      <c r="BR55">
        <f>((cc_D/2*(1-COS(($BH55+8*($BI55-$BH55)/12)))-$BF55)/$BG55)^2*SIN(($BH55+8*($BI55-$BH55)/12))^2</f>
        <v/>
      </c>
      <c r="BS55">
        <f>((cc_D/2*(1-COS(($BH55+9*($BI55-$BH55)/12)))-$BF55)/$BG55)^2*SIN(($BH55+9*($BI55-$BH55)/12))^2</f>
        <v/>
      </c>
      <c r="BT55">
        <f>((cc_D/2*(1-COS(($BH55+10*($BI55-$BH55)/12)))-$BF55)/$BG55)^2*SIN(($BH55+10*($BI55-$BH55)/12))^2</f>
        <v/>
      </c>
      <c r="BU55">
        <f>((cc_D/2*(1-COS(($BH55+11*($BI55-$BH55)/12)))-$BF55)/$BG55)^2*SIN(($BH55+11*($BI55-$BH55)/12))^2</f>
        <v/>
      </c>
      <c r="BV55">
        <f>((cc_D/2*(1-COS(($BH55+12*($BI55-$BH55)/12)))-$BF55)/$BG55)^2*SIN(($BH55+12*($BI55-$BH55)/12))^2</f>
        <v/>
      </c>
      <c r="BW55">
        <f>BJ55*COS(($BH55+0*($BI55-$BH55)/12))</f>
        <v/>
      </c>
      <c r="BX55">
        <f>BK55*COS(($BH55+1*($BI55-$BH55)/12))</f>
        <v/>
      </c>
      <c r="BY55">
        <f>BL55*COS(($BH55+2*($BI55-$BH55)/12))</f>
        <v/>
      </c>
      <c r="BZ55">
        <f>BM55*COS(($BH55+3*($BI55-$BH55)/12))</f>
        <v/>
      </c>
      <c r="CA55">
        <f>BN55*COS(($BH55+4*($BI55-$BH55)/12))</f>
        <v/>
      </c>
      <c r="CB55">
        <f>BO55*COS(($BH55+5*($BI55-$BH55)/12))</f>
        <v/>
      </c>
      <c r="CC55">
        <f>BP55*COS(($BH55+6*($BI55-$BH55)/12))</f>
        <v/>
      </c>
      <c r="CD55">
        <f>BQ55*COS(($BH55+7*($BI55-$BH55)/12))</f>
        <v/>
      </c>
      <c r="CE55">
        <f>BR55*COS(($BH55+8*($BI55-$BH55)/12))</f>
        <v/>
      </c>
      <c r="CF55">
        <f>BS55*COS(($BH55+9*($BI55-$BH55)/12))</f>
        <v/>
      </c>
      <c r="CG55">
        <f>BT55*COS(($BH55+10*($BI55-$BH55)/12))</f>
        <v/>
      </c>
      <c r="CH55">
        <f>BU55*COS(($BH55+11*($BI55-$BH55)/12))</f>
        <v/>
      </c>
      <c r="CI55">
        <f>BV55*COS(($BH55+12*($BI55-$BH55)/12))</f>
        <v/>
      </c>
    </row>
    <row r="56">
      <c r="B56" s="53" t="n">
        <v>31</v>
      </c>
      <c r="C56" s="54">
        <f>1.75*cc_D</f>
        <v/>
      </c>
      <c r="D56" s="55">
        <f>IF($C56&lt;=cc_D,3.5,2*$C56/($C56-3*cc_D/7))</f>
        <v/>
      </c>
      <c r="E56" s="56">
        <f>(fcd_cc*((cc_D/2)^2*($BI56-COS($BI56)*SIN($BI56))-2*(cc_D/2)^2*($BI56-$BH56)/12/3*SUMPRODUCT($BJ$4:$BV$4,$BJ56:$BV56))+SUMPRODUCT($J$5:$AG$5,$J56:$AG56))/1000</f>
        <v/>
      </c>
      <c r="F56" s="56">
        <f>(fcd_cc*(2/3*(cc_D/2)^3*SIN($BI56)^3-2*(cc_D/2)^3*($BI56-$BH56)/12/3*SUMPRODUCT($BW$4:$CI$4,$BW56:$CI56))+SUMPRODUCT($J$5:$AG$5,$J56:$AG56,$J$7:$AG$7))/1E6</f>
        <v/>
      </c>
      <c r="G56" s="56">
        <f>(fcd_cc*((cc_D/2)^2*($BI56-COS($BI56)*SIN($BI56))-2*(cc_D/2)^2*($BI56-$BH56)/12/3*SUMPRODUCT($BJ$4:$BV$4,$BJ56:$BV56))+SUMPRODUCT($J$5:$AG$5,$AH56:$BE56))/1000</f>
        <v/>
      </c>
      <c r="H56" s="56">
        <f>(fcd_cc*(2/3*(cc_D/2)^3*SIN($BI56)^3-2*(cc_D/2)^3*($BI56-$BH56)/12/3*SUMPRODUCT($BW$4:$CI$4,$BW56:$CI56))+SUMPRODUCT($J$5:$AG$5,$AH56:$BE56,$J$19:$AG$19))/1E6</f>
        <v/>
      </c>
      <c r="J56">
        <f>MAX(-fyd_cc,MIN(fyd_cc,Es_cc*IF($C56&lt;=cc_D,0.0035*($C56-J$6)/$C56,0.002*($C56-J$6)/($C56-3*cc_D/7))))-fcd_cc*(1-(1-MAX(0,MIN(1,IF($C56&lt;=cc_D,0.0035*($C56-J$6)/$C56,0.002*($C56-J$6)/($C56-3*cc_D/7))/0.002)))^2)</f>
        <v/>
      </c>
      <c r="K56">
        <f>MAX(-fyd_cc,MIN(fyd_cc,Es_cc*IF($C56&lt;=cc_D,0.0035*($C56-K$6)/$C56,0.002*($C56-K$6)/($C56-3*cc_D/7))))-fcd_cc*(1-(1-MAX(0,MIN(1,IF($C56&lt;=cc_D,0.0035*($C56-K$6)/$C56,0.002*($C56-K$6)/($C56-3*cc_D/7))/0.002)))^2)</f>
        <v/>
      </c>
      <c r="L56">
        <f>MAX(-fyd_cc,MIN(fyd_cc,Es_cc*IF($C56&lt;=cc_D,0.0035*($C56-L$6)/$C56,0.002*($C56-L$6)/($C56-3*cc_D/7))))-fcd_cc*(1-(1-MAX(0,MIN(1,IF($C56&lt;=cc_D,0.0035*($C56-L$6)/$C56,0.002*($C56-L$6)/($C56-3*cc_D/7))/0.002)))^2)</f>
        <v/>
      </c>
      <c r="M56">
        <f>MAX(-fyd_cc,MIN(fyd_cc,Es_cc*IF($C56&lt;=cc_D,0.0035*($C56-M$6)/$C56,0.002*($C56-M$6)/($C56-3*cc_D/7))))-fcd_cc*(1-(1-MAX(0,MIN(1,IF($C56&lt;=cc_D,0.0035*($C56-M$6)/$C56,0.002*($C56-M$6)/($C56-3*cc_D/7))/0.002)))^2)</f>
        <v/>
      </c>
      <c r="N56">
        <f>MAX(-fyd_cc,MIN(fyd_cc,Es_cc*IF($C56&lt;=cc_D,0.0035*($C56-N$6)/$C56,0.002*($C56-N$6)/($C56-3*cc_D/7))))-fcd_cc*(1-(1-MAX(0,MIN(1,IF($C56&lt;=cc_D,0.0035*($C56-N$6)/$C56,0.002*($C56-N$6)/($C56-3*cc_D/7))/0.002)))^2)</f>
        <v/>
      </c>
      <c r="O56">
        <f>MAX(-fyd_cc,MIN(fyd_cc,Es_cc*IF($C56&lt;=cc_D,0.0035*($C56-O$6)/$C56,0.002*($C56-O$6)/($C56-3*cc_D/7))))-fcd_cc*(1-(1-MAX(0,MIN(1,IF($C56&lt;=cc_D,0.0035*($C56-O$6)/$C56,0.002*($C56-O$6)/($C56-3*cc_D/7))/0.002)))^2)</f>
        <v/>
      </c>
      <c r="P56">
        <f>MAX(-fyd_cc,MIN(fyd_cc,Es_cc*IF($C56&lt;=cc_D,0.0035*($C56-P$6)/$C56,0.002*($C56-P$6)/($C56-3*cc_D/7))))-fcd_cc*(1-(1-MAX(0,MIN(1,IF($C56&lt;=cc_D,0.0035*($C56-P$6)/$C56,0.002*($C56-P$6)/($C56-3*cc_D/7))/0.002)))^2)</f>
        <v/>
      </c>
      <c r="Q56">
        <f>MAX(-fyd_cc,MIN(fyd_cc,Es_cc*IF($C56&lt;=cc_D,0.0035*($C56-Q$6)/$C56,0.002*($C56-Q$6)/($C56-3*cc_D/7))))-fcd_cc*(1-(1-MAX(0,MIN(1,IF($C56&lt;=cc_D,0.0035*($C56-Q$6)/$C56,0.002*($C56-Q$6)/($C56-3*cc_D/7))/0.002)))^2)</f>
        <v/>
      </c>
      <c r="R56">
        <f>MAX(-fyd_cc,MIN(fyd_cc,Es_cc*IF($C56&lt;=cc_D,0.0035*($C56-R$6)/$C56,0.002*($C56-R$6)/($C56-3*cc_D/7))))-fcd_cc*(1-(1-MAX(0,MIN(1,IF($C56&lt;=cc_D,0.0035*($C56-R$6)/$C56,0.002*($C56-R$6)/($C56-3*cc_D/7))/0.002)))^2)</f>
        <v/>
      </c>
      <c r="S56">
        <f>MAX(-fyd_cc,MIN(fyd_cc,Es_cc*IF($C56&lt;=cc_D,0.0035*($C56-S$6)/$C56,0.002*($C56-S$6)/($C56-3*cc_D/7))))-fcd_cc*(1-(1-MAX(0,MIN(1,IF($C56&lt;=cc_D,0.0035*($C56-S$6)/$C56,0.002*($C56-S$6)/($C56-3*cc_D/7))/0.002)))^2)</f>
        <v/>
      </c>
      <c r="T56">
        <f>MAX(-fyd_cc,MIN(fyd_cc,Es_cc*IF($C56&lt;=cc_D,0.0035*($C56-T$6)/$C56,0.002*($C56-T$6)/($C56-3*cc_D/7))))-fcd_cc*(1-(1-MAX(0,MIN(1,IF($C56&lt;=cc_D,0.0035*($C56-T$6)/$C56,0.002*($C56-T$6)/($C56-3*cc_D/7))/0.002)))^2)</f>
        <v/>
      </c>
      <c r="U56">
        <f>MAX(-fyd_cc,MIN(fyd_cc,Es_cc*IF($C56&lt;=cc_D,0.0035*($C56-U$6)/$C56,0.002*($C56-U$6)/($C56-3*cc_D/7))))-fcd_cc*(1-(1-MAX(0,MIN(1,IF($C56&lt;=cc_D,0.0035*($C56-U$6)/$C56,0.002*($C56-U$6)/($C56-3*cc_D/7))/0.002)))^2)</f>
        <v/>
      </c>
      <c r="V56">
        <f>MAX(-fyd_cc,MIN(fyd_cc,Es_cc*IF($C56&lt;=cc_D,0.0035*($C56-V$6)/$C56,0.002*($C56-V$6)/($C56-3*cc_D/7))))-fcd_cc*(1-(1-MAX(0,MIN(1,IF($C56&lt;=cc_D,0.0035*($C56-V$6)/$C56,0.002*($C56-V$6)/($C56-3*cc_D/7))/0.002)))^2)</f>
        <v/>
      </c>
      <c r="W56">
        <f>MAX(-fyd_cc,MIN(fyd_cc,Es_cc*IF($C56&lt;=cc_D,0.0035*($C56-W$6)/$C56,0.002*($C56-W$6)/($C56-3*cc_D/7))))-fcd_cc*(1-(1-MAX(0,MIN(1,IF($C56&lt;=cc_D,0.0035*($C56-W$6)/$C56,0.002*($C56-W$6)/($C56-3*cc_D/7))/0.002)))^2)</f>
        <v/>
      </c>
      <c r="X56">
        <f>MAX(-fyd_cc,MIN(fyd_cc,Es_cc*IF($C56&lt;=cc_D,0.0035*($C56-X$6)/$C56,0.002*($C56-X$6)/($C56-3*cc_D/7))))-fcd_cc*(1-(1-MAX(0,MIN(1,IF($C56&lt;=cc_D,0.0035*($C56-X$6)/$C56,0.002*($C56-X$6)/($C56-3*cc_D/7))/0.002)))^2)</f>
        <v/>
      </c>
      <c r="Y56">
        <f>MAX(-fyd_cc,MIN(fyd_cc,Es_cc*IF($C56&lt;=cc_D,0.0035*($C56-Y$6)/$C56,0.002*($C56-Y$6)/($C56-3*cc_D/7))))-fcd_cc*(1-(1-MAX(0,MIN(1,IF($C56&lt;=cc_D,0.0035*($C56-Y$6)/$C56,0.002*($C56-Y$6)/($C56-3*cc_D/7))/0.002)))^2)</f>
        <v/>
      </c>
      <c r="Z56">
        <f>MAX(-fyd_cc,MIN(fyd_cc,Es_cc*IF($C56&lt;=cc_D,0.0035*($C56-Z$6)/$C56,0.002*($C56-Z$6)/($C56-3*cc_D/7))))-fcd_cc*(1-(1-MAX(0,MIN(1,IF($C56&lt;=cc_D,0.0035*($C56-Z$6)/$C56,0.002*($C56-Z$6)/($C56-3*cc_D/7))/0.002)))^2)</f>
        <v/>
      </c>
      <c r="AA56">
        <f>MAX(-fyd_cc,MIN(fyd_cc,Es_cc*IF($C56&lt;=cc_D,0.0035*($C56-AA$6)/$C56,0.002*($C56-AA$6)/($C56-3*cc_D/7))))-fcd_cc*(1-(1-MAX(0,MIN(1,IF($C56&lt;=cc_D,0.0035*($C56-AA$6)/$C56,0.002*($C56-AA$6)/($C56-3*cc_D/7))/0.002)))^2)</f>
        <v/>
      </c>
      <c r="AB56">
        <f>MAX(-fyd_cc,MIN(fyd_cc,Es_cc*IF($C56&lt;=cc_D,0.0035*($C56-AB$6)/$C56,0.002*($C56-AB$6)/($C56-3*cc_D/7))))-fcd_cc*(1-(1-MAX(0,MIN(1,IF($C56&lt;=cc_D,0.0035*($C56-AB$6)/$C56,0.002*($C56-AB$6)/($C56-3*cc_D/7))/0.002)))^2)</f>
        <v/>
      </c>
      <c r="AC56">
        <f>MAX(-fyd_cc,MIN(fyd_cc,Es_cc*IF($C56&lt;=cc_D,0.0035*($C56-AC$6)/$C56,0.002*($C56-AC$6)/($C56-3*cc_D/7))))-fcd_cc*(1-(1-MAX(0,MIN(1,IF($C56&lt;=cc_D,0.0035*($C56-AC$6)/$C56,0.002*($C56-AC$6)/($C56-3*cc_D/7))/0.002)))^2)</f>
        <v/>
      </c>
      <c r="AD56">
        <f>MAX(-fyd_cc,MIN(fyd_cc,Es_cc*IF($C56&lt;=cc_D,0.0035*($C56-AD$6)/$C56,0.002*($C56-AD$6)/($C56-3*cc_D/7))))-fcd_cc*(1-(1-MAX(0,MIN(1,IF($C56&lt;=cc_D,0.0035*($C56-AD$6)/$C56,0.002*($C56-AD$6)/($C56-3*cc_D/7))/0.002)))^2)</f>
        <v/>
      </c>
      <c r="AE56">
        <f>MAX(-fyd_cc,MIN(fyd_cc,Es_cc*IF($C56&lt;=cc_D,0.0035*($C56-AE$6)/$C56,0.002*($C56-AE$6)/($C56-3*cc_D/7))))-fcd_cc*(1-(1-MAX(0,MIN(1,IF($C56&lt;=cc_D,0.0035*($C56-AE$6)/$C56,0.002*($C56-AE$6)/($C56-3*cc_D/7))/0.002)))^2)</f>
        <v/>
      </c>
      <c r="AF56">
        <f>MAX(-fyd_cc,MIN(fyd_cc,Es_cc*IF($C56&lt;=cc_D,0.0035*($C56-AF$6)/$C56,0.002*($C56-AF$6)/($C56-3*cc_D/7))))-fcd_cc*(1-(1-MAX(0,MIN(1,IF($C56&lt;=cc_D,0.0035*($C56-AF$6)/$C56,0.002*($C56-AF$6)/($C56-3*cc_D/7))/0.002)))^2)</f>
        <v/>
      </c>
      <c r="AG56">
        <f>MAX(-fyd_cc,MIN(fyd_cc,Es_cc*IF($C56&lt;=cc_D,0.0035*($C56-AG$6)/$C56,0.002*($C56-AG$6)/($C56-3*cc_D/7))))-fcd_cc*(1-(1-MAX(0,MIN(1,IF($C56&lt;=cc_D,0.0035*($C56-AG$6)/$C56,0.002*($C56-AG$6)/($C56-3*cc_D/7))/0.002)))^2)</f>
        <v/>
      </c>
      <c r="AH56">
        <f>MAX(-fyd_cc,MIN(fyd_cc,Es_cc*IF($C56&lt;=cc_D,0.0035*($C56-J$18)/$C56,0.002*($C56-J$18)/($C56-3*cc_D/7))))-fcd_cc*(1-(1-MAX(0,MIN(1,IF($C56&lt;=cc_D,0.0035*($C56-J$18)/$C56,0.002*($C56-J$18)/($C56-3*cc_D/7))/0.002)))^2)</f>
        <v/>
      </c>
      <c r="AI56">
        <f>MAX(-fyd_cc,MIN(fyd_cc,Es_cc*IF($C56&lt;=cc_D,0.0035*($C56-K$18)/$C56,0.002*($C56-K$18)/($C56-3*cc_D/7))))-fcd_cc*(1-(1-MAX(0,MIN(1,IF($C56&lt;=cc_D,0.0035*($C56-K$18)/$C56,0.002*($C56-K$18)/($C56-3*cc_D/7))/0.002)))^2)</f>
        <v/>
      </c>
      <c r="AJ56">
        <f>MAX(-fyd_cc,MIN(fyd_cc,Es_cc*IF($C56&lt;=cc_D,0.0035*($C56-L$18)/$C56,0.002*($C56-L$18)/($C56-3*cc_D/7))))-fcd_cc*(1-(1-MAX(0,MIN(1,IF($C56&lt;=cc_D,0.0035*($C56-L$18)/$C56,0.002*($C56-L$18)/($C56-3*cc_D/7))/0.002)))^2)</f>
        <v/>
      </c>
      <c r="AK56">
        <f>MAX(-fyd_cc,MIN(fyd_cc,Es_cc*IF($C56&lt;=cc_D,0.0035*($C56-M$18)/$C56,0.002*($C56-M$18)/($C56-3*cc_D/7))))-fcd_cc*(1-(1-MAX(0,MIN(1,IF($C56&lt;=cc_D,0.0035*($C56-M$18)/$C56,0.002*($C56-M$18)/($C56-3*cc_D/7))/0.002)))^2)</f>
        <v/>
      </c>
      <c r="AL56">
        <f>MAX(-fyd_cc,MIN(fyd_cc,Es_cc*IF($C56&lt;=cc_D,0.0035*($C56-N$18)/$C56,0.002*($C56-N$18)/($C56-3*cc_D/7))))-fcd_cc*(1-(1-MAX(0,MIN(1,IF($C56&lt;=cc_D,0.0035*($C56-N$18)/$C56,0.002*($C56-N$18)/($C56-3*cc_D/7))/0.002)))^2)</f>
        <v/>
      </c>
      <c r="AM56">
        <f>MAX(-fyd_cc,MIN(fyd_cc,Es_cc*IF($C56&lt;=cc_D,0.0035*($C56-O$18)/$C56,0.002*($C56-O$18)/($C56-3*cc_D/7))))-fcd_cc*(1-(1-MAX(0,MIN(1,IF($C56&lt;=cc_D,0.0035*($C56-O$18)/$C56,0.002*($C56-O$18)/($C56-3*cc_D/7))/0.002)))^2)</f>
        <v/>
      </c>
      <c r="AN56">
        <f>MAX(-fyd_cc,MIN(fyd_cc,Es_cc*IF($C56&lt;=cc_D,0.0035*($C56-P$18)/$C56,0.002*($C56-P$18)/($C56-3*cc_D/7))))-fcd_cc*(1-(1-MAX(0,MIN(1,IF($C56&lt;=cc_D,0.0035*($C56-P$18)/$C56,0.002*($C56-P$18)/($C56-3*cc_D/7))/0.002)))^2)</f>
        <v/>
      </c>
      <c r="AO56">
        <f>MAX(-fyd_cc,MIN(fyd_cc,Es_cc*IF($C56&lt;=cc_D,0.0035*($C56-Q$18)/$C56,0.002*($C56-Q$18)/($C56-3*cc_D/7))))-fcd_cc*(1-(1-MAX(0,MIN(1,IF($C56&lt;=cc_D,0.0035*($C56-Q$18)/$C56,0.002*($C56-Q$18)/($C56-3*cc_D/7))/0.002)))^2)</f>
        <v/>
      </c>
      <c r="AP56">
        <f>MAX(-fyd_cc,MIN(fyd_cc,Es_cc*IF($C56&lt;=cc_D,0.0035*($C56-R$18)/$C56,0.002*($C56-R$18)/($C56-3*cc_D/7))))-fcd_cc*(1-(1-MAX(0,MIN(1,IF($C56&lt;=cc_D,0.0035*($C56-R$18)/$C56,0.002*($C56-R$18)/($C56-3*cc_D/7))/0.002)))^2)</f>
        <v/>
      </c>
      <c r="AQ56">
        <f>MAX(-fyd_cc,MIN(fyd_cc,Es_cc*IF($C56&lt;=cc_D,0.0035*($C56-S$18)/$C56,0.002*($C56-S$18)/($C56-3*cc_D/7))))-fcd_cc*(1-(1-MAX(0,MIN(1,IF($C56&lt;=cc_D,0.0035*($C56-S$18)/$C56,0.002*($C56-S$18)/($C56-3*cc_D/7))/0.002)))^2)</f>
        <v/>
      </c>
      <c r="AR56">
        <f>MAX(-fyd_cc,MIN(fyd_cc,Es_cc*IF($C56&lt;=cc_D,0.0035*($C56-T$18)/$C56,0.002*($C56-T$18)/($C56-3*cc_D/7))))-fcd_cc*(1-(1-MAX(0,MIN(1,IF($C56&lt;=cc_D,0.0035*($C56-T$18)/$C56,0.002*($C56-T$18)/($C56-3*cc_D/7))/0.002)))^2)</f>
        <v/>
      </c>
      <c r="AS56">
        <f>MAX(-fyd_cc,MIN(fyd_cc,Es_cc*IF($C56&lt;=cc_D,0.0035*($C56-U$18)/$C56,0.002*($C56-U$18)/($C56-3*cc_D/7))))-fcd_cc*(1-(1-MAX(0,MIN(1,IF($C56&lt;=cc_D,0.0035*($C56-U$18)/$C56,0.002*($C56-U$18)/($C56-3*cc_D/7))/0.002)))^2)</f>
        <v/>
      </c>
      <c r="AT56">
        <f>MAX(-fyd_cc,MIN(fyd_cc,Es_cc*IF($C56&lt;=cc_D,0.0035*($C56-V$18)/$C56,0.002*($C56-V$18)/($C56-3*cc_D/7))))-fcd_cc*(1-(1-MAX(0,MIN(1,IF($C56&lt;=cc_D,0.0035*($C56-V$18)/$C56,0.002*($C56-V$18)/($C56-3*cc_D/7))/0.002)))^2)</f>
        <v/>
      </c>
      <c r="AU56">
        <f>MAX(-fyd_cc,MIN(fyd_cc,Es_cc*IF($C56&lt;=cc_D,0.0035*($C56-W$18)/$C56,0.002*($C56-W$18)/($C56-3*cc_D/7))))-fcd_cc*(1-(1-MAX(0,MIN(1,IF($C56&lt;=cc_D,0.0035*($C56-W$18)/$C56,0.002*($C56-W$18)/($C56-3*cc_D/7))/0.002)))^2)</f>
        <v/>
      </c>
      <c r="AV56">
        <f>MAX(-fyd_cc,MIN(fyd_cc,Es_cc*IF($C56&lt;=cc_D,0.0035*($C56-X$18)/$C56,0.002*($C56-X$18)/($C56-3*cc_D/7))))-fcd_cc*(1-(1-MAX(0,MIN(1,IF($C56&lt;=cc_D,0.0035*($C56-X$18)/$C56,0.002*($C56-X$18)/($C56-3*cc_D/7))/0.002)))^2)</f>
        <v/>
      </c>
      <c r="AW56">
        <f>MAX(-fyd_cc,MIN(fyd_cc,Es_cc*IF($C56&lt;=cc_D,0.0035*($C56-Y$18)/$C56,0.002*($C56-Y$18)/($C56-3*cc_D/7))))-fcd_cc*(1-(1-MAX(0,MIN(1,IF($C56&lt;=cc_D,0.0035*($C56-Y$18)/$C56,0.002*($C56-Y$18)/($C56-3*cc_D/7))/0.002)))^2)</f>
        <v/>
      </c>
      <c r="AX56">
        <f>MAX(-fyd_cc,MIN(fyd_cc,Es_cc*IF($C56&lt;=cc_D,0.0035*($C56-Z$18)/$C56,0.002*($C56-Z$18)/($C56-3*cc_D/7))))-fcd_cc*(1-(1-MAX(0,MIN(1,IF($C56&lt;=cc_D,0.0035*($C56-Z$18)/$C56,0.002*($C56-Z$18)/($C56-3*cc_D/7))/0.002)))^2)</f>
        <v/>
      </c>
      <c r="AY56">
        <f>MAX(-fyd_cc,MIN(fyd_cc,Es_cc*IF($C56&lt;=cc_D,0.0035*($C56-AA$18)/$C56,0.002*($C56-AA$18)/($C56-3*cc_D/7))))-fcd_cc*(1-(1-MAX(0,MIN(1,IF($C56&lt;=cc_D,0.0035*($C56-AA$18)/$C56,0.002*($C56-AA$18)/($C56-3*cc_D/7))/0.002)))^2)</f>
        <v/>
      </c>
      <c r="AZ56">
        <f>MAX(-fyd_cc,MIN(fyd_cc,Es_cc*IF($C56&lt;=cc_D,0.0035*($C56-AB$18)/$C56,0.002*($C56-AB$18)/($C56-3*cc_D/7))))-fcd_cc*(1-(1-MAX(0,MIN(1,IF($C56&lt;=cc_D,0.0035*($C56-AB$18)/$C56,0.002*($C56-AB$18)/($C56-3*cc_D/7))/0.002)))^2)</f>
        <v/>
      </c>
      <c r="BA56">
        <f>MAX(-fyd_cc,MIN(fyd_cc,Es_cc*IF($C56&lt;=cc_D,0.0035*($C56-AC$18)/$C56,0.002*($C56-AC$18)/($C56-3*cc_D/7))))-fcd_cc*(1-(1-MAX(0,MIN(1,IF($C56&lt;=cc_D,0.0035*($C56-AC$18)/$C56,0.002*($C56-AC$18)/($C56-3*cc_D/7))/0.002)))^2)</f>
        <v/>
      </c>
      <c r="BB56">
        <f>MAX(-fyd_cc,MIN(fyd_cc,Es_cc*IF($C56&lt;=cc_D,0.0035*($C56-AD$18)/$C56,0.002*($C56-AD$18)/($C56-3*cc_D/7))))-fcd_cc*(1-(1-MAX(0,MIN(1,IF($C56&lt;=cc_D,0.0035*($C56-AD$18)/$C56,0.002*($C56-AD$18)/($C56-3*cc_D/7))/0.002)))^2)</f>
        <v/>
      </c>
      <c r="BC56">
        <f>MAX(-fyd_cc,MIN(fyd_cc,Es_cc*IF($C56&lt;=cc_D,0.0035*($C56-AE$18)/$C56,0.002*($C56-AE$18)/($C56-3*cc_D/7))))-fcd_cc*(1-(1-MAX(0,MIN(1,IF($C56&lt;=cc_D,0.0035*($C56-AE$18)/$C56,0.002*($C56-AE$18)/($C56-3*cc_D/7))/0.002)))^2)</f>
        <v/>
      </c>
      <c r="BD56">
        <f>MAX(-fyd_cc,MIN(fyd_cc,Es_cc*IF($C56&lt;=cc_D,0.0035*($C56-AF$18)/$C56,0.002*($C56-AF$18)/($C56-3*cc_D/7))))-fcd_cc*(1-(1-MAX(0,MIN(1,IF($C56&lt;=cc_D,0.0035*($C56-AF$18)/$C56,0.002*($C56-AF$18)/($C56-3*cc_D/7))/0.002)))^2)</f>
        <v/>
      </c>
      <c r="BE56">
        <f>MAX(-fyd_cc,MIN(fyd_cc,Es_cc*IF($C56&lt;=cc_D,0.0035*($C56-AG$18)/$C56,0.002*($C56-AG$18)/($C56-3*cc_D/7))))-fcd_cc*(1-(1-MAX(0,MIN(1,IF($C56&lt;=cc_D,0.0035*($C56-AG$18)/$C56,0.002*($C56-AG$18)/($C56-3*cc_D/7))/0.002)))^2)</f>
        <v/>
      </c>
      <c r="BF56">
        <f>3*MIN($C56,cc_D)/7</f>
        <v/>
      </c>
      <c r="BG56">
        <f>$C56-$BF56</f>
        <v/>
      </c>
      <c r="BH56">
        <f>ACOS(MAX(-1,MIN(1,1-$BF56/(cc_D/2))))</f>
        <v/>
      </c>
      <c r="BI56">
        <f>ACOS(MAX(-1,MIN(1,1-MIN($C56,cc_D)/(cc_D/2))))</f>
        <v/>
      </c>
      <c r="BJ56">
        <f>((cc_D/2*(1-COS(($BH56+0*($BI56-$BH56)/12)))-$BF56)/$BG56)^2*SIN(($BH56+0*($BI56-$BH56)/12))^2</f>
        <v/>
      </c>
      <c r="BK56">
        <f>((cc_D/2*(1-COS(($BH56+1*($BI56-$BH56)/12)))-$BF56)/$BG56)^2*SIN(($BH56+1*($BI56-$BH56)/12))^2</f>
        <v/>
      </c>
      <c r="BL56">
        <f>((cc_D/2*(1-COS(($BH56+2*($BI56-$BH56)/12)))-$BF56)/$BG56)^2*SIN(($BH56+2*($BI56-$BH56)/12))^2</f>
        <v/>
      </c>
      <c r="BM56">
        <f>((cc_D/2*(1-COS(($BH56+3*($BI56-$BH56)/12)))-$BF56)/$BG56)^2*SIN(($BH56+3*($BI56-$BH56)/12))^2</f>
        <v/>
      </c>
      <c r="BN56">
        <f>((cc_D/2*(1-COS(($BH56+4*($BI56-$BH56)/12)))-$BF56)/$BG56)^2*SIN(($BH56+4*($BI56-$BH56)/12))^2</f>
        <v/>
      </c>
      <c r="BO56">
        <f>((cc_D/2*(1-COS(($BH56+5*($BI56-$BH56)/12)))-$BF56)/$BG56)^2*SIN(($BH56+5*($BI56-$BH56)/12))^2</f>
        <v/>
      </c>
      <c r="BP56">
        <f>((cc_D/2*(1-COS(($BH56+6*($BI56-$BH56)/12)))-$BF56)/$BG56)^2*SIN(($BH56+6*($BI56-$BH56)/12))^2</f>
        <v/>
      </c>
      <c r="BQ56">
        <f>((cc_D/2*(1-COS(($BH56+7*($BI56-$BH56)/12)))-$BF56)/$BG56)^2*SIN(($BH56+7*($BI56-$BH56)/12))^2</f>
        <v/>
      </c>
      <c r="BR56">
        <f>((cc_D/2*(1-COS(($BH56+8*($BI56-$BH56)/12)))-$BF56)/$BG56)^2*SIN(($BH56+8*($BI56-$BH56)/12))^2</f>
        <v/>
      </c>
      <c r="BS56">
        <f>((cc_D/2*(1-COS(($BH56+9*($BI56-$BH56)/12)))-$BF56)/$BG56)^2*SIN(($BH56+9*($BI56-$BH56)/12))^2</f>
        <v/>
      </c>
      <c r="BT56">
        <f>((cc_D/2*(1-COS(($BH56+10*($BI56-$BH56)/12)))-$BF56)/$BG56)^2*SIN(($BH56+10*($BI56-$BH56)/12))^2</f>
        <v/>
      </c>
      <c r="BU56">
        <f>((cc_D/2*(1-COS(($BH56+11*($BI56-$BH56)/12)))-$BF56)/$BG56)^2*SIN(($BH56+11*($BI56-$BH56)/12))^2</f>
        <v/>
      </c>
      <c r="BV56">
        <f>((cc_D/2*(1-COS(($BH56+12*($BI56-$BH56)/12)))-$BF56)/$BG56)^2*SIN(($BH56+12*($BI56-$BH56)/12))^2</f>
        <v/>
      </c>
      <c r="BW56">
        <f>BJ56*COS(($BH56+0*($BI56-$BH56)/12))</f>
        <v/>
      </c>
      <c r="BX56">
        <f>BK56*COS(($BH56+1*($BI56-$BH56)/12))</f>
        <v/>
      </c>
      <c r="BY56">
        <f>BL56*COS(($BH56+2*($BI56-$BH56)/12))</f>
        <v/>
      </c>
      <c r="BZ56">
        <f>BM56*COS(($BH56+3*($BI56-$BH56)/12))</f>
        <v/>
      </c>
      <c r="CA56">
        <f>BN56*COS(($BH56+4*($BI56-$BH56)/12))</f>
        <v/>
      </c>
      <c r="CB56">
        <f>BO56*COS(($BH56+5*($BI56-$BH56)/12))</f>
        <v/>
      </c>
      <c r="CC56">
        <f>BP56*COS(($BH56+6*($BI56-$BH56)/12))</f>
        <v/>
      </c>
      <c r="CD56">
        <f>BQ56*COS(($BH56+7*($BI56-$BH56)/12))</f>
        <v/>
      </c>
      <c r="CE56">
        <f>BR56*COS(($BH56+8*($BI56-$BH56)/12))</f>
        <v/>
      </c>
      <c r="CF56">
        <f>BS56*COS(($BH56+9*($BI56-$BH56)/12))</f>
        <v/>
      </c>
      <c r="CG56">
        <f>BT56*COS(($BH56+10*($BI56-$BH56)/12))</f>
        <v/>
      </c>
      <c r="CH56">
        <f>BU56*COS(($BH56+11*($BI56-$BH56)/12))</f>
        <v/>
      </c>
      <c r="CI56">
        <f>BV56*COS(($BH56+12*($BI56-$BH56)/12))</f>
        <v/>
      </c>
    </row>
    <row r="57">
      <c r="B57" s="53" t="n">
        <v>32</v>
      </c>
      <c r="C57" s="54">
        <f>2*cc_D</f>
        <v/>
      </c>
      <c r="D57" s="55">
        <f>IF($C57&lt;=cc_D,3.5,2*$C57/($C57-3*cc_D/7))</f>
        <v/>
      </c>
      <c r="E57" s="56">
        <f>(fcd_cc*((cc_D/2)^2*($BI57-COS($BI57)*SIN($BI57))-2*(cc_D/2)^2*($BI57-$BH57)/12/3*SUMPRODUCT($BJ$4:$BV$4,$BJ57:$BV57))+SUMPRODUCT($J$5:$AG$5,$J57:$AG57))/1000</f>
        <v/>
      </c>
      <c r="F57" s="56">
        <f>(fcd_cc*(2/3*(cc_D/2)^3*SIN($BI57)^3-2*(cc_D/2)^3*($BI57-$BH57)/12/3*SUMPRODUCT($BW$4:$CI$4,$BW57:$CI57))+SUMPRODUCT($J$5:$AG$5,$J57:$AG57,$J$7:$AG$7))/1E6</f>
        <v/>
      </c>
      <c r="G57" s="56">
        <f>(fcd_cc*((cc_D/2)^2*($BI57-COS($BI57)*SIN($BI57))-2*(cc_D/2)^2*($BI57-$BH57)/12/3*SUMPRODUCT($BJ$4:$BV$4,$BJ57:$BV57))+SUMPRODUCT($J$5:$AG$5,$AH57:$BE57))/1000</f>
        <v/>
      </c>
      <c r="H57" s="56">
        <f>(fcd_cc*(2/3*(cc_D/2)^3*SIN($BI57)^3-2*(cc_D/2)^3*($BI57-$BH57)/12/3*SUMPRODUCT($BW$4:$CI$4,$BW57:$CI57))+SUMPRODUCT($J$5:$AG$5,$AH57:$BE57,$J$19:$AG$19))/1E6</f>
        <v/>
      </c>
      <c r="J57">
        <f>MAX(-fyd_cc,MIN(fyd_cc,Es_cc*IF($C57&lt;=cc_D,0.0035*($C57-J$6)/$C57,0.002*($C57-J$6)/($C57-3*cc_D/7))))-fcd_cc*(1-(1-MAX(0,MIN(1,IF($C57&lt;=cc_D,0.0035*($C57-J$6)/$C57,0.002*($C57-J$6)/($C57-3*cc_D/7))/0.002)))^2)</f>
        <v/>
      </c>
      <c r="K57">
        <f>MAX(-fyd_cc,MIN(fyd_cc,Es_cc*IF($C57&lt;=cc_D,0.0035*($C57-K$6)/$C57,0.002*($C57-K$6)/($C57-3*cc_D/7))))-fcd_cc*(1-(1-MAX(0,MIN(1,IF($C57&lt;=cc_D,0.0035*($C57-K$6)/$C57,0.002*($C57-K$6)/($C57-3*cc_D/7))/0.002)))^2)</f>
        <v/>
      </c>
      <c r="L57">
        <f>MAX(-fyd_cc,MIN(fyd_cc,Es_cc*IF($C57&lt;=cc_D,0.0035*($C57-L$6)/$C57,0.002*($C57-L$6)/($C57-3*cc_D/7))))-fcd_cc*(1-(1-MAX(0,MIN(1,IF($C57&lt;=cc_D,0.0035*($C57-L$6)/$C57,0.002*($C57-L$6)/($C57-3*cc_D/7))/0.002)))^2)</f>
        <v/>
      </c>
      <c r="M57">
        <f>MAX(-fyd_cc,MIN(fyd_cc,Es_cc*IF($C57&lt;=cc_D,0.0035*($C57-M$6)/$C57,0.002*($C57-M$6)/($C57-3*cc_D/7))))-fcd_cc*(1-(1-MAX(0,MIN(1,IF($C57&lt;=cc_D,0.0035*($C57-M$6)/$C57,0.002*($C57-M$6)/($C57-3*cc_D/7))/0.002)))^2)</f>
        <v/>
      </c>
      <c r="N57">
        <f>MAX(-fyd_cc,MIN(fyd_cc,Es_cc*IF($C57&lt;=cc_D,0.0035*($C57-N$6)/$C57,0.002*($C57-N$6)/($C57-3*cc_D/7))))-fcd_cc*(1-(1-MAX(0,MIN(1,IF($C57&lt;=cc_D,0.0035*($C57-N$6)/$C57,0.002*($C57-N$6)/($C57-3*cc_D/7))/0.002)))^2)</f>
        <v/>
      </c>
      <c r="O57">
        <f>MAX(-fyd_cc,MIN(fyd_cc,Es_cc*IF($C57&lt;=cc_D,0.0035*($C57-O$6)/$C57,0.002*($C57-O$6)/($C57-3*cc_D/7))))-fcd_cc*(1-(1-MAX(0,MIN(1,IF($C57&lt;=cc_D,0.0035*($C57-O$6)/$C57,0.002*($C57-O$6)/($C57-3*cc_D/7))/0.002)))^2)</f>
        <v/>
      </c>
      <c r="P57">
        <f>MAX(-fyd_cc,MIN(fyd_cc,Es_cc*IF($C57&lt;=cc_D,0.0035*($C57-P$6)/$C57,0.002*($C57-P$6)/($C57-3*cc_D/7))))-fcd_cc*(1-(1-MAX(0,MIN(1,IF($C57&lt;=cc_D,0.0035*($C57-P$6)/$C57,0.002*($C57-P$6)/($C57-3*cc_D/7))/0.002)))^2)</f>
        <v/>
      </c>
      <c r="Q57">
        <f>MAX(-fyd_cc,MIN(fyd_cc,Es_cc*IF($C57&lt;=cc_D,0.0035*($C57-Q$6)/$C57,0.002*($C57-Q$6)/($C57-3*cc_D/7))))-fcd_cc*(1-(1-MAX(0,MIN(1,IF($C57&lt;=cc_D,0.0035*($C57-Q$6)/$C57,0.002*($C57-Q$6)/($C57-3*cc_D/7))/0.002)))^2)</f>
        <v/>
      </c>
      <c r="R57">
        <f>MAX(-fyd_cc,MIN(fyd_cc,Es_cc*IF($C57&lt;=cc_D,0.0035*($C57-R$6)/$C57,0.002*($C57-R$6)/($C57-3*cc_D/7))))-fcd_cc*(1-(1-MAX(0,MIN(1,IF($C57&lt;=cc_D,0.0035*($C57-R$6)/$C57,0.002*($C57-R$6)/($C57-3*cc_D/7))/0.002)))^2)</f>
        <v/>
      </c>
      <c r="S57">
        <f>MAX(-fyd_cc,MIN(fyd_cc,Es_cc*IF($C57&lt;=cc_D,0.0035*($C57-S$6)/$C57,0.002*($C57-S$6)/($C57-3*cc_D/7))))-fcd_cc*(1-(1-MAX(0,MIN(1,IF($C57&lt;=cc_D,0.0035*($C57-S$6)/$C57,0.002*($C57-S$6)/($C57-3*cc_D/7))/0.002)))^2)</f>
        <v/>
      </c>
      <c r="T57">
        <f>MAX(-fyd_cc,MIN(fyd_cc,Es_cc*IF($C57&lt;=cc_D,0.0035*($C57-T$6)/$C57,0.002*($C57-T$6)/($C57-3*cc_D/7))))-fcd_cc*(1-(1-MAX(0,MIN(1,IF($C57&lt;=cc_D,0.0035*($C57-T$6)/$C57,0.002*($C57-T$6)/($C57-3*cc_D/7))/0.002)))^2)</f>
        <v/>
      </c>
      <c r="U57">
        <f>MAX(-fyd_cc,MIN(fyd_cc,Es_cc*IF($C57&lt;=cc_D,0.0035*($C57-U$6)/$C57,0.002*($C57-U$6)/($C57-3*cc_D/7))))-fcd_cc*(1-(1-MAX(0,MIN(1,IF($C57&lt;=cc_D,0.0035*($C57-U$6)/$C57,0.002*($C57-U$6)/($C57-3*cc_D/7))/0.002)))^2)</f>
        <v/>
      </c>
      <c r="V57">
        <f>MAX(-fyd_cc,MIN(fyd_cc,Es_cc*IF($C57&lt;=cc_D,0.0035*($C57-V$6)/$C57,0.002*($C57-V$6)/($C57-3*cc_D/7))))-fcd_cc*(1-(1-MAX(0,MIN(1,IF($C57&lt;=cc_D,0.0035*($C57-V$6)/$C57,0.002*($C57-V$6)/($C57-3*cc_D/7))/0.002)))^2)</f>
        <v/>
      </c>
      <c r="W57">
        <f>MAX(-fyd_cc,MIN(fyd_cc,Es_cc*IF($C57&lt;=cc_D,0.0035*($C57-W$6)/$C57,0.002*($C57-W$6)/($C57-3*cc_D/7))))-fcd_cc*(1-(1-MAX(0,MIN(1,IF($C57&lt;=cc_D,0.0035*($C57-W$6)/$C57,0.002*($C57-W$6)/($C57-3*cc_D/7))/0.002)))^2)</f>
        <v/>
      </c>
      <c r="X57">
        <f>MAX(-fyd_cc,MIN(fyd_cc,Es_cc*IF($C57&lt;=cc_D,0.0035*($C57-X$6)/$C57,0.002*($C57-X$6)/($C57-3*cc_D/7))))-fcd_cc*(1-(1-MAX(0,MIN(1,IF($C57&lt;=cc_D,0.0035*($C57-X$6)/$C57,0.002*($C57-X$6)/($C57-3*cc_D/7))/0.002)))^2)</f>
        <v/>
      </c>
      <c r="Y57">
        <f>MAX(-fyd_cc,MIN(fyd_cc,Es_cc*IF($C57&lt;=cc_D,0.0035*($C57-Y$6)/$C57,0.002*($C57-Y$6)/($C57-3*cc_D/7))))-fcd_cc*(1-(1-MAX(0,MIN(1,IF($C57&lt;=cc_D,0.0035*($C57-Y$6)/$C57,0.002*($C57-Y$6)/($C57-3*cc_D/7))/0.002)))^2)</f>
        <v/>
      </c>
      <c r="Z57">
        <f>MAX(-fyd_cc,MIN(fyd_cc,Es_cc*IF($C57&lt;=cc_D,0.0035*($C57-Z$6)/$C57,0.002*($C57-Z$6)/($C57-3*cc_D/7))))-fcd_cc*(1-(1-MAX(0,MIN(1,IF($C57&lt;=cc_D,0.0035*($C57-Z$6)/$C57,0.002*($C57-Z$6)/($C57-3*cc_D/7))/0.002)))^2)</f>
        <v/>
      </c>
      <c r="AA57">
        <f>MAX(-fyd_cc,MIN(fyd_cc,Es_cc*IF($C57&lt;=cc_D,0.0035*($C57-AA$6)/$C57,0.002*($C57-AA$6)/($C57-3*cc_D/7))))-fcd_cc*(1-(1-MAX(0,MIN(1,IF($C57&lt;=cc_D,0.0035*($C57-AA$6)/$C57,0.002*($C57-AA$6)/($C57-3*cc_D/7))/0.002)))^2)</f>
        <v/>
      </c>
      <c r="AB57">
        <f>MAX(-fyd_cc,MIN(fyd_cc,Es_cc*IF($C57&lt;=cc_D,0.0035*($C57-AB$6)/$C57,0.002*($C57-AB$6)/($C57-3*cc_D/7))))-fcd_cc*(1-(1-MAX(0,MIN(1,IF($C57&lt;=cc_D,0.0035*($C57-AB$6)/$C57,0.002*($C57-AB$6)/($C57-3*cc_D/7))/0.002)))^2)</f>
        <v/>
      </c>
      <c r="AC57">
        <f>MAX(-fyd_cc,MIN(fyd_cc,Es_cc*IF($C57&lt;=cc_D,0.0035*($C57-AC$6)/$C57,0.002*($C57-AC$6)/($C57-3*cc_D/7))))-fcd_cc*(1-(1-MAX(0,MIN(1,IF($C57&lt;=cc_D,0.0035*($C57-AC$6)/$C57,0.002*($C57-AC$6)/($C57-3*cc_D/7))/0.002)))^2)</f>
        <v/>
      </c>
      <c r="AD57">
        <f>MAX(-fyd_cc,MIN(fyd_cc,Es_cc*IF($C57&lt;=cc_D,0.0035*($C57-AD$6)/$C57,0.002*($C57-AD$6)/($C57-3*cc_D/7))))-fcd_cc*(1-(1-MAX(0,MIN(1,IF($C57&lt;=cc_D,0.0035*($C57-AD$6)/$C57,0.002*($C57-AD$6)/($C57-3*cc_D/7))/0.002)))^2)</f>
        <v/>
      </c>
      <c r="AE57">
        <f>MAX(-fyd_cc,MIN(fyd_cc,Es_cc*IF($C57&lt;=cc_D,0.0035*($C57-AE$6)/$C57,0.002*($C57-AE$6)/($C57-3*cc_D/7))))-fcd_cc*(1-(1-MAX(0,MIN(1,IF($C57&lt;=cc_D,0.0035*($C57-AE$6)/$C57,0.002*($C57-AE$6)/($C57-3*cc_D/7))/0.002)))^2)</f>
        <v/>
      </c>
      <c r="AF57">
        <f>MAX(-fyd_cc,MIN(fyd_cc,Es_cc*IF($C57&lt;=cc_D,0.0035*($C57-AF$6)/$C57,0.002*($C57-AF$6)/($C57-3*cc_D/7))))-fcd_cc*(1-(1-MAX(0,MIN(1,IF($C57&lt;=cc_D,0.0035*($C57-AF$6)/$C57,0.002*($C57-AF$6)/($C57-3*cc_D/7))/0.002)))^2)</f>
        <v/>
      </c>
      <c r="AG57">
        <f>MAX(-fyd_cc,MIN(fyd_cc,Es_cc*IF($C57&lt;=cc_D,0.0035*($C57-AG$6)/$C57,0.002*($C57-AG$6)/($C57-3*cc_D/7))))-fcd_cc*(1-(1-MAX(0,MIN(1,IF($C57&lt;=cc_D,0.0035*($C57-AG$6)/$C57,0.002*($C57-AG$6)/($C57-3*cc_D/7))/0.002)))^2)</f>
        <v/>
      </c>
      <c r="AH57">
        <f>MAX(-fyd_cc,MIN(fyd_cc,Es_cc*IF($C57&lt;=cc_D,0.0035*($C57-J$18)/$C57,0.002*($C57-J$18)/($C57-3*cc_D/7))))-fcd_cc*(1-(1-MAX(0,MIN(1,IF($C57&lt;=cc_D,0.0035*($C57-J$18)/$C57,0.002*($C57-J$18)/($C57-3*cc_D/7))/0.002)))^2)</f>
        <v/>
      </c>
      <c r="AI57">
        <f>MAX(-fyd_cc,MIN(fyd_cc,Es_cc*IF($C57&lt;=cc_D,0.0035*($C57-K$18)/$C57,0.002*($C57-K$18)/($C57-3*cc_D/7))))-fcd_cc*(1-(1-MAX(0,MIN(1,IF($C57&lt;=cc_D,0.0035*($C57-K$18)/$C57,0.002*($C57-K$18)/($C57-3*cc_D/7))/0.002)))^2)</f>
        <v/>
      </c>
      <c r="AJ57">
        <f>MAX(-fyd_cc,MIN(fyd_cc,Es_cc*IF($C57&lt;=cc_D,0.0035*($C57-L$18)/$C57,0.002*($C57-L$18)/($C57-3*cc_D/7))))-fcd_cc*(1-(1-MAX(0,MIN(1,IF($C57&lt;=cc_D,0.0035*($C57-L$18)/$C57,0.002*($C57-L$18)/($C57-3*cc_D/7))/0.002)))^2)</f>
        <v/>
      </c>
      <c r="AK57">
        <f>MAX(-fyd_cc,MIN(fyd_cc,Es_cc*IF($C57&lt;=cc_D,0.0035*($C57-M$18)/$C57,0.002*($C57-M$18)/($C57-3*cc_D/7))))-fcd_cc*(1-(1-MAX(0,MIN(1,IF($C57&lt;=cc_D,0.0035*($C57-M$18)/$C57,0.002*($C57-M$18)/($C57-3*cc_D/7))/0.002)))^2)</f>
        <v/>
      </c>
      <c r="AL57">
        <f>MAX(-fyd_cc,MIN(fyd_cc,Es_cc*IF($C57&lt;=cc_D,0.0035*($C57-N$18)/$C57,0.002*($C57-N$18)/($C57-3*cc_D/7))))-fcd_cc*(1-(1-MAX(0,MIN(1,IF($C57&lt;=cc_D,0.0035*($C57-N$18)/$C57,0.002*($C57-N$18)/($C57-3*cc_D/7))/0.002)))^2)</f>
        <v/>
      </c>
      <c r="AM57">
        <f>MAX(-fyd_cc,MIN(fyd_cc,Es_cc*IF($C57&lt;=cc_D,0.0035*($C57-O$18)/$C57,0.002*($C57-O$18)/($C57-3*cc_D/7))))-fcd_cc*(1-(1-MAX(0,MIN(1,IF($C57&lt;=cc_D,0.0035*($C57-O$18)/$C57,0.002*($C57-O$18)/($C57-3*cc_D/7))/0.002)))^2)</f>
        <v/>
      </c>
      <c r="AN57">
        <f>MAX(-fyd_cc,MIN(fyd_cc,Es_cc*IF($C57&lt;=cc_D,0.0035*($C57-P$18)/$C57,0.002*($C57-P$18)/($C57-3*cc_D/7))))-fcd_cc*(1-(1-MAX(0,MIN(1,IF($C57&lt;=cc_D,0.0035*($C57-P$18)/$C57,0.002*($C57-P$18)/($C57-3*cc_D/7))/0.002)))^2)</f>
        <v/>
      </c>
      <c r="AO57">
        <f>MAX(-fyd_cc,MIN(fyd_cc,Es_cc*IF($C57&lt;=cc_D,0.0035*($C57-Q$18)/$C57,0.002*($C57-Q$18)/($C57-3*cc_D/7))))-fcd_cc*(1-(1-MAX(0,MIN(1,IF($C57&lt;=cc_D,0.0035*($C57-Q$18)/$C57,0.002*($C57-Q$18)/($C57-3*cc_D/7))/0.002)))^2)</f>
        <v/>
      </c>
      <c r="AP57">
        <f>MAX(-fyd_cc,MIN(fyd_cc,Es_cc*IF($C57&lt;=cc_D,0.0035*($C57-R$18)/$C57,0.002*($C57-R$18)/($C57-3*cc_D/7))))-fcd_cc*(1-(1-MAX(0,MIN(1,IF($C57&lt;=cc_D,0.0035*($C57-R$18)/$C57,0.002*($C57-R$18)/($C57-3*cc_D/7))/0.002)))^2)</f>
        <v/>
      </c>
      <c r="AQ57">
        <f>MAX(-fyd_cc,MIN(fyd_cc,Es_cc*IF($C57&lt;=cc_D,0.0035*($C57-S$18)/$C57,0.002*($C57-S$18)/($C57-3*cc_D/7))))-fcd_cc*(1-(1-MAX(0,MIN(1,IF($C57&lt;=cc_D,0.0035*($C57-S$18)/$C57,0.002*($C57-S$18)/($C57-3*cc_D/7))/0.002)))^2)</f>
        <v/>
      </c>
      <c r="AR57">
        <f>MAX(-fyd_cc,MIN(fyd_cc,Es_cc*IF($C57&lt;=cc_D,0.0035*($C57-T$18)/$C57,0.002*($C57-T$18)/($C57-3*cc_D/7))))-fcd_cc*(1-(1-MAX(0,MIN(1,IF($C57&lt;=cc_D,0.0035*($C57-T$18)/$C57,0.002*($C57-T$18)/($C57-3*cc_D/7))/0.002)))^2)</f>
        <v/>
      </c>
      <c r="AS57">
        <f>MAX(-fyd_cc,MIN(fyd_cc,Es_cc*IF($C57&lt;=cc_D,0.0035*($C57-U$18)/$C57,0.002*($C57-U$18)/($C57-3*cc_D/7))))-fcd_cc*(1-(1-MAX(0,MIN(1,IF($C57&lt;=cc_D,0.0035*($C57-U$18)/$C57,0.002*($C57-U$18)/($C57-3*cc_D/7))/0.002)))^2)</f>
        <v/>
      </c>
      <c r="AT57">
        <f>MAX(-fyd_cc,MIN(fyd_cc,Es_cc*IF($C57&lt;=cc_D,0.0035*($C57-V$18)/$C57,0.002*($C57-V$18)/($C57-3*cc_D/7))))-fcd_cc*(1-(1-MAX(0,MIN(1,IF($C57&lt;=cc_D,0.0035*($C57-V$18)/$C57,0.002*($C57-V$18)/($C57-3*cc_D/7))/0.002)))^2)</f>
        <v/>
      </c>
      <c r="AU57">
        <f>MAX(-fyd_cc,MIN(fyd_cc,Es_cc*IF($C57&lt;=cc_D,0.0035*($C57-W$18)/$C57,0.002*($C57-W$18)/($C57-3*cc_D/7))))-fcd_cc*(1-(1-MAX(0,MIN(1,IF($C57&lt;=cc_D,0.0035*($C57-W$18)/$C57,0.002*($C57-W$18)/($C57-3*cc_D/7))/0.002)))^2)</f>
        <v/>
      </c>
      <c r="AV57">
        <f>MAX(-fyd_cc,MIN(fyd_cc,Es_cc*IF($C57&lt;=cc_D,0.0035*($C57-X$18)/$C57,0.002*($C57-X$18)/($C57-3*cc_D/7))))-fcd_cc*(1-(1-MAX(0,MIN(1,IF($C57&lt;=cc_D,0.0035*($C57-X$18)/$C57,0.002*($C57-X$18)/($C57-3*cc_D/7))/0.002)))^2)</f>
        <v/>
      </c>
      <c r="AW57">
        <f>MAX(-fyd_cc,MIN(fyd_cc,Es_cc*IF($C57&lt;=cc_D,0.0035*($C57-Y$18)/$C57,0.002*($C57-Y$18)/($C57-3*cc_D/7))))-fcd_cc*(1-(1-MAX(0,MIN(1,IF($C57&lt;=cc_D,0.0035*($C57-Y$18)/$C57,0.002*($C57-Y$18)/($C57-3*cc_D/7))/0.002)))^2)</f>
        <v/>
      </c>
      <c r="AX57">
        <f>MAX(-fyd_cc,MIN(fyd_cc,Es_cc*IF($C57&lt;=cc_D,0.0035*($C57-Z$18)/$C57,0.002*($C57-Z$18)/($C57-3*cc_D/7))))-fcd_cc*(1-(1-MAX(0,MIN(1,IF($C57&lt;=cc_D,0.0035*($C57-Z$18)/$C57,0.002*($C57-Z$18)/($C57-3*cc_D/7))/0.002)))^2)</f>
        <v/>
      </c>
      <c r="AY57">
        <f>MAX(-fyd_cc,MIN(fyd_cc,Es_cc*IF($C57&lt;=cc_D,0.0035*($C57-AA$18)/$C57,0.002*($C57-AA$18)/($C57-3*cc_D/7))))-fcd_cc*(1-(1-MAX(0,MIN(1,IF($C57&lt;=cc_D,0.0035*($C57-AA$18)/$C57,0.002*($C57-AA$18)/($C57-3*cc_D/7))/0.002)))^2)</f>
        <v/>
      </c>
      <c r="AZ57">
        <f>MAX(-fyd_cc,MIN(fyd_cc,Es_cc*IF($C57&lt;=cc_D,0.0035*($C57-AB$18)/$C57,0.002*($C57-AB$18)/($C57-3*cc_D/7))))-fcd_cc*(1-(1-MAX(0,MIN(1,IF($C57&lt;=cc_D,0.0035*($C57-AB$18)/$C57,0.002*($C57-AB$18)/($C57-3*cc_D/7))/0.002)))^2)</f>
        <v/>
      </c>
      <c r="BA57">
        <f>MAX(-fyd_cc,MIN(fyd_cc,Es_cc*IF($C57&lt;=cc_D,0.0035*($C57-AC$18)/$C57,0.002*($C57-AC$18)/($C57-3*cc_D/7))))-fcd_cc*(1-(1-MAX(0,MIN(1,IF($C57&lt;=cc_D,0.0035*($C57-AC$18)/$C57,0.002*($C57-AC$18)/($C57-3*cc_D/7))/0.002)))^2)</f>
        <v/>
      </c>
      <c r="BB57">
        <f>MAX(-fyd_cc,MIN(fyd_cc,Es_cc*IF($C57&lt;=cc_D,0.0035*($C57-AD$18)/$C57,0.002*($C57-AD$18)/($C57-3*cc_D/7))))-fcd_cc*(1-(1-MAX(0,MIN(1,IF($C57&lt;=cc_D,0.0035*($C57-AD$18)/$C57,0.002*($C57-AD$18)/($C57-3*cc_D/7))/0.002)))^2)</f>
        <v/>
      </c>
      <c r="BC57">
        <f>MAX(-fyd_cc,MIN(fyd_cc,Es_cc*IF($C57&lt;=cc_D,0.0035*($C57-AE$18)/$C57,0.002*($C57-AE$18)/($C57-3*cc_D/7))))-fcd_cc*(1-(1-MAX(0,MIN(1,IF($C57&lt;=cc_D,0.0035*($C57-AE$18)/$C57,0.002*($C57-AE$18)/($C57-3*cc_D/7))/0.002)))^2)</f>
        <v/>
      </c>
      <c r="BD57">
        <f>MAX(-fyd_cc,MIN(fyd_cc,Es_cc*IF($C57&lt;=cc_D,0.0035*($C57-AF$18)/$C57,0.002*($C57-AF$18)/($C57-3*cc_D/7))))-fcd_cc*(1-(1-MAX(0,MIN(1,IF($C57&lt;=cc_D,0.0035*($C57-AF$18)/$C57,0.002*($C57-AF$18)/($C57-3*cc_D/7))/0.002)))^2)</f>
        <v/>
      </c>
      <c r="BE57">
        <f>MAX(-fyd_cc,MIN(fyd_cc,Es_cc*IF($C57&lt;=cc_D,0.0035*($C57-AG$18)/$C57,0.002*($C57-AG$18)/($C57-3*cc_D/7))))-fcd_cc*(1-(1-MAX(0,MIN(1,IF($C57&lt;=cc_D,0.0035*($C57-AG$18)/$C57,0.002*($C57-AG$18)/($C57-3*cc_D/7))/0.002)))^2)</f>
        <v/>
      </c>
      <c r="BF57">
        <f>3*MIN($C57,cc_D)/7</f>
        <v/>
      </c>
      <c r="BG57">
        <f>$C57-$BF57</f>
        <v/>
      </c>
      <c r="BH57">
        <f>ACOS(MAX(-1,MIN(1,1-$BF57/(cc_D/2))))</f>
        <v/>
      </c>
      <c r="BI57">
        <f>ACOS(MAX(-1,MIN(1,1-MIN($C57,cc_D)/(cc_D/2))))</f>
        <v/>
      </c>
      <c r="BJ57">
        <f>((cc_D/2*(1-COS(($BH57+0*($BI57-$BH57)/12)))-$BF57)/$BG57)^2*SIN(($BH57+0*($BI57-$BH57)/12))^2</f>
        <v/>
      </c>
      <c r="BK57">
        <f>((cc_D/2*(1-COS(($BH57+1*($BI57-$BH57)/12)))-$BF57)/$BG57)^2*SIN(($BH57+1*($BI57-$BH57)/12))^2</f>
        <v/>
      </c>
      <c r="BL57">
        <f>((cc_D/2*(1-COS(($BH57+2*($BI57-$BH57)/12)))-$BF57)/$BG57)^2*SIN(($BH57+2*($BI57-$BH57)/12))^2</f>
        <v/>
      </c>
      <c r="BM57">
        <f>((cc_D/2*(1-COS(($BH57+3*($BI57-$BH57)/12)))-$BF57)/$BG57)^2*SIN(($BH57+3*($BI57-$BH57)/12))^2</f>
        <v/>
      </c>
      <c r="BN57">
        <f>((cc_D/2*(1-COS(($BH57+4*($BI57-$BH57)/12)))-$BF57)/$BG57)^2*SIN(($BH57+4*($BI57-$BH57)/12))^2</f>
        <v/>
      </c>
      <c r="BO57">
        <f>((cc_D/2*(1-COS(($BH57+5*($BI57-$BH57)/12)))-$BF57)/$BG57)^2*SIN(($BH57+5*($BI57-$BH57)/12))^2</f>
        <v/>
      </c>
      <c r="BP57">
        <f>((cc_D/2*(1-COS(($BH57+6*($BI57-$BH57)/12)))-$BF57)/$BG57)^2*SIN(($BH57+6*($BI57-$BH57)/12))^2</f>
        <v/>
      </c>
      <c r="BQ57">
        <f>((cc_D/2*(1-COS(($BH57+7*($BI57-$BH57)/12)))-$BF57)/$BG57)^2*SIN(($BH57+7*($BI57-$BH57)/12))^2</f>
        <v/>
      </c>
      <c r="BR57">
        <f>((cc_D/2*(1-COS(($BH57+8*($BI57-$BH57)/12)))-$BF57)/$BG57)^2*SIN(($BH57+8*($BI57-$BH57)/12))^2</f>
        <v/>
      </c>
      <c r="BS57">
        <f>((cc_D/2*(1-COS(($BH57+9*($BI57-$BH57)/12)))-$BF57)/$BG57)^2*SIN(($BH57+9*($BI57-$BH57)/12))^2</f>
        <v/>
      </c>
      <c r="BT57">
        <f>((cc_D/2*(1-COS(($BH57+10*($BI57-$BH57)/12)))-$BF57)/$BG57)^2*SIN(($BH57+10*($BI57-$BH57)/12))^2</f>
        <v/>
      </c>
      <c r="BU57">
        <f>((cc_D/2*(1-COS(($BH57+11*($BI57-$BH57)/12)))-$BF57)/$BG57)^2*SIN(($BH57+11*($BI57-$BH57)/12))^2</f>
        <v/>
      </c>
      <c r="BV57">
        <f>((cc_D/2*(1-COS(($BH57+12*($BI57-$BH57)/12)))-$BF57)/$BG57)^2*SIN(($BH57+12*($BI57-$BH57)/12))^2</f>
        <v/>
      </c>
      <c r="BW57">
        <f>BJ57*COS(($BH57+0*($BI57-$BH57)/12))</f>
        <v/>
      </c>
      <c r="BX57">
        <f>BK57*COS(($BH57+1*($BI57-$BH57)/12))</f>
        <v/>
      </c>
      <c r="BY57">
        <f>BL57*COS(($BH57+2*($BI57-$BH57)/12))</f>
        <v/>
      </c>
      <c r="BZ57">
        <f>BM57*COS(($BH57+3*($BI57-$BH57)/12))</f>
        <v/>
      </c>
      <c r="CA57">
        <f>BN57*COS(($BH57+4*($BI57-$BH57)/12))</f>
        <v/>
      </c>
      <c r="CB57">
        <f>BO57*COS(($BH57+5*($BI57-$BH57)/12))</f>
        <v/>
      </c>
      <c r="CC57">
        <f>BP57*COS(($BH57+6*($BI57-$BH57)/12))</f>
        <v/>
      </c>
      <c r="CD57">
        <f>BQ57*COS(($BH57+7*($BI57-$BH57)/12))</f>
        <v/>
      </c>
      <c r="CE57">
        <f>BR57*COS(($BH57+8*($BI57-$BH57)/12))</f>
        <v/>
      </c>
      <c r="CF57">
        <f>BS57*COS(($BH57+9*($BI57-$BH57)/12))</f>
        <v/>
      </c>
      <c r="CG57">
        <f>BT57*COS(($BH57+10*($BI57-$BH57)/12))</f>
        <v/>
      </c>
      <c r="CH57">
        <f>BU57*COS(($BH57+11*($BI57-$BH57)/12))</f>
        <v/>
      </c>
      <c r="CI57">
        <f>BV57*COS(($BH57+12*($BI57-$BH57)/12))</f>
        <v/>
      </c>
    </row>
    <row r="58">
      <c r="B58" s="53" t="n">
        <v>33</v>
      </c>
      <c r="C58" s="54">
        <f>2.5*cc_D</f>
        <v/>
      </c>
      <c r="D58" s="55">
        <f>IF($C58&lt;=cc_D,3.5,2*$C58/($C58-3*cc_D/7))</f>
        <v/>
      </c>
      <c r="E58" s="56">
        <f>(fcd_cc*((cc_D/2)^2*($BI58-COS($BI58)*SIN($BI58))-2*(cc_D/2)^2*($BI58-$BH58)/12/3*SUMPRODUCT($BJ$4:$BV$4,$BJ58:$BV58))+SUMPRODUCT($J$5:$AG$5,$J58:$AG58))/1000</f>
        <v/>
      </c>
      <c r="F58" s="56">
        <f>(fcd_cc*(2/3*(cc_D/2)^3*SIN($BI58)^3-2*(cc_D/2)^3*($BI58-$BH58)/12/3*SUMPRODUCT($BW$4:$CI$4,$BW58:$CI58))+SUMPRODUCT($J$5:$AG$5,$J58:$AG58,$J$7:$AG$7))/1E6</f>
        <v/>
      </c>
      <c r="G58" s="56">
        <f>(fcd_cc*((cc_D/2)^2*($BI58-COS($BI58)*SIN($BI58))-2*(cc_D/2)^2*($BI58-$BH58)/12/3*SUMPRODUCT($BJ$4:$BV$4,$BJ58:$BV58))+SUMPRODUCT($J$5:$AG$5,$AH58:$BE58))/1000</f>
        <v/>
      </c>
      <c r="H58" s="56">
        <f>(fcd_cc*(2/3*(cc_D/2)^3*SIN($BI58)^3-2*(cc_D/2)^3*($BI58-$BH58)/12/3*SUMPRODUCT($BW$4:$CI$4,$BW58:$CI58))+SUMPRODUCT($J$5:$AG$5,$AH58:$BE58,$J$19:$AG$19))/1E6</f>
        <v/>
      </c>
      <c r="J58">
        <f>MAX(-fyd_cc,MIN(fyd_cc,Es_cc*IF($C58&lt;=cc_D,0.0035*($C58-J$6)/$C58,0.002*($C58-J$6)/($C58-3*cc_D/7))))-fcd_cc*(1-(1-MAX(0,MIN(1,IF($C58&lt;=cc_D,0.0035*($C58-J$6)/$C58,0.002*($C58-J$6)/($C58-3*cc_D/7))/0.002)))^2)</f>
        <v/>
      </c>
      <c r="K58">
        <f>MAX(-fyd_cc,MIN(fyd_cc,Es_cc*IF($C58&lt;=cc_D,0.0035*($C58-K$6)/$C58,0.002*($C58-K$6)/($C58-3*cc_D/7))))-fcd_cc*(1-(1-MAX(0,MIN(1,IF($C58&lt;=cc_D,0.0035*($C58-K$6)/$C58,0.002*($C58-K$6)/($C58-3*cc_D/7))/0.002)))^2)</f>
        <v/>
      </c>
      <c r="L58">
        <f>MAX(-fyd_cc,MIN(fyd_cc,Es_cc*IF($C58&lt;=cc_D,0.0035*($C58-L$6)/$C58,0.002*($C58-L$6)/($C58-3*cc_D/7))))-fcd_cc*(1-(1-MAX(0,MIN(1,IF($C58&lt;=cc_D,0.0035*($C58-L$6)/$C58,0.002*($C58-L$6)/($C58-3*cc_D/7))/0.002)))^2)</f>
        <v/>
      </c>
      <c r="M58">
        <f>MAX(-fyd_cc,MIN(fyd_cc,Es_cc*IF($C58&lt;=cc_D,0.0035*($C58-M$6)/$C58,0.002*($C58-M$6)/($C58-3*cc_D/7))))-fcd_cc*(1-(1-MAX(0,MIN(1,IF($C58&lt;=cc_D,0.0035*($C58-M$6)/$C58,0.002*($C58-M$6)/($C58-3*cc_D/7))/0.002)))^2)</f>
        <v/>
      </c>
      <c r="N58">
        <f>MAX(-fyd_cc,MIN(fyd_cc,Es_cc*IF($C58&lt;=cc_D,0.0035*($C58-N$6)/$C58,0.002*($C58-N$6)/($C58-3*cc_D/7))))-fcd_cc*(1-(1-MAX(0,MIN(1,IF($C58&lt;=cc_D,0.0035*($C58-N$6)/$C58,0.002*($C58-N$6)/($C58-3*cc_D/7))/0.002)))^2)</f>
        <v/>
      </c>
      <c r="O58">
        <f>MAX(-fyd_cc,MIN(fyd_cc,Es_cc*IF($C58&lt;=cc_D,0.0035*($C58-O$6)/$C58,0.002*($C58-O$6)/($C58-3*cc_D/7))))-fcd_cc*(1-(1-MAX(0,MIN(1,IF($C58&lt;=cc_D,0.0035*($C58-O$6)/$C58,0.002*($C58-O$6)/($C58-3*cc_D/7))/0.002)))^2)</f>
        <v/>
      </c>
      <c r="P58">
        <f>MAX(-fyd_cc,MIN(fyd_cc,Es_cc*IF($C58&lt;=cc_D,0.0035*($C58-P$6)/$C58,0.002*($C58-P$6)/($C58-3*cc_D/7))))-fcd_cc*(1-(1-MAX(0,MIN(1,IF($C58&lt;=cc_D,0.0035*($C58-P$6)/$C58,0.002*($C58-P$6)/($C58-3*cc_D/7))/0.002)))^2)</f>
        <v/>
      </c>
      <c r="Q58">
        <f>MAX(-fyd_cc,MIN(fyd_cc,Es_cc*IF($C58&lt;=cc_D,0.0035*($C58-Q$6)/$C58,0.002*($C58-Q$6)/($C58-3*cc_D/7))))-fcd_cc*(1-(1-MAX(0,MIN(1,IF($C58&lt;=cc_D,0.0035*($C58-Q$6)/$C58,0.002*($C58-Q$6)/($C58-3*cc_D/7))/0.002)))^2)</f>
        <v/>
      </c>
      <c r="R58">
        <f>MAX(-fyd_cc,MIN(fyd_cc,Es_cc*IF($C58&lt;=cc_D,0.0035*($C58-R$6)/$C58,0.002*($C58-R$6)/($C58-3*cc_D/7))))-fcd_cc*(1-(1-MAX(0,MIN(1,IF($C58&lt;=cc_D,0.0035*($C58-R$6)/$C58,0.002*($C58-R$6)/($C58-3*cc_D/7))/0.002)))^2)</f>
        <v/>
      </c>
      <c r="S58">
        <f>MAX(-fyd_cc,MIN(fyd_cc,Es_cc*IF($C58&lt;=cc_D,0.0035*($C58-S$6)/$C58,0.002*($C58-S$6)/($C58-3*cc_D/7))))-fcd_cc*(1-(1-MAX(0,MIN(1,IF($C58&lt;=cc_D,0.0035*($C58-S$6)/$C58,0.002*($C58-S$6)/($C58-3*cc_D/7))/0.002)))^2)</f>
        <v/>
      </c>
      <c r="T58">
        <f>MAX(-fyd_cc,MIN(fyd_cc,Es_cc*IF($C58&lt;=cc_D,0.0035*($C58-T$6)/$C58,0.002*($C58-T$6)/($C58-3*cc_D/7))))-fcd_cc*(1-(1-MAX(0,MIN(1,IF($C58&lt;=cc_D,0.0035*($C58-T$6)/$C58,0.002*($C58-T$6)/($C58-3*cc_D/7))/0.002)))^2)</f>
        <v/>
      </c>
      <c r="U58">
        <f>MAX(-fyd_cc,MIN(fyd_cc,Es_cc*IF($C58&lt;=cc_D,0.0035*($C58-U$6)/$C58,0.002*($C58-U$6)/($C58-3*cc_D/7))))-fcd_cc*(1-(1-MAX(0,MIN(1,IF($C58&lt;=cc_D,0.0035*($C58-U$6)/$C58,0.002*($C58-U$6)/($C58-3*cc_D/7))/0.002)))^2)</f>
        <v/>
      </c>
      <c r="V58">
        <f>MAX(-fyd_cc,MIN(fyd_cc,Es_cc*IF($C58&lt;=cc_D,0.0035*($C58-V$6)/$C58,0.002*($C58-V$6)/($C58-3*cc_D/7))))-fcd_cc*(1-(1-MAX(0,MIN(1,IF($C58&lt;=cc_D,0.0035*($C58-V$6)/$C58,0.002*($C58-V$6)/($C58-3*cc_D/7))/0.002)))^2)</f>
        <v/>
      </c>
      <c r="W58">
        <f>MAX(-fyd_cc,MIN(fyd_cc,Es_cc*IF($C58&lt;=cc_D,0.0035*($C58-W$6)/$C58,0.002*($C58-W$6)/($C58-3*cc_D/7))))-fcd_cc*(1-(1-MAX(0,MIN(1,IF($C58&lt;=cc_D,0.0035*($C58-W$6)/$C58,0.002*($C58-W$6)/($C58-3*cc_D/7))/0.002)))^2)</f>
        <v/>
      </c>
      <c r="X58">
        <f>MAX(-fyd_cc,MIN(fyd_cc,Es_cc*IF($C58&lt;=cc_D,0.0035*($C58-X$6)/$C58,0.002*($C58-X$6)/($C58-3*cc_D/7))))-fcd_cc*(1-(1-MAX(0,MIN(1,IF($C58&lt;=cc_D,0.0035*($C58-X$6)/$C58,0.002*($C58-X$6)/($C58-3*cc_D/7))/0.002)))^2)</f>
        <v/>
      </c>
      <c r="Y58">
        <f>MAX(-fyd_cc,MIN(fyd_cc,Es_cc*IF($C58&lt;=cc_D,0.0035*($C58-Y$6)/$C58,0.002*($C58-Y$6)/($C58-3*cc_D/7))))-fcd_cc*(1-(1-MAX(0,MIN(1,IF($C58&lt;=cc_D,0.0035*($C58-Y$6)/$C58,0.002*($C58-Y$6)/($C58-3*cc_D/7))/0.002)))^2)</f>
        <v/>
      </c>
      <c r="Z58">
        <f>MAX(-fyd_cc,MIN(fyd_cc,Es_cc*IF($C58&lt;=cc_D,0.0035*($C58-Z$6)/$C58,0.002*($C58-Z$6)/($C58-3*cc_D/7))))-fcd_cc*(1-(1-MAX(0,MIN(1,IF($C58&lt;=cc_D,0.0035*($C58-Z$6)/$C58,0.002*($C58-Z$6)/($C58-3*cc_D/7))/0.002)))^2)</f>
        <v/>
      </c>
      <c r="AA58">
        <f>MAX(-fyd_cc,MIN(fyd_cc,Es_cc*IF($C58&lt;=cc_D,0.0035*($C58-AA$6)/$C58,0.002*($C58-AA$6)/($C58-3*cc_D/7))))-fcd_cc*(1-(1-MAX(0,MIN(1,IF($C58&lt;=cc_D,0.0035*($C58-AA$6)/$C58,0.002*($C58-AA$6)/($C58-3*cc_D/7))/0.002)))^2)</f>
        <v/>
      </c>
      <c r="AB58">
        <f>MAX(-fyd_cc,MIN(fyd_cc,Es_cc*IF($C58&lt;=cc_D,0.0035*($C58-AB$6)/$C58,0.002*($C58-AB$6)/($C58-3*cc_D/7))))-fcd_cc*(1-(1-MAX(0,MIN(1,IF($C58&lt;=cc_D,0.0035*($C58-AB$6)/$C58,0.002*($C58-AB$6)/($C58-3*cc_D/7))/0.002)))^2)</f>
        <v/>
      </c>
      <c r="AC58">
        <f>MAX(-fyd_cc,MIN(fyd_cc,Es_cc*IF($C58&lt;=cc_D,0.0035*($C58-AC$6)/$C58,0.002*($C58-AC$6)/($C58-3*cc_D/7))))-fcd_cc*(1-(1-MAX(0,MIN(1,IF($C58&lt;=cc_D,0.0035*($C58-AC$6)/$C58,0.002*($C58-AC$6)/($C58-3*cc_D/7))/0.002)))^2)</f>
        <v/>
      </c>
      <c r="AD58">
        <f>MAX(-fyd_cc,MIN(fyd_cc,Es_cc*IF($C58&lt;=cc_D,0.0035*($C58-AD$6)/$C58,0.002*($C58-AD$6)/($C58-3*cc_D/7))))-fcd_cc*(1-(1-MAX(0,MIN(1,IF($C58&lt;=cc_D,0.0035*($C58-AD$6)/$C58,0.002*($C58-AD$6)/($C58-3*cc_D/7))/0.002)))^2)</f>
        <v/>
      </c>
      <c r="AE58">
        <f>MAX(-fyd_cc,MIN(fyd_cc,Es_cc*IF($C58&lt;=cc_D,0.0035*($C58-AE$6)/$C58,0.002*($C58-AE$6)/($C58-3*cc_D/7))))-fcd_cc*(1-(1-MAX(0,MIN(1,IF($C58&lt;=cc_D,0.0035*($C58-AE$6)/$C58,0.002*($C58-AE$6)/($C58-3*cc_D/7))/0.002)))^2)</f>
        <v/>
      </c>
      <c r="AF58">
        <f>MAX(-fyd_cc,MIN(fyd_cc,Es_cc*IF($C58&lt;=cc_D,0.0035*($C58-AF$6)/$C58,0.002*($C58-AF$6)/($C58-3*cc_D/7))))-fcd_cc*(1-(1-MAX(0,MIN(1,IF($C58&lt;=cc_D,0.0035*($C58-AF$6)/$C58,0.002*($C58-AF$6)/($C58-3*cc_D/7))/0.002)))^2)</f>
        <v/>
      </c>
      <c r="AG58">
        <f>MAX(-fyd_cc,MIN(fyd_cc,Es_cc*IF($C58&lt;=cc_D,0.0035*($C58-AG$6)/$C58,0.002*($C58-AG$6)/($C58-3*cc_D/7))))-fcd_cc*(1-(1-MAX(0,MIN(1,IF($C58&lt;=cc_D,0.0035*($C58-AG$6)/$C58,0.002*($C58-AG$6)/($C58-3*cc_D/7))/0.002)))^2)</f>
        <v/>
      </c>
      <c r="AH58">
        <f>MAX(-fyd_cc,MIN(fyd_cc,Es_cc*IF($C58&lt;=cc_D,0.0035*($C58-J$18)/$C58,0.002*($C58-J$18)/($C58-3*cc_D/7))))-fcd_cc*(1-(1-MAX(0,MIN(1,IF($C58&lt;=cc_D,0.0035*($C58-J$18)/$C58,0.002*($C58-J$18)/($C58-3*cc_D/7))/0.002)))^2)</f>
        <v/>
      </c>
      <c r="AI58">
        <f>MAX(-fyd_cc,MIN(fyd_cc,Es_cc*IF($C58&lt;=cc_D,0.0035*($C58-K$18)/$C58,0.002*($C58-K$18)/($C58-3*cc_D/7))))-fcd_cc*(1-(1-MAX(0,MIN(1,IF($C58&lt;=cc_D,0.0035*($C58-K$18)/$C58,0.002*($C58-K$18)/($C58-3*cc_D/7))/0.002)))^2)</f>
        <v/>
      </c>
      <c r="AJ58">
        <f>MAX(-fyd_cc,MIN(fyd_cc,Es_cc*IF($C58&lt;=cc_D,0.0035*($C58-L$18)/$C58,0.002*($C58-L$18)/($C58-3*cc_D/7))))-fcd_cc*(1-(1-MAX(0,MIN(1,IF($C58&lt;=cc_D,0.0035*($C58-L$18)/$C58,0.002*($C58-L$18)/($C58-3*cc_D/7))/0.002)))^2)</f>
        <v/>
      </c>
      <c r="AK58">
        <f>MAX(-fyd_cc,MIN(fyd_cc,Es_cc*IF($C58&lt;=cc_D,0.0035*($C58-M$18)/$C58,0.002*($C58-M$18)/($C58-3*cc_D/7))))-fcd_cc*(1-(1-MAX(0,MIN(1,IF($C58&lt;=cc_D,0.0035*($C58-M$18)/$C58,0.002*($C58-M$18)/($C58-3*cc_D/7))/0.002)))^2)</f>
        <v/>
      </c>
      <c r="AL58">
        <f>MAX(-fyd_cc,MIN(fyd_cc,Es_cc*IF($C58&lt;=cc_D,0.0035*($C58-N$18)/$C58,0.002*($C58-N$18)/($C58-3*cc_D/7))))-fcd_cc*(1-(1-MAX(0,MIN(1,IF($C58&lt;=cc_D,0.0035*($C58-N$18)/$C58,0.002*($C58-N$18)/($C58-3*cc_D/7))/0.002)))^2)</f>
        <v/>
      </c>
      <c r="AM58">
        <f>MAX(-fyd_cc,MIN(fyd_cc,Es_cc*IF($C58&lt;=cc_D,0.0035*($C58-O$18)/$C58,0.002*($C58-O$18)/($C58-3*cc_D/7))))-fcd_cc*(1-(1-MAX(0,MIN(1,IF($C58&lt;=cc_D,0.0035*($C58-O$18)/$C58,0.002*($C58-O$18)/($C58-3*cc_D/7))/0.002)))^2)</f>
        <v/>
      </c>
      <c r="AN58">
        <f>MAX(-fyd_cc,MIN(fyd_cc,Es_cc*IF($C58&lt;=cc_D,0.0035*($C58-P$18)/$C58,0.002*($C58-P$18)/($C58-3*cc_D/7))))-fcd_cc*(1-(1-MAX(0,MIN(1,IF($C58&lt;=cc_D,0.0035*($C58-P$18)/$C58,0.002*($C58-P$18)/($C58-3*cc_D/7))/0.002)))^2)</f>
        <v/>
      </c>
      <c r="AO58">
        <f>MAX(-fyd_cc,MIN(fyd_cc,Es_cc*IF($C58&lt;=cc_D,0.0035*($C58-Q$18)/$C58,0.002*($C58-Q$18)/($C58-3*cc_D/7))))-fcd_cc*(1-(1-MAX(0,MIN(1,IF($C58&lt;=cc_D,0.0035*($C58-Q$18)/$C58,0.002*($C58-Q$18)/($C58-3*cc_D/7))/0.002)))^2)</f>
        <v/>
      </c>
      <c r="AP58">
        <f>MAX(-fyd_cc,MIN(fyd_cc,Es_cc*IF($C58&lt;=cc_D,0.0035*($C58-R$18)/$C58,0.002*($C58-R$18)/($C58-3*cc_D/7))))-fcd_cc*(1-(1-MAX(0,MIN(1,IF($C58&lt;=cc_D,0.0035*($C58-R$18)/$C58,0.002*($C58-R$18)/($C58-3*cc_D/7))/0.002)))^2)</f>
        <v/>
      </c>
      <c r="AQ58">
        <f>MAX(-fyd_cc,MIN(fyd_cc,Es_cc*IF($C58&lt;=cc_D,0.0035*($C58-S$18)/$C58,0.002*($C58-S$18)/($C58-3*cc_D/7))))-fcd_cc*(1-(1-MAX(0,MIN(1,IF($C58&lt;=cc_D,0.0035*($C58-S$18)/$C58,0.002*($C58-S$18)/($C58-3*cc_D/7))/0.002)))^2)</f>
        <v/>
      </c>
      <c r="AR58">
        <f>MAX(-fyd_cc,MIN(fyd_cc,Es_cc*IF($C58&lt;=cc_D,0.0035*($C58-T$18)/$C58,0.002*($C58-T$18)/($C58-3*cc_D/7))))-fcd_cc*(1-(1-MAX(0,MIN(1,IF($C58&lt;=cc_D,0.0035*($C58-T$18)/$C58,0.002*($C58-T$18)/($C58-3*cc_D/7))/0.002)))^2)</f>
        <v/>
      </c>
      <c r="AS58">
        <f>MAX(-fyd_cc,MIN(fyd_cc,Es_cc*IF($C58&lt;=cc_D,0.0035*($C58-U$18)/$C58,0.002*($C58-U$18)/($C58-3*cc_D/7))))-fcd_cc*(1-(1-MAX(0,MIN(1,IF($C58&lt;=cc_D,0.0035*($C58-U$18)/$C58,0.002*($C58-U$18)/($C58-3*cc_D/7))/0.002)))^2)</f>
        <v/>
      </c>
      <c r="AT58">
        <f>MAX(-fyd_cc,MIN(fyd_cc,Es_cc*IF($C58&lt;=cc_D,0.0035*($C58-V$18)/$C58,0.002*($C58-V$18)/($C58-3*cc_D/7))))-fcd_cc*(1-(1-MAX(0,MIN(1,IF($C58&lt;=cc_D,0.0035*($C58-V$18)/$C58,0.002*($C58-V$18)/($C58-3*cc_D/7))/0.002)))^2)</f>
        <v/>
      </c>
      <c r="AU58">
        <f>MAX(-fyd_cc,MIN(fyd_cc,Es_cc*IF($C58&lt;=cc_D,0.0035*($C58-W$18)/$C58,0.002*($C58-W$18)/($C58-3*cc_D/7))))-fcd_cc*(1-(1-MAX(0,MIN(1,IF($C58&lt;=cc_D,0.0035*($C58-W$18)/$C58,0.002*($C58-W$18)/($C58-3*cc_D/7))/0.002)))^2)</f>
        <v/>
      </c>
      <c r="AV58">
        <f>MAX(-fyd_cc,MIN(fyd_cc,Es_cc*IF($C58&lt;=cc_D,0.0035*($C58-X$18)/$C58,0.002*($C58-X$18)/($C58-3*cc_D/7))))-fcd_cc*(1-(1-MAX(0,MIN(1,IF($C58&lt;=cc_D,0.0035*($C58-X$18)/$C58,0.002*($C58-X$18)/($C58-3*cc_D/7))/0.002)))^2)</f>
        <v/>
      </c>
      <c r="AW58">
        <f>MAX(-fyd_cc,MIN(fyd_cc,Es_cc*IF($C58&lt;=cc_D,0.0035*($C58-Y$18)/$C58,0.002*($C58-Y$18)/($C58-3*cc_D/7))))-fcd_cc*(1-(1-MAX(0,MIN(1,IF($C58&lt;=cc_D,0.0035*($C58-Y$18)/$C58,0.002*($C58-Y$18)/($C58-3*cc_D/7))/0.002)))^2)</f>
        <v/>
      </c>
      <c r="AX58">
        <f>MAX(-fyd_cc,MIN(fyd_cc,Es_cc*IF($C58&lt;=cc_D,0.0035*($C58-Z$18)/$C58,0.002*($C58-Z$18)/($C58-3*cc_D/7))))-fcd_cc*(1-(1-MAX(0,MIN(1,IF($C58&lt;=cc_D,0.0035*($C58-Z$18)/$C58,0.002*($C58-Z$18)/($C58-3*cc_D/7))/0.002)))^2)</f>
        <v/>
      </c>
      <c r="AY58">
        <f>MAX(-fyd_cc,MIN(fyd_cc,Es_cc*IF($C58&lt;=cc_D,0.0035*($C58-AA$18)/$C58,0.002*($C58-AA$18)/($C58-3*cc_D/7))))-fcd_cc*(1-(1-MAX(0,MIN(1,IF($C58&lt;=cc_D,0.0035*($C58-AA$18)/$C58,0.002*($C58-AA$18)/($C58-3*cc_D/7))/0.002)))^2)</f>
        <v/>
      </c>
      <c r="AZ58">
        <f>MAX(-fyd_cc,MIN(fyd_cc,Es_cc*IF($C58&lt;=cc_D,0.0035*($C58-AB$18)/$C58,0.002*($C58-AB$18)/($C58-3*cc_D/7))))-fcd_cc*(1-(1-MAX(0,MIN(1,IF($C58&lt;=cc_D,0.0035*($C58-AB$18)/$C58,0.002*($C58-AB$18)/($C58-3*cc_D/7))/0.002)))^2)</f>
        <v/>
      </c>
      <c r="BA58">
        <f>MAX(-fyd_cc,MIN(fyd_cc,Es_cc*IF($C58&lt;=cc_D,0.0035*($C58-AC$18)/$C58,0.002*($C58-AC$18)/($C58-3*cc_D/7))))-fcd_cc*(1-(1-MAX(0,MIN(1,IF($C58&lt;=cc_D,0.0035*($C58-AC$18)/$C58,0.002*($C58-AC$18)/($C58-3*cc_D/7))/0.002)))^2)</f>
        <v/>
      </c>
      <c r="BB58">
        <f>MAX(-fyd_cc,MIN(fyd_cc,Es_cc*IF($C58&lt;=cc_D,0.0035*($C58-AD$18)/$C58,0.002*($C58-AD$18)/($C58-3*cc_D/7))))-fcd_cc*(1-(1-MAX(0,MIN(1,IF($C58&lt;=cc_D,0.0035*($C58-AD$18)/$C58,0.002*($C58-AD$18)/($C58-3*cc_D/7))/0.002)))^2)</f>
        <v/>
      </c>
      <c r="BC58">
        <f>MAX(-fyd_cc,MIN(fyd_cc,Es_cc*IF($C58&lt;=cc_D,0.0035*($C58-AE$18)/$C58,0.002*($C58-AE$18)/($C58-3*cc_D/7))))-fcd_cc*(1-(1-MAX(0,MIN(1,IF($C58&lt;=cc_D,0.0035*($C58-AE$18)/$C58,0.002*($C58-AE$18)/($C58-3*cc_D/7))/0.002)))^2)</f>
        <v/>
      </c>
      <c r="BD58">
        <f>MAX(-fyd_cc,MIN(fyd_cc,Es_cc*IF($C58&lt;=cc_D,0.0035*($C58-AF$18)/$C58,0.002*($C58-AF$18)/($C58-3*cc_D/7))))-fcd_cc*(1-(1-MAX(0,MIN(1,IF($C58&lt;=cc_D,0.0035*($C58-AF$18)/$C58,0.002*($C58-AF$18)/($C58-3*cc_D/7))/0.002)))^2)</f>
        <v/>
      </c>
      <c r="BE58">
        <f>MAX(-fyd_cc,MIN(fyd_cc,Es_cc*IF($C58&lt;=cc_D,0.0035*($C58-AG$18)/$C58,0.002*($C58-AG$18)/($C58-3*cc_D/7))))-fcd_cc*(1-(1-MAX(0,MIN(1,IF($C58&lt;=cc_D,0.0035*($C58-AG$18)/$C58,0.002*($C58-AG$18)/($C58-3*cc_D/7))/0.002)))^2)</f>
        <v/>
      </c>
      <c r="BF58">
        <f>3*MIN($C58,cc_D)/7</f>
        <v/>
      </c>
      <c r="BG58">
        <f>$C58-$BF58</f>
        <v/>
      </c>
      <c r="BH58">
        <f>ACOS(MAX(-1,MIN(1,1-$BF58/(cc_D/2))))</f>
        <v/>
      </c>
      <c r="BI58">
        <f>ACOS(MAX(-1,MIN(1,1-MIN($C58,cc_D)/(cc_D/2))))</f>
        <v/>
      </c>
      <c r="BJ58">
        <f>((cc_D/2*(1-COS(($BH58+0*($BI58-$BH58)/12)))-$BF58)/$BG58)^2*SIN(($BH58+0*($BI58-$BH58)/12))^2</f>
        <v/>
      </c>
      <c r="BK58">
        <f>((cc_D/2*(1-COS(($BH58+1*($BI58-$BH58)/12)))-$BF58)/$BG58)^2*SIN(($BH58+1*($BI58-$BH58)/12))^2</f>
        <v/>
      </c>
      <c r="BL58">
        <f>((cc_D/2*(1-COS(($BH58+2*($BI58-$BH58)/12)))-$BF58)/$BG58)^2*SIN(($BH58+2*($BI58-$BH58)/12))^2</f>
        <v/>
      </c>
      <c r="BM58">
        <f>((cc_D/2*(1-COS(($BH58+3*($BI58-$BH58)/12)))-$BF58)/$BG58)^2*SIN(($BH58+3*($BI58-$BH58)/12))^2</f>
        <v/>
      </c>
      <c r="BN58">
        <f>((cc_D/2*(1-COS(($BH58+4*($BI58-$BH58)/12)))-$BF58)/$BG58)^2*SIN(($BH58+4*($BI58-$BH58)/12))^2</f>
        <v/>
      </c>
      <c r="BO58">
        <f>((cc_D/2*(1-COS(($BH58+5*($BI58-$BH58)/12)))-$BF58)/$BG58)^2*SIN(($BH58+5*($BI58-$BH58)/12))^2</f>
        <v/>
      </c>
      <c r="BP58">
        <f>((cc_D/2*(1-COS(($BH58+6*($BI58-$BH58)/12)))-$BF58)/$BG58)^2*SIN(($BH58+6*($BI58-$BH58)/12))^2</f>
        <v/>
      </c>
      <c r="BQ58">
        <f>((cc_D/2*(1-COS(($BH58+7*($BI58-$BH58)/12)))-$BF58)/$BG58)^2*SIN(($BH58+7*($BI58-$BH58)/12))^2</f>
        <v/>
      </c>
      <c r="BR58">
        <f>((cc_D/2*(1-COS(($BH58+8*($BI58-$BH58)/12)))-$BF58)/$BG58)^2*SIN(($BH58+8*($BI58-$BH58)/12))^2</f>
        <v/>
      </c>
      <c r="BS58">
        <f>((cc_D/2*(1-COS(($BH58+9*($BI58-$BH58)/12)))-$BF58)/$BG58)^2*SIN(($BH58+9*($BI58-$BH58)/12))^2</f>
        <v/>
      </c>
      <c r="BT58">
        <f>((cc_D/2*(1-COS(($BH58+10*($BI58-$BH58)/12)))-$BF58)/$BG58)^2*SIN(($BH58+10*($BI58-$BH58)/12))^2</f>
        <v/>
      </c>
      <c r="BU58">
        <f>((cc_D/2*(1-COS(($BH58+11*($BI58-$BH58)/12)))-$BF58)/$BG58)^2*SIN(($BH58+11*($BI58-$BH58)/12))^2</f>
        <v/>
      </c>
      <c r="BV58">
        <f>((cc_D/2*(1-COS(($BH58+12*($BI58-$BH58)/12)))-$BF58)/$BG58)^2*SIN(($BH58+12*($BI58-$BH58)/12))^2</f>
        <v/>
      </c>
      <c r="BW58">
        <f>BJ58*COS(($BH58+0*($BI58-$BH58)/12))</f>
        <v/>
      </c>
      <c r="BX58">
        <f>BK58*COS(($BH58+1*($BI58-$BH58)/12))</f>
        <v/>
      </c>
      <c r="BY58">
        <f>BL58*COS(($BH58+2*($BI58-$BH58)/12))</f>
        <v/>
      </c>
      <c r="BZ58">
        <f>BM58*COS(($BH58+3*($BI58-$BH58)/12))</f>
        <v/>
      </c>
      <c r="CA58">
        <f>BN58*COS(($BH58+4*($BI58-$BH58)/12))</f>
        <v/>
      </c>
      <c r="CB58">
        <f>BO58*COS(($BH58+5*($BI58-$BH58)/12))</f>
        <v/>
      </c>
      <c r="CC58">
        <f>BP58*COS(($BH58+6*($BI58-$BH58)/12))</f>
        <v/>
      </c>
      <c r="CD58">
        <f>BQ58*COS(($BH58+7*($BI58-$BH58)/12))</f>
        <v/>
      </c>
      <c r="CE58">
        <f>BR58*COS(($BH58+8*($BI58-$BH58)/12))</f>
        <v/>
      </c>
      <c r="CF58">
        <f>BS58*COS(($BH58+9*($BI58-$BH58)/12))</f>
        <v/>
      </c>
      <c r="CG58">
        <f>BT58*COS(($BH58+10*($BI58-$BH58)/12))</f>
        <v/>
      </c>
      <c r="CH58">
        <f>BU58*COS(($BH58+11*($BI58-$BH58)/12))</f>
        <v/>
      </c>
      <c r="CI58">
        <f>BV58*COS(($BH58+12*($BI58-$BH58)/12))</f>
        <v/>
      </c>
    </row>
    <row r="59">
      <c r="B59" s="53" t="n">
        <v>34</v>
      </c>
      <c r="C59" s="54">
        <f>3*cc_D</f>
        <v/>
      </c>
      <c r="D59" s="55">
        <f>IF($C59&lt;=cc_D,3.5,2*$C59/($C59-3*cc_D/7))</f>
        <v/>
      </c>
      <c r="E59" s="56">
        <f>(fcd_cc*((cc_D/2)^2*($BI59-COS($BI59)*SIN($BI59))-2*(cc_D/2)^2*($BI59-$BH59)/12/3*SUMPRODUCT($BJ$4:$BV$4,$BJ59:$BV59))+SUMPRODUCT($J$5:$AG$5,$J59:$AG59))/1000</f>
        <v/>
      </c>
      <c r="F59" s="56">
        <f>(fcd_cc*(2/3*(cc_D/2)^3*SIN($BI59)^3-2*(cc_D/2)^3*($BI59-$BH59)/12/3*SUMPRODUCT($BW$4:$CI$4,$BW59:$CI59))+SUMPRODUCT($J$5:$AG$5,$J59:$AG59,$J$7:$AG$7))/1E6</f>
        <v/>
      </c>
      <c r="G59" s="56">
        <f>(fcd_cc*((cc_D/2)^2*($BI59-COS($BI59)*SIN($BI59))-2*(cc_D/2)^2*($BI59-$BH59)/12/3*SUMPRODUCT($BJ$4:$BV$4,$BJ59:$BV59))+SUMPRODUCT($J$5:$AG$5,$AH59:$BE59))/1000</f>
        <v/>
      </c>
      <c r="H59" s="56">
        <f>(fcd_cc*(2/3*(cc_D/2)^3*SIN($BI59)^3-2*(cc_D/2)^3*($BI59-$BH59)/12/3*SUMPRODUCT($BW$4:$CI$4,$BW59:$CI59))+SUMPRODUCT($J$5:$AG$5,$AH59:$BE59,$J$19:$AG$19))/1E6</f>
        <v/>
      </c>
      <c r="J59">
        <f>MAX(-fyd_cc,MIN(fyd_cc,Es_cc*IF($C59&lt;=cc_D,0.0035*($C59-J$6)/$C59,0.002*($C59-J$6)/($C59-3*cc_D/7))))-fcd_cc*(1-(1-MAX(0,MIN(1,IF($C59&lt;=cc_D,0.0035*($C59-J$6)/$C59,0.002*($C59-J$6)/($C59-3*cc_D/7))/0.002)))^2)</f>
        <v/>
      </c>
      <c r="K59">
        <f>MAX(-fyd_cc,MIN(fyd_cc,Es_cc*IF($C59&lt;=cc_D,0.0035*($C59-K$6)/$C59,0.002*($C59-K$6)/($C59-3*cc_D/7))))-fcd_cc*(1-(1-MAX(0,MIN(1,IF($C59&lt;=cc_D,0.0035*($C59-K$6)/$C59,0.002*($C59-K$6)/($C59-3*cc_D/7))/0.002)))^2)</f>
        <v/>
      </c>
      <c r="L59">
        <f>MAX(-fyd_cc,MIN(fyd_cc,Es_cc*IF($C59&lt;=cc_D,0.0035*($C59-L$6)/$C59,0.002*($C59-L$6)/($C59-3*cc_D/7))))-fcd_cc*(1-(1-MAX(0,MIN(1,IF($C59&lt;=cc_D,0.0035*($C59-L$6)/$C59,0.002*($C59-L$6)/($C59-3*cc_D/7))/0.002)))^2)</f>
        <v/>
      </c>
      <c r="M59">
        <f>MAX(-fyd_cc,MIN(fyd_cc,Es_cc*IF($C59&lt;=cc_D,0.0035*($C59-M$6)/$C59,0.002*($C59-M$6)/($C59-3*cc_D/7))))-fcd_cc*(1-(1-MAX(0,MIN(1,IF($C59&lt;=cc_D,0.0035*($C59-M$6)/$C59,0.002*($C59-M$6)/($C59-3*cc_D/7))/0.002)))^2)</f>
        <v/>
      </c>
      <c r="N59">
        <f>MAX(-fyd_cc,MIN(fyd_cc,Es_cc*IF($C59&lt;=cc_D,0.0035*($C59-N$6)/$C59,0.002*($C59-N$6)/($C59-3*cc_D/7))))-fcd_cc*(1-(1-MAX(0,MIN(1,IF($C59&lt;=cc_D,0.0035*($C59-N$6)/$C59,0.002*($C59-N$6)/($C59-3*cc_D/7))/0.002)))^2)</f>
        <v/>
      </c>
      <c r="O59">
        <f>MAX(-fyd_cc,MIN(fyd_cc,Es_cc*IF($C59&lt;=cc_D,0.0035*($C59-O$6)/$C59,0.002*($C59-O$6)/($C59-3*cc_D/7))))-fcd_cc*(1-(1-MAX(0,MIN(1,IF($C59&lt;=cc_D,0.0035*($C59-O$6)/$C59,0.002*($C59-O$6)/($C59-3*cc_D/7))/0.002)))^2)</f>
        <v/>
      </c>
      <c r="P59">
        <f>MAX(-fyd_cc,MIN(fyd_cc,Es_cc*IF($C59&lt;=cc_D,0.0035*($C59-P$6)/$C59,0.002*($C59-P$6)/($C59-3*cc_D/7))))-fcd_cc*(1-(1-MAX(0,MIN(1,IF($C59&lt;=cc_D,0.0035*($C59-P$6)/$C59,0.002*($C59-P$6)/($C59-3*cc_D/7))/0.002)))^2)</f>
        <v/>
      </c>
      <c r="Q59">
        <f>MAX(-fyd_cc,MIN(fyd_cc,Es_cc*IF($C59&lt;=cc_D,0.0035*($C59-Q$6)/$C59,0.002*($C59-Q$6)/($C59-3*cc_D/7))))-fcd_cc*(1-(1-MAX(0,MIN(1,IF($C59&lt;=cc_D,0.0035*($C59-Q$6)/$C59,0.002*($C59-Q$6)/($C59-3*cc_D/7))/0.002)))^2)</f>
        <v/>
      </c>
      <c r="R59">
        <f>MAX(-fyd_cc,MIN(fyd_cc,Es_cc*IF($C59&lt;=cc_D,0.0035*($C59-R$6)/$C59,0.002*($C59-R$6)/($C59-3*cc_D/7))))-fcd_cc*(1-(1-MAX(0,MIN(1,IF($C59&lt;=cc_D,0.0035*($C59-R$6)/$C59,0.002*($C59-R$6)/($C59-3*cc_D/7))/0.002)))^2)</f>
        <v/>
      </c>
      <c r="S59">
        <f>MAX(-fyd_cc,MIN(fyd_cc,Es_cc*IF($C59&lt;=cc_D,0.0035*($C59-S$6)/$C59,0.002*($C59-S$6)/($C59-3*cc_D/7))))-fcd_cc*(1-(1-MAX(0,MIN(1,IF($C59&lt;=cc_D,0.0035*($C59-S$6)/$C59,0.002*($C59-S$6)/($C59-3*cc_D/7))/0.002)))^2)</f>
        <v/>
      </c>
      <c r="T59">
        <f>MAX(-fyd_cc,MIN(fyd_cc,Es_cc*IF($C59&lt;=cc_D,0.0035*($C59-T$6)/$C59,0.002*($C59-T$6)/($C59-3*cc_D/7))))-fcd_cc*(1-(1-MAX(0,MIN(1,IF($C59&lt;=cc_D,0.0035*($C59-T$6)/$C59,0.002*($C59-T$6)/($C59-3*cc_D/7))/0.002)))^2)</f>
        <v/>
      </c>
      <c r="U59">
        <f>MAX(-fyd_cc,MIN(fyd_cc,Es_cc*IF($C59&lt;=cc_D,0.0035*($C59-U$6)/$C59,0.002*($C59-U$6)/($C59-3*cc_D/7))))-fcd_cc*(1-(1-MAX(0,MIN(1,IF($C59&lt;=cc_D,0.0035*($C59-U$6)/$C59,0.002*($C59-U$6)/($C59-3*cc_D/7))/0.002)))^2)</f>
        <v/>
      </c>
      <c r="V59">
        <f>MAX(-fyd_cc,MIN(fyd_cc,Es_cc*IF($C59&lt;=cc_D,0.0035*($C59-V$6)/$C59,0.002*($C59-V$6)/($C59-3*cc_D/7))))-fcd_cc*(1-(1-MAX(0,MIN(1,IF($C59&lt;=cc_D,0.0035*($C59-V$6)/$C59,0.002*($C59-V$6)/($C59-3*cc_D/7))/0.002)))^2)</f>
        <v/>
      </c>
      <c r="W59">
        <f>MAX(-fyd_cc,MIN(fyd_cc,Es_cc*IF($C59&lt;=cc_D,0.0035*($C59-W$6)/$C59,0.002*($C59-W$6)/($C59-3*cc_D/7))))-fcd_cc*(1-(1-MAX(0,MIN(1,IF($C59&lt;=cc_D,0.0035*($C59-W$6)/$C59,0.002*($C59-W$6)/($C59-3*cc_D/7))/0.002)))^2)</f>
        <v/>
      </c>
      <c r="X59">
        <f>MAX(-fyd_cc,MIN(fyd_cc,Es_cc*IF($C59&lt;=cc_D,0.0035*($C59-X$6)/$C59,0.002*($C59-X$6)/($C59-3*cc_D/7))))-fcd_cc*(1-(1-MAX(0,MIN(1,IF($C59&lt;=cc_D,0.0035*($C59-X$6)/$C59,0.002*($C59-X$6)/($C59-3*cc_D/7))/0.002)))^2)</f>
        <v/>
      </c>
      <c r="Y59">
        <f>MAX(-fyd_cc,MIN(fyd_cc,Es_cc*IF($C59&lt;=cc_D,0.0035*($C59-Y$6)/$C59,0.002*($C59-Y$6)/($C59-3*cc_D/7))))-fcd_cc*(1-(1-MAX(0,MIN(1,IF($C59&lt;=cc_D,0.0035*($C59-Y$6)/$C59,0.002*($C59-Y$6)/($C59-3*cc_D/7))/0.002)))^2)</f>
        <v/>
      </c>
      <c r="Z59">
        <f>MAX(-fyd_cc,MIN(fyd_cc,Es_cc*IF($C59&lt;=cc_D,0.0035*($C59-Z$6)/$C59,0.002*($C59-Z$6)/($C59-3*cc_D/7))))-fcd_cc*(1-(1-MAX(0,MIN(1,IF($C59&lt;=cc_D,0.0035*($C59-Z$6)/$C59,0.002*($C59-Z$6)/($C59-3*cc_D/7))/0.002)))^2)</f>
        <v/>
      </c>
      <c r="AA59">
        <f>MAX(-fyd_cc,MIN(fyd_cc,Es_cc*IF($C59&lt;=cc_D,0.0035*($C59-AA$6)/$C59,0.002*($C59-AA$6)/($C59-3*cc_D/7))))-fcd_cc*(1-(1-MAX(0,MIN(1,IF($C59&lt;=cc_D,0.0035*($C59-AA$6)/$C59,0.002*($C59-AA$6)/($C59-3*cc_D/7))/0.002)))^2)</f>
        <v/>
      </c>
      <c r="AB59">
        <f>MAX(-fyd_cc,MIN(fyd_cc,Es_cc*IF($C59&lt;=cc_D,0.0035*($C59-AB$6)/$C59,0.002*($C59-AB$6)/($C59-3*cc_D/7))))-fcd_cc*(1-(1-MAX(0,MIN(1,IF($C59&lt;=cc_D,0.0035*($C59-AB$6)/$C59,0.002*($C59-AB$6)/($C59-3*cc_D/7))/0.002)))^2)</f>
        <v/>
      </c>
      <c r="AC59">
        <f>MAX(-fyd_cc,MIN(fyd_cc,Es_cc*IF($C59&lt;=cc_D,0.0035*($C59-AC$6)/$C59,0.002*($C59-AC$6)/($C59-3*cc_D/7))))-fcd_cc*(1-(1-MAX(0,MIN(1,IF($C59&lt;=cc_D,0.0035*($C59-AC$6)/$C59,0.002*($C59-AC$6)/($C59-3*cc_D/7))/0.002)))^2)</f>
        <v/>
      </c>
      <c r="AD59">
        <f>MAX(-fyd_cc,MIN(fyd_cc,Es_cc*IF($C59&lt;=cc_D,0.0035*($C59-AD$6)/$C59,0.002*($C59-AD$6)/($C59-3*cc_D/7))))-fcd_cc*(1-(1-MAX(0,MIN(1,IF($C59&lt;=cc_D,0.0035*($C59-AD$6)/$C59,0.002*($C59-AD$6)/($C59-3*cc_D/7))/0.002)))^2)</f>
        <v/>
      </c>
      <c r="AE59">
        <f>MAX(-fyd_cc,MIN(fyd_cc,Es_cc*IF($C59&lt;=cc_D,0.0035*($C59-AE$6)/$C59,0.002*($C59-AE$6)/($C59-3*cc_D/7))))-fcd_cc*(1-(1-MAX(0,MIN(1,IF($C59&lt;=cc_D,0.0035*($C59-AE$6)/$C59,0.002*($C59-AE$6)/($C59-3*cc_D/7))/0.002)))^2)</f>
        <v/>
      </c>
      <c r="AF59">
        <f>MAX(-fyd_cc,MIN(fyd_cc,Es_cc*IF($C59&lt;=cc_D,0.0035*($C59-AF$6)/$C59,0.002*($C59-AF$6)/($C59-3*cc_D/7))))-fcd_cc*(1-(1-MAX(0,MIN(1,IF($C59&lt;=cc_D,0.0035*($C59-AF$6)/$C59,0.002*($C59-AF$6)/($C59-3*cc_D/7))/0.002)))^2)</f>
        <v/>
      </c>
      <c r="AG59">
        <f>MAX(-fyd_cc,MIN(fyd_cc,Es_cc*IF($C59&lt;=cc_D,0.0035*($C59-AG$6)/$C59,0.002*($C59-AG$6)/($C59-3*cc_D/7))))-fcd_cc*(1-(1-MAX(0,MIN(1,IF($C59&lt;=cc_D,0.0035*($C59-AG$6)/$C59,0.002*($C59-AG$6)/($C59-3*cc_D/7))/0.002)))^2)</f>
        <v/>
      </c>
      <c r="AH59">
        <f>MAX(-fyd_cc,MIN(fyd_cc,Es_cc*IF($C59&lt;=cc_D,0.0035*($C59-J$18)/$C59,0.002*($C59-J$18)/($C59-3*cc_D/7))))-fcd_cc*(1-(1-MAX(0,MIN(1,IF($C59&lt;=cc_D,0.0035*($C59-J$18)/$C59,0.002*($C59-J$18)/($C59-3*cc_D/7))/0.002)))^2)</f>
        <v/>
      </c>
      <c r="AI59">
        <f>MAX(-fyd_cc,MIN(fyd_cc,Es_cc*IF($C59&lt;=cc_D,0.0035*($C59-K$18)/$C59,0.002*($C59-K$18)/($C59-3*cc_D/7))))-fcd_cc*(1-(1-MAX(0,MIN(1,IF($C59&lt;=cc_D,0.0035*($C59-K$18)/$C59,0.002*($C59-K$18)/($C59-3*cc_D/7))/0.002)))^2)</f>
        <v/>
      </c>
      <c r="AJ59">
        <f>MAX(-fyd_cc,MIN(fyd_cc,Es_cc*IF($C59&lt;=cc_D,0.0035*($C59-L$18)/$C59,0.002*($C59-L$18)/($C59-3*cc_D/7))))-fcd_cc*(1-(1-MAX(0,MIN(1,IF($C59&lt;=cc_D,0.0035*($C59-L$18)/$C59,0.002*($C59-L$18)/($C59-3*cc_D/7))/0.002)))^2)</f>
        <v/>
      </c>
      <c r="AK59">
        <f>MAX(-fyd_cc,MIN(fyd_cc,Es_cc*IF($C59&lt;=cc_D,0.0035*($C59-M$18)/$C59,0.002*($C59-M$18)/($C59-3*cc_D/7))))-fcd_cc*(1-(1-MAX(0,MIN(1,IF($C59&lt;=cc_D,0.0035*($C59-M$18)/$C59,0.002*($C59-M$18)/($C59-3*cc_D/7))/0.002)))^2)</f>
        <v/>
      </c>
      <c r="AL59">
        <f>MAX(-fyd_cc,MIN(fyd_cc,Es_cc*IF($C59&lt;=cc_D,0.0035*($C59-N$18)/$C59,0.002*($C59-N$18)/($C59-3*cc_D/7))))-fcd_cc*(1-(1-MAX(0,MIN(1,IF($C59&lt;=cc_D,0.0035*($C59-N$18)/$C59,0.002*($C59-N$18)/($C59-3*cc_D/7))/0.002)))^2)</f>
        <v/>
      </c>
      <c r="AM59">
        <f>MAX(-fyd_cc,MIN(fyd_cc,Es_cc*IF($C59&lt;=cc_D,0.0035*($C59-O$18)/$C59,0.002*($C59-O$18)/($C59-3*cc_D/7))))-fcd_cc*(1-(1-MAX(0,MIN(1,IF($C59&lt;=cc_D,0.0035*($C59-O$18)/$C59,0.002*($C59-O$18)/($C59-3*cc_D/7))/0.002)))^2)</f>
        <v/>
      </c>
      <c r="AN59">
        <f>MAX(-fyd_cc,MIN(fyd_cc,Es_cc*IF($C59&lt;=cc_D,0.0035*($C59-P$18)/$C59,0.002*($C59-P$18)/($C59-3*cc_D/7))))-fcd_cc*(1-(1-MAX(0,MIN(1,IF($C59&lt;=cc_D,0.0035*($C59-P$18)/$C59,0.002*($C59-P$18)/($C59-3*cc_D/7))/0.002)))^2)</f>
        <v/>
      </c>
      <c r="AO59">
        <f>MAX(-fyd_cc,MIN(fyd_cc,Es_cc*IF($C59&lt;=cc_D,0.0035*($C59-Q$18)/$C59,0.002*($C59-Q$18)/($C59-3*cc_D/7))))-fcd_cc*(1-(1-MAX(0,MIN(1,IF($C59&lt;=cc_D,0.0035*($C59-Q$18)/$C59,0.002*($C59-Q$18)/($C59-3*cc_D/7))/0.002)))^2)</f>
        <v/>
      </c>
      <c r="AP59">
        <f>MAX(-fyd_cc,MIN(fyd_cc,Es_cc*IF($C59&lt;=cc_D,0.0035*($C59-R$18)/$C59,0.002*($C59-R$18)/($C59-3*cc_D/7))))-fcd_cc*(1-(1-MAX(0,MIN(1,IF($C59&lt;=cc_D,0.0035*($C59-R$18)/$C59,0.002*($C59-R$18)/($C59-3*cc_D/7))/0.002)))^2)</f>
        <v/>
      </c>
      <c r="AQ59">
        <f>MAX(-fyd_cc,MIN(fyd_cc,Es_cc*IF($C59&lt;=cc_D,0.0035*($C59-S$18)/$C59,0.002*($C59-S$18)/($C59-3*cc_D/7))))-fcd_cc*(1-(1-MAX(0,MIN(1,IF($C59&lt;=cc_D,0.0035*($C59-S$18)/$C59,0.002*($C59-S$18)/($C59-3*cc_D/7))/0.002)))^2)</f>
        <v/>
      </c>
      <c r="AR59">
        <f>MAX(-fyd_cc,MIN(fyd_cc,Es_cc*IF($C59&lt;=cc_D,0.0035*($C59-T$18)/$C59,0.002*($C59-T$18)/($C59-3*cc_D/7))))-fcd_cc*(1-(1-MAX(0,MIN(1,IF($C59&lt;=cc_D,0.0035*($C59-T$18)/$C59,0.002*($C59-T$18)/($C59-3*cc_D/7))/0.002)))^2)</f>
        <v/>
      </c>
      <c r="AS59">
        <f>MAX(-fyd_cc,MIN(fyd_cc,Es_cc*IF($C59&lt;=cc_D,0.0035*($C59-U$18)/$C59,0.002*($C59-U$18)/($C59-3*cc_D/7))))-fcd_cc*(1-(1-MAX(0,MIN(1,IF($C59&lt;=cc_D,0.0035*($C59-U$18)/$C59,0.002*($C59-U$18)/($C59-3*cc_D/7))/0.002)))^2)</f>
        <v/>
      </c>
      <c r="AT59">
        <f>MAX(-fyd_cc,MIN(fyd_cc,Es_cc*IF($C59&lt;=cc_D,0.0035*($C59-V$18)/$C59,0.002*($C59-V$18)/($C59-3*cc_D/7))))-fcd_cc*(1-(1-MAX(0,MIN(1,IF($C59&lt;=cc_D,0.0035*($C59-V$18)/$C59,0.002*($C59-V$18)/($C59-3*cc_D/7))/0.002)))^2)</f>
        <v/>
      </c>
      <c r="AU59">
        <f>MAX(-fyd_cc,MIN(fyd_cc,Es_cc*IF($C59&lt;=cc_D,0.0035*($C59-W$18)/$C59,0.002*($C59-W$18)/($C59-3*cc_D/7))))-fcd_cc*(1-(1-MAX(0,MIN(1,IF($C59&lt;=cc_D,0.0035*($C59-W$18)/$C59,0.002*($C59-W$18)/($C59-3*cc_D/7))/0.002)))^2)</f>
        <v/>
      </c>
      <c r="AV59">
        <f>MAX(-fyd_cc,MIN(fyd_cc,Es_cc*IF($C59&lt;=cc_D,0.0035*($C59-X$18)/$C59,0.002*($C59-X$18)/($C59-3*cc_D/7))))-fcd_cc*(1-(1-MAX(0,MIN(1,IF($C59&lt;=cc_D,0.0035*($C59-X$18)/$C59,0.002*($C59-X$18)/($C59-3*cc_D/7))/0.002)))^2)</f>
        <v/>
      </c>
      <c r="AW59">
        <f>MAX(-fyd_cc,MIN(fyd_cc,Es_cc*IF($C59&lt;=cc_D,0.0035*($C59-Y$18)/$C59,0.002*($C59-Y$18)/($C59-3*cc_D/7))))-fcd_cc*(1-(1-MAX(0,MIN(1,IF($C59&lt;=cc_D,0.0035*($C59-Y$18)/$C59,0.002*($C59-Y$18)/($C59-3*cc_D/7))/0.002)))^2)</f>
        <v/>
      </c>
      <c r="AX59">
        <f>MAX(-fyd_cc,MIN(fyd_cc,Es_cc*IF($C59&lt;=cc_D,0.0035*($C59-Z$18)/$C59,0.002*($C59-Z$18)/($C59-3*cc_D/7))))-fcd_cc*(1-(1-MAX(0,MIN(1,IF($C59&lt;=cc_D,0.0035*($C59-Z$18)/$C59,0.002*($C59-Z$18)/($C59-3*cc_D/7))/0.002)))^2)</f>
        <v/>
      </c>
      <c r="AY59">
        <f>MAX(-fyd_cc,MIN(fyd_cc,Es_cc*IF($C59&lt;=cc_D,0.0035*($C59-AA$18)/$C59,0.002*($C59-AA$18)/($C59-3*cc_D/7))))-fcd_cc*(1-(1-MAX(0,MIN(1,IF($C59&lt;=cc_D,0.0035*($C59-AA$18)/$C59,0.002*($C59-AA$18)/($C59-3*cc_D/7))/0.002)))^2)</f>
        <v/>
      </c>
      <c r="AZ59">
        <f>MAX(-fyd_cc,MIN(fyd_cc,Es_cc*IF($C59&lt;=cc_D,0.0035*($C59-AB$18)/$C59,0.002*($C59-AB$18)/($C59-3*cc_D/7))))-fcd_cc*(1-(1-MAX(0,MIN(1,IF($C59&lt;=cc_D,0.0035*($C59-AB$18)/$C59,0.002*($C59-AB$18)/($C59-3*cc_D/7))/0.002)))^2)</f>
        <v/>
      </c>
      <c r="BA59">
        <f>MAX(-fyd_cc,MIN(fyd_cc,Es_cc*IF($C59&lt;=cc_D,0.0035*($C59-AC$18)/$C59,0.002*($C59-AC$18)/($C59-3*cc_D/7))))-fcd_cc*(1-(1-MAX(0,MIN(1,IF($C59&lt;=cc_D,0.0035*($C59-AC$18)/$C59,0.002*($C59-AC$18)/($C59-3*cc_D/7))/0.002)))^2)</f>
        <v/>
      </c>
      <c r="BB59">
        <f>MAX(-fyd_cc,MIN(fyd_cc,Es_cc*IF($C59&lt;=cc_D,0.0035*($C59-AD$18)/$C59,0.002*($C59-AD$18)/($C59-3*cc_D/7))))-fcd_cc*(1-(1-MAX(0,MIN(1,IF($C59&lt;=cc_D,0.0035*($C59-AD$18)/$C59,0.002*($C59-AD$18)/($C59-3*cc_D/7))/0.002)))^2)</f>
        <v/>
      </c>
      <c r="BC59">
        <f>MAX(-fyd_cc,MIN(fyd_cc,Es_cc*IF($C59&lt;=cc_D,0.0035*($C59-AE$18)/$C59,0.002*($C59-AE$18)/($C59-3*cc_D/7))))-fcd_cc*(1-(1-MAX(0,MIN(1,IF($C59&lt;=cc_D,0.0035*($C59-AE$18)/$C59,0.002*($C59-AE$18)/($C59-3*cc_D/7))/0.002)))^2)</f>
        <v/>
      </c>
      <c r="BD59">
        <f>MAX(-fyd_cc,MIN(fyd_cc,Es_cc*IF($C59&lt;=cc_D,0.0035*($C59-AF$18)/$C59,0.002*($C59-AF$18)/($C59-3*cc_D/7))))-fcd_cc*(1-(1-MAX(0,MIN(1,IF($C59&lt;=cc_D,0.0035*($C59-AF$18)/$C59,0.002*($C59-AF$18)/($C59-3*cc_D/7))/0.002)))^2)</f>
        <v/>
      </c>
      <c r="BE59">
        <f>MAX(-fyd_cc,MIN(fyd_cc,Es_cc*IF($C59&lt;=cc_D,0.0035*($C59-AG$18)/$C59,0.002*($C59-AG$18)/($C59-3*cc_D/7))))-fcd_cc*(1-(1-MAX(0,MIN(1,IF($C59&lt;=cc_D,0.0035*($C59-AG$18)/$C59,0.002*($C59-AG$18)/($C59-3*cc_D/7))/0.002)))^2)</f>
        <v/>
      </c>
      <c r="BF59">
        <f>3*MIN($C59,cc_D)/7</f>
        <v/>
      </c>
      <c r="BG59">
        <f>$C59-$BF59</f>
        <v/>
      </c>
      <c r="BH59">
        <f>ACOS(MAX(-1,MIN(1,1-$BF59/(cc_D/2))))</f>
        <v/>
      </c>
      <c r="BI59">
        <f>ACOS(MAX(-1,MIN(1,1-MIN($C59,cc_D)/(cc_D/2))))</f>
        <v/>
      </c>
      <c r="BJ59">
        <f>((cc_D/2*(1-COS(($BH59+0*($BI59-$BH59)/12)))-$BF59)/$BG59)^2*SIN(($BH59+0*($BI59-$BH59)/12))^2</f>
        <v/>
      </c>
      <c r="BK59">
        <f>((cc_D/2*(1-COS(($BH59+1*($BI59-$BH59)/12)))-$BF59)/$BG59)^2*SIN(($BH59+1*($BI59-$BH59)/12))^2</f>
        <v/>
      </c>
      <c r="BL59">
        <f>((cc_D/2*(1-COS(($BH59+2*($BI59-$BH59)/12)))-$BF59)/$BG59)^2*SIN(($BH59+2*($BI59-$BH59)/12))^2</f>
        <v/>
      </c>
      <c r="BM59">
        <f>((cc_D/2*(1-COS(($BH59+3*($BI59-$BH59)/12)))-$BF59)/$BG59)^2*SIN(($BH59+3*($BI59-$BH59)/12))^2</f>
        <v/>
      </c>
      <c r="BN59">
        <f>((cc_D/2*(1-COS(($BH59+4*($BI59-$BH59)/12)))-$BF59)/$BG59)^2*SIN(($BH59+4*($BI59-$BH59)/12))^2</f>
        <v/>
      </c>
      <c r="BO59">
        <f>((cc_D/2*(1-COS(($BH59+5*($BI59-$BH59)/12)))-$BF59)/$BG59)^2*SIN(($BH59+5*($BI59-$BH59)/12))^2</f>
        <v/>
      </c>
      <c r="BP59">
        <f>((cc_D/2*(1-COS(($BH59+6*($BI59-$BH59)/12)))-$BF59)/$BG59)^2*SIN(($BH59+6*($BI59-$BH59)/12))^2</f>
        <v/>
      </c>
      <c r="BQ59">
        <f>((cc_D/2*(1-COS(($BH59+7*($BI59-$BH59)/12)))-$BF59)/$BG59)^2*SIN(($BH59+7*($BI59-$BH59)/12))^2</f>
        <v/>
      </c>
      <c r="BR59">
        <f>((cc_D/2*(1-COS(($BH59+8*($BI59-$BH59)/12)))-$BF59)/$BG59)^2*SIN(($BH59+8*($BI59-$BH59)/12))^2</f>
        <v/>
      </c>
      <c r="BS59">
        <f>((cc_D/2*(1-COS(($BH59+9*($BI59-$BH59)/12)))-$BF59)/$BG59)^2*SIN(($BH59+9*($BI59-$BH59)/12))^2</f>
        <v/>
      </c>
      <c r="BT59">
        <f>((cc_D/2*(1-COS(($BH59+10*($BI59-$BH59)/12)))-$BF59)/$BG59)^2*SIN(($BH59+10*($BI59-$BH59)/12))^2</f>
        <v/>
      </c>
      <c r="BU59">
        <f>((cc_D/2*(1-COS(($BH59+11*($BI59-$BH59)/12)))-$BF59)/$BG59)^2*SIN(($BH59+11*($BI59-$BH59)/12))^2</f>
        <v/>
      </c>
      <c r="BV59">
        <f>((cc_D/2*(1-COS(($BH59+12*($BI59-$BH59)/12)))-$BF59)/$BG59)^2*SIN(($BH59+12*($BI59-$BH59)/12))^2</f>
        <v/>
      </c>
      <c r="BW59">
        <f>BJ59*COS(($BH59+0*($BI59-$BH59)/12))</f>
        <v/>
      </c>
      <c r="BX59">
        <f>BK59*COS(($BH59+1*($BI59-$BH59)/12))</f>
        <v/>
      </c>
      <c r="BY59">
        <f>BL59*COS(($BH59+2*($BI59-$BH59)/12))</f>
        <v/>
      </c>
      <c r="BZ59">
        <f>BM59*COS(($BH59+3*($BI59-$BH59)/12))</f>
        <v/>
      </c>
      <c r="CA59">
        <f>BN59*COS(($BH59+4*($BI59-$BH59)/12))</f>
        <v/>
      </c>
      <c r="CB59">
        <f>BO59*COS(($BH59+5*($BI59-$BH59)/12))</f>
        <v/>
      </c>
      <c r="CC59">
        <f>BP59*COS(($BH59+6*($BI59-$BH59)/12))</f>
        <v/>
      </c>
      <c r="CD59">
        <f>BQ59*COS(($BH59+7*($BI59-$BH59)/12))</f>
        <v/>
      </c>
      <c r="CE59">
        <f>BR59*COS(($BH59+8*($BI59-$BH59)/12))</f>
        <v/>
      </c>
      <c r="CF59">
        <f>BS59*COS(($BH59+9*($BI59-$BH59)/12))</f>
        <v/>
      </c>
      <c r="CG59">
        <f>BT59*COS(($BH59+10*($BI59-$BH59)/12))</f>
        <v/>
      </c>
      <c r="CH59">
        <f>BU59*COS(($BH59+11*($BI59-$BH59)/12))</f>
        <v/>
      </c>
      <c r="CI59">
        <f>BV59*COS(($BH59+12*($BI59-$BH59)/12))</f>
        <v/>
      </c>
    </row>
    <row r="60">
      <c r="B60" s="53" t="n">
        <v>35</v>
      </c>
      <c r="C60" s="54">
        <f>4*cc_D</f>
        <v/>
      </c>
      <c r="D60" s="55">
        <f>IF($C60&lt;=cc_D,3.5,2*$C60/($C60-3*cc_D/7))</f>
        <v/>
      </c>
      <c r="E60" s="56">
        <f>(fcd_cc*((cc_D/2)^2*($BI60-COS($BI60)*SIN($BI60))-2*(cc_D/2)^2*($BI60-$BH60)/12/3*SUMPRODUCT($BJ$4:$BV$4,$BJ60:$BV60))+SUMPRODUCT($J$5:$AG$5,$J60:$AG60))/1000</f>
        <v/>
      </c>
      <c r="F60" s="56">
        <f>(fcd_cc*(2/3*(cc_D/2)^3*SIN($BI60)^3-2*(cc_D/2)^3*($BI60-$BH60)/12/3*SUMPRODUCT($BW$4:$CI$4,$BW60:$CI60))+SUMPRODUCT($J$5:$AG$5,$J60:$AG60,$J$7:$AG$7))/1E6</f>
        <v/>
      </c>
      <c r="G60" s="56">
        <f>(fcd_cc*((cc_D/2)^2*($BI60-COS($BI60)*SIN($BI60))-2*(cc_D/2)^2*($BI60-$BH60)/12/3*SUMPRODUCT($BJ$4:$BV$4,$BJ60:$BV60))+SUMPRODUCT($J$5:$AG$5,$AH60:$BE60))/1000</f>
        <v/>
      </c>
      <c r="H60" s="56">
        <f>(fcd_cc*(2/3*(cc_D/2)^3*SIN($BI60)^3-2*(cc_D/2)^3*($BI60-$BH60)/12/3*SUMPRODUCT($BW$4:$CI$4,$BW60:$CI60))+SUMPRODUCT($J$5:$AG$5,$AH60:$BE60,$J$19:$AG$19))/1E6</f>
        <v/>
      </c>
      <c r="J60">
        <f>MAX(-fyd_cc,MIN(fyd_cc,Es_cc*IF($C60&lt;=cc_D,0.0035*($C60-J$6)/$C60,0.002*($C60-J$6)/($C60-3*cc_D/7))))-fcd_cc*(1-(1-MAX(0,MIN(1,IF($C60&lt;=cc_D,0.0035*($C60-J$6)/$C60,0.002*($C60-J$6)/($C60-3*cc_D/7))/0.002)))^2)</f>
        <v/>
      </c>
      <c r="K60">
        <f>MAX(-fyd_cc,MIN(fyd_cc,Es_cc*IF($C60&lt;=cc_D,0.0035*($C60-K$6)/$C60,0.002*($C60-K$6)/($C60-3*cc_D/7))))-fcd_cc*(1-(1-MAX(0,MIN(1,IF($C60&lt;=cc_D,0.0035*($C60-K$6)/$C60,0.002*($C60-K$6)/($C60-3*cc_D/7))/0.002)))^2)</f>
        <v/>
      </c>
      <c r="L60">
        <f>MAX(-fyd_cc,MIN(fyd_cc,Es_cc*IF($C60&lt;=cc_D,0.0035*($C60-L$6)/$C60,0.002*($C60-L$6)/($C60-3*cc_D/7))))-fcd_cc*(1-(1-MAX(0,MIN(1,IF($C60&lt;=cc_D,0.0035*($C60-L$6)/$C60,0.002*($C60-L$6)/($C60-3*cc_D/7))/0.002)))^2)</f>
        <v/>
      </c>
      <c r="M60">
        <f>MAX(-fyd_cc,MIN(fyd_cc,Es_cc*IF($C60&lt;=cc_D,0.0035*($C60-M$6)/$C60,0.002*($C60-M$6)/($C60-3*cc_D/7))))-fcd_cc*(1-(1-MAX(0,MIN(1,IF($C60&lt;=cc_D,0.0035*($C60-M$6)/$C60,0.002*($C60-M$6)/($C60-3*cc_D/7))/0.002)))^2)</f>
        <v/>
      </c>
      <c r="N60">
        <f>MAX(-fyd_cc,MIN(fyd_cc,Es_cc*IF($C60&lt;=cc_D,0.0035*($C60-N$6)/$C60,0.002*($C60-N$6)/($C60-3*cc_D/7))))-fcd_cc*(1-(1-MAX(0,MIN(1,IF($C60&lt;=cc_D,0.0035*($C60-N$6)/$C60,0.002*($C60-N$6)/($C60-3*cc_D/7))/0.002)))^2)</f>
        <v/>
      </c>
      <c r="O60">
        <f>MAX(-fyd_cc,MIN(fyd_cc,Es_cc*IF($C60&lt;=cc_D,0.0035*($C60-O$6)/$C60,0.002*($C60-O$6)/($C60-3*cc_D/7))))-fcd_cc*(1-(1-MAX(0,MIN(1,IF($C60&lt;=cc_D,0.0035*($C60-O$6)/$C60,0.002*($C60-O$6)/($C60-3*cc_D/7))/0.002)))^2)</f>
        <v/>
      </c>
      <c r="P60">
        <f>MAX(-fyd_cc,MIN(fyd_cc,Es_cc*IF($C60&lt;=cc_D,0.0035*($C60-P$6)/$C60,0.002*($C60-P$6)/($C60-3*cc_D/7))))-fcd_cc*(1-(1-MAX(0,MIN(1,IF($C60&lt;=cc_D,0.0035*($C60-P$6)/$C60,0.002*($C60-P$6)/($C60-3*cc_D/7))/0.002)))^2)</f>
        <v/>
      </c>
      <c r="Q60">
        <f>MAX(-fyd_cc,MIN(fyd_cc,Es_cc*IF($C60&lt;=cc_D,0.0035*($C60-Q$6)/$C60,0.002*($C60-Q$6)/($C60-3*cc_D/7))))-fcd_cc*(1-(1-MAX(0,MIN(1,IF($C60&lt;=cc_D,0.0035*($C60-Q$6)/$C60,0.002*($C60-Q$6)/($C60-3*cc_D/7))/0.002)))^2)</f>
        <v/>
      </c>
      <c r="R60">
        <f>MAX(-fyd_cc,MIN(fyd_cc,Es_cc*IF($C60&lt;=cc_D,0.0035*($C60-R$6)/$C60,0.002*($C60-R$6)/($C60-3*cc_D/7))))-fcd_cc*(1-(1-MAX(0,MIN(1,IF($C60&lt;=cc_D,0.0035*($C60-R$6)/$C60,0.002*($C60-R$6)/($C60-3*cc_D/7))/0.002)))^2)</f>
        <v/>
      </c>
      <c r="S60">
        <f>MAX(-fyd_cc,MIN(fyd_cc,Es_cc*IF($C60&lt;=cc_D,0.0035*($C60-S$6)/$C60,0.002*($C60-S$6)/($C60-3*cc_D/7))))-fcd_cc*(1-(1-MAX(0,MIN(1,IF($C60&lt;=cc_D,0.0035*($C60-S$6)/$C60,0.002*($C60-S$6)/($C60-3*cc_D/7))/0.002)))^2)</f>
        <v/>
      </c>
      <c r="T60">
        <f>MAX(-fyd_cc,MIN(fyd_cc,Es_cc*IF($C60&lt;=cc_D,0.0035*($C60-T$6)/$C60,0.002*($C60-T$6)/($C60-3*cc_D/7))))-fcd_cc*(1-(1-MAX(0,MIN(1,IF($C60&lt;=cc_D,0.0035*($C60-T$6)/$C60,0.002*($C60-T$6)/($C60-3*cc_D/7))/0.002)))^2)</f>
        <v/>
      </c>
      <c r="U60">
        <f>MAX(-fyd_cc,MIN(fyd_cc,Es_cc*IF($C60&lt;=cc_D,0.0035*($C60-U$6)/$C60,0.002*($C60-U$6)/($C60-3*cc_D/7))))-fcd_cc*(1-(1-MAX(0,MIN(1,IF($C60&lt;=cc_D,0.0035*($C60-U$6)/$C60,0.002*($C60-U$6)/($C60-3*cc_D/7))/0.002)))^2)</f>
        <v/>
      </c>
      <c r="V60">
        <f>MAX(-fyd_cc,MIN(fyd_cc,Es_cc*IF($C60&lt;=cc_D,0.0035*($C60-V$6)/$C60,0.002*($C60-V$6)/($C60-3*cc_D/7))))-fcd_cc*(1-(1-MAX(0,MIN(1,IF($C60&lt;=cc_D,0.0035*($C60-V$6)/$C60,0.002*($C60-V$6)/($C60-3*cc_D/7))/0.002)))^2)</f>
        <v/>
      </c>
      <c r="W60">
        <f>MAX(-fyd_cc,MIN(fyd_cc,Es_cc*IF($C60&lt;=cc_D,0.0035*($C60-W$6)/$C60,0.002*($C60-W$6)/($C60-3*cc_D/7))))-fcd_cc*(1-(1-MAX(0,MIN(1,IF($C60&lt;=cc_D,0.0035*($C60-W$6)/$C60,0.002*($C60-W$6)/($C60-3*cc_D/7))/0.002)))^2)</f>
        <v/>
      </c>
      <c r="X60">
        <f>MAX(-fyd_cc,MIN(fyd_cc,Es_cc*IF($C60&lt;=cc_D,0.0035*($C60-X$6)/$C60,0.002*($C60-X$6)/($C60-3*cc_D/7))))-fcd_cc*(1-(1-MAX(0,MIN(1,IF($C60&lt;=cc_D,0.0035*($C60-X$6)/$C60,0.002*($C60-X$6)/($C60-3*cc_D/7))/0.002)))^2)</f>
        <v/>
      </c>
      <c r="Y60">
        <f>MAX(-fyd_cc,MIN(fyd_cc,Es_cc*IF($C60&lt;=cc_D,0.0035*($C60-Y$6)/$C60,0.002*($C60-Y$6)/($C60-3*cc_D/7))))-fcd_cc*(1-(1-MAX(0,MIN(1,IF($C60&lt;=cc_D,0.0035*($C60-Y$6)/$C60,0.002*($C60-Y$6)/($C60-3*cc_D/7))/0.002)))^2)</f>
        <v/>
      </c>
      <c r="Z60">
        <f>MAX(-fyd_cc,MIN(fyd_cc,Es_cc*IF($C60&lt;=cc_D,0.0035*($C60-Z$6)/$C60,0.002*($C60-Z$6)/($C60-3*cc_D/7))))-fcd_cc*(1-(1-MAX(0,MIN(1,IF($C60&lt;=cc_D,0.0035*($C60-Z$6)/$C60,0.002*($C60-Z$6)/($C60-3*cc_D/7))/0.002)))^2)</f>
        <v/>
      </c>
      <c r="AA60">
        <f>MAX(-fyd_cc,MIN(fyd_cc,Es_cc*IF($C60&lt;=cc_D,0.0035*($C60-AA$6)/$C60,0.002*($C60-AA$6)/($C60-3*cc_D/7))))-fcd_cc*(1-(1-MAX(0,MIN(1,IF($C60&lt;=cc_D,0.0035*($C60-AA$6)/$C60,0.002*($C60-AA$6)/($C60-3*cc_D/7))/0.002)))^2)</f>
        <v/>
      </c>
      <c r="AB60">
        <f>MAX(-fyd_cc,MIN(fyd_cc,Es_cc*IF($C60&lt;=cc_D,0.0035*($C60-AB$6)/$C60,0.002*($C60-AB$6)/($C60-3*cc_D/7))))-fcd_cc*(1-(1-MAX(0,MIN(1,IF($C60&lt;=cc_D,0.0035*($C60-AB$6)/$C60,0.002*($C60-AB$6)/($C60-3*cc_D/7))/0.002)))^2)</f>
        <v/>
      </c>
      <c r="AC60">
        <f>MAX(-fyd_cc,MIN(fyd_cc,Es_cc*IF($C60&lt;=cc_D,0.0035*($C60-AC$6)/$C60,0.002*($C60-AC$6)/($C60-3*cc_D/7))))-fcd_cc*(1-(1-MAX(0,MIN(1,IF($C60&lt;=cc_D,0.0035*($C60-AC$6)/$C60,0.002*($C60-AC$6)/($C60-3*cc_D/7))/0.002)))^2)</f>
        <v/>
      </c>
      <c r="AD60">
        <f>MAX(-fyd_cc,MIN(fyd_cc,Es_cc*IF($C60&lt;=cc_D,0.0035*($C60-AD$6)/$C60,0.002*($C60-AD$6)/($C60-3*cc_D/7))))-fcd_cc*(1-(1-MAX(0,MIN(1,IF($C60&lt;=cc_D,0.0035*($C60-AD$6)/$C60,0.002*($C60-AD$6)/($C60-3*cc_D/7))/0.002)))^2)</f>
        <v/>
      </c>
      <c r="AE60">
        <f>MAX(-fyd_cc,MIN(fyd_cc,Es_cc*IF($C60&lt;=cc_D,0.0035*($C60-AE$6)/$C60,0.002*($C60-AE$6)/($C60-3*cc_D/7))))-fcd_cc*(1-(1-MAX(0,MIN(1,IF($C60&lt;=cc_D,0.0035*($C60-AE$6)/$C60,0.002*($C60-AE$6)/($C60-3*cc_D/7))/0.002)))^2)</f>
        <v/>
      </c>
      <c r="AF60">
        <f>MAX(-fyd_cc,MIN(fyd_cc,Es_cc*IF($C60&lt;=cc_D,0.0035*($C60-AF$6)/$C60,0.002*($C60-AF$6)/($C60-3*cc_D/7))))-fcd_cc*(1-(1-MAX(0,MIN(1,IF($C60&lt;=cc_D,0.0035*($C60-AF$6)/$C60,0.002*($C60-AF$6)/($C60-3*cc_D/7))/0.002)))^2)</f>
        <v/>
      </c>
      <c r="AG60">
        <f>MAX(-fyd_cc,MIN(fyd_cc,Es_cc*IF($C60&lt;=cc_D,0.0035*($C60-AG$6)/$C60,0.002*($C60-AG$6)/($C60-3*cc_D/7))))-fcd_cc*(1-(1-MAX(0,MIN(1,IF($C60&lt;=cc_D,0.0035*($C60-AG$6)/$C60,0.002*($C60-AG$6)/($C60-3*cc_D/7))/0.002)))^2)</f>
        <v/>
      </c>
      <c r="AH60">
        <f>MAX(-fyd_cc,MIN(fyd_cc,Es_cc*IF($C60&lt;=cc_D,0.0035*($C60-J$18)/$C60,0.002*($C60-J$18)/($C60-3*cc_D/7))))-fcd_cc*(1-(1-MAX(0,MIN(1,IF($C60&lt;=cc_D,0.0035*($C60-J$18)/$C60,0.002*($C60-J$18)/($C60-3*cc_D/7))/0.002)))^2)</f>
        <v/>
      </c>
      <c r="AI60">
        <f>MAX(-fyd_cc,MIN(fyd_cc,Es_cc*IF($C60&lt;=cc_D,0.0035*($C60-K$18)/$C60,0.002*($C60-K$18)/($C60-3*cc_D/7))))-fcd_cc*(1-(1-MAX(0,MIN(1,IF($C60&lt;=cc_D,0.0035*($C60-K$18)/$C60,0.002*($C60-K$18)/($C60-3*cc_D/7))/0.002)))^2)</f>
        <v/>
      </c>
      <c r="AJ60">
        <f>MAX(-fyd_cc,MIN(fyd_cc,Es_cc*IF($C60&lt;=cc_D,0.0035*($C60-L$18)/$C60,0.002*($C60-L$18)/($C60-3*cc_D/7))))-fcd_cc*(1-(1-MAX(0,MIN(1,IF($C60&lt;=cc_D,0.0035*($C60-L$18)/$C60,0.002*($C60-L$18)/($C60-3*cc_D/7))/0.002)))^2)</f>
        <v/>
      </c>
      <c r="AK60">
        <f>MAX(-fyd_cc,MIN(fyd_cc,Es_cc*IF($C60&lt;=cc_D,0.0035*($C60-M$18)/$C60,0.002*($C60-M$18)/($C60-3*cc_D/7))))-fcd_cc*(1-(1-MAX(0,MIN(1,IF($C60&lt;=cc_D,0.0035*($C60-M$18)/$C60,0.002*($C60-M$18)/($C60-3*cc_D/7))/0.002)))^2)</f>
        <v/>
      </c>
      <c r="AL60">
        <f>MAX(-fyd_cc,MIN(fyd_cc,Es_cc*IF($C60&lt;=cc_D,0.0035*($C60-N$18)/$C60,0.002*($C60-N$18)/($C60-3*cc_D/7))))-fcd_cc*(1-(1-MAX(0,MIN(1,IF($C60&lt;=cc_D,0.0035*($C60-N$18)/$C60,0.002*($C60-N$18)/($C60-3*cc_D/7))/0.002)))^2)</f>
        <v/>
      </c>
      <c r="AM60">
        <f>MAX(-fyd_cc,MIN(fyd_cc,Es_cc*IF($C60&lt;=cc_D,0.0035*($C60-O$18)/$C60,0.002*($C60-O$18)/($C60-3*cc_D/7))))-fcd_cc*(1-(1-MAX(0,MIN(1,IF($C60&lt;=cc_D,0.0035*($C60-O$18)/$C60,0.002*($C60-O$18)/($C60-3*cc_D/7))/0.002)))^2)</f>
        <v/>
      </c>
      <c r="AN60">
        <f>MAX(-fyd_cc,MIN(fyd_cc,Es_cc*IF($C60&lt;=cc_D,0.0035*($C60-P$18)/$C60,0.002*($C60-P$18)/($C60-3*cc_D/7))))-fcd_cc*(1-(1-MAX(0,MIN(1,IF($C60&lt;=cc_D,0.0035*($C60-P$18)/$C60,0.002*($C60-P$18)/($C60-3*cc_D/7))/0.002)))^2)</f>
        <v/>
      </c>
      <c r="AO60">
        <f>MAX(-fyd_cc,MIN(fyd_cc,Es_cc*IF($C60&lt;=cc_D,0.0035*($C60-Q$18)/$C60,0.002*($C60-Q$18)/($C60-3*cc_D/7))))-fcd_cc*(1-(1-MAX(0,MIN(1,IF($C60&lt;=cc_D,0.0035*($C60-Q$18)/$C60,0.002*($C60-Q$18)/($C60-3*cc_D/7))/0.002)))^2)</f>
        <v/>
      </c>
      <c r="AP60">
        <f>MAX(-fyd_cc,MIN(fyd_cc,Es_cc*IF($C60&lt;=cc_D,0.0035*($C60-R$18)/$C60,0.002*($C60-R$18)/($C60-3*cc_D/7))))-fcd_cc*(1-(1-MAX(0,MIN(1,IF($C60&lt;=cc_D,0.0035*($C60-R$18)/$C60,0.002*($C60-R$18)/($C60-3*cc_D/7))/0.002)))^2)</f>
        <v/>
      </c>
      <c r="AQ60">
        <f>MAX(-fyd_cc,MIN(fyd_cc,Es_cc*IF($C60&lt;=cc_D,0.0035*($C60-S$18)/$C60,0.002*($C60-S$18)/($C60-3*cc_D/7))))-fcd_cc*(1-(1-MAX(0,MIN(1,IF($C60&lt;=cc_D,0.0035*($C60-S$18)/$C60,0.002*($C60-S$18)/($C60-3*cc_D/7))/0.002)))^2)</f>
        <v/>
      </c>
      <c r="AR60">
        <f>MAX(-fyd_cc,MIN(fyd_cc,Es_cc*IF($C60&lt;=cc_D,0.0035*($C60-T$18)/$C60,0.002*($C60-T$18)/($C60-3*cc_D/7))))-fcd_cc*(1-(1-MAX(0,MIN(1,IF($C60&lt;=cc_D,0.0035*($C60-T$18)/$C60,0.002*($C60-T$18)/($C60-3*cc_D/7))/0.002)))^2)</f>
        <v/>
      </c>
      <c r="AS60">
        <f>MAX(-fyd_cc,MIN(fyd_cc,Es_cc*IF($C60&lt;=cc_D,0.0035*($C60-U$18)/$C60,0.002*($C60-U$18)/($C60-3*cc_D/7))))-fcd_cc*(1-(1-MAX(0,MIN(1,IF($C60&lt;=cc_D,0.0035*($C60-U$18)/$C60,0.002*($C60-U$18)/($C60-3*cc_D/7))/0.002)))^2)</f>
        <v/>
      </c>
      <c r="AT60">
        <f>MAX(-fyd_cc,MIN(fyd_cc,Es_cc*IF($C60&lt;=cc_D,0.0035*($C60-V$18)/$C60,0.002*($C60-V$18)/($C60-3*cc_D/7))))-fcd_cc*(1-(1-MAX(0,MIN(1,IF($C60&lt;=cc_D,0.0035*($C60-V$18)/$C60,0.002*($C60-V$18)/($C60-3*cc_D/7))/0.002)))^2)</f>
        <v/>
      </c>
      <c r="AU60">
        <f>MAX(-fyd_cc,MIN(fyd_cc,Es_cc*IF($C60&lt;=cc_D,0.0035*($C60-W$18)/$C60,0.002*($C60-W$18)/($C60-3*cc_D/7))))-fcd_cc*(1-(1-MAX(0,MIN(1,IF($C60&lt;=cc_D,0.0035*($C60-W$18)/$C60,0.002*($C60-W$18)/($C60-3*cc_D/7))/0.002)))^2)</f>
        <v/>
      </c>
      <c r="AV60">
        <f>MAX(-fyd_cc,MIN(fyd_cc,Es_cc*IF($C60&lt;=cc_D,0.0035*($C60-X$18)/$C60,0.002*($C60-X$18)/($C60-3*cc_D/7))))-fcd_cc*(1-(1-MAX(0,MIN(1,IF($C60&lt;=cc_D,0.0035*($C60-X$18)/$C60,0.002*($C60-X$18)/($C60-3*cc_D/7))/0.002)))^2)</f>
        <v/>
      </c>
      <c r="AW60">
        <f>MAX(-fyd_cc,MIN(fyd_cc,Es_cc*IF($C60&lt;=cc_D,0.0035*($C60-Y$18)/$C60,0.002*($C60-Y$18)/($C60-3*cc_D/7))))-fcd_cc*(1-(1-MAX(0,MIN(1,IF($C60&lt;=cc_D,0.0035*($C60-Y$18)/$C60,0.002*($C60-Y$18)/($C60-3*cc_D/7))/0.002)))^2)</f>
        <v/>
      </c>
      <c r="AX60">
        <f>MAX(-fyd_cc,MIN(fyd_cc,Es_cc*IF($C60&lt;=cc_D,0.0035*($C60-Z$18)/$C60,0.002*($C60-Z$18)/($C60-3*cc_D/7))))-fcd_cc*(1-(1-MAX(0,MIN(1,IF($C60&lt;=cc_D,0.0035*($C60-Z$18)/$C60,0.002*($C60-Z$18)/($C60-3*cc_D/7))/0.002)))^2)</f>
        <v/>
      </c>
      <c r="AY60">
        <f>MAX(-fyd_cc,MIN(fyd_cc,Es_cc*IF($C60&lt;=cc_D,0.0035*($C60-AA$18)/$C60,0.002*($C60-AA$18)/($C60-3*cc_D/7))))-fcd_cc*(1-(1-MAX(0,MIN(1,IF($C60&lt;=cc_D,0.0035*($C60-AA$18)/$C60,0.002*($C60-AA$18)/($C60-3*cc_D/7))/0.002)))^2)</f>
        <v/>
      </c>
      <c r="AZ60">
        <f>MAX(-fyd_cc,MIN(fyd_cc,Es_cc*IF($C60&lt;=cc_D,0.0035*($C60-AB$18)/$C60,0.002*($C60-AB$18)/($C60-3*cc_D/7))))-fcd_cc*(1-(1-MAX(0,MIN(1,IF($C60&lt;=cc_D,0.0035*($C60-AB$18)/$C60,0.002*($C60-AB$18)/($C60-3*cc_D/7))/0.002)))^2)</f>
        <v/>
      </c>
      <c r="BA60">
        <f>MAX(-fyd_cc,MIN(fyd_cc,Es_cc*IF($C60&lt;=cc_D,0.0035*($C60-AC$18)/$C60,0.002*($C60-AC$18)/($C60-3*cc_D/7))))-fcd_cc*(1-(1-MAX(0,MIN(1,IF($C60&lt;=cc_D,0.0035*($C60-AC$18)/$C60,0.002*($C60-AC$18)/($C60-3*cc_D/7))/0.002)))^2)</f>
        <v/>
      </c>
      <c r="BB60">
        <f>MAX(-fyd_cc,MIN(fyd_cc,Es_cc*IF($C60&lt;=cc_D,0.0035*($C60-AD$18)/$C60,0.002*($C60-AD$18)/($C60-3*cc_D/7))))-fcd_cc*(1-(1-MAX(0,MIN(1,IF($C60&lt;=cc_D,0.0035*($C60-AD$18)/$C60,0.002*($C60-AD$18)/($C60-3*cc_D/7))/0.002)))^2)</f>
        <v/>
      </c>
      <c r="BC60">
        <f>MAX(-fyd_cc,MIN(fyd_cc,Es_cc*IF($C60&lt;=cc_D,0.0035*($C60-AE$18)/$C60,0.002*($C60-AE$18)/($C60-3*cc_D/7))))-fcd_cc*(1-(1-MAX(0,MIN(1,IF($C60&lt;=cc_D,0.0035*($C60-AE$18)/$C60,0.002*($C60-AE$18)/($C60-3*cc_D/7))/0.002)))^2)</f>
        <v/>
      </c>
      <c r="BD60">
        <f>MAX(-fyd_cc,MIN(fyd_cc,Es_cc*IF($C60&lt;=cc_D,0.0035*($C60-AF$18)/$C60,0.002*($C60-AF$18)/($C60-3*cc_D/7))))-fcd_cc*(1-(1-MAX(0,MIN(1,IF($C60&lt;=cc_D,0.0035*($C60-AF$18)/$C60,0.002*($C60-AF$18)/($C60-3*cc_D/7))/0.002)))^2)</f>
        <v/>
      </c>
      <c r="BE60">
        <f>MAX(-fyd_cc,MIN(fyd_cc,Es_cc*IF($C60&lt;=cc_D,0.0035*($C60-AG$18)/$C60,0.002*($C60-AG$18)/($C60-3*cc_D/7))))-fcd_cc*(1-(1-MAX(0,MIN(1,IF($C60&lt;=cc_D,0.0035*($C60-AG$18)/$C60,0.002*($C60-AG$18)/($C60-3*cc_D/7))/0.002)))^2)</f>
        <v/>
      </c>
      <c r="BF60">
        <f>3*MIN($C60,cc_D)/7</f>
        <v/>
      </c>
      <c r="BG60">
        <f>$C60-$BF60</f>
        <v/>
      </c>
      <c r="BH60">
        <f>ACOS(MAX(-1,MIN(1,1-$BF60/(cc_D/2))))</f>
        <v/>
      </c>
      <c r="BI60">
        <f>ACOS(MAX(-1,MIN(1,1-MIN($C60,cc_D)/(cc_D/2))))</f>
        <v/>
      </c>
      <c r="BJ60">
        <f>((cc_D/2*(1-COS(($BH60+0*($BI60-$BH60)/12)))-$BF60)/$BG60)^2*SIN(($BH60+0*($BI60-$BH60)/12))^2</f>
        <v/>
      </c>
      <c r="BK60">
        <f>((cc_D/2*(1-COS(($BH60+1*($BI60-$BH60)/12)))-$BF60)/$BG60)^2*SIN(($BH60+1*($BI60-$BH60)/12))^2</f>
        <v/>
      </c>
      <c r="BL60">
        <f>((cc_D/2*(1-COS(($BH60+2*($BI60-$BH60)/12)))-$BF60)/$BG60)^2*SIN(($BH60+2*($BI60-$BH60)/12))^2</f>
        <v/>
      </c>
      <c r="BM60">
        <f>((cc_D/2*(1-COS(($BH60+3*($BI60-$BH60)/12)))-$BF60)/$BG60)^2*SIN(($BH60+3*($BI60-$BH60)/12))^2</f>
        <v/>
      </c>
      <c r="BN60">
        <f>((cc_D/2*(1-COS(($BH60+4*($BI60-$BH60)/12)))-$BF60)/$BG60)^2*SIN(($BH60+4*($BI60-$BH60)/12))^2</f>
        <v/>
      </c>
      <c r="BO60">
        <f>((cc_D/2*(1-COS(($BH60+5*($BI60-$BH60)/12)))-$BF60)/$BG60)^2*SIN(($BH60+5*($BI60-$BH60)/12))^2</f>
        <v/>
      </c>
      <c r="BP60">
        <f>((cc_D/2*(1-COS(($BH60+6*($BI60-$BH60)/12)))-$BF60)/$BG60)^2*SIN(($BH60+6*($BI60-$BH60)/12))^2</f>
        <v/>
      </c>
      <c r="BQ60">
        <f>((cc_D/2*(1-COS(($BH60+7*($BI60-$BH60)/12)))-$BF60)/$BG60)^2*SIN(($BH60+7*($BI60-$BH60)/12))^2</f>
        <v/>
      </c>
      <c r="BR60">
        <f>((cc_D/2*(1-COS(($BH60+8*($BI60-$BH60)/12)))-$BF60)/$BG60)^2*SIN(($BH60+8*($BI60-$BH60)/12))^2</f>
        <v/>
      </c>
      <c r="BS60">
        <f>((cc_D/2*(1-COS(($BH60+9*($BI60-$BH60)/12)))-$BF60)/$BG60)^2*SIN(($BH60+9*($BI60-$BH60)/12))^2</f>
        <v/>
      </c>
      <c r="BT60">
        <f>((cc_D/2*(1-COS(($BH60+10*($BI60-$BH60)/12)))-$BF60)/$BG60)^2*SIN(($BH60+10*($BI60-$BH60)/12))^2</f>
        <v/>
      </c>
      <c r="BU60">
        <f>((cc_D/2*(1-COS(($BH60+11*($BI60-$BH60)/12)))-$BF60)/$BG60)^2*SIN(($BH60+11*($BI60-$BH60)/12))^2</f>
        <v/>
      </c>
      <c r="BV60">
        <f>((cc_D/2*(1-COS(($BH60+12*($BI60-$BH60)/12)))-$BF60)/$BG60)^2*SIN(($BH60+12*($BI60-$BH60)/12))^2</f>
        <v/>
      </c>
      <c r="BW60">
        <f>BJ60*COS(($BH60+0*($BI60-$BH60)/12))</f>
        <v/>
      </c>
      <c r="BX60">
        <f>BK60*COS(($BH60+1*($BI60-$BH60)/12))</f>
        <v/>
      </c>
      <c r="BY60">
        <f>BL60*COS(($BH60+2*($BI60-$BH60)/12))</f>
        <v/>
      </c>
      <c r="BZ60">
        <f>BM60*COS(($BH60+3*($BI60-$BH60)/12))</f>
        <v/>
      </c>
      <c r="CA60">
        <f>BN60*COS(($BH60+4*($BI60-$BH60)/12))</f>
        <v/>
      </c>
      <c r="CB60">
        <f>BO60*COS(($BH60+5*($BI60-$BH60)/12))</f>
        <v/>
      </c>
      <c r="CC60">
        <f>BP60*COS(($BH60+6*($BI60-$BH60)/12))</f>
        <v/>
      </c>
      <c r="CD60">
        <f>BQ60*COS(($BH60+7*($BI60-$BH60)/12))</f>
        <v/>
      </c>
      <c r="CE60">
        <f>BR60*COS(($BH60+8*($BI60-$BH60)/12))</f>
        <v/>
      </c>
      <c r="CF60">
        <f>BS60*COS(($BH60+9*($BI60-$BH60)/12))</f>
        <v/>
      </c>
      <c r="CG60">
        <f>BT60*COS(($BH60+10*($BI60-$BH60)/12))</f>
        <v/>
      </c>
      <c r="CH60">
        <f>BU60*COS(($BH60+11*($BI60-$BH60)/12))</f>
        <v/>
      </c>
      <c r="CI60">
        <f>BV60*COS(($BH60+12*($BI60-$BH60)/12))</f>
        <v/>
      </c>
    </row>
    <row r="61">
      <c r="B61" s="53" t="n">
        <v>36</v>
      </c>
      <c r="C61" s="54">
        <f>6*cc_D</f>
        <v/>
      </c>
      <c r="D61" s="55">
        <f>IF($C61&lt;=cc_D,3.5,2*$C61/($C61-3*cc_D/7))</f>
        <v/>
      </c>
      <c r="E61" s="56">
        <f>(fcd_cc*((cc_D/2)^2*($BI61-COS($BI61)*SIN($BI61))-2*(cc_D/2)^2*($BI61-$BH61)/12/3*SUMPRODUCT($BJ$4:$BV$4,$BJ61:$BV61))+SUMPRODUCT($J$5:$AG$5,$J61:$AG61))/1000</f>
        <v/>
      </c>
      <c r="F61" s="56">
        <f>(fcd_cc*(2/3*(cc_D/2)^3*SIN($BI61)^3-2*(cc_D/2)^3*($BI61-$BH61)/12/3*SUMPRODUCT($BW$4:$CI$4,$BW61:$CI61))+SUMPRODUCT($J$5:$AG$5,$J61:$AG61,$J$7:$AG$7))/1E6</f>
        <v/>
      </c>
      <c r="G61" s="56">
        <f>(fcd_cc*((cc_D/2)^2*($BI61-COS($BI61)*SIN($BI61))-2*(cc_D/2)^2*($BI61-$BH61)/12/3*SUMPRODUCT($BJ$4:$BV$4,$BJ61:$BV61))+SUMPRODUCT($J$5:$AG$5,$AH61:$BE61))/1000</f>
        <v/>
      </c>
      <c r="H61" s="56">
        <f>(fcd_cc*(2/3*(cc_D/2)^3*SIN($BI61)^3-2*(cc_D/2)^3*($BI61-$BH61)/12/3*SUMPRODUCT($BW$4:$CI$4,$BW61:$CI61))+SUMPRODUCT($J$5:$AG$5,$AH61:$BE61,$J$19:$AG$19))/1E6</f>
        <v/>
      </c>
      <c r="J61">
        <f>MAX(-fyd_cc,MIN(fyd_cc,Es_cc*IF($C61&lt;=cc_D,0.0035*($C61-J$6)/$C61,0.002*($C61-J$6)/($C61-3*cc_D/7))))-fcd_cc*(1-(1-MAX(0,MIN(1,IF($C61&lt;=cc_D,0.0035*($C61-J$6)/$C61,0.002*($C61-J$6)/($C61-3*cc_D/7))/0.002)))^2)</f>
        <v/>
      </c>
      <c r="K61">
        <f>MAX(-fyd_cc,MIN(fyd_cc,Es_cc*IF($C61&lt;=cc_D,0.0035*($C61-K$6)/$C61,0.002*($C61-K$6)/($C61-3*cc_D/7))))-fcd_cc*(1-(1-MAX(0,MIN(1,IF($C61&lt;=cc_D,0.0035*($C61-K$6)/$C61,0.002*($C61-K$6)/($C61-3*cc_D/7))/0.002)))^2)</f>
        <v/>
      </c>
      <c r="L61">
        <f>MAX(-fyd_cc,MIN(fyd_cc,Es_cc*IF($C61&lt;=cc_D,0.0035*($C61-L$6)/$C61,0.002*($C61-L$6)/($C61-3*cc_D/7))))-fcd_cc*(1-(1-MAX(0,MIN(1,IF($C61&lt;=cc_D,0.0035*($C61-L$6)/$C61,0.002*($C61-L$6)/($C61-3*cc_D/7))/0.002)))^2)</f>
        <v/>
      </c>
      <c r="M61">
        <f>MAX(-fyd_cc,MIN(fyd_cc,Es_cc*IF($C61&lt;=cc_D,0.0035*($C61-M$6)/$C61,0.002*($C61-M$6)/($C61-3*cc_D/7))))-fcd_cc*(1-(1-MAX(0,MIN(1,IF($C61&lt;=cc_D,0.0035*($C61-M$6)/$C61,0.002*($C61-M$6)/($C61-3*cc_D/7))/0.002)))^2)</f>
        <v/>
      </c>
      <c r="N61">
        <f>MAX(-fyd_cc,MIN(fyd_cc,Es_cc*IF($C61&lt;=cc_D,0.0035*($C61-N$6)/$C61,0.002*($C61-N$6)/($C61-3*cc_D/7))))-fcd_cc*(1-(1-MAX(0,MIN(1,IF($C61&lt;=cc_D,0.0035*($C61-N$6)/$C61,0.002*($C61-N$6)/($C61-3*cc_D/7))/0.002)))^2)</f>
        <v/>
      </c>
      <c r="O61">
        <f>MAX(-fyd_cc,MIN(fyd_cc,Es_cc*IF($C61&lt;=cc_D,0.0035*($C61-O$6)/$C61,0.002*($C61-O$6)/($C61-3*cc_D/7))))-fcd_cc*(1-(1-MAX(0,MIN(1,IF($C61&lt;=cc_D,0.0035*($C61-O$6)/$C61,0.002*($C61-O$6)/($C61-3*cc_D/7))/0.002)))^2)</f>
        <v/>
      </c>
      <c r="P61">
        <f>MAX(-fyd_cc,MIN(fyd_cc,Es_cc*IF($C61&lt;=cc_D,0.0035*($C61-P$6)/$C61,0.002*($C61-P$6)/($C61-3*cc_D/7))))-fcd_cc*(1-(1-MAX(0,MIN(1,IF($C61&lt;=cc_D,0.0035*($C61-P$6)/$C61,0.002*($C61-P$6)/($C61-3*cc_D/7))/0.002)))^2)</f>
        <v/>
      </c>
      <c r="Q61">
        <f>MAX(-fyd_cc,MIN(fyd_cc,Es_cc*IF($C61&lt;=cc_D,0.0035*($C61-Q$6)/$C61,0.002*($C61-Q$6)/($C61-3*cc_D/7))))-fcd_cc*(1-(1-MAX(0,MIN(1,IF($C61&lt;=cc_D,0.0035*($C61-Q$6)/$C61,0.002*($C61-Q$6)/($C61-3*cc_D/7))/0.002)))^2)</f>
        <v/>
      </c>
      <c r="R61">
        <f>MAX(-fyd_cc,MIN(fyd_cc,Es_cc*IF($C61&lt;=cc_D,0.0035*($C61-R$6)/$C61,0.002*($C61-R$6)/($C61-3*cc_D/7))))-fcd_cc*(1-(1-MAX(0,MIN(1,IF($C61&lt;=cc_D,0.0035*($C61-R$6)/$C61,0.002*($C61-R$6)/($C61-3*cc_D/7))/0.002)))^2)</f>
        <v/>
      </c>
      <c r="S61">
        <f>MAX(-fyd_cc,MIN(fyd_cc,Es_cc*IF($C61&lt;=cc_D,0.0035*($C61-S$6)/$C61,0.002*($C61-S$6)/($C61-3*cc_D/7))))-fcd_cc*(1-(1-MAX(0,MIN(1,IF($C61&lt;=cc_D,0.0035*($C61-S$6)/$C61,0.002*($C61-S$6)/($C61-3*cc_D/7))/0.002)))^2)</f>
        <v/>
      </c>
      <c r="T61">
        <f>MAX(-fyd_cc,MIN(fyd_cc,Es_cc*IF($C61&lt;=cc_D,0.0035*($C61-T$6)/$C61,0.002*($C61-T$6)/($C61-3*cc_D/7))))-fcd_cc*(1-(1-MAX(0,MIN(1,IF($C61&lt;=cc_D,0.0035*($C61-T$6)/$C61,0.002*($C61-T$6)/($C61-3*cc_D/7))/0.002)))^2)</f>
        <v/>
      </c>
      <c r="U61">
        <f>MAX(-fyd_cc,MIN(fyd_cc,Es_cc*IF($C61&lt;=cc_D,0.0035*($C61-U$6)/$C61,0.002*($C61-U$6)/($C61-3*cc_D/7))))-fcd_cc*(1-(1-MAX(0,MIN(1,IF($C61&lt;=cc_D,0.0035*($C61-U$6)/$C61,0.002*($C61-U$6)/($C61-3*cc_D/7))/0.002)))^2)</f>
        <v/>
      </c>
      <c r="V61">
        <f>MAX(-fyd_cc,MIN(fyd_cc,Es_cc*IF($C61&lt;=cc_D,0.0035*($C61-V$6)/$C61,0.002*($C61-V$6)/($C61-3*cc_D/7))))-fcd_cc*(1-(1-MAX(0,MIN(1,IF($C61&lt;=cc_D,0.0035*($C61-V$6)/$C61,0.002*($C61-V$6)/($C61-3*cc_D/7))/0.002)))^2)</f>
        <v/>
      </c>
      <c r="W61">
        <f>MAX(-fyd_cc,MIN(fyd_cc,Es_cc*IF($C61&lt;=cc_D,0.0035*($C61-W$6)/$C61,0.002*($C61-W$6)/($C61-3*cc_D/7))))-fcd_cc*(1-(1-MAX(0,MIN(1,IF($C61&lt;=cc_D,0.0035*($C61-W$6)/$C61,0.002*($C61-W$6)/($C61-3*cc_D/7))/0.002)))^2)</f>
        <v/>
      </c>
      <c r="X61">
        <f>MAX(-fyd_cc,MIN(fyd_cc,Es_cc*IF($C61&lt;=cc_D,0.0035*($C61-X$6)/$C61,0.002*($C61-X$6)/($C61-3*cc_D/7))))-fcd_cc*(1-(1-MAX(0,MIN(1,IF($C61&lt;=cc_D,0.0035*($C61-X$6)/$C61,0.002*($C61-X$6)/($C61-3*cc_D/7))/0.002)))^2)</f>
        <v/>
      </c>
      <c r="Y61">
        <f>MAX(-fyd_cc,MIN(fyd_cc,Es_cc*IF($C61&lt;=cc_D,0.0035*($C61-Y$6)/$C61,0.002*($C61-Y$6)/($C61-3*cc_D/7))))-fcd_cc*(1-(1-MAX(0,MIN(1,IF($C61&lt;=cc_D,0.0035*($C61-Y$6)/$C61,0.002*($C61-Y$6)/($C61-3*cc_D/7))/0.002)))^2)</f>
        <v/>
      </c>
      <c r="Z61">
        <f>MAX(-fyd_cc,MIN(fyd_cc,Es_cc*IF($C61&lt;=cc_D,0.0035*($C61-Z$6)/$C61,0.002*($C61-Z$6)/($C61-3*cc_D/7))))-fcd_cc*(1-(1-MAX(0,MIN(1,IF($C61&lt;=cc_D,0.0035*($C61-Z$6)/$C61,0.002*($C61-Z$6)/($C61-3*cc_D/7))/0.002)))^2)</f>
        <v/>
      </c>
      <c r="AA61">
        <f>MAX(-fyd_cc,MIN(fyd_cc,Es_cc*IF($C61&lt;=cc_D,0.0035*($C61-AA$6)/$C61,0.002*($C61-AA$6)/($C61-3*cc_D/7))))-fcd_cc*(1-(1-MAX(0,MIN(1,IF($C61&lt;=cc_D,0.0035*($C61-AA$6)/$C61,0.002*($C61-AA$6)/($C61-3*cc_D/7))/0.002)))^2)</f>
        <v/>
      </c>
      <c r="AB61">
        <f>MAX(-fyd_cc,MIN(fyd_cc,Es_cc*IF($C61&lt;=cc_D,0.0035*($C61-AB$6)/$C61,0.002*($C61-AB$6)/($C61-3*cc_D/7))))-fcd_cc*(1-(1-MAX(0,MIN(1,IF($C61&lt;=cc_D,0.0035*($C61-AB$6)/$C61,0.002*($C61-AB$6)/($C61-3*cc_D/7))/0.002)))^2)</f>
        <v/>
      </c>
      <c r="AC61">
        <f>MAX(-fyd_cc,MIN(fyd_cc,Es_cc*IF($C61&lt;=cc_D,0.0035*($C61-AC$6)/$C61,0.002*($C61-AC$6)/($C61-3*cc_D/7))))-fcd_cc*(1-(1-MAX(0,MIN(1,IF($C61&lt;=cc_D,0.0035*($C61-AC$6)/$C61,0.002*($C61-AC$6)/($C61-3*cc_D/7))/0.002)))^2)</f>
        <v/>
      </c>
      <c r="AD61">
        <f>MAX(-fyd_cc,MIN(fyd_cc,Es_cc*IF($C61&lt;=cc_D,0.0035*($C61-AD$6)/$C61,0.002*($C61-AD$6)/($C61-3*cc_D/7))))-fcd_cc*(1-(1-MAX(0,MIN(1,IF($C61&lt;=cc_D,0.0035*($C61-AD$6)/$C61,0.002*($C61-AD$6)/($C61-3*cc_D/7))/0.002)))^2)</f>
        <v/>
      </c>
      <c r="AE61">
        <f>MAX(-fyd_cc,MIN(fyd_cc,Es_cc*IF($C61&lt;=cc_D,0.0035*($C61-AE$6)/$C61,0.002*($C61-AE$6)/($C61-3*cc_D/7))))-fcd_cc*(1-(1-MAX(0,MIN(1,IF($C61&lt;=cc_D,0.0035*($C61-AE$6)/$C61,0.002*($C61-AE$6)/($C61-3*cc_D/7))/0.002)))^2)</f>
        <v/>
      </c>
      <c r="AF61">
        <f>MAX(-fyd_cc,MIN(fyd_cc,Es_cc*IF($C61&lt;=cc_D,0.0035*($C61-AF$6)/$C61,0.002*($C61-AF$6)/($C61-3*cc_D/7))))-fcd_cc*(1-(1-MAX(0,MIN(1,IF($C61&lt;=cc_D,0.0035*($C61-AF$6)/$C61,0.002*($C61-AF$6)/($C61-3*cc_D/7))/0.002)))^2)</f>
        <v/>
      </c>
      <c r="AG61">
        <f>MAX(-fyd_cc,MIN(fyd_cc,Es_cc*IF($C61&lt;=cc_D,0.0035*($C61-AG$6)/$C61,0.002*($C61-AG$6)/($C61-3*cc_D/7))))-fcd_cc*(1-(1-MAX(0,MIN(1,IF($C61&lt;=cc_D,0.0035*($C61-AG$6)/$C61,0.002*($C61-AG$6)/($C61-3*cc_D/7))/0.002)))^2)</f>
        <v/>
      </c>
      <c r="AH61">
        <f>MAX(-fyd_cc,MIN(fyd_cc,Es_cc*IF($C61&lt;=cc_D,0.0035*($C61-J$18)/$C61,0.002*($C61-J$18)/($C61-3*cc_D/7))))-fcd_cc*(1-(1-MAX(0,MIN(1,IF($C61&lt;=cc_D,0.0035*($C61-J$18)/$C61,0.002*($C61-J$18)/($C61-3*cc_D/7))/0.002)))^2)</f>
        <v/>
      </c>
      <c r="AI61">
        <f>MAX(-fyd_cc,MIN(fyd_cc,Es_cc*IF($C61&lt;=cc_D,0.0035*($C61-K$18)/$C61,0.002*($C61-K$18)/($C61-3*cc_D/7))))-fcd_cc*(1-(1-MAX(0,MIN(1,IF($C61&lt;=cc_D,0.0035*($C61-K$18)/$C61,0.002*($C61-K$18)/($C61-3*cc_D/7))/0.002)))^2)</f>
        <v/>
      </c>
      <c r="AJ61">
        <f>MAX(-fyd_cc,MIN(fyd_cc,Es_cc*IF($C61&lt;=cc_D,0.0035*($C61-L$18)/$C61,0.002*($C61-L$18)/($C61-3*cc_D/7))))-fcd_cc*(1-(1-MAX(0,MIN(1,IF($C61&lt;=cc_D,0.0035*($C61-L$18)/$C61,0.002*($C61-L$18)/($C61-3*cc_D/7))/0.002)))^2)</f>
        <v/>
      </c>
      <c r="AK61">
        <f>MAX(-fyd_cc,MIN(fyd_cc,Es_cc*IF($C61&lt;=cc_D,0.0035*($C61-M$18)/$C61,0.002*($C61-M$18)/($C61-3*cc_D/7))))-fcd_cc*(1-(1-MAX(0,MIN(1,IF($C61&lt;=cc_D,0.0035*($C61-M$18)/$C61,0.002*($C61-M$18)/($C61-3*cc_D/7))/0.002)))^2)</f>
        <v/>
      </c>
      <c r="AL61">
        <f>MAX(-fyd_cc,MIN(fyd_cc,Es_cc*IF($C61&lt;=cc_D,0.0035*($C61-N$18)/$C61,0.002*($C61-N$18)/($C61-3*cc_D/7))))-fcd_cc*(1-(1-MAX(0,MIN(1,IF($C61&lt;=cc_D,0.0035*($C61-N$18)/$C61,0.002*($C61-N$18)/($C61-3*cc_D/7))/0.002)))^2)</f>
        <v/>
      </c>
      <c r="AM61">
        <f>MAX(-fyd_cc,MIN(fyd_cc,Es_cc*IF($C61&lt;=cc_D,0.0035*($C61-O$18)/$C61,0.002*($C61-O$18)/($C61-3*cc_D/7))))-fcd_cc*(1-(1-MAX(0,MIN(1,IF($C61&lt;=cc_D,0.0035*($C61-O$18)/$C61,0.002*($C61-O$18)/($C61-3*cc_D/7))/0.002)))^2)</f>
        <v/>
      </c>
      <c r="AN61">
        <f>MAX(-fyd_cc,MIN(fyd_cc,Es_cc*IF($C61&lt;=cc_D,0.0035*($C61-P$18)/$C61,0.002*($C61-P$18)/($C61-3*cc_D/7))))-fcd_cc*(1-(1-MAX(0,MIN(1,IF($C61&lt;=cc_D,0.0035*($C61-P$18)/$C61,0.002*($C61-P$18)/($C61-3*cc_D/7))/0.002)))^2)</f>
        <v/>
      </c>
      <c r="AO61">
        <f>MAX(-fyd_cc,MIN(fyd_cc,Es_cc*IF($C61&lt;=cc_D,0.0035*($C61-Q$18)/$C61,0.002*($C61-Q$18)/($C61-3*cc_D/7))))-fcd_cc*(1-(1-MAX(0,MIN(1,IF($C61&lt;=cc_D,0.0035*($C61-Q$18)/$C61,0.002*($C61-Q$18)/($C61-3*cc_D/7))/0.002)))^2)</f>
        <v/>
      </c>
      <c r="AP61">
        <f>MAX(-fyd_cc,MIN(fyd_cc,Es_cc*IF($C61&lt;=cc_D,0.0035*($C61-R$18)/$C61,0.002*($C61-R$18)/($C61-3*cc_D/7))))-fcd_cc*(1-(1-MAX(0,MIN(1,IF($C61&lt;=cc_D,0.0035*($C61-R$18)/$C61,0.002*($C61-R$18)/($C61-3*cc_D/7))/0.002)))^2)</f>
        <v/>
      </c>
      <c r="AQ61">
        <f>MAX(-fyd_cc,MIN(fyd_cc,Es_cc*IF($C61&lt;=cc_D,0.0035*($C61-S$18)/$C61,0.002*($C61-S$18)/($C61-3*cc_D/7))))-fcd_cc*(1-(1-MAX(0,MIN(1,IF($C61&lt;=cc_D,0.0035*($C61-S$18)/$C61,0.002*($C61-S$18)/($C61-3*cc_D/7))/0.002)))^2)</f>
        <v/>
      </c>
      <c r="AR61">
        <f>MAX(-fyd_cc,MIN(fyd_cc,Es_cc*IF($C61&lt;=cc_D,0.0035*($C61-T$18)/$C61,0.002*($C61-T$18)/($C61-3*cc_D/7))))-fcd_cc*(1-(1-MAX(0,MIN(1,IF($C61&lt;=cc_D,0.0035*($C61-T$18)/$C61,0.002*($C61-T$18)/($C61-3*cc_D/7))/0.002)))^2)</f>
        <v/>
      </c>
      <c r="AS61">
        <f>MAX(-fyd_cc,MIN(fyd_cc,Es_cc*IF($C61&lt;=cc_D,0.0035*($C61-U$18)/$C61,0.002*($C61-U$18)/($C61-3*cc_D/7))))-fcd_cc*(1-(1-MAX(0,MIN(1,IF($C61&lt;=cc_D,0.0035*($C61-U$18)/$C61,0.002*($C61-U$18)/($C61-3*cc_D/7))/0.002)))^2)</f>
        <v/>
      </c>
      <c r="AT61">
        <f>MAX(-fyd_cc,MIN(fyd_cc,Es_cc*IF($C61&lt;=cc_D,0.0035*($C61-V$18)/$C61,0.002*($C61-V$18)/($C61-3*cc_D/7))))-fcd_cc*(1-(1-MAX(0,MIN(1,IF($C61&lt;=cc_D,0.0035*($C61-V$18)/$C61,0.002*($C61-V$18)/($C61-3*cc_D/7))/0.002)))^2)</f>
        <v/>
      </c>
      <c r="AU61">
        <f>MAX(-fyd_cc,MIN(fyd_cc,Es_cc*IF($C61&lt;=cc_D,0.0035*($C61-W$18)/$C61,0.002*($C61-W$18)/($C61-3*cc_D/7))))-fcd_cc*(1-(1-MAX(0,MIN(1,IF($C61&lt;=cc_D,0.0035*($C61-W$18)/$C61,0.002*($C61-W$18)/($C61-3*cc_D/7))/0.002)))^2)</f>
        <v/>
      </c>
      <c r="AV61">
        <f>MAX(-fyd_cc,MIN(fyd_cc,Es_cc*IF($C61&lt;=cc_D,0.0035*($C61-X$18)/$C61,0.002*($C61-X$18)/($C61-3*cc_D/7))))-fcd_cc*(1-(1-MAX(0,MIN(1,IF($C61&lt;=cc_D,0.0035*($C61-X$18)/$C61,0.002*($C61-X$18)/($C61-3*cc_D/7))/0.002)))^2)</f>
        <v/>
      </c>
      <c r="AW61">
        <f>MAX(-fyd_cc,MIN(fyd_cc,Es_cc*IF($C61&lt;=cc_D,0.0035*($C61-Y$18)/$C61,0.002*($C61-Y$18)/($C61-3*cc_D/7))))-fcd_cc*(1-(1-MAX(0,MIN(1,IF($C61&lt;=cc_D,0.0035*($C61-Y$18)/$C61,0.002*($C61-Y$18)/($C61-3*cc_D/7))/0.002)))^2)</f>
        <v/>
      </c>
      <c r="AX61">
        <f>MAX(-fyd_cc,MIN(fyd_cc,Es_cc*IF($C61&lt;=cc_D,0.0035*($C61-Z$18)/$C61,0.002*($C61-Z$18)/($C61-3*cc_D/7))))-fcd_cc*(1-(1-MAX(0,MIN(1,IF($C61&lt;=cc_D,0.0035*($C61-Z$18)/$C61,0.002*($C61-Z$18)/($C61-3*cc_D/7))/0.002)))^2)</f>
        <v/>
      </c>
      <c r="AY61">
        <f>MAX(-fyd_cc,MIN(fyd_cc,Es_cc*IF($C61&lt;=cc_D,0.0035*($C61-AA$18)/$C61,0.002*($C61-AA$18)/($C61-3*cc_D/7))))-fcd_cc*(1-(1-MAX(0,MIN(1,IF($C61&lt;=cc_D,0.0035*($C61-AA$18)/$C61,0.002*($C61-AA$18)/($C61-3*cc_D/7))/0.002)))^2)</f>
        <v/>
      </c>
      <c r="AZ61">
        <f>MAX(-fyd_cc,MIN(fyd_cc,Es_cc*IF($C61&lt;=cc_D,0.0035*($C61-AB$18)/$C61,0.002*($C61-AB$18)/($C61-3*cc_D/7))))-fcd_cc*(1-(1-MAX(0,MIN(1,IF($C61&lt;=cc_D,0.0035*($C61-AB$18)/$C61,0.002*($C61-AB$18)/($C61-3*cc_D/7))/0.002)))^2)</f>
        <v/>
      </c>
      <c r="BA61">
        <f>MAX(-fyd_cc,MIN(fyd_cc,Es_cc*IF($C61&lt;=cc_D,0.0035*($C61-AC$18)/$C61,0.002*($C61-AC$18)/($C61-3*cc_D/7))))-fcd_cc*(1-(1-MAX(0,MIN(1,IF($C61&lt;=cc_D,0.0035*($C61-AC$18)/$C61,0.002*($C61-AC$18)/($C61-3*cc_D/7))/0.002)))^2)</f>
        <v/>
      </c>
      <c r="BB61">
        <f>MAX(-fyd_cc,MIN(fyd_cc,Es_cc*IF($C61&lt;=cc_D,0.0035*($C61-AD$18)/$C61,0.002*($C61-AD$18)/($C61-3*cc_D/7))))-fcd_cc*(1-(1-MAX(0,MIN(1,IF($C61&lt;=cc_D,0.0035*($C61-AD$18)/$C61,0.002*($C61-AD$18)/($C61-3*cc_D/7))/0.002)))^2)</f>
        <v/>
      </c>
      <c r="BC61">
        <f>MAX(-fyd_cc,MIN(fyd_cc,Es_cc*IF($C61&lt;=cc_D,0.0035*($C61-AE$18)/$C61,0.002*($C61-AE$18)/($C61-3*cc_D/7))))-fcd_cc*(1-(1-MAX(0,MIN(1,IF($C61&lt;=cc_D,0.0035*($C61-AE$18)/$C61,0.002*($C61-AE$18)/($C61-3*cc_D/7))/0.002)))^2)</f>
        <v/>
      </c>
      <c r="BD61">
        <f>MAX(-fyd_cc,MIN(fyd_cc,Es_cc*IF($C61&lt;=cc_D,0.0035*($C61-AF$18)/$C61,0.002*($C61-AF$18)/($C61-3*cc_D/7))))-fcd_cc*(1-(1-MAX(0,MIN(1,IF($C61&lt;=cc_D,0.0035*($C61-AF$18)/$C61,0.002*($C61-AF$18)/($C61-3*cc_D/7))/0.002)))^2)</f>
        <v/>
      </c>
      <c r="BE61">
        <f>MAX(-fyd_cc,MIN(fyd_cc,Es_cc*IF($C61&lt;=cc_D,0.0035*($C61-AG$18)/$C61,0.002*($C61-AG$18)/($C61-3*cc_D/7))))-fcd_cc*(1-(1-MAX(0,MIN(1,IF($C61&lt;=cc_D,0.0035*($C61-AG$18)/$C61,0.002*($C61-AG$18)/($C61-3*cc_D/7))/0.002)))^2)</f>
        <v/>
      </c>
      <c r="BF61">
        <f>3*MIN($C61,cc_D)/7</f>
        <v/>
      </c>
      <c r="BG61">
        <f>$C61-$BF61</f>
        <v/>
      </c>
      <c r="BH61">
        <f>ACOS(MAX(-1,MIN(1,1-$BF61/(cc_D/2))))</f>
        <v/>
      </c>
      <c r="BI61">
        <f>ACOS(MAX(-1,MIN(1,1-MIN($C61,cc_D)/(cc_D/2))))</f>
        <v/>
      </c>
      <c r="BJ61">
        <f>((cc_D/2*(1-COS(($BH61+0*($BI61-$BH61)/12)))-$BF61)/$BG61)^2*SIN(($BH61+0*($BI61-$BH61)/12))^2</f>
        <v/>
      </c>
      <c r="BK61">
        <f>((cc_D/2*(1-COS(($BH61+1*($BI61-$BH61)/12)))-$BF61)/$BG61)^2*SIN(($BH61+1*($BI61-$BH61)/12))^2</f>
        <v/>
      </c>
      <c r="BL61">
        <f>((cc_D/2*(1-COS(($BH61+2*($BI61-$BH61)/12)))-$BF61)/$BG61)^2*SIN(($BH61+2*($BI61-$BH61)/12))^2</f>
        <v/>
      </c>
      <c r="BM61">
        <f>((cc_D/2*(1-COS(($BH61+3*($BI61-$BH61)/12)))-$BF61)/$BG61)^2*SIN(($BH61+3*($BI61-$BH61)/12))^2</f>
        <v/>
      </c>
      <c r="BN61">
        <f>((cc_D/2*(1-COS(($BH61+4*($BI61-$BH61)/12)))-$BF61)/$BG61)^2*SIN(($BH61+4*($BI61-$BH61)/12))^2</f>
        <v/>
      </c>
      <c r="BO61">
        <f>((cc_D/2*(1-COS(($BH61+5*($BI61-$BH61)/12)))-$BF61)/$BG61)^2*SIN(($BH61+5*($BI61-$BH61)/12))^2</f>
        <v/>
      </c>
      <c r="BP61">
        <f>((cc_D/2*(1-COS(($BH61+6*($BI61-$BH61)/12)))-$BF61)/$BG61)^2*SIN(($BH61+6*($BI61-$BH61)/12))^2</f>
        <v/>
      </c>
      <c r="BQ61">
        <f>((cc_D/2*(1-COS(($BH61+7*($BI61-$BH61)/12)))-$BF61)/$BG61)^2*SIN(($BH61+7*($BI61-$BH61)/12))^2</f>
        <v/>
      </c>
      <c r="BR61">
        <f>((cc_D/2*(1-COS(($BH61+8*($BI61-$BH61)/12)))-$BF61)/$BG61)^2*SIN(($BH61+8*($BI61-$BH61)/12))^2</f>
        <v/>
      </c>
      <c r="BS61">
        <f>((cc_D/2*(1-COS(($BH61+9*($BI61-$BH61)/12)))-$BF61)/$BG61)^2*SIN(($BH61+9*($BI61-$BH61)/12))^2</f>
        <v/>
      </c>
      <c r="BT61">
        <f>((cc_D/2*(1-COS(($BH61+10*($BI61-$BH61)/12)))-$BF61)/$BG61)^2*SIN(($BH61+10*($BI61-$BH61)/12))^2</f>
        <v/>
      </c>
      <c r="BU61">
        <f>((cc_D/2*(1-COS(($BH61+11*($BI61-$BH61)/12)))-$BF61)/$BG61)^2*SIN(($BH61+11*($BI61-$BH61)/12))^2</f>
        <v/>
      </c>
      <c r="BV61">
        <f>((cc_D/2*(1-COS(($BH61+12*($BI61-$BH61)/12)))-$BF61)/$BG61)^2*SIN(($BH61+12*($BI61-$BH61)/12))^2</f>
        <v/>
      </c>
      <c r="BW61">
        <f>BJ61*COS(($BH61+0*($BI61-$BH61)/12))</f>
        <v/>
      </c>
      <c r="BX61">
        <f>BK61*COS(($BH61+1*($BI61-$BH61)/12))</f>
        <v/>
      </c>
      <c r="BY61">
        <f>BL61*COS(($BH61+2*($BI61-$BH61)/12))</f>
        <v/>
      </c>
      <c r="BZ61">
        <f>BM61*COS(($BH61+3*($BI61-$BH61)/12))</f>
        <v/>
      </c>
      <c r="CA61">
        <f>BN61*COS(($BH61+4*($BI61-$BH61)/12))</f>
        <v/>
      </c>
      <c r="CB61">
        <f>BO61*COS(($BH61+5*($BI61-$BH61)/12))</f>
        <v/>
      </c>
      <c r="CC61">
        <f>BP61*COS(($BH61+6*($BI61-$BH61)/12))</f>
        <v/>
      </c>
      <c r="CD61">
        <f>BQ61*COS(($BH61+7*($BI61-$BH61)/12))</f>
        <v/>
      </c>
      <c r="CE61">
        <f>BR61*COS(($BH61+8*($BI61-$BH61)/12))</f>
        <v/>
      </c>
      <c r="CF61">
        <f>BS61*COS(($BH61+9*($BI61-$BH61)/12))</f>
        <v/>
      </c>
      <c r="CG61">
        <f>BT61*COS(($BH61+10*($BI61-$BH61)/12))</f>
        <v/>
      </c>
      <c r="CH61">
        <f>BU61*COS(($BH61+11*($BI61-$BH61)/12))</f>
        <v/>
      </c>
      <c r="CI61">
        <f>BV61*COS(($BH61+12*($BI61-$BH61)/12))</f>
        <v/>
      </c>
    </row>
    <row r="62">
      <c r="B62" s="53" t="n">
        <v>37</v>
      </c>
      <c r="C62" s="54">
        <f>10*cc_D</f>
        <v/>
      </c>
      <c r="D62" s="55">
        <f>IF($C62&lt;=cc_D,3.5,2*$C62/($C62-3*cc_D/7))</f>
        <v/>
      </c>
      <c r="E62" s="56">
        <f>(fcd_cc*((cc_D/2)^2*($BI62-COS($BI62)*SIN($BI62))-2*(cc_D/2)^2*($BI62-$BH62)/12/3*SUMPRODUCT($BJ$4:$BV$4,$BJ62:$BV62))+SUMPRODUCT($J$5:$AG$5,$J62:$AG62))/1000</f>
        <v/>
      </c>
      <c r="F62" s="56">
        <f>(fcd_cc*(2/3*(cc_D/2)^3*SIN($BI62)^3-2*(cc_D/2)^3*($BI62-$BH62)/12/3*SUMPRODUCT($BW$4:$CI$4,$BW62:$CI62))+SUMPRODUCT($J$5:$AG$5,$J62:$AG62,$J$7:$AG$7))/1E6</f>
        <v/>
      </c>
      <c r="G62" s="56">
        <f>(fcd_cc*((cc_D/2)^2*($BI62-COS($BI62)*SIN($BI62))-2*(cc_D/2)^2*($BI62-$BH62)/12/3*SUMPRODUCT($BJ$4:$BV$4,$BJ62:$BV62))+SUMPRODUCT($J$5:$AG$5,$AH62:$BE62))/1000</f>
        <v/>
      </c>
      <c r="H62" s="56">
        <f>(fcd_cc*(2/3*(cc_D/2)^3*SIN($BI62)^3-2*(cc_D/2)^3*($BI62-$BH62)/12/3*SUMPRODUCT($BW$4:$CI$4,$BW62:$CI62))+SUMPRODUCT($J$5:$AG$5,$AH62:$BE62,$J$19:$AG$19))/1E6</f>
        <v/>
      </c>
      <c r="J62">
        <f>MAX(-fyd_cc,MIN(fyd_cc,Es_cc*IF($C62&lt;=cc_D,0.0035*($C62-J$6)/$C62,0.002*($C62-J$6)/($C62-3*cc_D/7))))-fcd_cc*(1-(1-MAX(0,MIN(1,IF($C62&lt;=cc_D,0.0035*($C62-J$6)/$C62,0.002*($C62-J$6)/($C62-3*cc_D/7))/0.002)))^2)</f>
        <v/>
      </c>
      <c r="K62">
        <f>MAX(-fyd_cc,MIN(fyd_cc,Es_cc*IF($C62&lt;=cc_D,0.0035*($C62-K$6)/$C62,0.002*($C62-K$6)/($C62-3*cc_D/7))))-fcd_cc*(1-(1-MAX(0,MIN(1,IF($C62&lt;=cc_D,0.0035*($C62-K$6)/$C62,0.002*($C62-K$6)/($C62-3*cc_D/7))/0.002)))^2)</f>
        <v/>
      </c>
      <c r="L62">
        <f>MAX(-fyd_cc,MIN(fyd_cc,Es_cc*IF($C62&lt;=cc_D,0.0035*($C62-L$6)/$C62,0.002*($C62-L$6)/($C62-3*cc_D/7))))-fcd_cc*(1-(1-MAX(0,MIN(1,IF($C62&lt;=cc_D,0.0035*($C62-L$6)/$C62,0.002*($C62-L$6)/($C62-3*cc_D/7))/0.002)))^2)</f>
        <v/>
      </c>
      <c r="M62">
        <f>MAX(-fyd_cc,MIN(fyd_cc,Es_cc*IF($C62&lt;=cc_D,0.0035*($C62-M$6)/$C62,0.002*($C62-M$6)/($C62-3*cc_D/7))))-fcd_cc*(1-(1-MAX(0,MIN(1,IF($C62&lt;=cc_D,0.0035*($C62-M$6)/$C62,0.002*($C62-M$6)/($C62-3*cc_D/7))/0.002)))^2)</f>
        <v/>
      </c>
      <c r="N62">
        <f>MAX(-fyd_cc,MIN(fyd_cc,Es_cc*IF($C62&lt;=cc_D,0.0035*($C62-N$6)/$C62,0.002*($C62-N$6)/($C62-3*cc_D/7))))-fcd_cc*(1-(1-MAX(0,MIN(1,IF($C62&lt;=cc_D,0.0035*($C62-N$6)/$C62,0.002*($C62-N$6)/($C62-3*cc_D/7))/0.002)))^2)</f>
        <v/>
      </c>
      <c r="O62">
        <f>MAX(-fyd_cc,MIN(fyd_cc,Es_cc*IF($C62&lt;=cc_D,0.0035*($C62-O$6)/$C62,0.002*($C62-O$6)/($C62-3*cc_D/7))))-fcd_cc*(1-(1-MAX(0,MIN(1,IF($C62&lt;=cc_D,0.0035*($C62-O$6)/$C62,0.002*($C62-O$6)/($C62-3*cc_D/7))/0.002)))^2)</f>
        <v/>
      </c>
      <c r="P62">
        <f>MAX(-fyd_cc,MIN(fyd_cc,Es_cc*IF($C62&lt;=cc_D,0.0035*($C62-P$6)/$C62,0.002*($C62-P$6)/($C62-3*cc_D/7))))-fcd_cc*(1-(1-MAX(0,MIN(1,IF($C62&lt;=cc_D,0.0035*($C62-P$6)/$C62,0.002*($C62-P$6)/($C62-3*cc_D/7))/0.002)))^2)</f>
        <v/>
      </c>
      <c r="Q62">
        <f>MAX(-fyd_cc,MIN(fyd_cc,Es_cc*IF($C62&lt;=cc_D,0.0035*($C62-Q$6)/$C62,0.002*($C62-Q$6)/($C62-3*cc_D/7))))-fcd_cc*(1-(1-MAX(0,MIN(1,IF($C62&lt;=cc_D,0.0035*($C62-Q$6)/$C62,0.002*($C62-Q$6)/($C62-3*cc_D/7))/0.002)))^2)</f>
        <v/>
      </c>
      <c r="R62">
        <f>MAX(-fyd_cc,MIN(fyd_cc,Es_cc*IF($C62&lt;=cc_D,0.0035*($C62-R$6)/$C62,0.002*($C62-R$6)/($C62-3*cc_D/7))))-fcd_cc*(1-(1-MAX(0,MIN(1,IF($C62&lt;=cc_D,0.0035*($C62-R$6)/$C62,0.002*($C62-R$6)/($C62-3*cc_D/7))/0.002)))^2)</f>
        <v/>
      </c>
      <c r="S62">
        <f>MAX(-fyd_cc,MIN(fyd_cc,Es_cc*IF($C62&lt;=cc_D,0.0035*($C62-S$6)/$C62,0.002*($C62-S$6)/($C62-3*cc_D/7))))-fcd_cc*(1-(1-MAX(0,MIN(1,IF($C62&lt;=cc_D,0.0035*($C62-S$6)/$C62,0.002*($C62-S$6)/($C62-3*cc_D/7))/0.002)))^2)</f>
        <v/>
      </c>
      <c r="T62">
        <f>MAX(-fyd_cc,MIN(fyd_cc,Es_cc*IF($C62&lt;=cc_D,0.0035*($C62-T$6)/$C62,0.002*($C62-T$6)/($C62-3*cc_D/7))))-fcd_cc*(1-(1-MAX(0,MIN(1,IF($C62&lt;=cc_D,0.0035*($C62-T$6)/$C62,0.002*($C62-T$6)/($C62-3*cc_D/7))/0.002)))^2)</f>
        <v/>
      </c>
      <c r="U62">
        <f>MAX(-fyd_cc,MIN(fyd_cc,Es_cc*IF($C62&lt;=cc_D,0.0035*($C62-U$6)/$C62,0.002*($C62-U$6)/($C62-3*cc_D/7))))-fcd_cc*(1-(1-MAX(0,MIN(1,IF($C62&lt;=cc_D,0.0035*($C62-U$6)/$C62,0.002*($C62-U$6)/($C62-3*cc_D/7))/0.002)))^2)</f>
        <v/>
      </c>
      <c r="V62">
        <f>MAX(-fyd_cc,MIN(fyd_cc,Es_cc*IF($C62&lt;=cc_D,0.0035*($C62-V$6)/$C62,0.002*($C62-V$6)/($C62-3*cc_D/7))))-fcd_cc*(1-(1-MAX(0,MIN(1,IF($C62&lt;=cc_D,0.0035*($C62-V$6)/$C62,0.002*($C62-V$6)/($C62-3*cc_D/7))/0.002)))^2)</f>
        <v/>
      </c>
      <c r="W62">
        <f>MAX(-fyd_cc,MIN(fyd_cc,Es_cc*IF($C62&lt;=cc_D,0.0035*($C62-W$6)/$C62,0.002*($C62-W$6)/($C62-3*cc_D/7))))-fcd_cc*(1-(1-MAX(0,MIN(1,IF($C62&lt;=cc_D,0.0035*($C62-W$6)/$C62,0.002*($C62-W$6)/($C62-3*cc_D/7))/0.002)))^2)</f>
        <v/>
      </c>
      <c r="X62">
        <f>MAX(-fyd_cc,MIN(fyd_cc,Es_cc*IF($C62&lt;=cc_D,0.0035*($C62-X$6)/$C62,0.002*($C62-X$6)/($C62-3*cc_D/7))))-fcd_cc*(1-(1-MAX(0,MIN(1,IF($C62&lt;=cc_D,0.0035*($C62-X$6)/$C62,0.002*($C62-X$6)/($C62-3*cc_D/7))/0.002)))^2)</f>
        <v/>
      </c>
      <c r="Y62">
        <f>MAX(-fyd_cc,MIN(fyd_cc,Es_cc*IF($C62&lt;=cc_D,0.0035*($C62-Y$6)/$C62,0.002*($C62-Y$6)/($C62-3*cc_D/7))))-fcd_cc*(1-(1-MAX(0,MIN(1,IF($C62&lt;=cc_D,0.0035*($C62-Y$6)/$C62,0.002*($C62-Y$6)/($C62-3*cc_D/7))/0.002)))^2)</f>
        <v/>
      </c>
      <c r="Z62">
        <f>MAX(-fyd_cc,MIN(fyd_cc,Es_cc*IF($C62&lt;=cc_D,0.0035*($C62-Z$6)/$C62,0.002*($C62-Z$6)/($C62-3*cc_D/7))))-fcd_cc*(1-(1-MAX(0,MIN(1,IF($C62&lt;=cc_D,0.0035*($C62-Z$6)/$C62,0.002*($C62-Z$6)/($C62-3*cc_D/7))/0.002)))^2)</f>
        <v/>
      </c>
      <c r="AA62">
        <f>MAX(-fyd_cc,MIN(fyd_cc,Es_cc*IF($C62&lt;=cc_D,0.0035*($C62-AA$6)/$C62,0.002*($C62-AA$6)/($C62-3*cc_D/7))))-fcd_cc*(1-(1-MAX(0,MIN(1,IF($C62&lt;=cc_D,0.0035*($C62-AA$6)/$C62,0.002*($C62-AA$6)/($C62-3*cc_D/7))/0.002)))^2)</f>
        <v/>
      </c>
      <c r="AB62">
        <f>MAX(-fyd_cc,MIN(fyd_cc,Es_cc*IF($C62&lt;=cc_D,0.0035*($C62-AB$6)/$C62,0.002*($C62-AB$6)/($C62-3*cc_D/7))))-fcd_cc*(1-(1-MAX(0,MIN(1,IF($C62&lt;=cc_D,0.0035*($C62-AB$6)/$C62,0.002*($C62-AB$6)/($C62-3*cc_D/7))/0.002)))^2)</f>
        <v/>
      </c>
      <c r="AC62">
        <f>MAX(-fyd_cc,MIN(fyd_cc,Es_cc*IF($C62&lt;=cc_D,0.0035*($C62-AC$6)/$C62,0.002*($C62-AC$6)/($C62-3*cc_D/7))))-fcd_cc*(1-(1-MAX(0,MIN(1,IF($C62&lt;=cc_D,0.0035*($C62-AC$6)/$C62,0.002*($C62-AC$6)/($C62-3*cc_D/7))/0.002)))^2)</f>
        <v/>
      </c>
      <c r="AD62">
        <f>MAX(-fyd_cc,MIN(fyd_cc,Es_cc*IF($C62&lt;=cc_D,0.0035*($C62-AD$6)/$C62,0.002*($C62-AD$6)/($C62-3*cc_D/7))))-fcd_cc*(1-(1-MAX(0,MIN(1,IF($C62&lt;=cc_D,0.0035*($C62-AD$6)/$C62,0.002*($C62-AD$6)/($C62-3*cc_D/7))/0.002)))^2)</f>
        <v/>
      </c>
      <c r="AE62">
        <f>MAX(-fyd_cc,MIN(fyd_cc,Es_cc*IF($C62&lt;=cc_D,0.0035*($C62-AE$6)/$C62,0.002*($C62-AE$6)/($C62-3*cc_D/7))))-fcd_cc*(1-(1-MAX(0,MIN(1,IF($C62&lt;=cc_D,0.0035*($C62-AE$6)/$C62,0.002*($C62-AE$6)/($C62-3*cc_D/7))/0.002)))^2)</f>
        <v/>
      </c>
      <c r="AF62">
        <f>MAX(-fyd_cc,MIN(fyd_cc,Es_cc*IF($C62&lt;=cc_D,0.0035*($C62-AF$6)/$C62,0.002*($C62-AF$6)/($C62-3*cc_D/7))))-fcd_cc*(1-(1-MAX(0,MIN(1,IF($C62&lt;=cc_D,0.0035*($C62-AF$6)/$C62,0.002*($C62-AF$6)/($C62-3*cc_D/7))/0.002)))^2)</f>
        <v/>
      </c>
      <c r="AG62">
        <f>MAX(-fyd_cc,MIN(fyd_cc,Es_cc*IF($C62&lt;=cc_D,0.0035*($C62-AG$6)/$C62,0.002*($C62-AG$6)/($C62-3*cc_D/7))))-fcd_cc*(1-(1-MAX(0,MIN(1,IF($C62&lt;=cc_D,0.0035*($C62-AG$6)/$C62,0.002*($C62-AG$6)/($C62-3*cc_D/7))/0.002)))^2)</f>
        <v/>
      </c>
      <c r="AH62">
        <f>MAX(-fyd_cc,MIN(fyd_cc,Es_cc*IF($C62&lt;=cc_D,0.0035*($C62-J$18)/$C62,0.002*($C62-J$18)/($C62-3*cc_D/7))))-fcd_cc*(1-(1-MAX(0,MIN(1,IF($C62&lt;=cc_D,0.0035*($C62-J$18)/$C62,0.002*($C62-J$18)/($C62-3*cc_D/7))/0.002)))^2)</f>
        <v/>
      </c>
      <c r="AI62">
        <f>MAX(-fyd_cc,MIN(fyd_cc,Es_cc*IF($C62&lt;=cc_D,0.0035*($C62-K$18)/$C62,0.002*($C62-K$18)/($C62-3*cc_D/7))))-fcd_cc*(1-(1-MAX(0,MIN(1,IF($C62&lt;=cc_D,0.0035*($C62-K$18)/$C62,0.002*($C62-K$18)/($C62-3*cc_D/7))/0.002)))^2)</f>
        <v/>
      </c>
      <c r="AJ62">
        <f>MAX(-fyd_cc,MIN(fyd_cc,Es_cc*IF($C62&lt;=cc_D,0.0035*($C62-L$18)/$C62,0.002*($C62-L$18)/($C62-3*cc_D/7))))-fcd_cc*(1-(1-MAX(0,MIN(1,IF($C62&lt;=cc_D,0.0035*($C62-L$18)/$C62,0.002*($C62-L$18)/($C62-3*cc_D/7))/0.002)))^2)</f>
        <v/>
      </c>
      <c r="AK62">
        <f>MAX(-fyd_cc,MIN(fyd_cc,Es_cc*IF($C62&lt;=cc_D,0.0035*($C62-M$18)/$C62,0.002*($C62-M$18)/($C62-3*cc_D/7))))-fcd_cc*(1-(1-MAX(0,MIN(1,IF($C62&lt;=cc_D,0.0035*($C62-M$18)/$C62,0.002*($C62-M$18)/($C62-3*cc_D/7))/0.002)))^2)</f>
        <v/>
      </c>
      <c r="AL62">
        <f>MAX(-fyd_cc,MIN(fyd_cc,Es_cc*IF($C62&lt;=cc_D,0.0035*($C62-N$18)/$C62,0.002*($C62-N$18)/($C62-3*cc_D/7))))-fcd_cc*(1-(1-MAX(0,MIN(1,IF($C62&lt;=cc_D,0.0035*($C62-N$18)/$C62,0.002*($C62-N$18)/($C62-3*cc_D/7))/0.002)))^2)</f>
        <v/>
      </c>
      <c r="AM62">
        <f>MAX(-fyd_cc,MIN(fyd_cc,Es_cc*IF($C62&lt;=cc_D,0.0035*($C62-O$18)/$C62,0.002*($C62-O$18)/($C62-3*cc_D/7))))-fcd_cc*(1-(1-MAX(0,MIN(1,IF($C62&lt;=cc_D,0.0035*($C62-O$18)/$C62,0.002*($C62-O$18)/($C62-3*cc_D/7))/0.002)))^2)</f>
        <v/>
      </c>
      <c r="AN62">
        <f>MAX(-fyd_cc,MIN(fyd_cc,Es_cc*IF($C62&lt;=cc_D,0.0035*($C62-P$18)/$C62,0.002*($C62-P$18)/($C62-3*cc_D/7))))-fcd_cc*(1-(1-MAX(0,MIN(1,IF($C62&lt;=cc_D,0.0035*($C62-P$18)/$C62,0.002*($C62-P$18)/($C62-3*cc_D/7))/0.002)))^2)</f>
        <v/>
      </c>
      <c r="AO62">
        <f>MAX(-fyd_cc,MIN(fyd_cc,Es_cc*IF($C62&lt;=cc_D,0.0035*($C62-Q$18)/$C62,0.002*($C62-Q$18)/($C62-3*cc_D/7))))-fcd_cc*(1-(1-MAX(0,MIN(1,IF($C62&lt;=cc_D,0.0035*($C62-Q$18)/$C62,0.002*($C62-Q$18)/($C62-3*cc_D/7))/0.002)))^2)</f>
        <v/>
      </c>
      <c r="AP62">
        <f>MAX(-fyd_cc,MIN(fyd_cc,Es_cc*IF($C62&lt;=cc_D,0.0035*($C62-R$18)/$C62,0.002*($C62-R$18)/($C62-3*cc_D/7))))-fcd_cc*(1-(1-MAX(0,MIN(1,IF($C62&lt;=cc_D,0.0035*($C62-R$18)/$C62,0.002*($C62-R$18)/($C62-3*cc_D/7))/0.002)))^2)</f>
        <v/>
      </c>
      <c r="AQ62">
        <f>MAX(-fyd_cc,MIN(fyd_cc,Es_cc*IF($C62&lt;=cc_D,0.0035*($C62-S$18)/$C62,0.002*($C62-S$18)/($C62-3*cc_D/7))))-fcd_cc*(1-(1-MAX(0,MIN(1,IF($C62&lt;=cc_D,0.0035*($C62-S$18)/$C62,0.002*($C62-S$18)/($C62-3*cc_D/7))/0.002)))^2)</f>
        <v/>
      </c>
      <c r="AR62">
        <f>MAX(-fyd_cc,MIN(fyd_cc,Es_cc*IF($C62&lt;=cc_D,0.0035*($C62-T$18)/$C62,0.002*($C62-T$18)/($C62-3*cc_D/7))))-fcd_cc*(1-(1-MAX(0,MIN(1,IF($C62&lt;=cc_D,0.0035*($C62-T$18)/$C62,0.002*($C62-T$18)/($C62-3*cc_D/7))/0.002)))^2)</f>
        <v/>
      </c>
      <c r="AS62">
        <f>MAX(-fyd_cc,MIN(fyd_cc,Es_cc*IF($C62&lt;=cc_D,0.0035*($C62-U$18)/$C62,0.002*($C62-U$18)/($C62-3*cc_D/7))))-fcd_cc*(1-(1-MAX(0,MIN(1,IF($C62&lt;=cc_D,0.0035*($C62-U$18)/$C62,0.002*($C62-U$18)/($C62-3*cc_D/7))/0.002)))^2)</f>
        <v/>
      </c>
      <c r="AT62">
        <f>MAX(-fyd_cc,MIN(fyd_cc,Es_cc*IF($C62&lt;=cc_D,0.0035*($C62-V$18)/$C62,0.002*($C62-V$18)/($C62-3*cc_D/7))))-fcd_cc*(1-(1-MAX(0,MIN(1,IF($C62&lt;=cc_D,0.0035*($C62-V$18)/$C62,0.002*($C62-V$18)/($C62-3*cc_D/7))/0.002)))^2)</f>
        <v/>
      </c>
      <c r="AU62">
        <f>MAX(-fyd_cc,MIN(fyd_cc,Es_cc*IF($C62&lt;=cc_D,0.0035*($C62-W$18)/$C62,0.002*($C62-W$18)/($C62-3*cc_D/7))))-fcd_cc*(1-(1-MAX(0,MIN(1,IF($C62&lt;=cc_D,0.0035*($C62-W$18)/$C62,0.002*($C62-W$18)/($C62-3*cc_D/7))/0.002)))^2)</f>
        <v/>
      </c>
      <c r="AV62">
        <f>MAX(-fyd_cc,MIN(fyd_cc,Es_cc*IF($C62&lt;=cc_D,0.0035*($C62-X$18)/$C62,0.002*($C62-X$18)/($C62-3*cc_D/7))))-fcd_cc*(1-(1-MAX(0,MIN(1,IF($C62&lt;=cc_D,0.0035*($C62-X$18)/$C62,0.002*($C62-X$18)/($C62-3*cc_D/7))/0.002)))^2)</f>
        <v/>
      </c>
      <c r="AW62">
        <f>MAX(-fyd_cc,MIN(fyd_cc,Es_cc*IF($C62&lt;=cc_D,0.0035*($C62-Y$18)/$C62,0.002*($C62-Y$18)/($C62-3*cc_D/7))))-fcd_cc*(1-(1-MAX(0,MIN(1,IF($C62&lt;=cc_D,0.0035*($C62-Y$18)/$C62,0.002*($C62-Y$18)/($C62-3*cc_D/7))/0.002)))^2)</f>
        <v/>
      </c>
      <c r="AX62">
        <f>MAX(-fyd_cc,MIN(fyd_cc,Es_cc*IF($C62&lt;=cc_D,0.0035*($C62-Z$18)/$C62,0.002*($C62-Z$18)/($C62-3*cc_D/7))))-fcd_cc*(1-(1-MAX(0,MIN(1,IF($C62&lt;=cc_D,0.0035*($C62-Z$18)/$C62,0.002*($C62-Z$18)/($C62-3*cc_D/7))/0.002)))^2)</f>
        <v/>
      </c>
      <c r="AY62">
        <f>MAX(-fyd_cc,MIN(fyd_cc,Es_cc*IF($C62&lt;=cc_D,0.0035*($C62-AA$18)/$C62,0.002*($C62-AA$18)/($C62-3*cc_D/7))))-fcd_cc*(1-(1-MAX(0,MIN(1,IF($C62&lt;=cc_D,0.0035*($C62-AA$18)/$C62,0.002*($C62-AA$18)/($C62-3*cc_D/7))/0.002)))^2)</f>
        <v/>
      </c>
      <c r="AZ62">
        <f>MAX(-fyd_cc,MIN(fyd_cc,Es_cc*IF($C62&lt;=cc_D,0.0035*($C62-AB$18)/$C62,0.002*($C62-AB$18)/($C62-3*cc_D/7))))-fcd_cc*(1-(1-MAX(0,MIN(1,IF($C62&lt;=cc_D,0.0035*($C62-AB$18)/$C62,0.002*($C62-AB$18)/($C62-3*cc_D/7))/0.002)))^2)</f>
        <v/>
      </c>
      <c r="BA62">
        <f>MAX(-fyd_cc,MIN(fyd_cc,Es_cc*IF($C62&lt;=cc_D,0.0035*($C62-AC$18)/$C62,0.002*($C62-AC$18)/($C62-3*cc_D/7))))-fcd_cc*(1-(1-MAX(0,MIN(1,IF($C62&lt;=cc_D,0.0035*($C62-AC$18)/$C62,0.002*($C62-AC$18)/($C62-3*cc_D/7))/0.002)))^2)</f>
        <v/>
      </c>
      <c r="BB62">
        <f>MAX(-fyd_cc,MIN(fyd_cc,Es_cc*IF($C62&lt;=cc_D,0.0035*($C62-AD$18)/$C62,0.002*($C62-AD$18)/($C62-3*cc_D/7))))-fcd_cc*(1-(1-MAX(0,MIN(1,IF($C62&lt;=cc_D,0.0035*($C62-AD$18)/$C62,0.002*($C62-AD$18)/($C62-3*cc_D/7))/0.002)))^2)</f>
        <v/>
      </c>
      <c r="BC62">
        <f>MAX(-fyd_cc,MIN(fyd_cc,Es_cc*IF($C62&lt;=cc_D,0.0035*($C62-AE$18)/$C62,0.002*($C62-AE$18)/($C62-3*cc_D/7))))-fcd_cc*(1-(1-MAX(0,MIN(1,IF($C62&lt;=cc_D,0.0035*($C62-AE$18)/$C62,0.002*($C62-AE$18)/($C62-3*cc_D/7))/0.002)))^2)</f>
        <v/>
      </c>
      <c r="BD62">
        <f>MAX(-fyd_cc,MIN(fyd_cc,Es_cc*IF($C62&lt;=cc_D,0.0035*($C62-AF$18)/$C62,0.002*($C62-AF$18)/($C62-3*cc_D/7))))-fcd_cc*(1-(1-MAX(0,MIN(1,IF($C62&lt;=cc_D,0.0035*($C62-AF$18)/$C62,0.002*($C62-AF$18)/($C62-3*cc_D/7))/0.002)))^2)</f>
        <v/>
      </c>
      <c r="BE62">
        <f>MAX(-fyd_cc,MIN(fyd_cc,Es_cc*IF($C62&lt;=cc_D,0.0035*($C62-AG$18)/$C62,0.002*($C62-AG$18)/($C62-3*cc_D/7))))-fcd_cc*(1-(1-MAX(0,MIN(1,IF($C62&lt;=cc_D,0.0035*($C62-AG$18)/$C62,0.002*($C62-AG$18)/($C62-3*cc_D/7))/0.002)))^2)</f>
        <v/>
      </c>
      <c r="BF62">
        <f>3*MIN($C62,cc_D)/7</f>
        <v/>
      </c>
      <c r="BG62">
        <f>$C62-$BF62</f>
        <v/>
      </c>
      <c r="BH62">
        <f>ACOS(MAX(-1,MIN(1,1-$BF62/(cc_D/2))))</f>
        <v/>
      </c>
      <c r="BI62">
        <f>ACOS(MAX(-1,MIN(1,1-MIN($C62,cc_D)/(cc_D/2))))</f>
        <v/>
      </c>
      <c r="BJ62">
        <f>((cc_D/2*(1-COS(($BH62+0*($BI62-$BH62)/12)))-$BF62)/$BG62)^2*SIN(($BH62+0*($BI62-$BH62)/12))^2</f>
        <v/>
      </c>
      <c r="BK62">
        <f>((cc_D/2*(1-COS(($BH62+1*($BI62-$BH62)/12)))-$BF62)/$BG62)^2*SIN(($BH62+1*($BI62-$BH62)/12))^2</f>
        <v/>
      </c>
      <c r="BL62">
        <f>((cc_D/2*(1-COS(($BH62+2*($BI62-$BH62)/12)))-$BF62)/$BG62)^2*SIN(($BH62+2*($BI62-$BH62)/12))^2</f>
        <v/>
      </c>
      <c r="BM62">
        <f>((cc_D/2*(1-COS(($BH62+3*($BI62-$BH62)/12)))-$BF62)/$BG62)^2*SIN(($BH62+3*($BI62-$BH62)/12))^2</f>
        <v/>
      </c>
      <c r="BN62">
        <f>((cc_D/2*(1-COS(($BH62+4*($BI62-$BH62)/12)))-$BF62)/$BG62)^2*SIN(($BH62+4*($BI62-$BH62)/12))^2</f>
        <v/>
      </c>
      <c r="BO62">
        <f>((cc_D/2*(1-COS(($BH62+5*($BI62-$BH62)/12)))-$BF62)/$BG62)^2*SIN(($BH62+5*($BI62-$BH62)/12))^2</f>
        <v/>
      </c>
      <c r="BP62">
        <f>((cc_D/2*(1-COS(($BH62+6*($BI62-$BH62)/12)))-$BF62)/$BG62)^2*SIN(($BH62+6*($BI62-$BH62)/12))^2</f>
        <v/>
      </c>
      <c r="BQ62">
        <f>((cc_D/2*(1-COS(($BH62+7*($BI62-$BH62)/12)))-$BF62)/$BG62)^2*SIN(($BH62+7*($BI62-$BH62)/12))^2</f>
        <v/>
      </c>
      <c r="BR62">
        <f>((cc_D/2*(1-COS(($BH62+8*($BI62-$BH62)/12)))-$BF62)/$BG62)^2*SIN(($BH62+8*($BI62-$BH62)/12))^2</f>
        <v/>
      </c>
      <c r="BS62">
        <f>((cc_D/2*(1-COS(($BH62+9*($BI62-$BH62)/12)))-$BF62)/$BG62)^2*SIN(($BH62+9*($BI62-$BH62)/12))^2</f>
        <v/>
      </c>
      <c r="BT62">
        <f>((cc_D/2*(1-COS(($BH62+10*($BI62-$BH62)/12)))-$BF62)/$BG62)^2*SIN(($BH62+10*($BI62-$BH62)/12))^2</f>
        <v/>
      </c>
      <c r="BU62">
        <f>((cc_D/2*(1-COS(($BH62+11*($BI62-$BH62)/12)))-$BF62)/$BG62)^2*SIN(($BH62+11*($BI62-$BH62)/12))^2</f>
        <v/>
      </c>
      <c r="BV62">
        <f>((cc_D/2*(1-COS(($BH62+12*($BI62-$BH62)/12)))-$BF62)/$BG62)^2*SIN(($BH62+12*($BI62-$BH62)/12))^2</f>
        <v/>
      </c>
      <c r="BW62">
        <f>BJ62*COS(($BH62+0*($BI62-$BH62)/12))</f>
        <v/>
      </c>
      <c r="BX62">
        <f>BK62*COS(($BH62+1*($BI62-$BH62)/12))</f>
        <v/>
      </c>
      <c r="BY62">
        <f>BL62*COS(($BH62+2*($BI62-$BH62)/12))</f>
        <v/>
      </c>
      <c r="BZ62">
        <f>BM62*COS(($BH62+3*($BI62-$BH62)/12))</f>
        <v/>
      </c>
      <c r="CA62">
        <f>BN62*COS(($BH62+4*($BI62-$BH62)/12))</f>
        <v/>
      </c>
      <c r="CB62">
        <f>BO62*COS(($BH62+5*($BI62-$BH62)/12))</f>
        <v/>
      </c>
      <c r="CC62">
        <f>BP62*COS(($BH62+6*($BI62-$BH62)/12))</f>
        <v/>
      </c>
      <c r="CD62">
        <f>BQ62*COS(($BH62+7*($BI62-$BH62)/12))</f>
        <v/>
      </c>
      <c r="CE62">
        <f>BR62*COS(($BH62+8*($BI62-$BH62)/12))</f>
        <v/>
      </c>
      <c r="CF62">
        <f>BS62*COS(($BH62+9*($BI62-$BH62)/12))</f>
        <v/>
      </c>
      <c r="CG62">
        <f>BT62*COS(($BH62+10*($BI62-$BH62)/12))</f>
        <v/>
      </c>
      <c r="CH62">
        <f>BU62*COS(($BH62+11*($BI62-$BH62)/12))</f>
        <v/>
      </c>
      <c r="CI62">
        <f>BV62*COS(($BH62+12*($BI62-$BH62)/12))</f>
        <v/>
      </c>
    </row>
    <row r="63">
      <c r="B63" s="53" t="n">
        <v>38</v>
      </c>
      <c r="C63" s="54">
        <f>25*cc_D</f>
        <v/>
      </c>
      <c r="D63" s="55">
        <f>IF($C63&lt;=cc_D,3.5,2*$C63/($C63-3*cc_D/7))</f>
        <v/>
      </c>
      <c r="E63" s="56">
        <f>(fcd_cc*((cc_D/2)^2*($BI63-COS($BI63)*SIN($BI63))-2*(cc_D/2)^2*($BI63-$BH63)/12/3*SUMPRODUCT($BJ$4:$BV$4,$BJ63:$BV63))+SUMPRODUCT($J$5:$AG$5,$J63:$AG63))/1000</f>
        <v/>
      </c>
      <c r="F63" s="56">
        <f>(fcd_cc*(2/3*(cc_D/2)^3*SIN($BI63)^3-2*(cc_D/2)^3*($BI63-$BH63)/12/3*SUMPRODUCT($BW$4:$CI$4,$BW63:$CI63))+SUMPRODUCT($J$5:$AG$5,$J63:$AG63,$J$7:$AG$7))/1E6</f>
        <v/>
      </c>
      <c r="G63" s="56">
        <f>(fcd_cc*((cc_D/2)^2*($BI63-COS($BI63)*SIN($BI63))-2*(cc_D/2)^2*($BI63-$BH63)/12/3*SUMPRODUCT($BJ$4:$BV$4,$BJ63:$BV63))+SUMPRODUCT($J$5:$AG$5,$AH63:$BE63))/1000</f>
        <v/>
      </c>
      <c r="H63" s="56">
        <f>(fcd_cc*(2/3*(cc_D/2)^3*SIN($BI63)^3-2*(cc_D/2)^3*($BI63-$BH63)/12/3*SUMPRODUCT($BW$4:$CI$4,$BW63:$CI63))+SUMPRODUCT($J$5:$AG$5,$AH63:$BE63,$J$19:$AG$19))/1E6</f>
        <v/>
      </c>
      <c r="J63">
        <f>MAX(-fyd_cc,MIN(fyd_cc,Es_cc*IF($C63&lt;=cc_D,0.0035*($C63-J$6)/$C63,0.002*($C63-J$6)/($C63-3*cc_D/7))))-fcd_cc*(1-(1-MAX(0,MIN(1,IF($C63&lt;=cc_D,0.0035*($C63-J$6)/$C63,0.002*($C63-J$6)/($C63-3*cc_D/7))/0.002)))^2)</f>
        <v/>
      </c>
      <c r="K63">
        <f>MAX(-fyd_cc,MIN(fyd_cc,Es_cc*IF($C63&lt;=cc_D,0.0035*($C63-K$6)/$C63,0.002*($C63-K$6)/($C63-3*cc_D/7))))-fcd_cc*(1-(1-MAX(0,MIN(1,IF($C63&lt;=cc_D,0.0035*($C63-K$6)/$C63,0.002*($C63-K$6)/($C63-3*cc_D/7))/0.002)))^2)</f>
        <v/>
      </c>
      <c r="L63">
        <f>MAX(-fyd_cc,MIN(fyd_cc,Es_cc*IF($C63&lt;=cc_D,0.0035*($C63-L$6)/$C63,0.002*($C63-L$6)/($C63-3*cc_D/7))))-fcd_cc*(1-(1-MAX(0,MIN(1,IF($C63&lt;=cc_D,0.0035*($C63-L$6)/$C63,0.002*($C63-L$6)/($C63-3*cc_D/7))/0.002)))^2)</f>
        <v/>
      </c>
      <c r="M63">
        <f>MAX(-fyd_cc,MIN(fyd_cc,Es_cc*IF($C63&lt;=cc_D,0.0035*($C63-M$6)/$C63,0.002*($C63-M$6)/($C63-3*cc_D/7))))-fcd_cc*(1-(1-MAX(0,MIN(1,IF($C63&lt;=cc_D,0.0035*($C63-M$6)/$C63,0.002*($C63-M$6)/($C63-3*cc_D/7))/0.002)))^2)</f>
        <v/>
      </c>
      <c r="N63">
        <f>MAX(-fyd_cc,MIN(fyd_cc,Es_cc*IF($C63&lt;=cc_D,0.0035*($C63-N$6)/$C63,0.002*($C63-N$6)/($C63-3*cc_D/7))))-fcd_cc*(1-(1-MAX(0,MIN(1,IF($C63&lt;=cc_D,0.0035*($C63-N$6)/$C63,0.002*($C63-N$6)/($C63-3*cc_D/7))/0.002)))^2)</f>
        <v/>
      </c>
      <c r="O63">
        <f>MAX(-fyd_cc,MIN(fyd_cc,Es_cc*IF($C63&lt;=cc_D,0.0035*($C63-O$6)/$C63,0.002*($C63-O$6)/($C63-3*cc_D/7))))-fcd_cc*(1-(1-MAX(0,MIN(1,IF($C63&lt;=cc_D,0.0035*($C63-O$6)/$C63,0.002*($C63-O$6)/($C63-3*cc_D/7))/0.002)))^2)</f>
        <v/>
      </c>
      <c r="P63">
        <f>MAX(-fyd_cc,MIN(fyd_cc,Es_cc*IF($C63&lt;=cc_D,0.0035*($C63-P$6)/$C63,0.002*($C63-P$6)/($C63-3*cc_D/7))))-fcd_cc*(1-(1-MAX(0,MIN(1,IF($C63&lt;=cc_D,0.0035*($C63-P$6)/$C63,0.002*($C63-P$6)/($C63-3*cc_D/7))/0.002)))^2)</f>
        <v/>
      </c>
      <c r="Q63">
        <f>MAX(-fyd_cc,MIN(fyd_cc,Es_cc*IF($C63&lt;=cc_D,0.0035*($C63-Q$6)/$C63,0.002*($C63-Q$6)/($C63-3*cc_D/7))))-fcd_cc*(1-(1-MAX(0,MIN(1,IF($C63&lt;=cc_D,0.0035*($C63-Q$6)/$C63,0.002*($C63-Q$6)/($C63-3*cc_D/7))/0.002)))^2)</f>
        <v/>
      </c>
      <c r="R63">
        <f>MAX(-fyd_cc,MIN(fyd_cc,Es_cc*IF($C63&lt;=cc_D,0.0035*($C63-R$6)/$C63,0.002*($C63-R$6)/($C63-3*cc_D/7))))-fcd_cc*(1-(1-MAX(0,MIN(1,IF($C63&lt;=cc_D,0.0035*($C63-R$6)/$C63,0.002*($C63-R$6)/($C63-3*cc_D/7))/0.002)))^2)</f>
        <v/>
      </c>
      <c r="S63">
        <f>MAX(-fyd_cc,MIN(fyd_cc,Es_cc*IF($C63&lt;=cc_D,0.0035*($C63-S$6)/$C63,0.002*($C63-S$6)/($C63-3*cc_D/7))))-fcd_cc*(1-(1-MAX(0,MIN(1,IF($C63&lt;=cc_D,0.0035*($C63-S$6)/$C63,0.002*($C63-S$6)/($C63-3*cc_D/7))/0.002)))^2)</f>
        <v/>
      </c>
      <c r="T63">
        <f>MAX(-fyd_cc,MIN(fyd_cc,Es_cc*IF($C63&lt;=cc_D,0.0035*($C63-T$6)/$C63,0.002*($C63-T$6)/($C63-3*cc_D/7))))-fcd_cc*(1-(1-MAX(0,MIN(1,IF($C63&lt;=cc_D,0.0035*($C63-T$6)/$C63,0.002*($C63-T$6)/($C63-3*cc_D/7))/0.002)))^2)</f>
        <v/>
      </c>
      <c r="U63">
        <f>MAX(-fyd_cc,MIN(fyd_cc,Es_cc*IF($C63&lt;=cc_D,0.0035*($C63-U$6)/$C63,0.002*($C63-U$6)/($C63-3*cc_D/7))))-fcd_cc*(1-(1-MAX(0,MIN(1,IF($C63&lt;=cc_D,0.0035*($C63-U$6)/$C63,0.002*($C63-U$6)/($C63-3*cc_D/7))/0.002)))^2)</f>
        <v/>
      </c>
      <c r="V63">
        <f>MAX(-fyd_cc,MIN(fyd_cc,Es_cc*IF($C63&lt;=cc_D,0.0035*($C63-V$6)/$C63,0.002*($C63-V$6)/($C63-3*cc_D/7))))-fcd_cc*(1-(1-MAX(0,MIN(1,IF($C63&lt;=cc_D,0.0035*($C63-V$6)/$C63,0.002*($C63-V$6)/($C63-3*cc_D/7))/0.002)))^2)</f>
        <v/>
      </c>
      <c r="W63">
        <f>MAX(-fyd_cc,MIN(fyd_cc,Es_cc*IF($C63&lt;=cc_D,0.0035*($C63-W$6)/$C63,0.002*($C63-W$6)/($C63-3*cc_D/7))))-fcd_cc*(1-(1-MAX(0,MIN(1,IF($C63&lt;=cc_D,0.0035*($C63-W$6)/$C63,0.002*($C63-W$6)/($C63-3*cc_D/7))/0.002)))^2)</f>
        <v/>
      </c>
      <c r="X63">
        <f>MAX(-fyd_cc,MIN(fyd_cc,Es_cc*IF($C63&lt;=cc_D,0.0035*($C63-X$6)/$C63,0.002*($C63-X$6)/($C63-3*cc_D/7))))-fcd_cc*(1-(1-MAX(0,MIN(1,IF($C63&lt;=cc_D,0.0035*($C63-X$6)/$C63,0.002*($C63-X$6)/($C63-3*cc_D/7))/0.002)))^2)</f>
        <v/>
      </c>
      <c r="Y63">
        <f>MAX(-fyd_cc,MIN(fyd_cc,Es_cc*IF($C63&lt;=cc_D,0.0035*($C63-Y$6)/$C63,0.002*($C63-Y$6)/($C63-3*cc_D/7))))-fcd_cc*(1-(1-MAX(0,MIN(1,IF($C63&lt;=cc_D,0.0035*($C63-Y$6)/$C63,0.002*($C63-Y$6)/($C63-3*cc_D/7))/0.002)))^2)</f>
        <v/>
      </c>
      <c r="Z63">
        <f>MAX(-fyd_cc,MIN(fyd_cc,Es_cc*IF($C63&lt;=cc_D,0.0035*($C63-Z$6)/$C63,0.002*($C63-Z$6)/($C63-3*cc_D/7))))-fcd_cc*(1-(1-MAX(0,MIN(1,IF($C63&lt;=cc_D,0.0035*($C63-Z$6)/$C63,0.002*($C63-Z$6)/($C63-3*cc_D/7))/0.002)))^2)</f>
        <v/>
      </c>
      <c r="AA63">
        <f>MAX(-fyd_cc,MIN(fyd_cc,Es_cc*IF($C63&lt;=cc_D,0.0035*($C63-AA$6)/$C63,0.002*($C63-AA$6)/($C63-3*cc_D/7))))-fcd_cc*(1-(1-MAX(0,MIN(1,IF($C63&lt;=cc_D,0.0035*($C63-AA$6)/$C63,0.002*($C63-AA$6)/($C63-3*cc_D/7))/0.002)))^2)</f>
        <v/>
      </c>
      <c r="AB63">
        <f>MAX(-fyd_cc,MIN(fyd_cc,Es_cc*IF($C63&lt;=cc_D,0.0035*($C63-AB$6)/$C63,0.002*($C63-AB$6)/($C63-3*cc_D/7))))-fcd_cc*(1-(1-MAX(0,MIN(1,IF($C63&lt;=cc_D,0.0035*($C63-AB$6)/$C63,0.002*($C63-AB$6)/($C63-3*cc_D/7))/0.002)))^2)</f>
        <v/>
      </c>
      <c r="AC63">
        <f>MAX(-fyd_cc,MIN(fyd_cc,Es_cc*IF($C63&lt;=cc_D,0.0035*($C63-AC$6)/$C63,0.002*($C63-AC$6)/($C63-3*cc_D/7))))-fcd_cc*(1-(1-MAX(0,MIN(1,IF($C63&lt;=cc_D,0.0035*($C63-AC$6)/$C63,0.002*($C63-AC$6)/($C63-3*cc_D/7))/0.002)))^2)</f>
        <v/>
      </c>
      <c r="AD63">
        <f>MAX(-fyd_cc,MIN(fyd_cc,Es_cc*IF($C63&lt;=cc_D,0.0035*($C63-AD$6)/$C63,0.002*($C63-AD$6)/($C63-3*cc_D/7))))-fcd_cc*(1-(1-MAX(0,MIN(1,IF($C63&lt;=cc_D,0.0035*($C63-AD$6)/$C63,0.002*($C63-AD$6)/($C63-3*cc_D/7))/0.002)))^2)</f>
        <v/>
      </c>
      <c r="AE63">
        <f>MAX(-fyd_cc,MIN(fyd_cc,Es_cc*IF($C63&lt;=cc_D,0.0035*($C63-AE$6)/$C63,0.002*($C63-AE$6)/($C63-3*cc_D/7))))-fcd_cc*(1-(1-MAX(0,MIN(1,IF($C63&lt;=cc_D,0.0035*($C63-AE$6)/$C63,0.002*($C63-AE$6)/($C63-3*cc_D/7))/0.002)))^2)</f>
        <v/>
      </c>
      <c r="AF63">
        <f>MAX(-fyd_cc,MIN(fyd_cc,Es_cc*IF($C63&lt;=cc_D,0.0035*($C63-AF$6)/$C63,0.002*($C63-AF$6)/($C63-3*cc_D/7))))-fcd_cc*(1-(1-MAX(0,MIN(1,IF($C63&lt;=cc_D,0.0035*($C63-AF$6)/$C63,0.002*($C63-AF$6)/($C63-3*cc_D/7))/0.002)))^2)</f>
        <v/>
      </c>
      <c r="AG63">
        <f>MAX(-fyd_cc,MIN(fyd_cc,Es_cc*IF($C63&lt;=cc_D,0.0035*($C63-AG$6)/$C63,0.002*($C63-AG$6)/($C63-3*cc_D/7))))-fcd_cc*(1-(1-MAX(0,MIN(1,IF($C63&lt;=cc_D,0.0035*($C63-AG$6)/$C63,0.002*($C63-AG$6)/($C63-3*cc_D/7))/0.002)))^2)</f>
        <v/>
      </c>
      <c r="AH63">
        <f>MAX(-fyd_cc,MIN(fyd_cc,Es_cc*IF($C63&lt;=cc_D,0.0035*($C63-J$18)/$C63,0.002*($C63-J$18)/($C63-3*cc_D/7))))-fcd_cc*(1-(1-MAX(0,MIN(1,IF($C63&lt;=cc_D,0.0035*($C63-J$18)/$C63,0.002*($C63-J$18)/($C63-3*cc_D/7))/0.002)))^2)</f>
        <v/>
      </c>
      <c r="AI63">
        <f>MAX(-fyd_cc,MIN(fyd_cc,Es_cc*IF($C63&lt;=cc_D,0.0035*($C63-K$18)/$C63,0.002*($C63-K$18)/($C63-3*cc_D/7))))-fcd_cc*(1-(1-MAX(0,MIN(1,IF($C63&lt;=cc_D,0.0035*($C63-K$18)/$C63,0.002*($C63-K$18)/($C63-3*cc_D/7))/0.002)))^2)</f>
        <v/>
      </c>
      <c r="AJ63">
        <f>MAX(-fyd_cc,MIN(fyd_cc,Es_cc*IF($C63&lt;=cc_D,0.0035*($C63-L$18)/$C63,0.002*($C63-L$18)/($C63-3*cc_D/7))))-fcd_cc*(1-(1-MAX(0,MIN(1,IF($C63&lt;=cc_D,0.0035*($C63-L$18)/$C63,0.002*($C63-L$18)/($C63-3*cc_D/7))/0.002)))^2)</f>
        <v/>
      </c>
      <c r="AK63">
        <f>MAX(-fyd_cc,MIN(fyd_cc,Es_cc*IF($C63&lt;=cc_D,0.0035*($C63-M$18)/$C63,0.002*($C63-M$18)/($C63-3*cc_D/7))))-fcd_cc*(1-(1-MAX(0,MIN(1,IF($C63&lt;=cc_D,0.0035*($C63-M$18)/$C63,0.002*($C63-M$18)/($C63-3*cc_D/7))/0.002)))^2)</f>
        <v/>
      </c>
      <c r="AL63">
        <f>MAX(-fyd_cc,MIN(fyd_cc,Es_cc*IF($C63&lt;=cc_D,0.0035*($C63-N$18)/$C63,0.002*($C63-N$18)/($C63-3*cc_D/7))))-fcd_cc*(1-(1-MAX(0,MIN(1,IF($C63&lt;=cc_D,0.0035*($C63-N$18)/$C63,0.002*($C63-N$18)/($C63-3*cc_D/7))/0.002)))^2)</f>
        <v/>
      </c>
      <c r="AM63">
        <f>MAX(-fyd_cc,MIN(fyd_cc,Es_cc*IF($C63&lt;=cc_D,0.0035*($C63-O$18)/$C63,0.002*($C63-O$18)/($C63-3*cc_D/7))))-fcd_cc*(1-(1-MAX(0,MIN(1,IF($C63&lt;=cc_D,0.0035*($C63-O$18)/$C63,0.002*($C63-O$18)/($C63-3*cc_D/7))/0.002)))^2)</f>
        <v/>
      </c>
      <c r="AN63">
        <f>MAX(-fyd_cc,MIN(fyd_cc,Es_cc*IF($C63&lt;=cc_D,0.0035*($C63-P$18)/$C63,0.002*($C63-P$18)/($C63-3*cc_D/7))))-fcd_cc*(1-(1-MAX(0,MIN(1,IF($C63&lt;=cc_D,0.0035*($C63-P$18)/$C63,0.002*($C63-P$18)/($C63-3*cc_D/7))/0.002)))^2)</f>
        <v/>
      </c>
      <c r="AO63">
        <f>MAX(-fyd_cc,MIN(fyd_cc,Es_cc*IF($C63&lt;=cc_D,0.0035*($C63-Q$18)/$C63,0.002*($C63-Q$18)/($C63-3*cc_D/7))))-fcd_cc*(1-(1-MAX(0,MIN(1,IF($C63&lt;=cc_D,0.0035*($C63-Q$18)/$C63,0.002*($C63-Q$18)/($C63-3*cc_D/7))/0.002)))^2)</f>
        <v/>
      </c>
      <c r="AP63">
        <f>MAX(-fyd_cc,MIN(fyd_cc,Es_cc*IF($C63&lt;=cc_D,0.0035*($C63-R$18)/$C63,0.002*($C63-R$18)/($C63-3*cc_D/7))))-fcd_cc*(1-(1-MAX(0,MIN(1,IF($C63&lt;=cc_D,0.0035*($C63-R$18)/$C63,0.002*($C63-R$18)/($C63-3*cc_D/7))/0.002)))^2)</f>
        <v/>
      </c>
      <c r="AQ63">
        <f>MAX(-fyd_cc,MIN(fyd_cc,Es_cc*IF($C63&lt;=cc_D,0.0035*($C63-S$18)/$C63,0.002*($C63-S$18)/($C63-3*cc_D/7))))-fcd_cc*(1-(1-MAX(0,MIN(1,IF($C63&lt;=cc_D,0.0035*($C63-S$18)/$C63,0.002*($C63-S$18)/($C63-3*cc_D/7))/0.002)))^2)</f>
        <v/>
      </c>
      <c r="AR63">
        <f>MAX(-fyd_cc,MIN(fyd_cc,Es_cc*IF($C63&lt;=cc_D,0.0035*($C63-T$18)/$C63,0.002*($C63-T$18)/($C63-3*cc_D/7))))-fcd_cc*(1-(1-MAX(0,MIN(1,IF($C63&lt;=cc_D,0.0035*($C63-T$18)/$C63,0.002*($C63-T$18)/($C63-3*cc_D/7))/0.002)))^2)</f>
        <v/>
      </c>
      <c r="AS63">
        <f>MAX(-fyd_cc,MIN(fyd_cc,Es_cc*IF($C63&lt;=cc_D,0.0035*($C63-U$18)/$C63,0.002*($C63-U$18)/($C63-3*cc_D/7))))-fcd_cc*(1-(1-MAX(0,MIN(1,IF($C63&lt;=cc_D,0.0035*($C63-U$18)/$C63,0.002*($C63-U$18)/($C63-3*cc_D/7))/0.002)))^2)</f>
        <v/>
      </c>
      <c r="AT63">
        <f>MAX(-fyd_cc,MIN(fyd_cc,Es_cc*IF($C63&lt;=cc_D,0.0035*($C63-V$18)/$C63,0.002*($C63-V$18)/($C63-3*cc_D/7))))-fcd_cc*(1-(1-MAX(0,MIN(1,IF($C63&lt;=cc_D,0.0035*($C63-V$18)/$C63,0.002*($C63-V$18)/($C63-3*cc_D/7))/0.002)))^2)</f>
        <v/>
      </c>
      <c r="AU63">
        <f>MAX(-fyd_cc,MIN(fyd_cc,Es_cc*IF($C63&lt;=cc_D,0.0035*($C63-W$18)/$C63,0.002*($C63-W$18)/($C63-3*cc_D/7))))-fcd_cc*(1-(1-MAX(0,MIN(1,IF($C63&lt;=cc_D,0.0035*($C63-W$18)/$C63,0.002*($C63-W$18)/($C63-3*cc_D/7))/0.002)))^2)</f>
        <v/>
      </c>
      <c r="AV63">
        <f>MAX(-fyd_cc,MIN(fyd_cc,Es_cc*IF($C63&lt;=cc_D,0.0035*($C63-X$18)/$C63,0.002*($C63-X$18)/($C63-3*cc_D/7))))-fcd_cc*(1-(1-MAX(0,MIN(1,IF($C63&lt;=cc_D,0.0035*($C63-X$18)/$C63,0.002*($C63-X$18)/($C63-3*cc_D/7))/0.002)))^2)</f>
        <v/>
      </c>
      <c r="AW63">
        <f>MAX(-fyd_cc,MIN(fyd_cc,Es_cc*IF($C63&lt;=cc_D,0.0035*($C63-Y$18)/$C63,0.002*($C63-Y$18)/($C63-3*cc_D/7))))-fcd_cc*(1-(1-MAX(0,MIN(1,IF($C63&lt;=cc_D,0.0035*($C63-Y$18)/$C63,0.002*($C63-Y$18)/($C63-3*cc_D/7))/0.002)))^2)</f>
        <v/>
      </c>
      <c r="AX63">
        <f>MAX(-fyd_cc,MIN(fyd_cc,Es_cc*IF($C63&lt;=cc_D,0.0035*($C63-Z$18)/$C63,0.002*($C63-Z$18)/($C63-3*cc_D/7))))-fcd_cc*(1-(1-MAX(0,MIN(1,IF($C63&lt;=cc_D,0.0035*($C63-Z$18)/$C63,0.002*($C63-Z$18)/($C63-3*cc_D/7))/0.002)))^2)</f>
        <v/>
      </c>
      <c r="AY63">
        <f>MAX(-fyd_cc,MIN(fyd_cc,Es_cc*IF($C63&lt;=cc_D,0.0035*($C63-AA$18)/$C63,0.002*($C63-AA$18)/($C63-3*cc_D/7))))-fcd_cc*(1-(1-MAX(0,MIN(1,IF($C63&lt;=cc_D,0.0035*($C63-AA$18)/$C63,0.002*($C63-AA$18)/($C63-3*cc_D/7))/0.002)))^2)</f>
        <v/>
      </c>
      <c r="AZ63">
        <f>MAX(-fyd_cc,MIN(fyd_cc,Es_cc*IF($C63&lt;=cc_D,0.0035*($C63-AB$18)/$C63,0.002*($C63-AB$18)/($C63-3*cc_D/7))))-fcd_cc*(1-(1-MAX(0,MIN(1,IF($C63&lt;=cc_D,0.0035*($C63-AB$18)/$C63,0.002*($C63-AB$18)/($C63-3*cc_D/7))/0.002)))^2)</f>
        <v/>
      </c>
      <c r="BA63">
        <f>MAX(-fyd_cc,MIN(fyd_cc,Es_cc*IF($C63&lt;=cc_D,0.0035*($C63-AC$18)/$C63,0.002*($C63-AC$18)/($C63-3*cc_D/7))))-fcd_cc*(1-(1-MAX(0,MIN(1,IF($C63&lt;=cc_D,0.0035*($C63-AC$18)/$C63,0.002*($C63-AC$18)/($C63-3*cc_D/7))/0.002)))^2)</f>
        <v/>
      </c>
      <c r="BB63">
        <f>MAX(-fyd_cc,MIN(fyd_cc,Es_cc*IF($C63&lt;=cc_D,0.0035*($C63-AD$18)/$C63,0.002*($C63-AD$18)/($C63-3*cc_D/7))))-fcd_cc*(1-(1-MAX(0,MIN(1,IF($C63&lt;=cc_D,0.0035*($C63-AD$18)/$C63,0.002*($C63-AD$18)/($C63-3*cc_D/7))/0.002)))^2)</f>
        <v/>
      </c>
      <c r="BC63">
        <f>MAX(-fyd_cc,MIN(fyd_cc,Es_cc*IF($C63&lt;=cc_D,0.0035*($C63-AE$18)/$C63,0.002*($C63-AE$18)/($C63-3*cc_D/7))))-fcd_cc*(1-(1-MAX(0,MIN(1,IF($C63&lt;=cc_D,0.0035*($C63-AE$18)/$C63,0.002*($C63-AE$18)/($C63-3*cc_D/7))/0.002)))^2)</f>
        <v/>
      </c>
      <c r="BD63">
        <f>MAX(-fyd_cc,MIN(fyd_cc,Es_cc*IF($C63&lt;=cc_D,0.0035*($C63-AF$18)/$C63,0.002*($C63-AF$18)/($C63-3*cc_D/7))))-fcd_cc*(1-(1-MAX(0,MIN(1,IF($C63&lt;=cc_D,0.0035*($C63-AF$18)/$C63,0.002*($C63-AF$18)/($C63-3*cc_D/7))/0.002)))^2)</f>
        <v/>
      </c>
      <c r="BE63">
        <f>MAX(-fyd_cc,MIN(fyd_cc,Es_cc*IF($C63&lt;=cc_D,0.0035*($C63-AG$18)/$C63,0.002*($C63-AG$18)/($C63-3*cc_D/7))))-fcd_cc*(1-(1-MAX(0,MIN(1,IF($C63&lt;=cc_D,0.0035*($C63-AG$18)/$C63,0.002*($C63-AG$18)/($C63-3*cc_D/7))/0.002)))^2)</f>
        <v/>
      </c>
      <c r="BF63">
        <f>3*MIN($C63,cc_D)/7</f>
        <v/>
      </c>
      <c r="BG63">
        <f>$C63-$BF63</f>
        <v/>
      </c>
      <c r="BH63">
        <f>ACOS(MAX(-1,MIN(1,1-$BF63/(cc_D/2))))</f>
        <v/>
      </c>
      <c r="BI63">
        <f>ACOS(MAX(-1,MIN(1,1-MIN($C63,cc_D)/(cc_D/2))))</f>
        <v/>
      </c>
      <c r="BJ63">
        <f>((cc_D/2*(1-COS(($BH63+0*($BI63-$BH63)/12)))-$BF63)/$BG63)^2*SIN(($BH63+0*($BI63-$BH63)/12))^2</f>
        <v/>
      </c>
      <c r="BK63">
        <f>((cc_D/2*(1-COS(($BH63+1*($BI63-$BH63)/12)))-$BF63)/$BG63)^2*SIN(($BH63+1*($BI63-$BH63)/12))^2</f>
        <v/>
      </c>
      <c r="BL63">
        <f>((cc_D/2*(1-COS(($BH63+2*($BI63-$BH63)/12)))-$BF63)/$BG63)^2*SIN(($BH63+2*($BI63-$BH63)/12))^2</f>
        <v/>
      </c>
      <c r="BM63">
        <f>((cc_D/2*(1-COS(($BH63+3*($BI63-$BH63)/12)))-$BF63)/$BG63)^2*SIN(($BH63+3*($BI63-$BH63)/12))^2</f>
        <v/>
      </c>
      <c r="BN63">
        <f>((cc_D/2*(1-COS(($BH63+4*($BI63-$BH63)/12)))-$BF63)/$BG63)^2*SIN(($BH63+4*($BI63-$BH63)/12))^2</f>
        <v/>
      </c>
      <c r="BO63">
        <f>((cc_D/2*(1-COS(($BH63+5*($BI63-$BH63)/12)))-$BF63)/$BG63)^2*SIN(($BH63+5*($BI63-$BH63)/12))^2</f>
        <v/>
      </c>
      <c r="BP63">
        <f>((cc_D/2*(1-COS(($BH63+6*($BI63-$BH63)/12)))-$BF63)/$BG63)^2*SIN(($BH63+6*($BI63-$BH63)/12))^2</f>
        <v/>
      </c>
      <c r="BQ63">
        <f>((cc_D/2*(1-COS(($BH63+7*($BI63-$BH63)/12)))-$BF63)/$BG63)^2*SIN(($BH63+7*($BI63-$BH63)/12))^2</f>
        <v/>
      </c>
      <c r="BR63">
        <f>((cc_D/2*(1-COS(($BH63+8*($BI63-$BH63)/12)))-$BF63)/$BG63)^2*SIN(($BH63+8*($BI63-$BH63)/12))^2</f>
        <v/>
      </c>
      <c r="BS63">
        <f>((cc_D/2*(1-COS(($BH63+9*($BI63-$BH63)/12)))-$BF63)/$BG63)^2*SIN(($BH63+9*($BI63-$BH63)/12))^2</f>
        <v/>
      </c>
      <c r="BT63">
        <f>((cc_D/2*(1-COS(($BH63+10*($BI63-$BH63)/12)))-$BF63)/$BG63)^2*SIN(($BH63+10*($BI63-$BH63)/12))^2</f>
        <v/>
      </c>
      <c r="BU63">
        <f>((cc_D/2*(1-COS(($BH63+11*($BI63-$BH63)/12)))-$BF63)/$BG63)^2*SIN(($BH63+11*($BI63-$BH63)/12))^2</f>
        <v/>
      </c>
      <c r="BV63">
        <f>((cc_D/2*(1-COS(($BH63+12*($BI63-$BH63)/12)))-$BF63)/$BG63)^2*SIN(($BH63+12*($BI63-$BH63)/12))^2</f>
        <v/>
      </c>
      <c r="BW63">
        <f>BJ63*COS(($BH63+0*($BI63-$BH63)/12))</f>
        <v/>
      </c>
      <c r="BX63">
        <f>BK63*COS(($BH63+1*($BI63-$BH63)/12))</f>
        <v/>
      </c>
      <c r="BY63">
        <f>BL63*COS(($BH63+2*($BI63-$BH63)/12))</f>
        <v/>
      </c>
      <c r="BZ63">
        <f>BM63*COS(($BH63+3*($BI63-$BH63)/12))</f>
        <v/>
      </c>
      <c r="CA63">
        <f>BN63*COS(($BH63+4*($BI63-$BH63)/12))</f>
        <v/>
      </c>
      <c r="CB63">
        <f>BO63*COS(($BH63+5*($BI63-$BH63)/12))</f>
        <v/>
      </c>
      <c r="CC63">
        <f>BP63*COS(($BH63+6*($BI63-$BH63)/12))</f>
        <v/>
      </c>
      <c r="CD63">
        <f>BQ63*COS(($BH63+7*($BI63-$BH63)/12))</f>
        <v/>
      </c>
      <c r="CE63">
        <f>BR63*COS(($BH63+8*($BI63-$BH63)/12))</f>
        <v/>
      </c>
      <c r="CF63">
        <f>BS63*COS(($BH63+9*($BI63-$BH63)/12))</f>
        <v/>
      </c>
      <c r="CG63">
        <f>BT63*COS(($BH63+10*($BI63-$BH63)/12))</f>
        <v/>
      </c>
      <c r="CH63">
        <f>BU63*COS(($BH63+11*($BI63-$BH63)/12))</f>
        <v/>
      </c>
      <c r="CI63">
        <f>BV63*COS(($BH63+12*($BI63-$BH63)/12))</f>
        <v/>
      </c>
    </row>
    <row r="64">
      <c r="B64" s="53" t="n">
        <v>39</v>
      </c>
      <c r="C64" s="57">
        <f>1E6*cc_D</f>
        <v/>
      </c>
      <c r="D64" s="55" t="n">
        <v>2</v>
      </c>
      <c r="E64" s="56">
        <f>(fcd_cc*Ac_cc+As_cc*(MIN(fyd_cc,Es_cc*0.002)-fcd_cc))/1000</f>
        <v/>
      </c>
      <c r="F64" s="56">
        <f>(MIN(fyd_cc,Es_cc*0.002)-fcd_cc)*SUMPRODUCT($J$5:$AG$5,$J$7:$AG$7)/1E6</f>
        <v/>
      </c>
      <c r="G64" s="56">
        <f>(fcd_cc*Ac_cc+As_cc*(MIN(fyd_cc,Es_cc*0.002)-fcd_cc))/1000</f>
        <v/>
      </c>
      <c r="H64" s="56">
        <f>(MIN(fyd_cc,Es_cc*0.002)-fcd_cc)*SUMPRODUCT($J$5:$AG$5,$J$19:$AG$19)/1E6</f>
        <v/>
      </c>
    </row>
    <row r="66">
      <c r="B66" s="58" t="inlineStr">
        <is>
          <t>The table draws the curves. MRd at NEd is solved exactly below for each orientation: bisection on the neutral axis depth until N = NEd (N rises with x for these sections, so there is one root; x up to 1E12 D, where N is within 1E-12 of NRd,max).</t>
        </is>
      </c>
    </row>
    <row r="68">
      <c r="B68" s="59" t="inlineStr">
        <is>
          <t>Resistance at NEd by orientation</t>
        </is>
      </c>
    </row>
    <row r="69">
      <c r="B69" s="52" t="inlineStr"/>
      <c r="C69" s="52" t="inlineStr">
        <is>
          <t>turn (π/n)</t>
        </is>
      </c>
      <c r="D69" s="52" t="inlineStr">
        <is>
          <t>x (mm)</t>
        </is>
      </c>
      <c r="E69" s="52" t="inlineStr">
        <is>
          <t>N (kN)</t>
        </is>
      </c>
      <c r="F69" s="52" t="inlineStr">
        <is>
          <t>M (kNm)</t>
        </is>
      </c>
      <c r="G69" s="52" t="inlineStr">
        <is>
          <t>M⊥ (kNm)</t>
        </is>
      </c>
      <c r="H69" s="52" t="inlineStr">
        <is>
          <t>MRd (kNm)</t>
        </is>
      </c>
    </row>
    <row r="70">
      <c r="B70" s="60" t="inlineStr">
        <is>
          <t>A</t>
        </is>
      </c>
      <c r="C70" s="55" t="n">
        <v>0</v>
      </c>
      <c r="D70" s="53">
        <f>$E$149</f>
        <v/>
      </c>
      <c r="E70" s="56">
        <f>$G$149</f>
        <v/>
      </c>
      <c r="F70" s="56">
        <f>$H$149</f>
        <v/>
      </c>
      <c r="G70" s="56">
        <f>$I$149</f>
        <v/>
      </c>
      <c r="H70" s="61">
        <f>SQRT($H$149^2+$I$149^2)</f>
        <v/>
      </c>
      <c r="J70">
        <f>$F70*COS((-$C70*PI()/cc_nb))-$G70*SIN((-$C70*PI()/cc_nb))</f>
        <v/>
      </c>
      <c r="K70">
        <f>$F70*SIN((-$C70*PI()/cc_nb))+$G70*COS((-$C70*PI()/cc_nb))</f>
        <v/>
      </c>
    </row>
    <row r="71">
      <c r="B71" s="60" t="inlineStr">
        <is>
          <t>Q1</t>
        </is>
      </c>
      <c r="C71" s="55" t="n">
        <v>0.25</v>
      </c>
      <c r="D71" s="53">
        <f>$E$212</f>
        <v/>
      </c>
      <c r="E71" s="56">
        <f>$G$212</f>
        <v/>
      </c>
      <c r="F71" s="56">
        <f>$H$212</f>
        <v/>
      </c>
      <c r="G71" s="56">
        <f>$I$212</f>
        <v/>
      </c>
      <c r="H71" s="61">
        <f>SQRT($H$212^2+$I$212^2)</f>
        <v/>
      </c>
      <c r="J71">
        <f>$F71*COS((-$C71*PI()/cc_nb))-$G71*SIN((-$C71*PI()/cc_nb))</f>
        <v/>
      </c>
      <c r="K71">
        <f>$F71*SIN((-$C71*PI()/cc_nb))+$G71*COS((-$C71*PI()/cc_nb))</f>
        <v/>
      </c>
    </row>
    <row r="72">
      <c r="B72" s="60" t="inlineStr">
        <is>
          <t>Q2</t>
        </is>
      </c>
      <c r="C72" s="55" t="n">
        <v>0.5</v>
      </c>
      <c r="D72" s="53">
        <f>$E$275</f>
        <v/>
      </c>
      <c r="E72" s="56">
        <f>$G$275</f>
        <v/>
      </c>
      <c r="F72" s="56">
        <f>$H$275</f>
        <v/>
      </c>
      <c r="G72" s="56">
        <f>$I$275</f>
        <v/>
      </c>
      <c r="H72" s="61">
        <f>SQRT($H$275^2+$I$275^2)</f>
        <v/>
      </c>
      <c r="J72">
        <f>$F72*COS((-$C72*PI()/cc_nb))-$G72*SIN((-$C72*PI()/cc_nb))</f>
        <v/>
      </c>
      <c r="K72">
        <f>$F72*SIN((-$C72*PI()/cc_nb))+$G72*COS((-$C72*PI()/cc_nb))</f>
        <v/>
      </c>
    </row>
    <row r="73">
      <c r="B73" s="60" t="inlineStr">
        <is>
          <t>Q3</t>
        </is>
      </c>
      <c r="C73" s="55" t="n">
        <v>0.75</v>
      </c>
      <c r="D73" s="53">
        <f>$E$338</f>
        <v/>
      </c>
      <c r="E73" s="56">
        <f>$G$338</f>
        <v/>
      </c>
      <c r="F73" s="56">
        <f>$H$338</f>
        <v/>
      </c>
      <c r="G73" s="56">
        <f>$I$338</f>
        <v/>
      </c>
      <c r="H73" s="61">
        <f>SQRT($H$338^2+$I$338^2)</f>
        <v/>
      </c>
      <c r="J73">
        <f>$F73*COS((-$C73*PI()/cc_nb))-$G73*SIN((-$C73*PI()/cc_nb))</f>
        <v/>
      </c>
      <c r="K73">
        <f>$F73*SIN((-$C73*PI()/cc_nb))+$G73*COS((-$C73*PI()/cc_nb))</f>
        <v/>
      </c>
    </row>
    <row r="74">
      <c r="B74" s="60" t="inlineStr">
        <is>
          <t>B</t>
        </is>
      </c>
      <c r="C74" s="55" t="n">
        <v>1</v>
      </c>
      <c r="D74" s="53">
        <f>$E$401</f>
        <v/>
      </c>
      <c r="E74" s="56">
        <f>$G$401</f>
        <v/>
      </c>
      <c r="F74" s="56">
        <f>$H$401</f>
        <v/>
      </c>
      <c r="G74" s="56">
        <f>$I$401</f>
        <v/>
      </c>
      <c r="H74" s="61">
        <f>SQRT($H$401^2+$I$401^2)</f>
        <v/>
      </c>
      <c r="J74">
        <f>$F74*COS((-$C74*PI()/cc_nb))-$G74*SIN((-$C74*PI()/cc_nb))</f>
        <v/>
      </c>
      <c r="K74">
        <f>$F74*SIN((-$C74*PI()/cc_nb))+$G74*COS((-$C74*PI()/cc_nb))</f>
        <v/>
      </c>
    </row>
    <row r="75">
      <c r="B75" s="60" t="inlineStr">
        <is>
          <t>P</t>
        </is>
      </c>
      <c r="C75" s="55">
        <f>MAX(0,MIN(1,(ch_i-1+INDEX(ch_t,ch_i))/4))</f>
        <v/>
      </c>
      <c r="D75" s="53">
        <f>$E$464</f>
        <v/>
      </c>
      <c r="E75" s="56">
        <f>$G$464</f>
        <v/>
      </c>
      <c r="F75" s="56">
        <f>$H$464</f>
        <v/>
      </c>
      <c r="G75" s="56">
        <f>$I$464</f>
        <v/>
      </c>
      <c r="H75" s="61">
        <f>SQRT($H$464^2+$I$464^2)</f>
        <v/>
      </c>
      <c r="J75">
        <f>$F75*COS((-$C75*PI()/cc_nb))-$G75*SIN((-$C75*PI()/cc_nb))</f>
        <v/>
      </c>
      <c r="K75">
        <f>$F75*SIN((-$C75*PI()/cc_nb))+$G75*COS((-$C75*PI()/cc_nb))</f>
        <v/>
      </c>
    </row>
    <row r="77">
      <c r="B77" s="59" t="inlineStr">
        <is>
          <t>MRd in every direction: distance from the origin to the chords between the moment points (convex domain)</t>
        </is>
      </c>
    </row>
    <row r="78">
      <c r="B78" s="52" t="inlineStr">
        <is>
          <t>chord</t>
        </is>
      </c>
      <c r="C78" s="52" t="inlineStr">
        <is>
          <t>from</t>
        </is>
      </c>
      <c r="D78" s="52" t="inlineStr">
        <is>
          <t>to</t>
        </is>
      </c>
      <c r="E78" s="52" t="inlineStr">
        <is>
          <t>t</t>
        </is>
      </c>
      <c r="F78" s="52" t="inlineStr">
        <is>
          <t>distance (kNm)</t>
        </is>
      </c>
      <c r="G78" s="52" t="inlineStr"/>
      <c r="H78" s="52" t="inlineStr"/>
    </row>
    <row r="79">
      <c r="B79" s="60" t="n">
        <v>1</v>
      </c>
      <c r="C79" s="60" t="inlineStr">
        <is>
          <t>A</t>
        </is>
      </c>
      <c r="D79" s="60" t="inlineStr">
        <is>
          <t>Q1</t>
        </is>
      </c>
      <c r="E79" s="62">
        <f>IF((($J$71-$J$70)^2+($K$71-$K$70)^2)=0,0,MAX(0,MIN(1,-($J$70*($J$71-$J$70)+$K$70*($K$71-$K$70))/(($J$71-$J$70)^2+($K$71-$K$70)^2))))</f>
        <v/>
      </c>
      <c r="F79" s="56">
        <f>SQRT(($J$70+$E79*($J$71-$J$70))^2+($K$70+$E79*($K$71-$K$70))^2)</f>
        <v/>
      </c>
    </row>
    <row r="80">
      <c r="B80" s="60" t="n">
        <v>2</v>
      </c>
      <c r="C80" s="60" t="inlineStr">
        <is>
          <t>Q1</t>
        </is>
      </c>
      <c r="D80" s="60" t="inlineStr">
        <is>
          <t>Q2</t>
        </is>
      </c>
      <c r="E80" s="62">
        <f>IF((($J$72-$J$71)^2+($K$72-$K$71)^2)=0,0,MAX(0,MIN(1,-($J$71*($J$72-$J$71)+$K$71*($K$72-$K$71))/(($J$72-$J$71)^2+($K$72-$K$71)^2))))</f>
        <v/>
      </c>
      <c r="F80" s="56">
        <f>SQRT(($J$71+$E80*($J$72-$J$71))^2+($K$71+$E80*($K$72-$K$71))^2)</f>
        <v/>
      </c>
    </row>
    <row r="81">
      <c r="B81" s="60" t="n">
        <v>3</v>
      </c>
      <c r="C81" s="60" t="inlineStr">
        <is>
          <t>Q2</t>
        </is>
      </c>
      <c r="D81" s="60" t="inlineStr">
        <is>
          <t>Q3</t>
        </is>
      </c>
      <c r="E81" s="62">
        <f>IF((($J$73-$J$72)^2+($K$73-$K$72)^2)=0,0,MAX(0,MIN(1,-($J$72*($J$73-$J$72)+$K$72*($K$73-$K$72))/(($J$73-$J$72)^2+($K$73-$K$72)^2))))</f>
        <v/>
      </c>
      <c r="F81" s="56">
        <f>SQRT(($J$72+$E81*($J$73-$J$72))^2+($K$72+$E81*($K$73-$K$72))^2)</f>
        <v/>
      </c>
    </row>
    <row r="82">
      <c r="B82" s="60" t="n">
        <v>4</v>
      </c>
      <c r="C82" s="60" t="inlineStr">
        <is>
          <t>Q3</t>
        </is>
      </c>
      <c r="D82" s="60" t="inlineStr">
        <is>
          <t>B</t>
        </is>
      </c>
      <c r="E82" s="62">
        <f>IF((($J$74-$J$73)^2+($K$74-$K$73)^2)=0,0,MAX(0,MIN(1,-($J$73*($J$74-$J$73)+$K$73*($K$74-$K$73))/(($J$74-$J$73)^2+($K$74-$K$73)^2))))</f>
        <v/>
      </c>
      <c r="F82" s="56">
        <f>SQRT(($J$73+$E82*($J$74-$J$73))^2+($K$73+$E82*($K$74-$K$73))^2)</f>
        <v/>
      </c>
    </row>
    <row r="83">
      <c r="B83" s="60" t="inlineStr">
        <is>
          <t>split</t>
        </is>
      </c>
      <c r="C83" s="60">
        <f>INDEX(or_name,ch_i)</f>
        <v/>
      </c>
      <c r="D83" s="60" t="inlineStr">
        <is>
          <t>P</t>
        </is>
      </c>
      <c r="E83" s="62">
        <f>IF((($J$75-INDEX(or_px,ch_i))^2+($K$75-INDEX(or_py,ch_i))^2)=0,0,MAX(0,MIN(1,-(INDEX(or_px,ch_i)*($J$75-INDEX(or_px,ch_i))+INDEX(or_py,ch_i)*($K$75-INDEX(or_py,ch_i)))/(($J$75-INDEX(or_px,ch_i))^2+($K$75-INDEX(or_py,ch_i))^2))))</f>
        <v/>
      </c>
      <c r="F83" s="56">
        <f>SQRT((INDEX(or_px,ch_i)+$E83*($J$75-INDEX(or_px,ch_i)))^2+(INDEX(or_py,ch_i)+$E83*($K$75-INDEX(or_py,ch_i)))^2)</f>
        <v/>
      </c>
    </row>
    <row r="84">
      <c r="B84" s="60" t="inlineStr">
        <is>
          <t>split</t>
        </is>
      </c>
      <c r="C84" s="60" t="inlineStr">
        <is>
          <t>P</t>
        </is>
      </c>
      <c r="D84" s="60">
        <f>INDEX(or_name,ch_i+1)</f>
        <v/>
      </c>
      <c r="E84" s="62">
        <f>IF(((INDEX(or_px,ch_i+1)-$J$75)^2+(INDEX(or_py,ch_i+1)-$K$75)^2)=0,0,MAX(0,MIN(1,-($J$75*(INDEX(or_px,ch_i+1)-$J$75)+$K$75*(INDEX(or_py,ch_i+1)-$K$75))/((INDEX(or_px,ch_i+1)-$J$75)^2+(INDEX(or_py,ch_i+1)-$K$75)^2))))</f>
        <v/>
      </c>
      <c r="F84" s="56">
        <f>SQRT(($J$75+$E84*(INDEX(or_px,ch_i+1)-$J$75))^2+($K$75+$E84*(INDEX(or_py,ch_i+1)-$K$75))^2)</f>
        <v/>
      </c>
    </row>
    <row r="85">
      <c r="B85" s="63" t="inlineStr">
        <is>
          <t>MRd</t>
        </is>
      </c>
      <c r="C85" s="63" t="n"/>
      <c r="D85" s="63" t="n"/>
      <c r="E85" s="64" t="n"/>
      <c r="F85" s="61">
        <f>MIN(IF(ch_i=1,1E99,INDEX(ch_d,1)),IF(ch_i=2,1E99,INDEX(ch_d,2)),IF(ch_i=3,1E99,INDEX(ch_d,3)),IF(ch_i=4,1E99,INDEX(ch_d,4)),$F$83,$F$84)</f>
        <v/>
      </c>
    </row>
    <row r="88">
      <c r="B88" s="59" t="inlineStr">
        <is>
          <t>Orientation A  ·  turned by 0 π/n</t>
        </is>
      </c>
    </row>
    <row r="89">
      <c r="B89" s="52" t="inlineStr">
        <is>
          <t>step</t>
        </is>
      </c>
      <c r="C89" s="52" t="inlineStr">
        <is>
          <t>u low</t>
        </is>
      </c>
      <c r="D89" s="52" t="inlineStr">
        <is>
          <t>u high</t>
        </is>
      </c>
      <c r="E89" s="52" t="inlineStr">
        <is>
          <t>x (mm)</t>
        </is>
      </c>
      <c r="F89" s="52" t="inlineStr">
        <is>
          <t>εc top (‰)</t>
        </is>
      </c>
      <c r="G89" s="52" t="inlineStr">
        <is>
          <t>N (kN)</t>
        </is>
      </c>
      <c r="H89" s="52" t="inlineStr">
        <is>
          <t>M (kNm)</t>
        </is>
      </c>
      <c r="I89" s="52" t="inlineStr">
        <is>
          <t>M⊥ (kNm)</t>
        </is>
      </c>
    </row>
    <row r="90">
      <c r="B90" s="65" t="n">
        <v>1</v>
      </c>
      <c r="C90" s="66" t="n">
        <v>0</v>
      </c>
      <c r="D90" s="66">
        <f>1-1E-12</f>
        <v/>
      </c>
      <c r="E90" s="67">
        <f>cc_D*(($C90+$D90)/2)/(1-(($C90+$D90)/2))</f>
        <v/>
      </c>
      <c r="F90" s="68">
        <f>IF($E90&lt;=cc_D,3.5,2*$E90/($E90-3*cc_D/7))</f>
        <v/>
      </c>
      <c r="G90" s="67">
        <f>(fcd_cc*((cc_D/2)^2*($BI90-COS($BI90)*SIN($BI90))-2*(cc_D/2)^2*($BI90-$BH90)/12/3*SUMPRODUCT($BJ$4:$BV$4,$BJ90:$BV90))+SUMPRODUCT($J$5:$AG$5,$J90:$AG90))/1000</f>
        <v/>
      </c>
      <c r="H90" s="67">
        <f>(fcd_cc*(2/3*(cc_D/2)^3*SIN($BI90)^3-2*(cc_D/2)^3*($BI90-$BH90)/12/3*SUMPRODUCT($BW$4:$CI$4,$BW90:$CI90))+SUMPRODUCT($J$5:$AG$5,$J90:$AG90,$J$7:$AG$7))/1E6</f>
        <v/>
      </c>
      <c r="I90" s="67">
        <f>SUMPRODUCT($J$5:$AG$5,$J90:$AG90,$J$8:$AG$8)/1E6</f>
        <v/>
      </c>
      <c r="J90">
        <f>MAX(-fyd_cc,MIN(fyd_cc,Es_cc*IF($E90&lt;=cc_D,0.0035*($E90-J$6)/$E90,0.002*($E90-J$6)/($E90-3*cc_D/7))))-fcd_cc*(1-(1-MAX(0,MIN(1,IF($E90&lt;=cc_D,0.0035*($E90-J$6)/$E90,0.002*($E90-J$6)/($E90-3*cc_D/7))/0.002)))^2)</f>
        <v/>
      </c>
      <c r="K90">
        <f>MAX(-fyd_cc,MIN(fyd_cc,Es_cc*IF($E90&lt;=cc_D,0.0035*($E90-K$6)/$E90,0.002*($E90-K$6)/($E90-3*cc_D/7))))-fcd_cc*(1-(1-MAX(0,MIN(1,IF($E90&lt;=cc_D,0.0035*($E90-K$6)/$E90,0.002*($E90-K$6)/($E90-3*cc_D/7))/0.002)))^2)</f>
        <v/>
      </c>
      <c r="L90">
        <f>MAX(-fyd_cc,MIN(fyd_cc,Es_cc*IF($E90&lt;=cc_D,0.0035*($E90-L$6)/$E90,0.002*($E90-L$6)/($E90-3*cc_D/7))))-fcd_cc*(1-(1-MAX(0,MIN(1,IF($E90&lt;=cc_D,0.0035*($E90-L$6)/$E90,0.002*($E90-L$6)/($E90-3*cc_D/7))/0.002)))^2)</f>
        <v/>
      </c>
      <c r="M90">
        <f>MAX(-fyd_cc,MIN(fyd_cc,Es_cc*IF($E90&lt;=cc_D,0.0035*($E90-M$6)/$E90,0.002*($E90-M$6)/($E90-3*cc_D/7))))-fcd_cc*(1-(1-MAX(0,MIN(1,IF($E90&lt;=cc_D,0.0035*($E90-M$6)/$E90,0.002*($E90-M$6)/($E90-3*cc_D/7))/0.002)))^2)</f>
        <v/>
      </c>
      <c r="N90">
        <f>MAX(-fyd_cc,MIN(fyd_cc,Es_cc*IF($E90&lt;=cc_D,0.0035*($E90-N$6)/$E90,0.002*($E90-N$6)/($E90-3*cc_D/7))))-fcd_cc*(1-(1-MAX(0,MIN(1,IF($E90&lt;=cc_D,0.0035*($E90-N$6)/$E90,0.002*($E90-N$6)/($E90-3*cc_D/7))/0.002)))^2)</f>
        <v/>
      </c>
      <c r="O90">
        <f>MAX(-fyd_cc,MIN(fyd_cc,Es_cc*IF($E90&lt;=cc_D,0.0035*($E90-O$6)/$E90,0.002*($E90-O$6)/($E90-3*cc_D/7))))-fcd_cc*(1-(1-MAX(0,MIN(1,IF($E90&lt;=cc_D,0.0035*($E90-O$6)/$E90,0.002*($E90-O$6)/($E90-3*cc_D/7))/0.002)))^2)</f>
        <v/>
      </c>
      <c r="P90">
        <f>MAX(-fyd_cc,MIN(fyd_cc,Es_cc*IF($E90&lt;=cc_D,0.0035*($E90-P$6)/$E90,0.002*($E90-P$6)/($E90-3*cc_D/7))))-fcd_cc*(1-(1-MAX(0,MIN(1,IF($E90&lt;=cc_D,0.0035*($E90-P$6)/$E90,0.002*($E90-P$6)/($E90-3*cc_D/7))/0.002)))^2)</f>
        <v/>
      </c>
      <c r="Q90">
        <f>MAX(-fyd_cc,MIN(fyd_cc,Es_cc*IF($E90&lt;=cc_D,0.0035*($E90-Q$6)/$E90,0.002*($E90-Q$6)/($E90-3*cc_D/7))))-fcd_cc*(1-(1-MAX(0,MIN(1,IF($E90&lt;=cc_D,0.0035*($E90-Q$6)/$E90,0.002*($E90-Q$6)/($E90-3*cc_D/7))/0.002)))^2)</f>
        <v/>
      </c>
      <c r="R90">
        <f>MAX(-fyd_cc,MIN(fyd_cc,Es_cc*IF($E90&lt;=cc_D,0.0035*($E90-R$6)/$E90,0.002*($E90-R$6)/($E90-3*cc_D/7))))-fcd_cc*(1-(1-MAX(0,MIN(1,IF($E90&lt;=cc_D,0.0035*($E90-R$6)/$E90,0.002*($E90-R$6)/($E90-3*cc_D/7))/0.002)))^2)</f>
        <v/>
      </c>
      <c r="S90">
        <f>MAX(-fyd_cc,MIN(fyd_cc,Es_cc*IF($E90&lt;=cc_D,0.0035*($E90-S$6)/$E90,0.002*($E90-S$6)/($E90-3*cc_D/7))))-fcd_cc*(1-(1-MAX(0,MIN(1,IF($E90&lt;=cc_D,0.0035*($E90-S$6)/$E90,0.002*($E90-S$6)/($E90-3*cc_D/7))/0.002)))^2)</f>
        <v/>
      </c>
      <c r="T90">
        <f>MAX(-fyd_cc,MIN(fyd_cc,Es_cc*IF($E90&lt;=cc_D,0.0035*($E90-T$6)/$E90,0.002*($E90-T$6)/($E90-3*cc_D/7))))-fcd_cc*(1-(1-MAX(0,MIN(1,IF($E90&lt;=cc_D,0.0035*($E90-T$6)/$E90,0.002*($E90-T$6)/($E90-3*cc_D/7))/0.002)))^2)</f>
        <v/>
      </c>
      <c r="U90">
        <f>MAX(-fyd_cc,MIN(fyd_cc,Es_cc*IF($E90&lt;=cc_D,0.0035*($E90-U$6)/$E90,0.002*($E90-U$6)/($E90-3*cc_D/7))))-fcd_cc*(1-(1-MAX(0,MIN(1,IF($E90&lt;=cc_D,0.0035*($E90-U$6)/$E90,0.002*($E90-U$6)/($E90-3*cc_D/7))/0.002)))^2)</f>
        <v/>
      </c>
      <c r="V90">
        <f>MAX(-fyd_cc,MIN(fyd_cc,Es_cc*IF($E90&lt;=cc_D,0.0035*($E90-V$6)/$E90,0.002*($E90-V$6)/($E90-3*cc_D/7))))-fcd_cc*(1-(1-MAX(0,MIN(1,IF($E90&lt;=cc_D,0.0035*($E90-V$6)/$E90,0.002*($E90-V$6)/($E90-3*cc_D/7))/0.002)))^2)</f>
        <v/>
      </c>
      <c r="W90">
        <f>MAX(-fyd_cc,MIN(fyd_cc,Es_cc*IF($E90&lt;=cc_D,0.0035*($E90-W$6)/$E90,0.002*($E90-W$6)/($E90-3*cc_D/7))))-fcd_cc*(1-(1-MAX(0,MIN(1,IF($E90&lt;=cc_D,0.0035*($E90-W$6)/$E90,0.002*($E90-W$6)/($E90-3*cc_D/7))/0.002)))^2)</f>
        <v/>
      </c>
      <c r="X90">
        <f>MAX(-fyd_cc,MIN(fyd_cc,Es_cc*IF($E90&lt;=cc_D,0.0035*($E90-X$6)/$E90,0.002*($E90-X$6)/($E90-3*cc_D/7))))-fcd_cc*(1-(1-MAX(0,MIN(1,IF($E90&lt;=cc_D,0.0035*($E90-X$6)/$E90,0.002*($E90-X$6)/($E90-3*cc_D/7))/0.002)))^2)</f>
        <v/>
      </c>
      <c r="Y90">
        <f>MAX(-fyd_cc,MIN(fyd_cc,Es_cc*IF($E90&lt;=cc_D,0.0035*($E90-Y$6)/$E90,0.002*($E90-Y$6)/($E90-3*cc_D/7))))-fcd_cc*(1-(1-MAX(0,MIN(1,IF($E90&lt;=cc_D,0.0035*($E90-Y$6)/$E90,0.002*($E90-Y$6)/($E90-3*cc_D/7))/0.002)))^2)</f>
        <v/>
      </c>
      <c r="Z90">
        <f>MAX(-fyd_cc,MIN(fyd_cc,Es_cc*IF($E90&lt;=cc_D,0.0035*($E90-Z$6)/$E90,0.002*($E90-Z$6)/($E90-3*cc_D/7))))-fcd_cc*(1-(1-MAX(0,MIN(1,IF($E90&lt;=cc_D,0.0035*($E90-Z$6)/$E90,0.002*($E90-Z$6)/($E90-3*cc_D/7))/0.002)))^2)</f>
        <v/>
      </c>
      <c r="AA90">
        <f>MAX(-fyd_cc,MIN(fyd_cc,Es_cc*IF($E90&lt;=cc_D,0.0035*($E90-AA$6)/$E90,0.002*($E90-AA$6)/($E90-3*cc_D/7))))-fcd_cc*(1-(1-MAX(0,MIN(1,IF($E90&lt;=cc_D,0.0035*($E90-AA$6)/$E90,0.002*($E90-AA$6)/($E90-3*cc_D/7))/0.002)))^2)</f>
        <v/>
      </c>
      <c r="AB90">
        <f>MAX(-fyd_cc,MIN(fyd_cc,Es_cc*IF($E90&lt;=cc_D,0.0035*($E90-AB$6)/$E90,0.002*($E90-AB$6)/($E90-3*cc_D/7))))-fcd_cc*(1-(1-MAX(0,MIN(1,IF($E90&lt;=cc_D,0.0035*($E90-AB$6)/$E90,0.002*($E90-AB$6)/($E90-3*cc_D/7))/0.002)))^2)</f>
        <v/>
      </c>
      <c r="AC90">
        <f>MAX(-fyd_cc,MIN(fyd_cc,Es_cc*IF($E90&lt;=cc_D,0.0035*($E90-AC$6)/$E90,0.002*($E90-AC$6)/($E90-3*cc_D/7))))-fcd_cc*(1-(1-MAX(0,MIN(1,IF($E90&lt;=cc_D,0.0035*($E90-AC$6)/$E90,0.002*($E90-AC$6)/($E90-3*cc_D/7))/0.002)))^2)</f>
        <v/>
      </c>
      <c r="AD90">
        <f>MAX(-fyd_cc,MIN(fyd_cc,Es_cc*IF($E90&lt;=cc_D,0.0035*($E90-AD$6)/$E90,0.002*($E90-AD$6)/($E90-3*cc_D/7))))-fcd_cc*(1-(1-MAX(0,MIN(1,IF($E90&lt;=cc_D,0.0035*($E90-AD$6)/$E90,0.002*($E90-AD$6)/($E90-3*cc_D/7))/0.002)))^2)</f>
        <v/>
      </c>
      <c r="AE90">
        <f>MAX(-fyd_cc,MIN(fyd_cc,Es_cc*IF($E90&lt;=cc_D,0.0035*($E90-AE$6)/$E90,0.002*($E90-AE$6)/($E90-3*cc_D/7))))-fcd_cc*(1-(1-MAX(0,MIN(1,IF($E90&lt;=cc_D,0.0035*($E90-AE$6)/$E90,0.002*($E90-AE$6)/($E90-3*cc_D/7))/0.002)))^2)</f>
        <v/>
      </c>
      <c r="AF90">
        <f>MAX(-fyd_cc,MIN(fyd_cc,Es_cc*IF($E90&lt;=cc_D,0.0035*($E90-AF$6)/$E90,0.002*($E90-AF$6)/($E90-3*cc_D/7))))-fcd_cc*(1-(1-MAX(0,MIN(1,IF($E90&lt;=cc_D,0.0035*($E90-AF$6)/$E90,0.002*($E90-AF$6)/($E90-3*cc_D/7))/0.002)))^2)</f>
        <v/>
      </c>
      <c r="AG90">
        <f>MAX(-fyd_cc,MIN(fyd_cc,Es_cc*IF($E90&lt;=cc_D,0.0035*($E90-AG$6)/$E90,0.002*($E90-AG$6)/($E90-3*cc_D/7))))-fcd_cc*(1-(1-MAX(0,MIN(1,IF($E90&lt;=cc_D,0.0035*($E90-AG$6)/$E90,0.002*($E90-AG$6)/($E90-3*cc_D/7))/0.002)))^2)</f>
        <v/>
      </c>
      <c r="BF90">
        <f>3*MIN($E90,cc_D)/7</f>
        <v/>
      </c>
      <c r="BG90">
        <f>$E90-$BF90</f>
        <v/>
      </c>
      <c r="BH90">
        <f>ACOS(MAX(-1,MIN(1,1-$BF90/(cc_D/2))))</f>
        <v/>
      </c>
      <c r="BI90">
        <f>ACOS(MAX(-1,MIN(1,1-MIN($E90,cc_D)/(cc_D/2))))</f>
        <v/>
      </c>
      <c r="BJ90">
        <f>((cc_D/2*(1-COS(($BH90+0*($BI90-$BH90)/12)))-$BF90)/$BG90)^2*SIN(($BH90+0*($BI90-$BH90)/12))^2</f>
        <v/>
      </c>
      <c r="BK90">
        <f>((cc_D/2*(1-COS(($BH90+1*($BI90-$BH90)/12)))-$BF90)/$BG90)^2*SIN(($BH90+1*($BI90-$BH90)/12))^2</f>
        <v/>
      </c>
      <c r="BL90">
        <f>((cc_D/2*(1-COS(($BH90+2*($BI90-$BH90)/12)))-$BF90)/$BG90)^2*SIN(($BH90+2*($BI90-$BH90)/12))^2</f>
        <v/>
      </c>
      <c r="BM90">
        <f>((cc_D/2*(1-COS(($BH90+3*($BI90-$BH90)/12)))-$BF90)/$BG90)^2*SIN(($BH90+3*($BI90-$BH90)/12))^2</f>
        <v/>
      </c>
      <c r="BN90">
        <f>((cc_D/2*(1-COS(($BH90+4*($BI90-$BH90)/12)))-$BF90)/$BG90)^2*SIN(($BH90+4*($BI90-$BH90)/12))^2</f>
        <v/>
      </c>
      <c r="BO90">
        <f>((cc_D/2*(1-COS(($BH90+5*($BI90-$BH90)/12)))-$BF90)/$BG90)^2*SIN(($BH90+5*($BI90-$BH90)/12))^2</f>
        <v/>
      </c>
      <c r="BP90">
        <f>((cc_D/2*(1-COS(($BH90+6*($BI90-$BH90)/12)))-$BF90)/$BG90)^2*SIN(($BH90+6*($BI90-$BH90)/12))^2</f>
        <v/>
      </c>
      <c r="BQ90">
        <f>((cc_D/2*(1-COS(($BH90+7*($BI90-$BH90)/12)))-$BF90)/$BG90)^2*SIN(($BH90+7*($BI90-$BH90)/12))^2</f>
        <v/>
      </c>
      <c r="BR90">
        <f>((cc_D/2*(1-COS(($BH90+8*($BI90-$BH90)/12)))-$BF90)/$BG90)^2*SIN(($BH90+8*($BI90-$BH90)/12))^2</f>
        <v/>
      </c>
      <c r="BS90">
        <f>((cc_D/2*(1-COS(($BH90+9*($BI90-$BH90)/12)))-$BF90)/$BG90)^2*SIN(($BH90+9*($BI90-$BH90)/12))^2</f>
        <v/>
      </c>
      <c r="BT90">
        <f>((cc_D/2*(1-COS(($BH90+10*($BI90-$BH90)/12)))-$BF90)/$BG90)^2*SIN(($BH90+10*($BI90-$BH90)/12))^2</f>
        <v/>
      </c>
      <c r="BU90">
        <f>((cc_D/2*(1-COS(($BH90+11*($BI90-$BH90)/12)))-$BF90)/$BG90)^2*SIN(($BH90+11*($BI90-$BH90)/12))^2</f>
        <v/>
      </c>
      <c r="BV90">
        <f>((cc_D/2*(1-COS(($BH90+12*($BI90-$BH90)/12)))-$BF90)/$BG90)^2*SIN(($BH90+12*($BI90-$BH90)/12))^2</f>
        <v/>
      </c>
      <c r="BW90">
        <f>BJ90*COS(($BH90+0*($BI90-$BH90)/12))</f>
        <v/>
      </c>
      <c r="BX90">
        <f>BK90*COS(($BH90+1*($BI90-$BH90)/12))</f>
        <v/>
      </c>
      <c r="BY90">
        <f>BL90*COS(($BH90+2*($BI90-$BH90)/12))</f>
        <v/>
      </c>
      <c r="BZ90">
        <f>BM90*COS(($BH90+3*($BI90-$BH90)/12))</f>
        <v/>
      </c>
      <c r="CA90">
        <f>BN90*COS(($BH90+4*($BI90-$BH90)/12))</f>
        <v/>
      </c>
      <c r="CB90">
        <f>BO90*COS(($BH90+5*($BI90-$BH90)/12))</f>
        <v/>
      </c>
      <c r="CC90">
        <f>BP90*COS(($BH90+6*($BI90-$BH90)/12))</f>
        <v/>
      </c>
      <c r="CD90">
        <f>BQ90*COS(($BH90+7*($BI90-$BH90)/12))</f>
        <v/>
      </c>
      <c r="CE90">
        <f>BR90*COS(($BH90+8*($BI90-$BH90)/12))</f>
        <v/>
      </c>
      <c r="CF90">
        <f>BS90*COS(($BH90+9*($BI90-$BH90)/12))</f>
        <v/>
      </c>
      <c r="CG90">
        <f>BT90*COS(($BH90+10*($BI90-$BH90)/12))</f>
        <v/>
      </c>
      <c r="CH90">
        <f>BU90*COS(($BH90+11*($BI90-$BH90)/12))</f>
        <v/>
      </c>
      <c r="CI90">
        <f>BV90*COS(($BH90+12*($BI90-$BH90)/12))</f>
        <v/>
      </c>
    </row>
    <row r="91">
      <c r="B91" s="65" t="n">
        <v>2</v>
      </c>
      <c r="C91" s="66">
        <f>IF($G90&lt;cc_NEd-1E-9*ABS(cc_NEd),($C90+$D90)/2,$C90)</f>
        <v/>
      </c>
      <c r="D91" s="66">
        <f>IF($G90&lt;cc_NEd-1E-9*ABS(cc_NEd),$D90,($C90+$D90)/2)</f>
        <v/>
      </c>
      <c r="E91" s="67">
        <f>cc_D*(($C91+$D91)/2)/(1-(($C91+$D91)/2))</f>
        <v/>
      </c>
      <c r="F91" s="68">
        <f>IF($E91&lt;=cc_D,3.5,2*$E91/($E91-3*cc_D/7))</f>
        <v/>
      </c>
      <c r="G91" s="67">
        <f>(fcd_cc*((cc_D/2)^2*($BI91-COS($BI91)*SIN($BI91))-2*(cc_D/2)^2*($BI91-$BH91)/12/3*SUMPRODUCT($BJ$4:$BV$4,$BJ91:$BV91))+SUMPRODUCT($J$5:$AG$5,$J91:$AG91))/1000</f>
        <v/>
      </c>
      <c r="H91" s="67">
        <f>(fcd_cc*(2/3*(cc_D/2)^3*SIN($BI91)^3-2*(cc_D/2)^3*($BI91-$BH91)/12/3*SUMPRODUCT($BW$4:$CI$4,$BW91:$CI91))+SUMPRODUCT($J$5:$AG$5,$J91:$AG91,$J$7:$AG$7))/1E6</f>
        <v/>
      </c>
      <c r="I91" s="67">
        <f>SUMPRODUCT($J$5:$AG$5,$J91:$AG91,$J$8:$AG$8)/1E6</f>
        <v/>
      </c>
      <c r="J91">
        <f>MAX(-fyd_cc,MIN(fyd_cc,Es_cc*IF($E91&lt;=cc_D,0.0035*($E91-J$6)/$E91,0.002*($E91-J$6)/($E91-3*cc_D/7))))-fcd_cc*(1-(1-MAX(0,MIN(1,IF($E91&lt;=cc_D,0.0035*($E91-J$6)/$E91,0.002*($E91-J$6)/($E91-3*cc_D/7))/0.002)))^2)</f>
        <v/>
      </c>
      <c r="K91">
        <f>MAX(-fyd_cc,MIN(fyd_cc,Es_cc*IF($E91&lt;=cc_D,0.0035*($E91-K$6)/$E91,0.002*($E91-K$6)/($E91-3*cc_D/7))))-fcd_cc*(1-(1-MAX(0,MIN(1,IF($E91&lt;=cc_D,0.0035*($E91-K$6)/$E91,0.002*($E91-K$6)/($E91-3*cc_D/7))/0.002)))^2)</f>
        <v/>
      </c>
      <c r="L91">
        <f>MAX(-fyd_cc,MIN(fyd_cc,Es_cc*IF($E91&lt;=cc_D,0.0035*($E91-L$6)/$E91,0.002*($E91-L$6)/($E91-3*cc_D/7))))-fcd_cc*(1-(1-MAX(0,MIN(1,IF($E91&lt;=cc_D,0.0035*($E91-L$6)/$E91,0.002*($E91-L$6)/($E91-3*cc_D/7))/0.002)))^2)</f>
        <v/>
      </c>
      <c r="M91">
        <f>MAX(-fyd_cc,MIN(fyd_cc,Es_cc*IF($E91&lt;=cc_D,0.0035*($E91-M$6)/$E91,0.002*($E91-M$6)/($E91-3*cc_D/7))))-fcd_cc*(1-(1-MAX(0,MIN(1,IF($E91&lt;=cc_D,0.0035*($E91-M$6)/$E91,0.002*($E91-M$6)/($E91-3*cc_D/7))/0.002)))^2)</f>
        <v/>
      </c>
      <c r="N91">
        <f>MAX(-fyd_cc,MIN(fyd_cc,Es_cc*IF($E91&lt;=cc_D,0.0035*($E91-N$6)/$E91,0.002*($E91-N$6)/($E91-3*cc_D/7))))-fcd_cc*(1-(1-MAX(0,MIN(1,IF($E91&lt;=cc_D,0.0035*($E91-N$6)/$E91,0.002*($E91-N$6)/($E91-3*cc_D/7))/0.002)))^2)</f>
        <v/>
      </c>
      <c r="O91">
        <f>MAX(-fyd_cc,MIN(fyd_cc,Es_cc*IF($E91&lt;=cc_D,0.0035*($E91-O$6)/$E91,0.002*($E91-O$6)/($E91-3*cc_D/7))))-fcd_cc*(1-(1-MAX(0,MIN(1,IF($E91&lt;=cc_D,0.0035*($E91-O$6)/$E91,0.002*($E91-O$6)/($E91-3*cc_D/7))/0.002)))^2)</f>
        <v/>
      </c>
      <c r="P91">
        <f>MAX(-fyd_cc,MIN(fyd_cc,Es_cc*IF($E91&lt;=cc_D,0.0035*($E91-P$6)/$E91,0.002*($E91-P$6)/($E91-3*cc_D/7))))-fcd_cc*(1-(1-MAX(0,MIN(1,IF($E91&lt;=cc_D,0.0035*($E91-P$6)/$E91,0.002*($E91-P$6)/($E91-3*cc_D/7))/0.002)))^2)</f>
        <v/>
      </c>
      <c r="Q91">
        <f>MAX(-fyd_cc,MIN(fyd_cc,Es_cc*IF($E91&lt;=cc_D,0.0035*($E91-Q$6)/$E91,0.002*($E91-Q$6)/($E91-3*cc_D/7))))-fcd_cc*(1-(1-MAX(0,MIN(1,IF($E91&lt;=cc_D,0.0035*($E91-Q$6)/$E91,0.002*($E91-Q$6)/($E91-3*cc_D/7))/0.002)))^2)</f>
        <v/>
      </c>
      <c r="R91">
        <f>MAX(-fyd_cc,MIN(fyd_cc,Es_cc*IF($E91&lt;=cc_D,0.0035*($E91-R$6)/$E91,0.002*($E91-R$6)/($E91-3*cc_D/7))))-fcd_cc*(1-(1-MAX(0,MIN(1,IF($E91&lt;=cc_D,0.0035*($E91-R$6)/$E91,0.002*($E91-R$6)/($E91-3*cc_D/7))/0.002)))^2)</f>
        <v/>
      </c>
      <c r="S91">
        <f>MAX(-fyd_cc,MIN(fyd_cc,Es_cc*IF($E91&lt;=cc_D,0.0035*($E91-S$6)/$E91,0.002*($E91-S$6)/($E91-3*cc_D/7))))-fcd_cc*(1-(1-MAX(0,MIN(1,IF($E91&lt;=cc_D,0.0035*($E91-S$6)/$E91,0.002*($E91-S$6)/($E91-3*cc_D/7))/0.002)))^2)</f>
        <v/>
      </c>
      <c r="T91">
        <f>MAX(-fyd_cc,MIN(fyd_cc,Es_cc*IF($E91&lt;=cc_D,0.0035*($E91-T$6)/$E91,0.002*($E91-T$6)/($E91-3*cc_D/7))))-fcd_cc*(1-(1-MAX(0,MIN(1,IF($E91&lt;=cc_D,0.0035*($E91-T$6)/$E91,0.002*($E91-T$6)/($E91-3*cc_D/7))/0.002)))^2)</f>
        <v/>
      </c>
      <c r="U91">
        <f>MAX(-fyd_cc,MIN(fyd_cc,Es_cc*IF($E91&lt;=cc_D,0.0035*($E91-U$6)/$E91,0.002*($E91-U$6)/($E91-3*cc_D/7))))-fcd_cc*(1-(1-MAX(0,MIN(1,IF($E91&lt;=cc_D,0.0035*($E91-U$6)/$E91,0.002*($E91-U$6)/($E91-3*cc_D/7))/0.002)))^2)</f>
        <v/>
      </c>
      <c r="V91">
        <f>MAX(-fyd_cc,MIN(fyd_cc,Es_cc*IF($E91&lt;=cc_D,0.0035*($E91-V$6)/$E91,0.002*($E91-V$6)/($E91-3*cc_D/7))))-fcd_cc*(1-(1-MAX(0,MIN(1,IF($E91&lt;=cc_D,0.0035*($E91-V$6)/$E91,0.002*($E91-V$6)/($E91-3*cc_D/7))/0.002)))^2)</f>
        <v/>
      </c>
      <c r="W91">
        <f>MAX(-fyd_cc,MIN(fyd_cc,Es_cc*IF($E91&lt;=cc_D,0.0035*($E91-W$6)/$E91,0.002*($E91-W$6)/($E91-3*cc_D/7))))-fcd_cc*(1-(1-MAX(0,MIN(1,IF($E91&lt;=cc_D,0.0035*($E91-W$6)/$E91,0.002*($E91-W$6)/($E91-3*cc_D/7))/0.002)))^2)</f>
        <v/>
      </c>
      <c r="X91">
        <f>MAX(-fyd_cc,MIN(fyd_cc,Es_cc*IF($E91&lt;=cc_D,0.0035*($E91-X$6)/$E91,0.002*($E91-X$6)/($E91-3*cc_D/7))))-fcd_cc*(1-(1-MAX(0,MIN(1,IF($E91&lt;=cc_D,0.0035*($E91-X$6)/$E91,0.002*($E91-X$6)/($E91-3*cc_D/7))/0.002)))^2)</f>
        <v/>
      </c>
      <c r="Y91">
        <f>MAX(-fyd_cc,MIN(fyd_cc,Es_cc*IF($E91&lt;=cc_D,0.0035*($E91-Y$6)/$E91,0.002*($E91-Y$6)/($E91-3*cc_D/7))))-fcd_cc*(1-(1-MAX(0,MIN(1,IF($E91&lt;=cc_D,0.0035*($E91-Y$6)/$E91,0.002*($E91-Y$6)/($E91-3*cc_D/7))/0.002)))^2)</f>
        <v/>
      </c>
      <c r="Z91">
        <f>MAX(-fyd_cc,MIN(fyd_cc,Es_cc*IF($E91&lt;=cc_D,0.0035*($E91-Z$6)/$E91,0.002*($E91-Z$6)/($E91-3*cc_D/7))))-fcd_cc*(1-(1-MAX(0,MIN(1,IF($E91&lt;=cc_D,0.0035*($E91-Z$6)/$E91,0.002*($E91-Z$6)/($E91-3*cc_D/7))/0.002)))^2)</f>
        <v/>
      </c>
      <c r="AA91">
        <f>MAX(-fyd_cc,MIN(fyd_cc,Es_cc*IF($E91&lt;=cc_D,0.0035*($E91-AA$6)/$E91,0.002*($E91-AA$6)/($E91-3*cc_D/7))))-fcd_cc*(1-(1-MAX(0,MIN(1,IF($E91&lt;=cc_D,0.0035*($E91-AA$6)/$E91,0.002*($E91-AA$6)/($E91-3*cc_D/7))/0.002)))^2)</f>
        <v/>
      </c>
      <c r="AB91">
        <f>MAX(-fyd_cc,MIN(fyd_cc,Es_cc*IF($E91&lt;=cc_D,0.0035*($E91-AB$6)/$E91,0.002*($E91-AB$6)/($E91-3*cc_D/7))))-fcd_cc*(1-(1-MAX(0,MIN(1,IF($E91&lt;=cc_D,0.0035*($E91-AB$6)/$E91,0.002*($E91-AB$6)/($E91-3*cc_D/7))/0.002)))^2)</f>
        <v/>
      </c>
      <c r="AC91">
        <f>MAX(-fyd_cc,MIN(fyd_cc,Es_cc*IF($E91&lt;=cc_D,0.0035*($E91-AC$6)/$E91,0.002*($E91-AC$6)/($E91-3*cc_D/7))))-fcd_cc*(1-(1-MAX(0,MIN(1,IF($E91&lt;=cc_D,0.0035*($E91-AC$6)/$E91,0.002*($E91-AC$6)/($E91-3*cc_D/7))/0.002)))^2)</f>
        <v/>
      </c>
      <c r="AD91">
        <f>MAX(-fyd_cc,MIN(fyd_cc,Es_cc*IF($E91&lt;=cc_D,0.0035*($E91-AD$6)/$E91,0.002*($E91-AD$6)/($E91-3*cc_D/7))))-fcd_cc*(1-(1-MAX(0,MIN(1,IF($E91&lt;=cc_D,0.0035*($E91-AD$6)/$E91,0.002*($E91-AD$6)/($E91-3*cc_D/7))/0.002)))^2)</f>
        <v/>
      </c>
      <c r="AE91">
        <f>MAX(-fyd_cc,MIN(fyd_cc,Es_cc*IF($E91&lt;=cc_D,0.0035*($E91-AE$6)/$E91,0.002*($E91-AE$6)/($E91-3*cc_D/7))))-fcd_cc*(1-(1-MAX(0,MIN(1,IF($E91&lt;=cc_D,0.0035*($E91-AE$6)/$E91,0.002*($E91-AE$6)/($E91-3*cc_D/7))/0.002)))^2)</f>
        <v/>
      </c>
      <c r="AF91">
        <f>MAX(-fyd_cc,MIN(fyd_cc,Es_cc*IF($E91&lt;=cc_D,0.0035*($E91-AF$6)/$E91,0.002*($E91-AF$6)/($E91-3*cc_D/7))))-fcd_cc*(1-(1-MAX(0,MIN(1,IF($E91&lt;=cc_D,0.0035*($E91-AF$6)/$E91,0.002*($E91-AF$6)/($E91-3*cc_D/7))/0.002)))^2)</f>
        <v/>
      </c>
      <c r="AG91">
        <f>MAX(-fyd_cc,MIN(fyd_cc,Es_cc*IF($E91&lt;=cc_D,0.0035*($E91-AG$6)/$E91,0.002*($E91-AG$6)/($E91-3*cc_D/7))))-fcd_cc*(1-(1-MAX(0,MIN(1,IF($E91&lt;=cc_D,0.0035*($E91-AG$6)/$E91,0.002*($E91-AG$6)/($E91-3*cc_D/7))/0.002)))^2)</f>
        <v/>
      </c>
      <c r="BF91">
        <f>3*MIN($E91,cc_D)/7</f>
        <v/>
      </c>
      <c r="BG91">
        <f>$E91-$BF91</f>
        <v/>
      </c>
      <c r="BH91">
        <f>ACOS(MAX(-1,MIN(1,1-$BF91/(cc_D/2))))</f>
        <v/>
      </c>
      <c r="BI91">
        <f>ACOS(MAX(-1,MIN(1,1-MIN($E91,cc_D)/(cc_D/2))))</f>
        <v/>
      </c>
      <c r="BJ91">
        <f>((cc_D/2*(1-COS(($BH91+0*($BI91-$BH91)/12)))-$BF91)/$BG91)^2*SIN(($BH91+0*($BI91-$BH91)/12))^2</f>
        <v/>
      </c>
      <c r="BK91">
        <f>((cc_D/2*(1-COS(($BH91+1*($BI91-$BH91)/12)))-$BF91)/$BG91)^2*SIN(($BH91+1*($BI91-$BH91)/12))^2</f>
        <v/>
      </c>
      <c r="BL91">
        <f>((cc_D/2*(1-COS(($BH91+2*($BI91-$BH91)/12)))-$BF91)/$BG91)^2*SIN(($BH91+2*($BI91-$BH91)/12))^2</f>
        <v/>
      </c>
      <c r="BM91">
        <f>((cc_D/2*(1-COS(($BH91+3*($BI91-$BH91)/12)))-$BF91)/$BG91)^2*SIN(($BH91+3*($BI91-$BH91)/12))^2</f>
        <v/>
      </c>
      <c r="BN91">
        <f>((cc_D/2*(1-COS(($BH91+4*($BI91-$BH91)/12)))-$BF91)/$BG91)^2*SIN(($BH91+4*($BI91-$BH91)/12))^2</f>
        <v/>
      </c>
      <c r="BO91">
        <f>((cc_D/2*(1-COS(($BH91+5*($BI91-$BH91)/12)))-$BF91)/$BG91)^2*SIN(($BH91+5*($BI91-$BH91)/12))^2</f>
        <v/>
      </c>
      <c r="BP91">
        <f>((cc_D/2*(1-COS(($BH91+6*($BI91-$BH91)/12)))-$BF91)/$BG91)^2*SIN(($BH91+6*($BI91-$BH91)/12))^2</f>
        <v/>
      </c>
      <c r="BQ91">
        <f>((cc_D/2*(1-COS(($BH91+7*($BI91-$BH91)/12)))-$BF91)/$BG91)^2*SIN(($BH91+7*($BI91-$BH91)/12))^2</f>
        <v/>
      </c>
      <c r="BR91">
        <f>((cc_D/2*(1-COS(($BH91+8*($BI91-$BH91)/12)))-$BF91)/$BG91)^2*SIN(($BH91+8*($BI91-$BH91)/12))^2</f>
        <v/>
      </c>
      <c r="BS91">
        <f>((cc_D/2*(1-COS(($BH91+9*($BI91-$BH91)/12)))-$BF91)/$BG91)^2*SIN(($BH91+9*($BI91-$BH91)/12))^2</f>
        <v/>
      </c>
      <c r="BT91">
        <f>((cc_D/2*(1-COS(($BH91+10*($BI91-$BH91)/12)))-$BF91)/$BG91)^2*SIN(($BH91+10*($BI91-$BH91)/12))^2</f>
        <v/>
      </c>
      <c r="BU91">
        <f>((cc_D/2*(1-COS(($BH91+11*($BI91-$BH91)/12)))-$BF91)/$BG91)^2*SIN(($BH91+11*($BI91-$BH91)/12))^2</f>
        <v/>
      </c>
      <c r="BV91">
        <f>((cc_D/2*(1-COS(($BH91+12*($BI91-$BH91)/12)))-$BF91)/$BG91)^2*SIN(($BH91+12*($BI91-$BH91)/12))^2</f>
        <v/>
      </c>
      <c r="BW91">
        <f>BJ91*COS(($BH91+0*($BI91-$BH91)/12))</f>
        <v/>
      </c>
      <c r="BX91">
        <f>BK91*COS(($BH91+1*($BI91-$BH91)/12))</f>
        <v/>
      </c>
      <c r="BY91">
        <f>BL91*COS(($BH91+2*($BI91-$BH91)/12))</f>
        <v/>
      </c>
      <c r="BZ91">
        <f>BM91*COS(($BH91+3*($BI91-$BH91)/12))</f>
        <v/>
      </c>
      <c r="CA91">
        <f>BN91*COS(($BH91+4*($BI91-$BH91)/12))</f>
        <v/>
      </c>
      <c r="CB91">
        <f>BO91*COS(($BH91+5*($BI91-$BH91)/12))</f>
        <v/>
      </c>
      <c r="CC91">
        <f>BP91*COS(($BH91+6*($BI91-$BH91)/12))</f>
        <v/>
      </c>
      <c r="CD91">
        <f>BQ91*COS(($BH91+7*($BI91-$BH91)/12))</f>
        <v/>
      </c>
      <c r="CE91">
        <f>BR91*COS(($BH91+8*($BI91-$BH91)/12))</f>
        <v/>
      </c>
      <c r="CF91">
        <f>BS91*COS(($BH91+9*($BI91-$BH91)/12))</f>
        <v/>
      </c>
      <c r="CG91">
        <f>BT91*COS(($BH91+10*($BI91-$BH91)/12))</f>
        <v/>
      </c>
      <c r="CH91">
        <f>BU91*COS(($BH91+11*($BI91-$BH91)/12))</f>
        <v/>
      </c>
      <c r="CI91">
        <f>BV91*COS(($BH91+12*($BI91-$BH91)/12))</f>
        <v/>
      </c>
    </row>
    <row r="92">
      <c r="B92" s="65" t="n">
        <v>3</v>
      </c>
      <c r="C92" s="66">
        <f>IF($G91&lt;cc_NEd-1E-9*ABS(cc_NEd),($C91+$D91)/2,$C91)</f>
        <v/>
      </c>
      <c r="D92" s="66">
        <f>IF($G91&lt;cc_NEd-1E-9*ABS(cc_NEd),$D91,($C91+$D91)/2)</f>
        <v/>
      </c>
      <c r="E92" s="67">
        <f>cc_D*(($C92+$D92)/2)/(1-(($C92+$D92)/2))</f>
        <v/>
      </c>
      <c r="F92" s="68">
        <f>IF($E92&lt;=cc_D,3.5,2*$E92/($E92-3*cc_D/7))</f>
        <v/>
      </c>
      <c r="G92" s="67">
        <f>(fcd_cc*((cc_D/2)^2*($BI92-COS($BI92)*SIN($BI92))-2*(cc_D/2)^2*($BI92-$BH92)/12/3*SUMPRODUCT($BJ$4:$BV$4,$BJ92:$BV92))+SUMPRODUCT($J$5:$AG$5,$J92:$AG92))/1000</f>
        <v/>
      </c>
      <c r="H92" s="67">
        <f>(fcd_cc*(2/3*(cc_D/2)^3*SIN($BI92)^3-2*(cc_D/2)^3*($BI92-$BH92)/12/3*SUMPRODUCT($BW$4:$CI$4,$BW92:$CI92))+SUMPRODUCT($J$5:$AG$5,$J92:$AG92,$J$7:$AG$7))/1E6</f>
        <v/>
      </c>
      <c r="I92" s="67">
        <f>SUMPRODUCT($J$5:$AG$5,$J92:$AG92,$J$8:$AG$8)/1E6</f>
        <v/>
      </c>
      <c r="J92">
        <f>MAX(-fyd_cc,MIN(fyd_cc,Es_cc*IF($E92&lt;=cc_D,0.0035*($E92-J$6)/$E92,0.002*($E92-J$6)/($E92-3*cc_D/7))))-fcd_cc*(1-(1-MAX(0,MIN(1,IF($E92&lt;=cc_D,0.0035*($E92-J$6)/$E92,0.002*($E92-J$6)/($E92-3*cc_D/7))/0.002)))^2)</f>
        <v/>
      </c>
      <c r="K92">
        <f>MAX(-fyd_cc,MIN(fyd_cc,Es_cc*IF($E92&lt;=cc_D,0.0035*($E92-K$6)/$E92,0.002*($E92-K$6)/($E92-3*cc_D/7))))-fcd_cc*(1-(1-MAX(0,MIN(1,IF($E92&lt;=cc_D,0.0035*($E92-K$6)/$E92,0.002*($E92-K$6)/($E92-3*cc_D/7))/0.002)))^2)</f>
        <v/>
      </c>
      <c r="L92">
        <f>MAX(-fyd_cc,MIN(fyd_cc,Es_cc*IF($E92&lt;=cc_D,0.0035*($E92-L$6)/$E92,0.002*($E92-L$6)/($E92-3*cc_D/7))))-fcd_cc*(1-(1-MAX(0,MIN(1,IF($E92&lt;=cc_D,0.0035*($E92-L$6)/$E92,0.002*($E92-L$6)/($E92-3*cc_D/7))/0.002)))^2)</f>
        <v/>
      </c>
      <c r="M92">
        <f>MAX(-fyd_cc,MIN(fyd_cc,Es_cc*IF($E92&lt;=cc_D,0.0035*($E92-M$6)/$E92,0.002*($E92-M$6)/($E92-3*cc_D/7))))-fcd_cc*(1-(1-MAX(0,MIN(1,IF($E92&lt;=cc_D,0.0035*($E92-M$6)/$E92,0.002*($E92-M$6)/($E92-3*cc_D/7))/0.002)))^2)</f>
        <v/>
      </c>
      <c r="N92">
        <f>MAX(-fyd_cc,MIN(fyd_cc,Es_cc*IF($E92&lt;=cc_D,0.0035*($E92-N$6)/$E92,0.002*($E92-N$6)/($E92-3*cc_D/7))))-fcd_cc*(1-(1-MAX(0,MIN(1,IF($E92&lt;=cc_D,0.0035*($E92-N$6)/$E92,0.002*($E92-N$6)/($E92-3*cc_D/7))/0.002)))^2)</f>
        <v/>
      </c>
      <c r="O92">
        <f>MAX(-fyd_cc,MIN(fyd_cc,Es_cc*IF($E92&lt;=cc_D,0.0035*($E92-O$6)/$E92,0.002*($E92-O$6)/($E92-3*cc_D/7))))-fcd_cc*(1-(1-MAX(0,MIN(1,IF($E92&lt;=cc_D,0.0035*($E92-O$6)/$E92,0.002*($E92-O$6)/($E92-3*cc_D/7))/0.002)))^2)</f>
        <v/>
      </c>
      <c r="P92">
        <f>MAX(-fyd_cc,MIN(fyd_cc,Es_cc*IF($E92&lt;=cc_D,0.0035*($E92-P$6)/$E92,0.002*($E92-P$6)/($E92-3*cc_D/7))))-fcd_cc*(1-(1-MAX(0,MIN(1,IF($E92&lt;=cc_D,0.0035*($E92-P$6)/$E92,0.002*($E92-P$6)/($E92-3*cc_D/7))/0.002)))^2)</f>
        <v/>
      </c>
      <c r="Q92">
        <f>MAX(-fyd_cc,MIN(fyd_cc,Es_cc*IF($E92&lt;=cc_D,0.0035*($E92-Q$6)/$E92,0.002*($E92-Q$6)/($E92-3*cc_D/7))))-fcd_cc*(1-(1-MAX(0,MIN(1,IF($E92&lt;=cc_D,0.0035*($E92-Q$6)/$E92,0.002*($E92-Q$6)/($E92-3*cc_D/7))/0.002)))^2)</f>
        <v/>
      </c>
      <c r="R92">
        <f>MAX(-fyd_cc,MIN(fyd_cc,Es_cc*IF($E92&lt;=cc_D,0.0035*($E92-R$6)/$E92,0.002*($E92-R$6)/($E92-3*cc_D/7))))-fcd_cc*(1-(1-MAX(0,MIN(1,IF($E92&lt;=cc_D,0.0035*($E92-R$6)/$E92,0.002*($E92-R$6)/($E92-3*cc_D/7))/0.002)))^2)</f>
        <v/>
      </c>
      <c r="S92">
        <f>MAX(-fyd_cc,MIN(fyd_cc,Es_cc*IF($E92&lt;=cc_D,0.0035*($E92-S$6)/$E92,0.002*($E92-S$6)/($E92-3*cc_D/7))))-fcd_cc*(1-(1-MAX(0,MIN(1,IF($E92&lt;=cc_D,0.0035*($E92-S$6)/$E92,0.002*($E92-S$6)/($E92-3*cc_D/7))/0.002)))^2)</f>
        <v/>
      </c>
      <c r="T92">
        <f>MAX(-fyd_cc,MIN(fyd_cc,Es_cc*IF($E92&lt;=cc_D,0.0035*($E92-T$6)/$E92,0.002*($E92-T$6)/($E92-3*cc_D/7))))-fcd_cc*(1-(1-MAX(0,MIN(1,IF($E92&lt;=cc_D,0.0035*($E92-T$6)/$E92,0.002*($E92-T$6)/($E92-3*cc_D/7))/0.002)))^2)</f>
        <v/>
      </c>
      <c r="U92">
        <f>MAX(-fyd_cc,MIN(fyd_cc,Es_cc*IF($E92&lt;=cc_D,0.0035*($E92-U$6)/$E92,0.002*($E92-U$6)/($E92-3*cc_D/7))))-fcd_cc*(1-(1-MAX(0,MIN(1,IF($E92&lt;=cc_D,0.0035*($E92-U$6)/$E92,0.002*($E92-U$6)/($E92-3*cc_D/7))/0.002)))^2)</f>
        <v/>
      </c>
      <c r="V92">
        <f>MAX(-fyd_cc,MIN(fyd_cc,Es_cc*IF($E92&lt;=cc_D,0.0035*($E92-V$6)/$E92,0.002*($E92-V$6)/($E92-3*cc_D/7))))-fcd_cc*(1-(1-MAX(0,MIN(1,IF($E92&lt;=cc_D,0.0035*($E92-V$6)/$E92,0.002*($E92-V$6)/($E92-3*cc_D/7))/0.002)))^2)</f>
        <v/>
      </c>
      <c r="W92">
        <f>MAX(-fyd_cc,MIN(fyd_cc,Es_cc*IF($E92&lt;=cc_D,0.0035*($E92-W$6)/$E92,0.002*($E92-W$6)/($E92-3*cc_D/7))))-fcd_cc*(1-(1-MAX(0,MIN(1,IF($E92&lt;=cc_D,0.0035*($E92-W$6)/$E92,0.002*($E92-W$6)/($E92-3*cc_D/7))/0.002)))^2)</f>
        <v/>
      </c>
      <c r="X92">
        <f>MAX(-fyd_cc,MIN(fyd_cc,Es_cc*IF($E92&lt;=cc_D,0.0035*($E92-X$6)/$E92,0.002*($E92-X$6)/($E92-3*cc_D/7))))-fcd_cc*(1-(1-MAX(0,MIN(1,IF($E92&lt;=cc_D,0.0035*($E92-X$6)/$E92,0.002*($E92-X$6)/($E92-3*cc_D/7))/0.002)))^2)</f>
        <v/>
      </c>
      <c r="Y92">
        <f>MAX(-fyd_cc,MIN(fyd_cc,Es_cc*IF($E92&lt;=cc_D,0.0035*($E92-Y$6)/$E92,0.002*($E92-Y$6)/($E92-3*cc_D/7))))-fcd_cc*(1-(1-MAX(0,MIN(1,IF($E92&lt;=cc_D,0.0035*($E92-Y$6)/$E92,0.002*($E92-Y$6)/($E92-3*cc_D/7))/0.002)))^2)</f>
        <v/>
      </c>
      <c r="Z92">
        <f>MAX(-fyd_cc,MIN(fyd_cc,Es_cc*IF($E92&lt;=cc_D,0.0035*($E92-Z$6)/$E92,0.002*($E92-Z$6)/($E92-3*cc_D/7))))-fcd_cc*(1-(1-MAX(0,MIN(1,IF($E92&lt;=cc_D,0.0035*($E92-Z$6)/$E92,0.002*($E92-Z$6)/($E92-3*cc_D/7))/0.002)))^2)</f>
        <v/>
      </c>
      <c r="AA92">
        <f>MAX(-fyd_cc,MIN(fyd_cc,Es_cc*IF($E92&lt;=cc_D,0.0035*($E92-AA$6)/$E92,0.002*($E92-AA$6)/($E92-3*cc_D/7))))-fcd_cc*(1-(1-MAX(0,MIN(1,IF($E92&lt;=cc_D,0.0035*($E92-AA$6)/$E92,0.002*($E92-AA$6)/($E92-3*cc_D/7))/0.002)))^2)</f>
        <v/>
      </c>
      <c r="AB92">
        <f>MAX(-fyd_cc,MIN(fyd_cc,Es_cc*IF($E92&lt;=cc_D,0.0035*($E92-AB$6)/$E92,0.002*($E92-AB$6)/($E92-3*cc_D/7))))-fcd_cc*(1-(1-MAX(0,MIN(1,IF($E92&lt;=cc_D,0.0035*($E92-AB$6)/$E92,0.002*($E92-AB$6)/($E92-3*cc_D/7))/0.002)))^2)</f>
        <v/>
      </c>
      <c r="AC92">
        <f>MAX(-fyd_cc,MIN(fyd_cc,Es_cc*IF($E92&lt;=cc_D,0.0035*($E92-AC$6)/$E92,0.002*($E92-AC$6)/($E92-3*cc_D/7))))-fcd_cc*(1-(1-MAX(0,MIN(1,IF($E92&lt;=cc_D,0.0035*($E92-AC$6)/$E92,0.002*($E92-AC$6)/($E92-3*cc_D/7))/0.002)))^2)</f>
        <v/>
      </c>
      <c r="AD92">
        <f>MAX(-fyd_cc,MIN(fyd_cc,Es_cc*IF($E92&lt;=cc_D,0.0035*($E92-AD$6)/$E92,0.002*($E92-AD$6)/($E92-3*cc_D/7))))-fcd_cc*(1-(1-MAX(0,MIN(1,IF($E92&lt;=cc_D,0.0035*($E92-AD$6)/$E92,0.002*($E92-AD$6)/($E92-3*cc_D/7))/0.002)))^2)</f>
        <v/>
      </c>
      <c r="AE92">
        <f>MAX(-fyd_cc,MIN(fyd_cc,Es_cc*IF($E92&lt;=cc_D,0.0035*($E92-AE$6)/$E92,0.002*($E92-AE$6)/($E92-3*cc_D/7))))-fcd_cc*(1-(1-MAX(0,MIN(1,IF($E92&lt;=cc_D,0.0035*($E92-AE$6)/$E92,0.002*($E92-AE$6)/($E92-3*cc_D/7))/0.002)))^2)</f>
        <v/>
      </c>
      <c r="AF92">
        <f>MAX(-fyd_cc,MIN(fyd_cc,Es_cc*IF($E92&lt;=cc_D,0.0035*($E92-AF$6)/$E92,0.002*($E92-AF$6)/($E92-3*cc_D/7))))-fcd_cc*(1-(1-MAX(0,MIN(1,IF($E92&lt;=cc_D,0.0035*($E92-AF$6)/$E92,0.002*($E92-AF$6)/($E92-3*cc_D/7))/0.002)))^2)</f>
        <v/>
      </c>
      <c r="AG92">
        <f>MAX(-fyd_cc,MIN(fyd_cc,Es_cc*IF($E92&lt;=cc_D,0.0035*($E92-AG$6)/$E92,0.002*($E92-AG$6)/($E92-3*cc_D/7))))-fcd_cc*(1-(1-MAX(0,MIN(1,IF($E92&lt;=cc_D,0.0035*($E92-AG$6)/$E92,0.002*($E92-AG$6)/($E92-3*cc_D/7))/0.002)))^2)</f>
        <v/>
      </c>
      <c r="BF92">
        <f>3*MIN($E92,cc_D)/7</f>
        <v/>
      </c>
      <c r="BG92">
        <f>$E92-$BF92</f>
        <v/>
      </c>
      <c r="BH92">
        <f>ACOS(MAX(-1,MIN(1,1-$BF92/(cc_D/2))))</f>
        <v/>
      </c>
      <c r="BI92">
        <f>ACOS(MAX(-1,MIN(1,1-MIN($E92,cc_D)/(cc_D/2))))</f>
        <v/>
      </c>
      <c r="BJ92">
        <f>((cc_D/2*(1-COS(($BH92+0*($BI92-$BH92)/12)))-$BF92)/$BG92)^2*SIN(($BH92+0*($BI92-$BH92)/12))^2</f>
        <v/>
      </c>
      <c r="BK92">
        <f>((cc_D/2*(1-COS(($BH92+1*($BI92-$BH92)/12)))-$BF92)/$BG92)^2*SIN(($BH92+1*($BI92-$BH92)/12))^2</f>
        <v/>
      </c>
      <c r="BL92">
        <f>((cc_D/2*(1-COS(($BH92+2*($BI92-$BH92)/12)))-$BF92)/$BG92)^2*SIN(($BH92+2*($BI92-$BH92)/12))^2</f>
        <v/>
      </c>
      <c r="BM92">
        <f>((cc_D/2*(1-COS(($BH92+3*($BI92-$BH92)/12)))-$BF92)/$BG92)^2*SIN(($BH92+3*($BI92-$BH92)/12))^2</f>
        <v/>
      </c>
      <c r="BN92">
        <f>((cc_D/2*(1-COS(($BH92+4*($BI92-$BH92)/12)))-$BF92)/$BG92)^2*SIN(($BH92+4*($BI92-$BH92)/12))^2</f>
        <v/>
      </c>
      <c r="BO92">
        <f>((cc_D/2*(1-COS(($BH92+5*($BI92-$BH92)/12)))-$BF92)/$BG92)^2*SIN(($BH92+5*($BI92-$BH92)/12))^2</f>
        <v/>
      </c>
      <c r="BP92">
        <f>((cc_D/2*(1-COS(($BH92+6*($BI92-$BH92)/12)))-$BF92)/$BG92)^2*SIN(($BH92+6*($BI92-$BH92)/12))^2</f>
        <v/>
      </c>
      <c r="BQ92">
        <f>((cc_D/2*(1-COS(($BH92+7*($BI92-$BH92)/12)))-$BF92)/$BG92)^2*SIN(($BH92+7*($BI92-$BH92)/12))^2</f>
        <v/>
      </c>
      <c r="BR92">
        <f>((cc_D/2*(1-COS(($BH92+8*($BI92-$BH92)/12)))-$BF92)/$BG92)^2*SIN(($BH92+8*($BI92-$BH92)/12))^2</f>
        <v/>
      </c>
      <c r="BS92">
        <f>((cc_D/2*(1-COS(($BH92+9*($BI92-$BH92)/12)))-$BF92)/$BG92)^2*SIN(($BH92+9*($BI92-$BH92)/12))^2</f>
        <v/>
      </c>
      <c r="BT92">
        <f>((cc_D/2*(1-COS(($BH92+10*($BI92-$BH92)/12)))-$BF92)/$BG92)^2*SIN(($BH92+10*($BI92-$BH92)/12))^2</f>
        <v/>
      </c>
      <c r="BU92">
        <f>((cc_D/2*(1-COS(($BH92+11*($BI92-$BH92)/12)))-$BF92)/$BG92)^2*SIN(($BH92+11*($BI92-$BH92)/12))^2</f>
        <v/>
      </c>
      <c r="BV92">
        <f>((cc_D/2*(1-COS(($BH92+12*($BI92-$BH92)/12)))-$BF92)/$BG92)^2*SIN(($BH92+12*($BI92-$BH92)/12))^2</f>
        <v/>
      </c>
      <c r="BW92">
        <f>BJ92*COS(($BH92+0*($BI92-$BH92)/12))</f>
        <v/>
      </c>
      <c r="BX92">
        <f>BK92*COS(($BH92+1*($BI92-$BH92)/12))</f>
        <v/>
      </c>
      <c r="BY92">
        <f>BL92*COS(($BH92+2*($BI92-$BH92)/12))</f>
        <v/>
      </c>
      <c r="BZ92">
        <f>BM92*COS(($BH92+3*($BI92-$BH92)/12))</f>
        <v/>
      </c>
      <c r="CA92">
        <f>BN92*COS(($BH92+4*($BI92-$BH92)/12))</f>
        <v/>
      </c>
      <c r="CB92">
        <f>BO92*COS(($BH92+5*($BI92-$BH92)/12))</f>
        <v/>
      </c>
      <c r="CC92">
        <f>BP92*COS(($BH92+6*($BI92-$BH92)/12))</f>
        <v/>
      </c>
      <c r="CD92">
        <f>BQ92*COS(($BH92+7*($BI92-$BH92)/12))</f>
        <v/>
      </c>
      <c r="CE92">
        <f>BR92*COS(($BH92+8*($BI92-$BH92)/12))</f>
        <v/>
      </c>
      <c r="CF92">
        <f>BS92*COS(($BH92+9*($BI92-$BH92)/12))</f>
        <v/>
      </c>
      <c r="CG92">
        <f>BT92*COS(($BH92+10*($BI92-$BH92)/12))</f>
        <v/>
      </c>
      <c r="CH92">
        <f>BU92*COS(($BH92+11*($BI92-$BH92)/12))</f>
        <v/>
      </c>
      <c r="CI92">
        <f>BV92*COS(($BH92+12*($BI92-$BH92)/12))</f>
        <v/>
      </c>
    </row>
    <row r="93">
      <c r="B93" s="65" t="n">
        <v>4</v>
      </c>
      <c r="C93" s="66">
        <f>IF($G92&lt;cc_NEd-1E-9*ABS(cc_NEd),($C92+$D92)/2,$C92)</f>
        <v/>
      </c>
      <c r="D93" s="66">
        <f>IF($G92&lt;cc_NEd-1E-9*ABS(cc_NEd),$D92,($C92+$D92)/2)</f>
        <v/>
      </c>
      <c r="E93" s="67">
        <f>cc_D*(($C93+$D93)/2)/(1-(($C93+$D93)/2))</f>
        <v/>
      </c>
      <c r="F93" s="68">
        <f>IF($E93&lt;=cc_D,3.5,2*$E93/($E93-3*cc_D/7))</f>
        <v/>
      </c>
      <c r="G93" s="67">
        <f>(fcd_cc*((cc_D/2)^2*($BI93-COS($BI93)*SIN($BI93))-2*(cc_D/2)^2*($BI93-$BH93)/12/3*SUMPRODUCT($BJ$4:$BV$4,$BJ93:$BV93))+SUMPRODUCT($J$5:$AG$5,$J93:$AG93))/1000</f>
        <v/>
      </c>
      <c r="H93" s="67">
        <f>(fcd_cc*(2/3*(cc_D/2)^3*SIN($BI93)^3-2*(cc_D/2)^3*($BI93-$BH93)/12/3*SUMPRODUCT($BW$4:$CI$4,$BW93:$CI93))+SUMPRODUCT($J$5:$AG$5,$J93:$AG93,$J$7:$AG$7))/1E6</f>
        <v/>
      </c>
      <c r="I93" s="67">
        <f>SUMPRODUCT($J$5:$AG$5,$J93:$AG93,$J$8:$AG$8)/1E6</f>
        <v/>
      </c>
      <c r="J93">
        <f>MAX(-fyd_cc,MIN(fyd_cc,Es_cc*IF($E93&lt;=cc_D,0.0035*($E93-J$6)/$E93,0.002*($E93-J$6)/($E93-3*cc_D/7))))-fcd_cc*(1-(1-MAX(0,MIN(1,IF($E93&lt;=cc_D,0.0035*($E93-J$6)/$E93,0.002*($E93-J$6)/($E93-3*cc_D/7))/0.002)))^2)</f>
        <v/>
      </c>
      <c r="K93">
        <f>MAX(-fyd_cc,MIN(fyd_cc,Es_cc*IF($E93&lt;=cc_D,0.0035*($E93-K$6)/$E93,0.002*($E93-K$6)/($E93-3*cc_D/7))))-fcd_cc*(1-(1-MAX(0,MIN(1,IF($E93&lt;=cc_D,0.0035*($E93-K$6)/$E93,0.002*($E93-K$6)/($E93-3*cc_D/7))/0.002)))^2)</f>
        <v/>
      </c>
      <c r="L93">
        <f>MAX(-fyd_cc,MIN(fyd_cc,Es_cc*IF($E93&lt;=cc_D,0.0035*($E93-L$6)/$E93,0.002*($E93-L$6)/($E93-3*cc_D/7))))-fcd_cc*(1-(1-MAX(0,MIN(1,IF($E93&lt;=cc_D,0.0035*($E93-L$6)/$E93,0.002*($E93-L$6)/($E93-3*cc_D/7))/0.002)))^2)</f>
        <v/>
      </c>
      <c r="M93">
        <f>MAX(-fyd_cc,MIN(fyd_cc,Es_cc*IF($E93&lt;=cc_D,0.0035*($E93-M$6)/$E93,0.002*($E93-M$6)/($E93-3*cc_D/7))))-fcd_cc*(1-(1-MAX(0,MIN(1,IF($E93&lt;=cc_D,0.0035*($E93-M$6)/$E93,0.002*($E93-M$6)/($E93-3*cc_D/7))/0.002)))^2)</f>
        <v/>
      </c>
      <c r="N93">
        <f>MAX(-fyd_cc,MIN(fyd_cc,Es_cc*IF($E93&lt;=cc_D,0.0035*($E93-N$6)/$E93,0.002*($E93-N$6)/($E93-3*cc_D/7))))-fcd_cc*(1-(1-MAX(0,MIN(1,IF($E93&lt;=cc_D,0.0035*($E93-N$6)/$E93,0.002*($E93-N$6)/($E93-3*cc_D/7))/0.002)))^2)</f>
        <v/>
      </c>
      <c r="O93">
        <f>MAX(-fyd_cc,MIN(fyd_cc,Es_cc*IF($E93&lt;=cc_D,0.0035*($E93-O$6)/$E93,0.002*($E93-O$6)/($E93-3*cc_D/7))))-fcd_cc*(1-(1-MAX(0,MIN(1,IF($E93&lt;=cc_D,0.0035*($E93-O$6)/$E93,0.002*($E93-O$6)/($E93-3*cc_D/7))/0.002)))^2)</f>
        <v/>
      </c>
      <c r="P93">
        <f>MAX(-fyd_cc,MIN(fyd_cc,Es_cc*IF($E93&lt;=cc_D,0.0035*($E93-P$6)/$E93,0.002*($E93-P$6)/($E93-3*cc_D/7))))-fcd_cc*(1-(1-MAX(0,MIN(1,IF($E93&lt;=cc_D,0.0035*($E93-P$6)/$E93,0.002*($E93-P$6)/($E93-3*cc_D/7))/0.002)))^2)</f>
        <v/>
      </c>
      <c r="Q93">
        <f>MAX(-fyd_cc,MIN(fyd_cc,Es_cc*IF($E93&lt;=cc_D,0.0035*($E93-Q$6)/$E93,0.002*($E93-Q$6)/($E93-3*cc_D/7))))-fcd_cc*(1-(1-MAX(0,MIN(1,IF($E93&lt;=cc_D,0.0035*($E93-Q$6)/$E93,0.002*($E93-Q$6)/($E93-3*cc_D/7))/0.002)))^2)</f>
        <v/>
      </c>
      <c r="R93">
        <f>MAX(-fyd_cc,MIN(fyd_cc,Es_cc*IF($E93&lt;=cc_D,0.0035*($E93-R$6)/$E93,0.002*($E93-R$6)/($E93-3*cc_D/7))))-fcd_cc*(1-(1-MAX(0,MIN(1,IF($E93&lt;=cc_D,0.0035*($E93-R$6)/$E93,0.002*($E93-R$6)/($E93-3*cc_D/7))/0.002)))^2)</f>
        <v/>
      </c>
      <c r="S93">
        <f>MAX(-fyd_cc,MIN(fyd_cc,Es_cc*IF($E93&lt;=cc_D,0.0035*($E93-S$6)/$E93,0.002*($E93-S$6)/($E93-3*cc_D/7))))-fcd_cc*(1-(1-MAX(0,MIN(1,IF($E93&lt;=cc_D,0.0035*($E93-S$6)/$E93,0.002*($E93-S$6)/($E93-3*cc_D/7))/0.002)))^2)</f>
        <v/>
      </c>
      <c r="T93">
        <f>MAX(-fyd_cc,MIN(fyd_cc,Es_cc*IF($E93&lt;=cc_D,0.0035*($E93-T$6)/$E93,0.002*($E93-T$6)/($E93-3*cc_D/7))))-fcd_cc*(1-(1-MAX(0,MIN(1,IF($E93&lt;=cc_D,0.0035*($E93-T$6)/$E93,0.002*($E93-T$6)/($E93-3*cc_D/7))/0.002)))^2)</f>
        <v/>
      </c>
      <c r="U93">
        <f>MAX(-fyd_cc,MIN(fyd_cc,Es_cc*IF($E93&lt;=cc_D,0.0035*($E93-U$6)/$E93,0.002*($E93-U$6)/($E93-3*cc_D/7))))-fcd_cc*(1-(1-MAX(0,MIN(1,IF($E93&lt;=cc_D,0.0035*($E93-U$6)/$E93,0.002*($E93-U$6)/($E93-3*cc_D/7))/0.002)))^2)</f>
        <v/>
      </c>
      <c r="V93">
        <f>MAX(-fyd_cc,MIN(fyd_cc,Es_cc*IF($E93&lt;=cc_D,0.0035*($E93-V$6)/$E93,0.002*($E93-V$6)/($E93-3*cc_D/7))))-fcd_cc*(1-(1-MAX(0,MIN(1,IF($E93&lt;=cc_D,0.0035*($E93-V$6)/$E93,0.002*($E93-V$6)/($E93-3*cc_D/7))/0.002)))^2)</f>
        <v/>
      </c>
      <c r="W93">
        <f>MAX(-fyd_cc,MIN(fyd_cc,Es_cc*IF($E93&lt;=cc_D,0.0035*($E93-W$6)/$E93,0.002*($E93-W$6)/($E93-3*cc_D/7))))-fcd_cc*(1-(1-MAX(0,MIN(1,IF($E93&lt;=cc_D,0.0035*($E93-W$6)/$E93,0.002*($E93-W$6)/($E93-3*cc_D/7))/0.002)))^2)</f>
        <v/>
      </c>
      <c r="X93">
        <f>MAX(-fyd_cc,MIN(fyd_cc,Es_cc*IF($E93&lt;=cc_D,0.0035*($E93-X$6)/$E93,0.002*($E93-X$6)/($E93-3*cc_D/7))))-fcd_cc*(1-(1-MAX(0,MIN(1,IF($E93&lt;=cc_D,0.0035*($E93-X$6)/$E93,0.002*($E93-X$6)/($E93-3*cc_D/7))/0.002)))^2)</f>
        <v/>
      </c>
      <c r="Y93">
        <f>MAX(-fyd_cc,MIN(fyd_cc,Es_cc*IF($E93&lt;=cc_D,0.0035*($E93-Y$6)/$E93,0.002*($E93-Y$6)/($E93-3*cc_D/7))))-fcd_cc*(1-(1-MAX(0,MIN(1,IF($E93&lt;=cc_D,0.0035*($E93-Y$6)/$E93,0.002*($E93-Y$6)/($E93-3*cc_D/7))/0.002)))^2)</f>
        <v/>
      </c>
      <c r="Z93">
        <f>MAX(-fyd_cc,MIN(fyd_cc,Es_cc*IF($E93&lt;=cc_D,0.0035*($E93-Z$6)/$E93,0.002*($E93-Z$6)/($E93-3*cc_D/7))))-fcd_cc*(1-(1-MAX(0,MIN(1,IF($E93&lt;=cc_D,0.0035*($E93-Z$6)/$E93,0.002*($E93-Z$6)/($E93-3*cc_D/7))/0.002)))^2)</f>
        <v/>
      </c>
      <c r="AA93">
        <f>MAX(-fyd_cc,MIN(fyd_cc,Es_cc*IF($E93&lt;=cc_D,0.0035*($E93-AA$6)/$E93,0.002*($E93-AA$6)/($E93-3*cc_D/7))))-fcd_cc*(1-(1-MAX(0,MIN(1,IF($E93&lt;=cc_D,0.0035*($E93-AA$6)/$E93,0.002*($E93-AA$6)/($E93-3*cc_D/7))/0.002)))^2)</f>
        <v/>
      </c>
      <c r="AB93">
        <f>MAX(-fyd_cc,MIN(fyd_cc,Es_cc*IF($E93&lt;=cc_D,0.0035*($E93-AB$6)/$E93,0.002*($E93-AB$6)/($E93-3*cc_D/7))))-fcd_cc*(1-(1-MAX(0,MIN(1,IF($E93&lt;=cc_D,0.0035*($E93-AB$6)/$E93,0.002*($E93-AB$6)/($E93-3*cc_D/7))/0.002)))^2)</f>
        <v/>
      </c>
      <c r="AC93">
        <f>MAX(-fyd_cc,MIN(fyd_cc,Es_cc*IF($E93&lt;=cc_D,0.0035*($E93-AC$6)/$E93,0.002*($E93-AC$6)/($E93-3*cc_D/7))))-fcd_cc*(1-(1-MAX(0,MIN(1,IF($E93&lt;=cc_D,0.0035*($E93-AC$6)/$E93,0.002*($E93-AC$6)/($E93-3*cc_D/7))/0.002)))^2)</f>
        <v/>
      </c>
      <c r="AD93">
        <f>MAX(-fyd_cc,MIN(fyd_cc,Es_cc*IF($E93&lt;=cc_D,0.0035*($E93-AD$6)/$E93,0.002*($E93-AD$6)/($E93-3*cc_D/7))))-fcd_cc*(1-(1-MAX(0,MIN(1,IF($E93&lt;=cc_D,0.0035*($E93-AD$6)/$E93,0.002*($E93-AD$6)/($E93-3*cc_D/7))/0.002)))^2)</f>
        <v/>
      </c>
      <c r="AE93">
        <f>MAX(-fyd_cc,MIN(fyd_cc,Es_cc*IF($E93&lt;=cc_D,0.0035*($E93-AE$6)/$E93,0.002*($E93-AE$6)/($E93-3*cc_D/7))))-fcd_cc*(1-(1-MAX(0,MIN(1,IF($E93&lt;=cc_D,0.0035*($E93-AE$6)/$E93,0.002*($E93-AE$6)/($E93-3*cc_D/7))/0.002)))^2)</f>
        <v/>
      </c>
      <c r="AF93">
        <f>MAX(-fyd_cc,MIN(fyd_cc,Es_cc*IF($E93&lt;=cc_D,0.0035*($E93-AF$6)/$E93,0.002*($E93-AF$6)/($E93-3*cc_D/7))))-fcd_cc*(1-(1-MAX(0,MIN(1,IF($E93&lt;=cc_D,0.0035*($E93-AF$6)/$E93,0.002*($E93-AF$6)/($E93-3*cc_D/7))/0.002)))^2)</f>
        <v/>
      </c>
      <c r="AG93">
        <f>MAX(-fyd_cc,MIN(fyd_cc,Es_cc*IF($E93&lt;=cc_D,0.0035*($E93-AG$6)/$E93,0.002*($E93-AG$6)/($E93-3*cc_D/7))))-fcd_cc*(1-(1-MAX(0,MIN(1,IF($E93&lt;=cc_D,0.0035*($E93-AG$6)/$E93,0.002*($E93-AG$6)/($E93-3*cc_D/7))/0.002)))^2)</f>
        <v/>
      </c>
      <c r="BF93">
        <f>3*MIN($E93,cc_D)/7</f>
        <v/>
      </c>
      <c r="BG93">
        <f>$E93-$BF93</f>
        <v/>
      </c>
      <c r="BH93">
        <f>ACOS(MAX(-1,MIN(1,1-$BF93/(cc_D/2))))</f>
        <v/>
      </c>
      <c r="BI93">
        <f>ACOS(MAX(-1,MIN(1,1-MIN($E93,cc_D)/(cc_D/2))))</f>
        <v/>
      </c>
      <c r="BJ93">
        <f>((cc_D/2*(1-COS(($BH93+0*($BI93-$BH93)/12)))-$BF93)/$BG93)^2*SIN(($BH93+0*($BI93-$BH93)/12))^2</f>
        <v/>
      </c>
      <c r="BK93">
        <f>((cc_D/2*(1-COS(($BH93+1*($BI93-$BH93)/12)))-$BF93)/$BG93)^2*SIN(($BH93+1*($BI93-$BH93)/12))^2</f>
        <v/>
      </c>
      <c r="BL93">
        <f>((cc_D/2*(1-COS(($BH93+2*($BI93-$BH93)/12)))-$BF93)/$BG93)^2*SIN(($BH93+2*($BI93-$BH93)/12))^2</f>
        <v/>
      </c>
      <c r="BM93">
        <f>((cc_D/2*(1-COS(($BH93+3*($BI93-$BH93)/12)))-$BF93)/$BG93)^2*SIN(($BH93+3*($BI93-$BH93)/12))^2</f>
        <v/>
      </c>
      <c r="BN93">
        <f>((cc_D/2*(1-COS(($BH93+4*($BI93-$BH93)/12)))-$BF93)/$BG93)^2*SIN(($BH93+4*($BI93-$BH93)/12))^2</f>
        <v/>
      </c>
      <c r="BO93">
        <f>((cc_D/2*(1-COS(($BH93+5*($BI93-$BH93)/12)))-$BF93)/$BG93)^2*SIN(($BH93+5*($BI93-$BH93)/12))^2</f>
        <v/>
      </c>
      <c r="BP93">
        <f>((cc_D/2*(1-COS(($BH93+6*($BI93-$BH93)/12)))-$BF93)/$BG93)^2*SIN(($BH93+6*($BI93-$BH93)/12))^2</f>
        <v/>
      </c>
      <c r="BQ93">
        <f>((cc_D/2*(1-COS(($BH93+7*($BI93-$BH93)/12)))-$BF93)/$BG93)^2*SIN(($BH93+7*($BI93-$BH93)/12))^2</f>
        <v/>
      </c>
      <c r="BR93">
        <f>((cc_D/2*(1-COS(($BH93+8*($BI93-$BH93)/12)))-$BF93)/$BG93)^2*SIN(($BH93+8*($BI93-$BH93)/12))^2</f>
        <v/>
      </c>
      <c r="BS93">
        <f>((cc_D/2*(1-COS(($BH93+9*($BI93-$BH93)/12)))-$BF93)/$BG93)^2*SIN(($BH93+9*($BI93-$BH93)/12))^2</f>
        <v/>
      </c>
      <c r="BT93">
        <f>((cc_D/2*(1-COS(($BH93+10*($BI93-$BH93)/12)))-$BF93)/$BG93)^2*SIN(($BH93+10*($BI93-$BH93)/12))^2</f>
        <v/>
      </c>
      <c r="BU93">
        <f>((cc_D/2*(1-COS(($BH93+11*($BI93-$BH93)/12)))-$BF93)/$BG93)^2*SIN(($BH93+11*($BI93-$BH93)/12))^2</f>
        <v/>
      </c>
      <c r="BV93">
        <f>((cc_D/2*(1-COS(($BH93+12*($BI93-$BH93)/12)))-$BF93)/$BG93)^2*SIN(($BH93+12*($BI93-$BH93)/12))^2</f>
        <v/>
      </c>
      <c r="BW93">
        <f>BJ93*COS(($BH93+0*($BI93-$BH93)/12))</f>
        <v/>
      </c>
      <c r="BX93">
        <f>BK93*COS(($BH93+1*($BI93-$BH93)/12))</f>
        <v/>
      </c>
      <c r="BY93">
        <f>BL93*COS(($BH93+2*($BI93-$BH93)/12))</f>
        <v/>
      </c>
      <c r="BZ93">
        <f>BM93*COS(($BH93+3*($BI93-$BH93)/12))</f>
        <v/>
      </c>
      <c r="CA93">
        <f>BN93*COS(($BH93+4*($BI93-$BH93)/12))</f>
        <v/>
      </c>
      <c r="CB93">
        <f>BO93*COS(($BH93+5*($BI93-$BH93)/12))</f>
        <v/>
      </c>
      <c r="CC93">
        <f>BP93*COS(($BH93+6*($BI93-$BH93)/12))</f>
        <v/>
      </c>
      <c r="CD93">
        <f>BQ93*COS(($BH93+7*($BI93-$BH93)/12))</f>
        <v/>
      </c>
      <c r="CE93">
        <f>BR93*COS(($BH93+8*($BI93-$BH93)/12))</f>
        <v/>
      </c>
      <c r="CF93">
        <f>BS93*COS(($BH93+9*($BI93-$BH93)/12))</f>
        <v/>
      </c>
      <c r="CG93">
        <f>BT93*COS(($BH93+10*($BI93-$BH93)/12))</f>
        <v/>
      </c>
      <c r="CH93">
        <f>BU93*COS(($BH93+11*($BI93-$BH93)/12))</f>
        <v/>
      </c>
      <c r="CI93">
        <f>BV93*COS(($BH93+12*($BI93-$BH93)/12))</f>
        <v/>
      </c>
    </row>
    <row r="94">
      <c r="B94" s="65" t="n">
        <v>5</v>
      </c>
      <c r="C94" s="66">
        <f>IF($G93&lt;cc_NEd-1E-9*ABS(cc_NEd),($C93+$D93)/2,$C93)</f>
        <v/>
      </c>
      <c r="D94" s="66">
        <f>IF($G93&lt;cc_NEd-1E-9*ABS(cc_NEd),$D93,($C93+$D93)/2)</f>
        <v/>
      </c>
      <c r="E94" s="67">
        <f>cc_D*(($C94+$D94)/2)/(1-(($C94+$D94)/2))</f>
        <v/>
      </c>
      <c r="F94" s="68">
        <f>IF($E94&lt;=cc_D,3.5,2*$E94/($E94-3*cc_D/7))</f>
        <v/>
      </c>
      <c r="G94" s="67">
        <f>(fcd_cc*((cc_D/2)^2*($BI94-COS($BI94)*SIN($BI94))-2*(cc_D/2)^2*($BI94-$BH94)/12/3*SUMPRODUCT($BJ$4:$BV$4,$BJ94:$BV94))+SUMPRODUCT($J$5:$AG$5,$J94:$AG94))/1000</f>
        <v/>
      </c>
      <c r="H94" s="67">
        <f>(fcd_cc*(2/3*(cc_D/2)^3*SIN($BI94)^3-2*(cc_D/2)^3*($BI94-$BH94)/12/3*SUMPRODUCT($BW$4:$CI$4,$BW94:$CI94))+SUMPRODUCT($J$5:$AG$5,$J94:$AG94,$J$7:$AG$7))/1E6</f>
        <v/>
      </c>
      <c r="I94" s="67">
        <f>SUMPRODUCT($J$5:$AG$5,$J94:$AG94,$J$8:$AG$8)/1E6</f>
        <v/>
      </c>
      <c r="J94">
        <f>MAX(-fyd_cc,MIN(fyd_cc,Es_cc*IF($E94&lt;=cc_D,0.0035*($E94-J$6)/$E94,0.002*($E94-J$6)/($E94-3*cc_D/7))))-fcd_cc*(1-(1-MAX(0,MIN(1,IF($E94&lt;=cc_D,0.0035*($E94-J$6)/$E94,0.002*($E94-J$6)/($E94-3*cc_D/7))/0.002)))^2)</f>
        <v/>
      </c>
      <c r="K94">
        <f>MAX(-fyd_cc,MIN(fyd_cc,Es_cc*IF($E94&lt;=cc_D,0.0035*($E94-K$6)/$E94,0.002*($E94-K$6)/($E94-3*cc_D/7))))-fcd_cc*(1-(1-MAX(0,MIN(1,IF($E94&lt;=cc_D,0.0035*($E94-K$6)/$E94,0.002*($E94-K$6)/($E94-3*cc_D/7))/0.002)))^2)</f>
        <v/>
      </c>
      <c r="L94">
        <f>MAX(-fyd_cc,MIN(fyd_cc,Es_cc*IF($E94&lt;=cc_D,0.0035*($E94-L$6)/$E94,0.002*($E94-L$6)/($E94-3*cc_D/7))))-fcd_cc*(1-(1-MAX(0,MIN(1,IF($E94&lt;=cc_D,0.0035*($E94-L$6)/$E94,0.002*($E94-L$6)/($E94-3*cc_D/7))/0.002)))^2)</f>
        <v/>
      </c>
      <c r="M94">
        <f>MAX(-fyd_cc,MIN(fyd_cc,Es_cc*IF($E94&lt;=cc_D,0.0035*($E94-M$6)/$E94,0.002*($E94-M$6)/($E94-3*cc_D/7))))-fcd_cc*(1-(1-MAX(0,MIN(1,IF($E94&lt;=cc_D,0.0035*($E94-M$6)/$E94,0.002*($E94-M$6)/($E94-3*cc_D/7))/0.002)))^2)</f>
        <v/>
      </c>
      <c r="N94">
        <f>MAX(-fyd_cc,MIN(fyd_cc,Es_cc*IF($E94&lt;=cc_D,0.0035*($E94-N$6)/$E94,0.002*($E94-N$6)/($E94-3*cc_D/7))))-fcd_cc*(1-(1-MAX(0,MIN(1,IF($E94&lt;=cc_D,0.0035*($E94-N$6)/$E94,0.002*($E94-N$6)/($E94-3*cc_D/7))/0.002)))^2)</f>
        <v/>
      </c>
      <c r="O94">
        <f>MAX(-fyd_cc,MIN(fyd_cc,Es_cc*IF($E94&lt;=cc_D,0.0035*($E94-O$6)/$E94,0.002*($E94-O$6)/($E94-3*cc_D/7))))-fcd_cc*(1-(1-MAX(0,MIN(1,IF($E94&lt;=cc_D,0.0035*($E94-O$6)/$E94,0.002*($E94-O$6)/($E94-3*cc_D/7))/0.002)))^2)</f>
        <v/>
      </c>
      <c r="P94">
        <f>MAX(-fyd_cc,MIN(fyd_cc,Es_cc*IF($E94&lt;=cc_D,0.0035*($E94-P$6)/$E94,0.002*($E94-P$6)/($E94-3*cc_D/7))))-fcd_cc*(1-(1-MAX(0,MIN(1,IF($E94&lt;=cc_D,0.0035*($E94-P$6)/$E94,0.002*($E94-P$6)/($E94-3*cc_D/7))/0.002)))^2)</f>
        <v/>
      </c>
      <c r="Q94">
        <f>MAX(-fyd_cc,MIN(fyd_cc,Es_cc*IF($E94&lt;=cc_D,0.0035*($E94-Q$6)/$E94,0.002*($E94-Q$6)/($E94-3*cc_D/7))))-fcd_cc*(1-(1-MAX(0,MIN(1,IF($E94&lt;=cc_D,0.0035*($E94-Q$6)/$E94,0.002*($E94-Q$6)/($E94-3*cc_D/7))/0.002)))^2)</f>
        <v/>
      </c>
      <c r="R94">
        <f>MAX(-fyd_cc,MIN(fyd_cc,Es_cc*IF($E94&lt;=cc_D,0.0035*($E94-R$6)/$E94,0.002*($E94-R$6)/($E94-3*cc_D/7))))-fcd_cc*(1-(1-MAX(0,MIN(1,IF($E94&lt;=cc_D,0.0035*($E94-R$6)/$E94,0.002*($E94-R$6)/($E94-3*cc_D/7))/0.002)))^2)</f>
        <v/>
      </c>
      <c r="S94">
        <f>MAX(-fyd_cc,MIN(fyd_cc,Es_cc*IF($E94&lt;=cc_D,0.0035*($E94-S$6)/$E94,0.002*($E94-S$6)/($E94-3*cc_D/7))))-fcd_cc*(1-(1-MAX(0,MIN(1,IF($E94&lt;=cc_D,0.0035*($E94-S$6)/$E94,0.002*($E94-S$6)/($E94-3*cc_D/7))/0.002)))^2)</f>
        <v/>
      </c>
      <c r="T94">
        <f>MAX(-fyd_cc,MIN(fyd_cc,Es_cc*IF($E94&lt;=cc_D,0.0035*($E94-T$6)/$E94,0.002*($E94-T$6)/($E94-3*cc_D/7))))-fcd_cc*(1-(1-MAX(0,MIN(1,IF($E94&lt;=cc_D,0.0035*($E94-T$6)/$E94,0.002*($E94-T$6)/($E94-3*cc_D/7))/0.002)))^2)</f>
        <v/>
      </c>
      <c r="U94">
        <f>MAX(-fyd_cc,MIN(fyd_cc,Es_cc*IF($E94&lt;=cc_D,0.0035*($E94-U$6)/$E94,0.002*($E94-U$6)/($E94-3*cc_D/7))))-fcd_cc*(1-(1-MAX(0,MIN(1,IF($E94&lt;=cc_D,0.0035*($E94-U$6)/$E94,0.002*($E94-U$6)/($E94-3*cc_D/7))/0.002)))^2)</f>
        <v/>
      </c>
      <c r="V94">
        <f>MAX(-fyd_cc,MIN(fyd_cc,Es_cc*IF($E94&lt;=cc_D,0.0035*($E94-V$6)/$E94,0.002*($E94-V$6)/($E94-3*cc_D/7))))-fcd_cc*(1-(1-MAX(0,MIN(1,IF($E94&lt;=cc_D,0.0035*($E94-V$6)/$E94,0.002*($E94-V$6)/($E94-3*cc_D/7))/0.002)))^2)</f>
        <v/>
      </c>
      <c r="W94">
        <f>MAX(-fyd_cc,MIN(fyd_cc,Es_cc*IF($E94&lt;=cc_D,0.0035*($E94-W$6)/$E94,0.002*($E94-W$6)/($E94-3*cc_D/7))))-fcd_cc*(1-(1-MAX(0,MIN(1,IF($E94&lt;=cc_D,0.0035*($E94-W$6)/$E94,0.002*($E94-W$6)/($E94-3*cc_D/7))/0.002)))^2)</f>
        <v/>
      </c>
      <c r="X94">
        <f>MAX(-fyd_cc,MIN(fyd_cc,Es_cc*IF($E94&lt;=cc_D,0.0035*($E94-X$6)/$E94,0.002*($E94-X$6)/($E94-3*cc_D/7))))-fcd_cc*(1-(1-MAX(0,MIN(1,IF($E94&lt;=cc_D,0.0035*($E94-X$6)/$E94,0.002*($E94-X$6)/($E94-3*cc_D/7))/0.002)))^2)</f>
        <v/>
      </c>
      <c r="Y94">
        <f>MAX(-fyd_cc,MIN(fyd_cc,Es_cc*IF($E94&lt;=cc_D,0.0035*($E94-Y$6)/$E94,0.002*($E94-Y$6)/($E94-3*cc_D/7))))-fcd_cc*(1-(1-MAX(0,MIN(1,IF($E94&lt;=cc_D,0.0035*($E94-Y$6)/$E94,0.002*($E94-Y$6)/($E94-3*cc_D/7))/0.002)))^2)</f>
        <v/>
      </c>
      <c r="Z94">
        <f>MAX(-fyd_cc,MIN(fyd_cc,Es_cc*IF($E94&lt;=cc_D,0.0035*($E94-Z$6)/$E94,0.002*($E94-Z$6)/($E94-3*cc_D/7))))-fcd_cc*(1-(1-MAX(0,MIN(1,IF($E94&lt;=cc_D,0.0035*($E94-Z$6)/$E94,0.002*($E94-Z$6)/($E94-3*cc_D/7))/0.002)))^2)</f>
        <v/>
      </c>
      <c r="AA94">
        <f>MAX(-fyd_cc,MIN(fyd_cc,Es_cc*IF($E94&lt;=cc_D,0.0035*($E94-AA$6)/$E94,0.002*($E94-AA$6)/($E94-3*cc_D/7))))-fcd_cc*(1-(1-MAX(0,MIN(1,IF($E94&lt;=cc_D,0.0035*($E94-AA$6)/$E94,0.002*($E94-AA$6)/($E94-3*cc_D/7))/0.002)))^2)</f>
        <v/>
      </c>
      <c r="AB94">
        <f>MAX(-fyd_cc,MIN(fyd_cc,Es_cc*IF($E94&lt;=cc_D,0.0035*($E94-AB$6)/$E94,0.002*($E94-AB$6)/($E94-3*cc_D/7))))-fcd_cc*(1-(1-MAX(0,MIN(1,IF($E94&lt;=cc_D,0.0035*($E94-AB$6)/$E94,0.002*($E94-AB$6)/($E94-3*cc_D/7))/0.002)))^2)</f>
        <v/>
      </c>
      <c r="AC94">
        <f>MAX(-fyd_cc,MIN(fyd_cc,Es_cc*IF($E94&lt;=cc_D,0.0035*($E94-AC$6)/$E94,0.002*($E94-AC$6)/($E94-3*cc_D/7))))-fcd_cc*(1-(1-MAX(0,MIN(1,IF($E94&lt;=cc_D,0.0035*($E94-AC$6)/$E94,0.002*($E94-AC$6)/($E94-3*cc_D/7))/0.002)))^2)</f>
        <v/>
      </c>
      <c r="AD94">
        <f>MAX(-fyd_cc,MIN(fyd_cc,Es_cc*IF($E94&lt;=cc_D,0.0035*($E94-AD$6)/$E94,0.002*($E94-AD$6)/($E94-3*cc_D/7))))-fcd_cc*(1-(1-MAX(0,MIN(1,IF($E94&lt;=cc_D,0.0035*($E94-AD$6)/$E94,0.002*($E94-AD$6)/($E94-3*cc_D/7))/0.002)))^2)</f>
        <v/>
      </c>
      <c r="AE94">
        <f>MAX(-fyd_cc,MIN(fyd_cc,Es_cc*IF($E94&lt;=cc_D,0.0035*($E94-AE$6)/$E94,0.002*($E94-AE$6)/($E94-3*cc_D/7))))-fcd_cc*(1-(1-MAX(0,MIN(1,IF($E94&lt;=cc_D,0.0035*($E94-AE$6)/$E94,0.002*($E94-AE$6)/($E94-3*cc_D/7))/0.002)))^2)</f>
        <v/>
      </c>
      <c r="AF94">
        <f>MAX(-fyd_cc,MIN(fyd_cc,Es_cc*IF($E94&lt;=cc_D,0.0035*($E94-AF$6)/$E94,0.002*($E94-AF$6)/($E94-3*cc_D/7))))-fcd_cc*(1-(1-MAX(0,MIN(1,IF($E94&lt;=cc_D,0.0035*($E94-AF$6)/$E94,0.002*($E94-AF$6)/($E94-3*cc_D/7))/0.002)))^2)</f>
        <v/>
      </c>
      <c r="AG94">
        <f>MAX(-fyd_cc,MIN(fyd_cc,Es_cc*IF($E94&lt;=cc_D,0.0035*($E94-AG$6)/$E94,0.002*($E94-AG$6)/($E94-3*cc_D/7))))-fcd_cc*(1-(1-MAX(0,MIN(1,IF($E94&lt;=cc_D,0.0035*($E94-AG$6)/$E94,0.002*($E94-AG$6)/($E94-3*cc_D/7))/0.002)))^2)</f>
        <v/>
      </c>
      <c r="BF94">
        <f>3*MIN($E94,cc_D)/7</f>
        <v/>
      </c>
      <c r="BG94">
        <f>$E94-$BF94</f>
        <v/>
      </c>
      <c r="BH94">
        <f>ACOS(MAX(-1,MIN(1,1-$BF94/(cc_D/2))))</f>
        <v/>
      </c>
      <c r="BI94">
        <f>ACOS(MAX(-1,MIN(1,1-MIN($E94,cc_D)/(cc_D/2))))</f>
        <v/>
      </c>
      <c r="BJ94">
        <f>((cc_D/2*(1-COS(($BH94+0*($BI94-$BH94)/12)))-$BF94)/$BG94)^2*SIN(($BH94+0*($BI94-$BH94)/12))^2</f>
        <v/>
      </c>
      <c r="BK94">
        <f>((cc_D/2*(1-COS(($BH94+1*($BI94-$BH94)/12)))-$BF94)/$BG94)^2*SIN(($BH94+1*($BI94-$BH94)/12))^2</f>
        <v/>
      </c>
      <c r="BL94">
        <f>((cc_D/2*(1-COS(($BH94+2*($BI94-$BH94)/12)))-$BF94)/$BG94)^2*SIN(($BH94+2*($BI94-$BH94)/12))^2</f>
        <v/>
      </c>
      <c r="BM94">
        <f>((cc_D/2*(1-COS(($BH94+3*($BI94-$BH94)/12)))-$BF94)/$BG94)^2*SIN(($BH94+3*($BI94-$BH94)/12))^2</f>
        <v/>
      </c>
      <c r="BN94">
        <f>((cc_D/2*(1-COS(($BH94+4*($BI94-$BH94)/12)))-$BF94)/$BG94)^2*SIN(($BH94+4*($BI94-$BH94)/12))^2</f>
        <v/>
      </c>
      <c r="BO94">
        <f>((cc_D/2*(1-COS(($BH94+5*($BI94-$BH94)/12)))-$BF94)/$BG94)^2*SIN(($BH94+5*($BI94-$BH94)/12))^2</f>
        <v/>
      </c>
      <c r="BP94">
        <f>((cc_D/2*(1-COS(($BH94+6*($BI94-$BH94)/12)))-$BF94)/$BG94)^2*SIN(($BH94+6*($BI94-$BH94)/12))^2</f>
        <v/>
      </c>
      <c r="BQ94">
        <f>((cc_D/2*(1-COS(($BH94+7*($BI94-$BH94)/12)))-$BF94)/$BG94)^2*SIN(($BH94+7*($BI94-$BH94)/12))^2</f>
        <v/>
      </c>
      <c r="BR94">
        <f>((cc_D/2*(1-COS(($BH94+8*($BI94-$BH94)/12)))-$BF94)/$BG94)^2*SIN(($BH94+8*($BI94-$BH94)/12))^2</f>
        <v/>
      </c>
      <c r="BS94">
        <f>((cc_D/2*(1-COS(($BH94+9*($BI94-$BH94)/12)))-$BF94)/$BG94)^2*SIN(($BH94+9*($BI94-$BH94)/12))^2</f>
        <v/>
      </c>
      <c r="BT94">
        <f>((cc_D/2*(1-COS(($BH94+10*($BI94-$BH94)/12)))-$BF94)/$BG94)^2*SIN(($BH94+10*($BI94-$BH94)/12))^2</f>
        <v/>
      </c>
      <c r="BU94">
        <f>((cc_D/2*(1-COS(($BH94+11*($BI94-$BH94)/12)))-$BF94)/$BG94)^2*SIN(($BH94+11*($BI94-$BH94)/12))^2</f>
        <v/>
      </c>
      <c r="BV94">
        <f>((cc_D/2*(1-COS(($BH94+12*($BI94-$BH94)/12)))-$BF94)/$BG94)^2*SIN(($BH94+12*($BI94-$BH94)/12))^2</f>
        <v/>
      </c>
      <c r="BW94">
        <f>BJ94*COS(($BH94+0*($BI94-$BH94)/12))</f>
        <v/>
      </c>
      <c r="BX94">
        <f>BK94*COS(($BH94+1*($BI94-$BH94)/12))</f>
        <v/>
      </c>
      <c r="BY94">
        <f>BL94*COS(($BH94+2*($BI94-$BH94)/12))</f>
        <v/>
      </c>
      <c r="BZ94">
        <f>BM94*COS(($BH94+3*($BI94-$BH94)/12))</f>
        <v/>
      </c>
      <c r="CA94">
        <f>BN94*COS(($BH94+4*($BI94-$BH94)/12))</f>
        <v/>
      </c>
      <c r="CB94">
        <f>BO94*COS(($BH94+5*($BI94-$BH94)/12))</f>
        <v/>
      </c>
      <c r="CC94">
        <f>BP94*COS(($BH94+6*($BI94-$BH94)/12))</f>
        <v/>
      </c>
      <c r="CD94">
        <f>BQ94*COS(($BH94+7*($BI94-$BH94)/12))</f>
        <v/>
      </c>
      <c r="CE94">
        <f>BR94*COS(($BH94+8*($BI94-$BH94)/12))</f>
        <v/>
      </c>
      <c r="CF94">
        <f>BS94*COS(($BH94+9*($BI94-$BH94)/12))</f>
        <v/>
      </c>
      <c r="CG94">
        <f>BT94*COS(($BH94+10*($BI94-$BH94)/12))</f>
        <v/>
      </c>
      <c r="CH94">
        <f>BU94*COS(($BH94+11*($BI94-$BH94)/12))</f>
        <v/>
      </c>
      <c r="CI94">
        <f>BV94*COS(($BH94+12*($BI94-$BH94)/12))</f>
        <v/>
      </c>
    </row>
    <row r="95">
      <c r="B95" s="65" t="n">
        <v>6</v>
      </c>
      <c r="C95" s="66">
        <f>IF($G94&lt;cc_NEd-1E-9*ABS(cc_NEd),($C94+$D94)/2,$C94)</f>
        <v/>
      </c>
      <c r="D95" s="66">
        <f>IF($G94&lt;cc_NEd-1E-9*ABS(cc_NEd),$D94,($C94+$D94)/2)</f>
        <v/>
      </c>
      <c r="E95" s="67">
        <f>cc_D*(($C95+$D95)/2)/(1-(($C95+$D95)/2))</f>
        <v/>
      </c>
      <c r="F95" s="68">
        <f>IF($E95&lt;=cc_D,3.5,2*$E95/($E95-3*cc_D/7))</f>
        <v/>
      </c>
      <c r="G95" s="67">
        <f>(fcd_cc*((cc_D/2)^2*($BI95-COS($BI95)*SIN($BI95))-2*(cc_D/2)^2*($BI95-$BH95)/12/3*SUMPRODUCT($BJ$4:$BV$4,$BJ95:$BV95))+SUMPRODUCT($J$5:$AG$5,$J95:$AG95))/1000</f>
        <v/>
      </c>
      <c r="H95" s="67">
        <f>(fcd_cc*(2/3*(cc_D/2)^3*SIN($BI95)^3-2*(cc_D/2)^3*($BI95-$BH95)/12/3*SUMPRODUCT($BW$4:$CI$4,$BW95:$CI95))+SUMPRODUCT($J$5:$AG$5,$J95:$AG95,$J$7:$AG$7))/1E6</f>
        <v/>
      </c>
      <c r="I95" s="67">
        <f>SUMPRODUCT($J$5:$AG$5,$J95:$AG95,$J$8:$AG$8)/1E6</f>
        <v/>
      </c>
      <c r="J95">
        <f>MAX(-fyd_cc,MIN(fyd_cc,Es_cc*IF($E95&lt;=cc_D,0.0035*($E95-J$6)/$E95,0.002*($E95-J$6)/($E95-3*cc_D/7))))-fcd_cc*(1-(1-MAX(0,MIN(1,IF($E95&lt;=cc_D,0.0035*($E95-J$6)/$E95,0.002*($E95-J$6)/($E95-3*cc_D/7))/0.002)))^2)</f>
        <v/>
      </c>
      <c r="K95">
        <f>MAX(-fyd_cc,MIN(fyd_cc,Es_cc*IF($E95&lt;=cc_D,0.0035*($E95-K$6)/$E95,0.002*($E95-K$6)/($E95-3*cc_D/7))))-fcd_cc*(1-(1-MAX(0,MIN(1,IF($E95&lt;=cc_D,0.0035*($E95-K$6)/$E95,0.002*($E95-K$6)/($E95-3*cc_D/7))/0.002)))^2)</f>
        <v/>
      </c>
      <c r="L95">
        <f>MAX(-fyd_cc,MIN(fyd_cc,Es_cc*IF($E95&lt;=cc_D,0.0035*($E95-L$6)/$E95,0.002*($E95-L$6)/($E95-3*cc_D/7))))-fcd_cc*(1-(1-MAX(0,MIN(1,IF($E95&lt;=cc_D,0.0035*($E95-L$6)/$E95,0.002*($E95-L$6)/($E95-3*cc_D/7))/0.002)))^2)</f>
        <v/>
      </c>
      <c r="M95">
        <f>MAX(-fyd_cc,MIN(fyd_cc,Es_cc*IF($E95&lt;=cc_D,0.0035*($E95-M$6)/$E95,0.002*($E95-M$6)/($E95-3*cc_D/7))))-fcd_cc*(1-(1-MAX(0,MIN(1,IF($E95&lt;=cc_D,0.0035*($E95-M$6)/$E95,0.002*($E95-M$6)/($E95-3*cc_D/7))/0.002)))^2)</f>
        <v/>
      </c>
      <c r="N95">
        <f>MAX(-fyd_cc,MIN(fyd_cc,Es_cc*IF($E95&lt;=cc_D,0.0035*($E95-N$6)/$E95,0.002*($E95-N$6)/($E95-3*cc_D/7))))-fcd_cc*(1-(1-MAX(0,MIN(1,IF($E95&lt;=cc_D,0.0035*($E95-N$6)/$E95,0.002*($E95-N$6)/($E95-3*cc_D/7))/0.002)))^2)</f>
        <v/>
      </c>
      <c r="O95">
        <f>MAX(-fyd_cc,MIN(fyd_cc,Es_cc*IF($E95&lt;=cc_D,0.0035*($E95-O$6)/$E95,0.002*($E95-O$6)/($E95-3*cc_D/7))))-fcd_cc*(1-(1-MAX(0,MIN(1,IF($E95&lt;=cc_D,0.0035*($E95-O$6)/$E95,0.002*($E95-O$6)/($E95-3*cc_D/7))/0.002)))^2)</f>
        <v/>
      </c>
      <c r="P95">
        <f>MAX(-fyd_cc,MIN(fyd_cc,Es_cc*IF($E95&lt;=cc_D,0.0035*($E95-P$6)/$E95,0.002*($E95-P$6)/($E95-3*cc_D/7))))-fcd_cc*(1-(1-MAX(0,MIN(1,IF($E95&lt;=cc_D,0.0035*($E95-P$6)/$E95,0.002*($E95-P$6)/($E95-3*cc_D/7))/0.002)))^2)</f>
        <v/>
      </c>
      <c r="Q95">
        <f>MAX(-fyd_cc,MIN(fyd_cc,Es_cc*IF($E95&lt;=cc_D,0.0035*($E95-Q$6)/$E95,0.002*($E95-Q$6)/($E95-3*cc_D/7))))-fcd_cc*(1-(1-MAX(0,MIN(1,IF($E95&lt;=cc_D,0.0035*($E95-Q$6)/$E95,0.002*($E95-Q$6)/($E95-3*cc_D/7))/0.002)))^2)</f>
        <v/>
      </c>
      <c r="R95">
        <f>MAX(-fyd_cc,MIN(fyd_cc,Es_cc*IF($E95&lt;=cc_D,0.0035*($E95-R$6)/$E95,0.002*($E95-R$6)/($E95-3*cc_D/7))))-fcd_cc*(1-(1-MAX(0,MIN(1,IF($E95&lt;=cc_D,0.0035*($E95-R$6)/$E95,0.002*($E95-R$6)/($E95-3*cc_D/7))/0.002)))^2)</f>
        <v/>
      </c>
      <c r="S95">
        <f>MAX(-fyd_cc,MIN(fyd_cc,Es_cc*IF($E95&lt;=cc_D,0.0035*($E95-S$6)/$E95,0.002*($E95-S$6)/($E95-3*cc_D/7))))-fcd_cc*(1-(1-MAX(0,MIN(1,IF($E95&lt;=cc_D,0.0035*($E95-S$6)/$E95,0.002*($E95-S$6)/($E95-3*cc_D/7))/0.002)))^2)</f>
        <v/>
      </c>
      <c r="T95">
        <f>MAX(-fyd_cc,MIN(fyd_cc,Es_cc*IF($E95&lt;=cc_D,0.0035*($E95-T$6)/$E95,0.002*($E95-T$6)/($E95-3*cc_D/7))))-fcd_cc*(1-(1-MAX(0,MIN(1,IF($E95&lt;=cc_D,0.0035*($E95-T$6)/$E95,0.002*($E95-T$6)/($E95-3*cc_D/7))/0.002)))^2)</f>
        <v/>
      </c>
      <c r="U95">
        <f>MAX(-fyd_cc,MIN(fyd_cc,Es_cc*IF($E95&lt;=cc_D,0.0035*($E95-U$6)/$E95,0.002*($E95-U$6)/($E95-3*cc_D/7))))-fcd_cc*(1-(1-MAX(0,MIN(1,IF($E95&lt;=cc_D,0.0035*($E95-U$6)/$E95,0.002*($E95-U$6)/($E95-3*cc_D/7))/0.002)))^2)</f>
        <v/>
      </c>
      <c r="V95">
        <f>MAX(-fyd_cc,MIN(fyd_cc,Es_cc*IF($E95&lt;=cc_D,0.0035*($E95-V$6)/$E95,0.002*($E95-V$6)/($E95-3*cc_D/7))))-fcd_cc*(1-(1-MAX(0,MIN(1,IF($E95&lt;=cc_D,0.0035*($E95-V$6)/$E95,0.002*($E95-V$6)/($E95-3*cc_D/7))/0.002)))^2)</f>
        <v/>
      </c>
      <c r="W95">
        <f>MAX(-fyd_cc,MIN(fyd_cc,Es_cc*IF($E95&lt;=cc_D,0.0035*($E95-W$6)/$E95,0.002*($E95-W$6)/($E95-3*cc_D/7))))-fcd_cc*(1-(1-MAX(0,MIN(1,IF($E95&lt;=cc_D,0.0035*($E95-W$6)/$E95,0.002*($E95-W$6)/($E95-3*cc_D/7))/0.002)))^2)</f>
        <v/>
      </c>
      <c r="X95">
        <f>MAX(-fyd_cc,MIN(fyd_cc,Es_cc*IF($E95&lt;=cc_D,0.0035*($E95-X$6)/$E95,0.002*($E95-X$6)/($E95-3*cc_D/7))))-fcd_cc*(1-(1-MAX(0,MIN(1,IF($E95&lt;=cc_D,0.0035*($E95-X$6)/$E95,0.002*($E95-X$6)/($E95-3*cc_D/7))/0.002)))^2)</f>
        <v/>
      </c>
      <c r="Y95">
        <f>MAX(-fyd_cc,MIN(fyd_cc,Es_cc*IF($E95&lt;=cc_D,0.0035*($E95-Y$6)/$E95,0.002*($E95-Y$6)/($E95-3*cc_D/7))))-fcd_cc*(1-(1-MAX(0,MIN(1,IF($E95&lt;=cc_D,0.0035*($E95-Y$6)/$E95,0.002*($E95-Y$6)/($E95-3*cc_D/7))/0.002)))^2)</f>
        <v/>
      </c>
      <c r="Z95">
        <f>MAX(-fyd_cc,MIN(fyd_cc,Es_cc*IF($E95&lt;=cc_D,0.0035*($E95-Z$6)/$E95,0.002*($E95-Z$6)/($E95-3*cc_D/7))))-fcd_cc*(1-(1-MAX(0,MIN(1,IF($E95&lt;=cc_D,0.0035*($E95-Z$6)/$E95,0.002*($E95-Z$6)/($E95-3*cc_D/7))/0.002)))^2)</f>
        <v/>
      </c>
      <c r="AA95">
        <f>MAX(-fyd_cc,MIN(fyd_cc,Es_cc*IF($E95&lt;=cc_D,0.0035*($E95-AA$6)/$E95,0.002*($E95-AA$6)/($E95-3*cc_D/7))))-fcd_cc*(1-(1-MAX(0,MIN(1,IF($E95&lt;=cc_D,0.0035*($E95-AA$6)/$E95,0.002*($E95-AA$6)/($E95-3*cc_D/7))/0.002)))^2)</f>
        <v/>
      </c>
      <c r="AB95">
        <f>MAX(-fyd_cc,MIN(fyd_cc,Es_cc*IF($E95&lt;=cc_D,0.0035*($E95-AB$6)/$E95,0.002*($E95-AB$6)/($E95-3*cc_D/7))))-fcd_cc*(1-(1-MAX(0,MIN(1,IF($E95&lt;=cc_D,0.0035*($E95-AB$6)/$E95,0.002*($E95-AB$6)/($E95-3*cc_D/7))/0.002)))^2)</f>
        <v/>
      </c>
      <c r="AC95">
        <f>MAX(-fyd_cc,MIN(fyd_cc,Es_cc*IF($E95&lt;=cc_D,0.0035*($E95-AC$6)/$E95,0.002*($E95-AC$6)/($E95-3*cc_D/7))))-fcd_cc*(1-(1-MAX(0,MIN(1,IF($E95&lt;=cc_D,0.0035*($E95-AC$6)/$E95,0.002*($E95-AC$6)/($E95-3*cc_D/7))/0.002)))^2)</f>
        <v/>
      </c>
      <c r="AD95">
        <f>MAX(-fyd_cc,MIN(fyd_cc,Es_cc*IF($E95&lt;=cc_D,0.0035*($E95-AD$6)/$E95,0.002*($E95-AD$6)/($E95-3*cc_D/7))))-fcd_cc*(1-(1-MAX(0,MIN(1,IF($E95&lt;=cc_D,0.0035*($E95-AD$6)/$E95,0.002*($E95-AD$6)/($E95-3*cc_D/7))/0.002)))^2)</f>
        <v/>
      </c>
      <c r="AE95">
        <f>MAX(-fyd_cc,MIN(fyd_cc,Es_cc*IF($E95&lt;=cc_D,0.0035*($E95-AE$6)/$E95,0.002*($E95-AE$6)/($E95-3*cc_D/7))))-fcd_cc*(1-(1-MAX(0,MIN(1,IF($E95&lt;=cc_D,0.0035*($E95-AE$6)/$E95,0.002*($E95-AE$6)/($E95-3*cc_D/7))/0.002)))^2)</f>
        <v/>
      </c>
      <c r="AF95">
        <f>MAX(-fyd_cc,MIN(fyd_cc,Es_cc*IF($E95&lt;=cc_D,0.0035*($E95-AF$6)/$E95,0.002*($E95-AF$6)/($E95-3*cc_D/7))))-fcd_cc*(1-(1-MAX(0,MIN(1,IF($E95&lt;=cc_D,0.0035*($E95-AF$6)/$E95,0.002*($E95-AF$6)/($E95-3*cc_D/7))/0.002)))^2)</f>
        <v/>
      </c>
      <c r="AG95">
        <f>MAX(-fyd_cc,MIN(fyd_cc,Es_cc*IF($E95&lt;=cc_D,0.0035*($E95-AG$6)/$E95,0.002*($E95-AG$6)/($E95-3*cc_D/7))))-fcd_cc*(1-(1-MAX(0,MIN(1,IF($E95&lt;=cc_D,0.0035*($E95-AG$6)/$E95,0.002*($E95-AG$6)/($E95-3*cc_D/7))/0.002)))^2)</f>
        <v/>
      </c>
      <c r="BF95">
        <f>3*MIN($E95,cc_D)/7</f>
        <v/>
      </c>
      <c r="BG95">
        <f>$E95-$BF95</f>
        <v/>
      </c>
      <c r="BH95">
        <f>ACOS(MAX(-1,MIN(1,1-$BF95/(cc_D/2))))</f>
        <v/>
      </c>
      <c r="BI95">
        <f>ACOS(MAX(-1,MIN(1,1-MIN($E95,cc_D)/(cc_D/2))))</f>
        <v/>
      </c>
      <c r="BJ95">
        <f>((cc_D/2*(1-COS(($BH95+0*($BI95-$BH95)/12)))-$BF95)/$BG95)^2*SIN(($BH95+0*($BI95-$BH95)/12))^2</f>
        <v/>
      </c>
      <c r="BK95">
        <f>((cc_D/2*(1-COS(($BH95+1*($BI95-$BH95)/12)))-$BF95)/$BG95)^2*SIN(($BH95+1*($BI95-$BH95)/12))^2</f>
        <v/>
      </c>
      <c r="BL95">
        <f>((cc_D/2*(1-COS(($BH95+2*($BI95-$BH95)/12)))-$BF95)/$BG95)^2*SIN(($BH95+2*($BI95-$BH95)/12))^2</f>
        <v/>
      </c>
      <c r="BM95">
        <f>((cc_D/2*(1-COS(($BH95+3*($BI95-$BH95)/12)))-$BF95)/$BG95)^2*SIN(($BH95+3*($BI95-$BH95)/12))^2</f>
        <v/>
      </c>
      <c r="BN95">
        <f>((cc_D/2*(1-COS(($BH95+4*($BI95-$BH95)/12)))-$BF95)/$BG95)^2*SIN(($BH95+4*($BI95-$BH95)/12))^2</f>
        <v/>
      </c>
      <c r="BO95">
        <f>((cc_D/2*(1-COS(($BH95+5*($BI95-$BH95)/12)))-$BF95)/$BG95)^2*SIN(($BH95+5*($BI95-$BH95)/12))^2</f>
        <v/>
      </c>
      <c r="BP95">
        <f>((cc_D/2*(1-COS(($BH95+6*($BI95-$BH95)/12)))-$BF95)/$BG95)^2*SIN(($BH95+6*($BI95-$BH95)/12))^2</f>
        <v/>
      </c>
      <c r="BQ95">
        <f>((cc_D/2*(1-COS(($BH95+7*($BI95-$BH95)/12)))-$BF95)/$BG95)^2*SIN(($BH95+7*($BI95-$BH95)/12))^2</f>
        <v/>
      </c>
      <c r="BR95">
        <f>((cc_D/2*(1-COS(($BH95+8*($BI95-$BH95)/12)))-$BF95)/$BG95)^2*SIN(($BH95+8*($BI95-$BH95)/12))^2</f>
        <v/>
      </c>
      <c r="BS95">
        <f>((cc_D/2*(1-COS(($BH95+9*($BI95-$BH95)/12)))-$BF95)/$BG95)^2*SIN(($BH95+9*($BI95-$BH95)/12))^2</f>
        <v/>
      </c>
      <c r="BT95">
        <f>((cc_D/2*(1-COS(($BH95+10*($BI95-$BH95)/12)))-$BF95)/$BG95)^2*SIN(($BH95+10*($BI95-$BH95)/12))^2</f>
        <v/>
      </c>
      <c r="BU95">
        <f>((cc_D/2*(1-COS(($BH95+11*($BI95-$BH95)/12)))-$BF95)/$BG95)^2*SIN(($BH95+11*($BI95-$BH95)/12))^2</f>
        <v/>
      </c>
      <c r="BV95">
        <f>((cc_D/2*(1-COS(($BH95+12*($BI95-$BH95)/12)))-$BF95)/$BG95)^2*SIN(($BH95+12*($BI95-$BH95)/12))^2</f>
        <v/>
      </c>
      <c r="BW95">
        <f>BJ95*COS(($BH95+0*($BI95-$BH95)/12))</f>
        <v/>
      </c>
      <c r="BX95">
        <f>BK95*COS(($BH95+1*($BI95-$BH95)/12))</f>
        <v/>
      </c>
      <c r="BY95">
        <f>BL95*COS(($BH95+2*($BI95-$BH95)/12))</f>
        <v/>
      </c>
      <c r="BZ95">
        <f>BM95*COS(($BH95+3*($BI95-$BH95)/12))</f>
        <v/>
      </c>
      <c r="CA95">
        <f>BN95*COS(($BH95+4*($BI95-$BH95)/12))</f>
        <v/>
      </c>
      <c r="CB95">
        <f>BO95*COS(($BH95+5*($BI95-$BH95)/12))</f>
        <v/>
      </c>
      <c r="CC95">
        <f>BP95*COS(($BH95+6*($BI95-$BH95)/12))</f>
        <v/>
      </c>
      <c r="CD95">
        <f>BQ95*COS(($BH95+7*($BI95-$BH95)/12))</f>
        <v/>
      </c>
      <c r="CE95">
        <f>BR95*COS(($BH95+8*($BI95-$BH95)/12))</f>
        <v/>
      </c>
      <c r="CF95">
        <f>BS95*COS(($BH95+9*($BI95-$BH95)/12))</f>
        <v/>
      </c>
      <c r="CG95">
        <f>BT95*COS(($BH95+10*($BI95-$BH95)/12))</f>
        <v/>
      </c>
      <c r="CH95">
        <f>BU95*COS(($BH95+11*($BI95-$BH95)/12))</f>
        <v/>
      </c>
      <c r="CI95">
        <f>BV95*COS(($BH95+12*($BI95-$BH95)/12))</f>
        <v/>
      </c>
    </row>
    <row r="96">
      <c r="B96" s="65" t="n">
        <v>7</v>
      </c>
      <c r="C96" s="66">
        <f>IF($G95&lt;cc_NEd-1E-9*ABS(cc_NEd),($C95+$D95)/2,$C95)</f>
        <v/>
      </c>
      <c r="D96" s="66">
        <f>IF($G95&lt;cc_NEd-1E-9*ABS(cc_NEd),$D95,($C95+$D95)/2)</f>
        <v/>
      </c>
      <c r="E96" s="67">
        <f>cc_D*(($C96+$D96)/2)/(1-(($C96+$D96)/2))</f>
        <v/>
      </c>
      <c r="F96" s="68">
        <f>IF($E96&lt;=cc_D,3.5,2*$E96/($E96-3*cc_D/7))</f>
        <v/>
      </c>
      <c r="G96" s="67">
        <f>(fcd_cc*((cc_D/2)^2*($BI96-COS($BI96)*SIN($BI96))-2*(cc_D/2)^2*($BI96-$BH96)/12/3*SUMPRODUCT($BJ$4:$BV$4,$BJ96:$BV96))+SUMPRODUCT($J$5:$AG$5,$J96:$AG96))/1000</f>
        <v/>
      </c>
      <c r="H96" s="67">
        <f>(fcd_cc*(2/3*(cc_D/2)^3*SIN($BI96)^3-2*(cc_D/2)^3*($BI96-$BH96)/12/3*SUMPRODUCT($BW$4:$CI$4,$BW96:$CI96))+SUMPRODUCT($J$5:$AG$5,$J96:$AG96,$J$7:$AG$7))/1E6</f>
        <v/>
      </c>
      <c r="I96" s="67">
        <f>SUMPRODUCT($J$5:$AG$5,$J96:$AG96,$J$8:$AG$8)/1E6</f>
        <v/>
      </c>
      <c r="J96">
        <f>MAX(-fyd_cc,MIN(fyd_cc,Es_cc*IF($E96&lt;=cc_D,0.0035*($E96-J$6)/$E96,0.002*($E96-J$6)/($E96-3*cc_D/7))))-fcd_cc*(1-(1-MAX(0,MIN(1,IF($E96&lt;=cc_D,0.0035*($E96-J$6)/$E96,0.002*($E96-J$6)/($E96-3*cc_D/7))/0.002)))^2)</f>
        <v/>
      </c>
      <c r="K96">
        <f>MAX(-fyd_cc,MIN(fyd_cc,Es_cc*IF($E96&lt;=cc_D,0.0035*($E96-K$6)/$E96,0.002*($E96-K$6)/($E96-3*cc_D/7))))-fcd_cc*(1-(1-MAX(0,MIN(1,IF($E96&lt;=cc_D,0.0035*($E96-K$6)/$E96,0.002*($E96-K$6)/($E96-3*cc_D/7))/0.002)))^2)</f>
        <v/>
      </c>
      <c r="L96">
        <f>MAX(-fyd_cc,MIN(fyd_cc,Es_cc*IF($E96&lt;=cc_D,0.0035*($E96-L$6)/$E96,0.002*($E96-L$6)/($E96-3*cc_D/7))))-fcd_cc*(1-(1-MAX(0,MIN(1,IF($E96&lt;=cc_D,0.0035*($E96-L$6)/$E96,0.002*($E96-L$6)/($E96-3*cc_D/7))/0.002)))^2)</f>
        <v/>
      </c>
      <c r="M96">
        <f>MAX(-fyd_cc,MIN(fyd_cc,Es_cc*IF($E96&lt;=cc_D,0.0035*($E96-M$6)/$E96,0.002*($E96-M$6)/($E96-3*cc_D/7))))-fcd_cc*(1-(1-MAX(0,MIN(1,IF($E96&lt;=cc_D,0.0035*($E96-M$6)/$E96,0.002*($E96-M$6)/($E96-3*cc_D/7))/0.002)))^2)</f>
        <v/>
      </c>
      <c r="N96">
        <f>MAX(-fyd_cc,MIN(fyd_cc,Es_cc*IF($E96&lt;=cc_D,0.0035*($E96-N$6)/$E96,0.002*($E96-N$6)/($E96-3*cc_D/7))))-fcd_cc*(1-(1-MAX(0,MIN(1,IF($E96&lt;=cc_D,0.0035*($E96-N$6)/$E96,0.002*($E96-N$6)/($E96-3*cc_D/7))/0.002)))^2)</f>
        <v/>
      </c>
      <c r="O96">
        <f>MAX(-fyd_cc,MIN(fyd_cc,Es_cc*IF($E96&lt;=cc_D,0.0035*($E96-O$6)/$E96,0.002*($E96-O$6)/($E96-3*cc_D/7))))-fcd_cc*(1-(1-MAX(0,MIN(1,IF($E96&lt;=cc_D,0.0035*($E96-O$6)/$E96,0.002*($E96-O$6)/($E96-3*cc_D/7))/0.002)))^2)</f>
        <v/>
      </c>
      <c r="P96">
        <f>MAX(-fyd_cc,MIN(fyd_cc,Es_cc*IF($E96&lt;=cc_D,0.0035*($E96-P$6)/$E96,0.002*($E96-P$6)/($E96-3*cc_D/7))))-fcd_cc*(1-(1-MAX(0,MIN(1,IF($E96&lt;=cc_D,0.0035*($E96-P$6)/$E96,0.002*($E96-P$6)/($E96-3*cc_D/7))/0.002)))^2)</f>
        <v/>
      </c>
      <c r="Q96">
        <f>MAX(-fyd_cc,MIN(fyd_cc,Es_cc*IF($E96&lt;=cc_D,0.0035*($E96-Q$6)/$E96,0.002*($E96-Q$6)/($E96-3*cc_D/7))))-fcd_cc*(1-(1-MAX(0,MIN(1,IF($E96&lt;=cc_D,0.0035*($E96-Q$6)/$E96,0.002*($E96-Q$6)/($E96-3*cc_D/7))/0.002)))^2)</f>
        <v/>
      </c>
      <c r="R96">
        <f>MAX(-fyd_cc,MIN(fyd_cc,Es_cc*IF($E96&lt;=cc_D,0.0035*($E96-R$6)/$E96,0.002*($E96-R$6)/($E96-3*cc_D/7))))-fcd_cc*(1-(1-MAX(0,MIN(1,IF($E96&lt;=cc_D,0.0035*($E96-R$6)/$E96,0.002*($E96-R$6)/($E96-3*cc_D/7))/0.002)))^2)</f>
        <v/>
      </c>
      <c r="S96">
        <f>MAX(-fyd_cc,MIN(fyd_cc,Es_cc*IF($E96&lt;=cc_D,0.0035*($E96-S$6)/$E96,0.002*($E96-S$6)/($E96-3*cc_D/7))))-fcd_cc*(1-(1-MAX(0,MIN(1,IF($E96&lt;=cc_D,0.0035*($E96-S$6)/$E96,0.002*($E96-S$6)/($E96-3*cc_D/7))/0.002)))^2)</f>
        <v/>
      </c>
      <c r="T96">
        <f>MAX(-fyd_cc,MIN(fyd_cc,Es_cc*IF($E96&lt;=cc_D,0.0035*($E96-T$6)/$E96,0.002*($E96-T$6)/($E96-3*cc_D/7))))-fcd_cc*(1-(1-MAX(0,MIN(1,IF($E96&lt;=cc_D,0.0035*($E96-T$6)/$E96,0.002*($E96-T$6)/($E96-3*cc_D/7))/0.002)))^2)</f>
        <v/>
      </c>
      <c r="U96">
        <f>MAX(-fyd_cc,MIN(fyd_cc,Es_cc*IF($E96&lt;=cc_D,0.0035*($E96-U$6)/$E96,0.002*($E96-U$6)/($E96-3*cc_D/7))))-fcd_cc*(1-(1-MAX(0,MIN(1,IF($E96&lt;=cc_D,0.0035*($E96-U$6)/$E96,0.002*($E96-U$6)/($E96-3*cc_D/7))/0.002)))^2)</f>
        <v/>
      </c>
      <c r="V96">
        <f>MAX(-fyd_cc,MIN(fyd_cc,Es_cc*IF($E96&lt;=cc_D,0.0035*($E96-V$6)/$E96,0.002*($E96-V$6)/($E96-3*cc_D/7))))-fcd_cc*(1-(1-MAX(0,MIN(1,IF($E96&lt;=cc_D,0.0035*($E96-V$6)/$E96,0.002*($E96-V$6)/($E96-3*cc_D/7))/0.002)))^2)</f>
        <v/>
      </c>
      <c r="W96">
        <f>MAX(-fyd_cc,MIN(fyd_cc,Es_cc*IF($E96&lt;=cc_D,0.0035*($E96-W$6)/$E96,0.002*($E96-W$6)/($E96-3*cc_D/7))))-fcd_cc*(1-(1-MAX(0,MIN(1,IF($E96&lt;=cc_D,0.0035*($E96-W$6)/$E96,0.002*($E96-W$6)/($E96-3*cc_D/7))/0.002)))^2)</f>
        <v/>
      </c>
      <c r="X96">
        <f>MAX(-fyd_cc,MIN(fyd_cc,Es_cc*IF($E96&lt;=cc_D,0.0035*($E96-X$6)/$E96,0.002*($E96-X$6)/($E96-3*cc_D/7))))-fcd_cc*(1-(1-MAX(0,MIN(1,IF($E96&lt;=cc_D,0.0035*($E96-X$6)/$E96,0.002*($E96-X$6)/($E96-3*cc_D/7))/0.002)))^2)</f>
        <v/>
      </c>
      <c r="Y96">
        <f>MAX(-fyd_cc,MIN(fyd_cc,Es_cc*IF($E96&lt;=cc_D,0.0035*($E96-Y$6)/$E96,0.002*($E96-Y$6)/($E96-3*cc_D/7))))-fcd_cc*(1-(1-MAX(0,MIN(1,IF($E96&lt;=cc_D,0.0035*($E96-Y$6)/$E96,0.002*($E96-Y$6)/($E96-3*cc_D/7))/0.002)))^2)</f>
        <v/>
      </c>
      <c r="Z96">
        <f>MAX(-fyd_cc,MIN(fyd_cc,Es_cc*IF($E96&lt;=cc_D,0.0035*($E96-Z$6)/$E96,0.002*($E96-Z$6)/($E96-3*cc_D/7))))-fcd_cc*(1-(1-MAX(0,MIN(1,IF($E96&lt;=cc_D,0.0035*($E96-Z$6)/$E96,0.002*($E96-Z$6)/($E96-3*cc_D/7))/0.002)))^2)</f>
        <v/>
      </c>
      <c r="AA96">
        <f>MAX(-fyd_cc,MIN(fyd_cc,Es_cc*IF($E96&lt;=cc_D,0.0035*($E96-AA$6)/$E96,0.002*($E96-AA$6)/($E96-3*cc_D/7))))-fcd_cc*(1-(1-MAX(0,MIN(1,IF($E96&lt;=cc_D,0.0035*($E96-AA$6)/$E96,0.002*($E96-AA$6)/($E96-3*cc_D/7))/0.002)))^2)</f>
        <v/>
      </c>
      <c r="AB96">
        <f>MAX(-fyd_cc,MIN(fyd_cc,Es_cc*IF($E96&lt;=cc_D,0.0035*($E96-AB$6)/$E96,0.002*($E96-AB$6)/($E96-3*cc_D/7))))-fcd_cc*(1-(1-MAX(0,MIN(1,IF($E96&lt;=cc_D,0.0035*($E96-AB$6)/$E96,0.002*($E96-AB$6)/($E96-3*cc_D/7))/0.002)))^2)</f>
        <v/>
      </c>
      <c r="AC96">
        <f>MAX(-fyd_cc,MIN(fyd_cc,Es_cc*IF($E96&lt;=cc_D,0.0035*($E96-AC$6)/$E96,0.002*($E96-AC$6)/($E96-3*cc_D/7))))-fcd_cc*(1-(1-MAX(0,MIN(1,IF($E96&lt;=cc_D,0.0035*($E96-AC$6)/$E96,0.002*($E96-AC$6)/($E96-3*cc_D/7))/0.002)))^2)</f>
        <v/>
      </c>
      <c r="AD96">
        <f>MAX(-fyd_cc,MIN(fyd_cc,Es_cc*IF($E96&lt;=cc_D,0.0035*($E96-AD$6)/$E96,0.002*($E96-AD$6)/($E96-3*cc_D/7))))-fcd_cc*(1-(1-MAX(0,MIN(1,IF($E96&lt;=cc_D,0.0035*($E96-AD$6)/$E96,0.002*($E96-AD$6)/($E96-3*cc_D/7))/0.002)))^2)</f>
        <v/>
      </c>
      <c r="AE96">
        <f>MAX(-fyd_cc,MIN(fyd_cc,Es_cc*IF($E96&lt;=cc_D,0.0035*($E96-AE$6)/$E96,0.002*($E96-AE$6)/($E96-3*cc_D/7))))-fcd_cc*(1-(1-MAX(0,MIN(1,IF($E96&lt;=cc_D,0.0035*($E96-AE$6)/$E96,0.002*($E96-AE$6)/($E96-3*cc_D/7))/0.002)))^2)</f>
        <v/>
      </c>
      <c r="AF96">
        <f>MAX(-fyd_cc,MIN(fyd_cc,Es_cc*IF($E96&lt;=cc_D,0.0035*($E96-AF$6)/$E96,0.002*($E96-AF$6)/($E96-3*cc_D/7))))-fcd_cc*(1-(1-MAX(0,MIN(1,IF($E96&lt;=cc_D,0.0035*($E96-AF$6)/$E96,0.002*($E96-AF$6)/($E96-3*cc_D/7))/0.002)))^2)</f>
        <v/>
      </c>
      <c r="AG96">
        <f>MAX(-fyd_cc,MIN(fyd_cc,Es_cc*IF($E96&lt;=cc_D,0.0035*($E96-AG$6)/$E96,0.002*($E96-AG$6)/($E96-3*cc_D/7))))-fcd_cc*(1-(1-MAX(0,MIN(1,IF($E96&lt;=cc_D,0.0035*($E96-AG$6)/$E96,0.002*($E96-AG$6)/($E96-3*cc_D/7))/0.002)))^2)</f>
        <v/>
      </c>
      <c r="BF96">
        <f>3*MIN($E96,cc_D)/7</f>
        <v/>
      </c>
      <c r="BG96">
        <f>$E96-$BF96</f>
        <v/>
      </c>
      <c r="BH96">
        <f>ACOS(MAX(-1,MIN(1,1-$BF96/(cc_D/2))))</f>
        <v/>
      </c>
      <c r="BI96">
        <f>ACOS(MAX(-1,MIN(1,1-MIN($E96,cc_D)/(cc_D/2))))</f>
        <v/>
      </c>
      <c r="BJ96">
        <f>((cc_D/2*(1-COS(($BH96+0*($BI96-$BH96)/12)))-$BF96)/$BG96)^2*SIN(($BH96+0*($BI96-$BH96)/12))^2</f>
        <v/>
      </c>
      <c r="BK96">
        <f>((cc_D/2*(1-COS(($BH96+1*($BI96-$BH96)/12)))-$BF96)/$BG96)^2*SIN(($BH96+1*($BI96-$BH96)/12))^2</f>
        <v/>
      </c>
      <c r="BL96">
        <f>((cc_D/2*(1-COS(($BH96+2*($BI96-$BH96)/12)))-$BF96)/$BG96)^2*SIN(($BH96+2*($BI96-$BH96)/12))^2</f>
        <v/>
      </c>
      <c r="BM96">
        <f>((cc_D/2*(1-COS(($BH96+3*($BI96-$BH96)/12)))-$BF96)/$BG96)^2*SIN(($BH96+3*($BI96-$BH96)/12))^2</f>
        <v/>
      </c>
      <c r="BN96">
        <f>((cc_D/2*(1-COS(($BH96+4*($BI96-$BH96)/12)))-$BF96)/$BG96)^2*SIN(($BH96+4*($BI96-$BH96)/12))^2</f>
        <v/>
      </c>
      <c r="BO96">
        <f>((cc_D/2*(1-COS(($BH96+5*($BI96-$BH96)/12)))-$BF96)/$BG96)^2*SIN(($BH96+5*($BI96-$BH96)/12))^2</f>
        <v/>
      </c>
      <c r="BP96">
        <f>((cc_D/2*(1-COS(($BH96+6*($BI96-$BH96)/12)))-$BF96)/$BG96)^2*SIN(($BH96+6*($BI96-$BH96)/12))^2</f>
        <v/>
      </c>
      <c r="BQ96">
        <f>((cc_D/2*(1-COS(($BH96+7*($BI96-$BH96)/12)))-$BF96)/$BG96)^2*SIN(($BH96+7*($BI96-$BH96)/12))^2</f>
        <v/>
      </c>
      <c r="BR96">
        <f>((cc_D/2*(1-COS(($BH96+8*($BI96-$BH96)/12)))-$BF96)/$BG96)^2*SIN(($BH96+8*($BI96-$BH96)/12))^2</f>
        <v/>
      </c>
      <c r="BS96">
        <f>((cc_D/2*(1-COS(($BH96+9*($BI96-$BH96)/12)))-$BF96)/$BG96)^2*SIN(($BH96+9*($BI96-$BH96)/12))^2</f>
        <v/>
      </c>
      <c r="BT96">
        <f>((cc_D/2*(1-COS(($BH96+10*($BI96-$BH96)/12)))-$BF96)/$BG96)^2*SIN(($BH96+10*($BI96-$BH96)/12))^2</f>
        <v/>
      </c>
      <c r="BU96">
        <f>((cc_D/2*(1-COS(($BH96+11*($BI96-$BH96)/12)))-$BF96)/$BG96)^2*SIN(($BH96+11*($BI96-$BH96)/12))^2</f>
        <v/>
      </c>
      <c r="BV96">
        <f>((cc_D/2*(1-COS(($BH96+12*($BI96-$BH96)/12)))-$BF96)/$BG96)^2*SIN(($BH96+12*($BI96-$BH96)/12))^2</f>
        <v/>
      </c>
      <c r="BW96">
        <f>BJ96*COS(($BH96+0*($BI96-$BH96)/12))</f>
        <v/>
      </c>
      <c r="BX96">
        <f>BK96*COS(($BH96+1*($BI96-$BH96)/12))</f>
        <v/>
      </c>
      <c r="BY96">
        <f>BL96*COS(($BH96+2*($BI96-$BH96)/12))</f>
        <v/>
      </c>
      <c r="BZ96">
        <f>BM96*COS(($BH96+3*($BI96-$BH96)/12))</f>
        <v/>
      </c>
      <c r="CA96">
        <f>BN96*COS(($BH96+4*($BI96-$BH96)/12))</f>
        <v/>
      </c>
      <c r="CB96">
        <f>BO96*COS(($BH96+5*($BI96-$BH96)/12))</f>
        <v/>
      </c>
      <c r="CC96">
        <f>BP96*COS(($BH96+6*($BI96-$BH96)/12))</f>
        <v/>
      </c>
      <c r="CD96">
        <f>BQ96*COS(($BH96+7*($BI96-$BH96)/12))</f>
        <v/>
      </c>
      <c r="CE96">
        <f>BR96*COS(($BH96+8*($BI96-$BH96)/12))</f>
        <v/>
      </c>
      <c r="CF96">
        <f>BS96*COS(($BH96+9*($BI96-$BH96)/12))</f>
        <v/>
      </c>
      <c r="CG96">
        <f>BT96*COS(($BH96+10*($BI96-$BH96)/12))</f>
        <v/>
      </c>
      <c r="CH96">
        <f>BU96*COS(($BH96+11*($BI96-$BH96)/12))</f>
        <v/>
      </c>
      <c r="CI96">
        <f>BV96*COS(($BH96+12*($BI96-$BH96)/12))</f>
        <v/>
      </c>
    </row>
    <row r="97">
      <c r="B97" s="65" t="n">
        <v>8</v>
      </c>
      <c r="C97" s="66">
        <f>IF($G96&lt;cc_NEd-1E-9*ABS(cc_NEd),($C96+$D96)/2,$C96)</f>
        <v/>
      </c>
      <c r="D97" s="66">
        <f>IF($G96&lt;cc_NEd-1E-9*ABS(cc_NEd),$D96,($C96+$D96)/2)</f>
        <v/>
      </c>
      <c r="E97" s="67">
        <f>cc_D*(($C97+$D97)/2)/(1-(($C97+$D97)/2))</f>
        <v/>
      </c>
      <c r="F97" s="68">
        <f>IF($E97&lt;=cc_D,3.5,2*$E97/($E97-3*cc_D/7))</f>
        <v/>
      </c>
      <c r="G97" s="67">
        <f>(fcd_cc*((cc_D/2)^2*($BI97-COS($BI97)*SIN($BI97))-2*(cc_D/2)^2*($BI97-$BH97)/12/3*SUMPRODUCT($BJ$4:$BV$4,$BJ97:$BV97))+SUMPRODUCT($J$5:$AG$5,$J97:$AG97))/1000</f>
        <v/>
      </c>
      <c r="H97" s="67">
        <f>(fcd_cc*(2/3*(cc_D/2)^3*SIN($BI97)^3-2*(cc_D/2)^3*($BI97-$BH97)/12/3*SUMPRODUCT($BW$4:$CI$4,$BW97:$CI97))+SUMPRODUCT($J$5:$AG$5,$J97:$AG97,$J$7:$AG$7))/1E6</f>
        <v/>
      </c>
      <c r="I97" s="67">
        <f>SUMPRODUCT($J$5:$AG$5,$J97:$AG97,$J$8:$AG$8)/1E6</f>
        <v/>
      </c>
      <c r="J97">
        <f>MAX(-fyd_cc,MIN(fyd_cc,Es_cc*IF($E97&lt;=cc_D,0.0035*($E97-J$6)/$E97,0.002*($E97-J$6)/($E97-3*cc_D/7))))-fcd_cc*(1-(1-MAX(0,MIN(1,IF($E97&lt;=cc_D,0.0035*($E97-J$6)/$E97,0.002*($E97-J$6)/($E97-3*cc_D/7))/0.002)))^2)</f>
        <v/>
      </c>
      <c r="K97">
        <f>MAX(-fyd_cc,MIN(fyd_cc,Es_cc*IF($E97&lt;=cc_D,0.0035*($E97-K$6)/$E97,0.002*($E97-K$6)/($E97-3*cc_D/7))))-fcd_cc*(1-(1-MAX(0,MIN(1,IF($E97&lt;=cc_D,0.0035*($E97-K$6)/$E97,0.002*($E97-K$6)/($E97-3*cc_D/7))/0.002)))^2)</f>
        <v/>
      </c>
      <c r="L97">
        <f>MAX(-fyd_cc,MIN(fyd_cc,Es_cc*IF($E97&lt;=cc_D,0.0035*($E97-L$6)/$E97,0.002*($E97-L$6)/($E97-3*cc_D/7))))-fcd_cc*(1-(1-MAX(0,MIN(1,IF($E97&lt;=cc_D,0.0035*($E97-L$6)/$E97,0.002*($E97-L$6)/($E97-3*cc_D/7))/0.002)))^2)</f>
        <v/>
      </c>
      <c r="M97">
        <f>MAX(-fyd_cc,MIN(fyd_cc,Es_cc*IF($E97&lt;=cc_D,0.0035*($E97-M$6)/$E97,0.002*($E97-M$6)/($E97-3*cc_D/7))))-fcd_cc*(1-(1-MAX(0,MIN(1,IF($E97&lt;=cc_D,0.0035*($E97-M$6)/$E97,0.002*($E97-M$6)/($E97-3*cc_D/7))/0.002)))^2)</f>
        <v/>
      </c>
      <c r="N97">
        <f>MAX(-fyd_cc,MIN(fyd_cc,Es_cc*IF($E97&lt;=cc_D,0.0035*($E97-N$6)/$E97,0.002*($E97-N$6)/($E97-3*cc_D/7))))-fcd_cc*(1-(1-MAX(0,MIN(1,IF($E97&lt;=cc_D,0.0035*($E97-N$6)/$E97,0.002*($E97-N$6)/($E97-3*cc_D/7))/0.002)))^2)</f>
        <v/>
      </c>
      <c r="O97">
        <f>MAX(-fyd_cc,MIN(fyd_cc,Es_cc*IF($E97&lt;=cc_D,0.0035*($E97-O$6)/$E97,0.002*($E97-O$6)/($E97-3*cc_D/7))))-fcd_cc*(1-(1-MAX(0,MIN(1,IF($E97&lt;=cc_D,0.0035*($E97-O$6)/$E97,0.002*($E97-O$6)/($E97-3*cc_D/7))/0.002)))^2)</f>
        <v/>
      </c>
      <c r="P97">
        <f>MAX(-fyd_cc,MIN(fyd_cc,Es_cc*IF($E97&lt;=cc_D,0.0035*($E97-P$6)/$E97,0.002*($E97-P$6)/($E97-3*cc_D/7))))-fcd_cc*(1-(1-MAX(0,MIN(1,IF($E97&lt;=cc_D,0.0035*($E97-P$6)/$E97,0.002*($E97-P$6)/($E97-3*cc_D/7))/0.002)))^2)</f>
        <v/>
      </c>
      <c r="Q97">
        <f>MAX(-fyd_cc,MIN(fyd_cc,Es_cc*IF($E97&lt;=cc_D,0.0035*($E97-Q$6)/$E97,0.002*($E97-Q$6)/($E97-3*cc_D/7))))-fcd_cc*(1-(1-MAX(0,MIN(1,IF($E97&lt;=cc_D,0.0035*($E97-Q$6)/$E97,0.002*($E97-Q$6)/($E97-3*cc_D/7))/0.002)))^2)</f>
        <v/>
      </c>
      <c r="R97">
        <f>MAX(-fyd_cc,MIN(fyd_cc,Es_cc*IF($E97&lt;=cc_D,0.0035*($E97-R$6)/$E97,0.002*($E97-R$6)/($E97-3*cc_D/7))))-fcd_cc*(1-(1-MAX(0,MIN(1,IF($E97&lt;=cc_D,0.0035*($E97-R$6)/$E97,0.002*($E97-R$6)/($E97-3*cc_D/7))/0.002)))^2)</f>
        <v/>
      </c>
      <c r="S97">
        <f>MAX(-fyd_cc,MIN(fyd_cc,Es_cc*IF($E97&lt;=cc_D,0.0035*($E97-S$6)/$E97,0.002*($E97-S$6)/($E97-3*cc_D/7))))-fcd_cc*(1-(1-MAX(0,MIN(1,IF($E97&lt;=cc_D,0.0035*($E97-S$6)/$E97,0.002*($E97-S$6)/($E97-3*cc_D/7))/0.002)))^2)</f>
        <v/>
      </c>
      <c r="T97">
        <f>MAX(-fyd_cc,MIN(fyd_cc,Es_cc*IF($E97&lt;=cc_D,0.0035*($E97-T$6)/$E97,0.002*($E97-T$6)/($E97-3*cc_D/7))))-fcd_cc*(1-(1-MAX(0,MIN(1,IF($E97&lt;=cc_D,0.0035*($E97-T$6)/$E97,0.002*($E97-T$6)/($E97-3*cc_D/7))/0.002)))^2)</f>
        <v/>
      </c>
      <c r="U97">
        <f>MAX(-fyd_cc,MIN(fyd_cc,Es_cc*IF($E97&lt;=cc_D,0.0035*($E97-U$6)/$E97,0.002*($E97-U$6)/($E97-3*cc_D/7))))-fcd_cc*(1-(1-MAX(0,MIN(1,IF($E97&lt;=cc_D,0.0035*($E97-U$6)/$E97,0.002*($E97-U$6)/($E97-3*cc_D/7))/0.002)))^2)</f>
        <v/>
      </c>
      <c r="V97">
        <f>MAX(-fyd_cc,MIN(fyd_cc,Es_cc*IF($E97&lt;=cc_D,0.0035*($E97-V$6)/$E97,0.002*($E97-V$6)/($E97-3*cc_D/7))))-fcd_cc*(1-(1-MAX(0,MIN(1,IF($E97&lt;=cc_D,0.0035*($E97-V$6)/$E97,0.002*($E97-V$6)/($E97-3*cc_D/7))/0.002)))^2)</f>
        <v/>
      </c>
      <c r="W97">
        <f>MAX(-fyd_cc,MIN(fyd_cc,Es_cc*IF($E97&lt;=cc_D,0.0035*($E97-W$6)/$E97,0.002*($E97-W$6)/($E97-3*cc_D/7))))-fcd_cc*(1-(1-MAX(0,MIN(1,IF($E97&lt;=cc_D,0.0035*($E97-W$6)/$E97,0.002*($E97-W$6)/($E97-3*cc_D/7))/0.002)))^2)</f>
        <v/>
      </c>
      <c r="X97">
        <f>MAX(-fyd_cc,MIN(fyd_cc,Es_cc*IF($E97&lt;=cc_D,0.0035*($E97-X$6)/$E97,0.002*($E97-X$6)/($E97-3*cc_D/7))))-fcd_cc*(1-(1-MAX(0,MIN(1,IF($E97&lt;=cc_D,0.0035*($E97-X$6)/$E97,0.002*($E97-X$6)/($E97-3*cc_D/7))/0.002)))^2)</f>
        <v/>
      </c>
      <c r="Y97">
        <f>MAX(-fyd_cc,MIN(fyd_cc,Es_cc*IF($E97&lt;=cc_D,0.0035*($E97-Y$6)/$E97,0.002*($E97-Y$6)/($E97-3*cc_D/7))))-fcd_cc*(1-(1-MAX(0,MIN(1,IF($E97&lt;=cc_D,0.0035*($E97-Y$6)/$E97,0.002*($E97-Y$6)/($E97-3*cc_D/7))/0.002)))^2)</f>
        <v/>
      </c>
      <c r="Z97">
        <f>MAX(-fyd_cc,MIN(fyd_cc,Es_cc*IF($E97&lt;=cc_D,0.0035*($E97-Z$6)/$E97,0.002*($E97-Z$6)/($E97-3*cc_D/7))))-fcd_cc*(1-(1-MAX(0,MIN(1,IF($E97&lt;=cc_D,0.0035*($E97-Z$6)/$E97,0.002*($E97-Z$6)/($E97-3*cc_D/7))/0.002)))^2)</f>
        <v/>
      </c>
      <c r="AA97">
        <f>MAX(-fyd_cc,MIN(fyd_cc,Es_cc*IF($E97&lt;=cc_D,0.0035*($E97-AA$6)/$E97,0.002*($E97-AA$6)/($E97-3*cc_D/7))))-fcd_cc*(1-(1-MAX(0,MIN(1,IF($E97&lt;=cc_D,0.0035*($E97-AA$6)/$E97,0.002*($E97-AA$6)/($E97-3*cc_D/7))/0.002)))^2)</f>
        <v/>
      </c>
      <c r="AB97">
        <f>MAX(-fyd_cc,MIN(fyd_cc,Es_cc*IF($E97&lt;=cc_D,0.0035*($E97-AB$6)/$E97,0.002*($E97-AB$6)/($E97-3*cc_D/7))))-fcd_cc*(1-(1-MAX(0,MIN(1,IF($E97&lt;=cc_D,0.0035*($E97-AB$6)/$E97,0.002*($E97-AB$6)/($E97-3*cc_D/7))/0.002)))^2)</f>
        <v/>
      </c>
      <c r="AC97">
        <f>MAX(-fyd_cc,MIN(fyd_cc,Es_cc*IF($E97&lt;=cc_D,0.0035*($E97-AC$6)/$E97,0.002*($E97-AC$6)/($E97-3*cc_D/7))))-fcd_cc*(1-(1-MAX(0,MIN(1,IF($E97&lt;=cc_D,0.0035*($E97-AC$6)/$E97,0.002*($E97-AC$6)/($E97-3*cc_D/7))/0.002)))^2)</f>
        <v/>
      </c>
      <c r="AD97">
        <f>MAX(-fyd_cc,MIN(fyd_cc,Es_cc*IF($E97&lt;=cc_D,0.0035*($E97-AD$6)/$E97,0.002*($E97-AD$6)/($E97-3*cc_D/7))))-fcd_cc*(1-(1-MAX(0,MIN(1,IF($E97&lt;=cc_D,0.0035*($E97-AD$6)/$E97,0.002*($E97-AD$6)/($E97-3*cc_D/7))/0.002)))^2)</f>
        <v/>
      </c>
      <c r="AE97">
        <f>MAX(-fyd_cc,MIN(fyd_cc,Es_cc*IF($E97&lt;=cc_D,0.0035*($E97-AE$6)/$E97,0.002*($E97-AE$6)/($E97-3*cc_D/7))))-fcd_cc*(1-(1-MAX(0,MIN(1,IF($E97&lt;=cc_D,0.0035*($E97-AE$6)/$E97,0.002*($E97-AE$6)/($E97-3*cc_D/7))/0.002)))^2)</f>
        <v/>
      </c>
      <c r="AF97">
        <f>MAX(-fyd_cc,MIN(fyd_cc,Es_cc*IF($E97&lt;=cc_D,0.0035*($E97-AF$6)/$E97,0.002*($E97-AF$6)/($E97-3*cc_D/7))))-fcd_cc*(1-(1-MAX(0,MIN(1,IF($E97&lt;=cc_D,0.0035*($E97-AF$6)/$E97,0.002*($E97-AF$6)/($E97-3*cc_D/7))/0.002)))^2)</f>
        <v/>
      </c>
      <c r="AG97">
        <f>MAX(-fyd_cc,MIN(fyd_cc,Es_cc*IF($E97&lt;=cc_D,0.0035*($E97-AG$6)/$E97,0.002*($E97-AG$6)/($E97-3*cc_D/7))))-fcd_cc*(1-(1-MAX(0,MIN(1,IF($E97&lt;=cc_D,0.0035*($E97-AG$6)/$E97,0.002*($E97-AG$6)/($E97-3*cc_D/7))/0.002)))^2)</f>
        <v/>
      </c>
      <c r="BF97">
        <f>3*MIN($E97,cc_D)/7</f>
        <v/>
      </c>
      <c r="BG97">
        <f>$E97-$BF97</f>
        <v/>
      </c>
      <c r="BH97">
        <f>ACOS(MAX(-1,MIN(1,1-$BF97/(cc_D/2))))</f>
        <v/>
      </c>
      <c r="BI97">
        <f>ACOS(MAX(-1,MIN(1,1-MIN($E97,cc_D)/(cc_D/2))))</f>
        <v/>
      </c>
      <c r="BJ97">
        <f>((cc_D/2*(1-COS(($BH97+0*($BI97-$BH97)/12)))-$BF97)/$BG97)^2*SIN(($BH97+0*($BI97-$BH97)/12))^2</f>
        <v/>
      </c>
      <c r="BK97">
        <f>((cc_D/2*(1-COS(($BH97+1*($BI97-$BH97)/12)))-$BF97)/$BG97)^2*SIN(($BH97+1*($BI97-$BH97)/12))^2</f>
        <v/>
      </c>
      <c r="BL97">
        <f>((cc_D/2*(1-COS(($BH97+2*($BI97-$BH97)/12)))-$BF97)/$BG97)^2*SIN(($BH97+2*($BI97-$BH97)/12))^2</f>
        <v/>
      </c>
      <c r="BM97">
        <f>((cc_D/2*(1-COS(($BH97+3*($BI97-$BH97)/12)))-$BF97)/$BG97)^2*SIN(($BH97+3*($BI97-$BH97)/12))^2</f>
        <v/>
      </c>
      <c r="BN97">
        <f>((cc_D/2*(1-COS(($BH97+4*($BI97-$BH97)/12)))-$BF97)/$BG97)^2*SIN(($BH97+4*($BI97-$BH97)/12))^2</f>
        <v/>
      </c>
      <c r="BO97">
        <f>((cc_D/2*(1-COS(($BH97+5*($BI97-$BH97)/12)))-$BF97)/$BG97)^2*SIN(($BH97+5*($BI97-$BH97)/12))^2</f>
        <v/>
      </c>
      <c r="BP97">
        <f>((cc_D/2*(1-COS(($BH97+6*($BI97-$BH97)/12)))-$BF97)/$BG97)^2*SIN(($BH97+6*($BI97-$BH97)/12))^2</f>
        <v/>
      </c>
      <c r="BQ97">
        <f>((cc_D/2*(1-COS(($BH97+7*($BI97-$BH97)/12)))-$BF97)/$BG97)^2*SIN(($BH97+7*($BI97-$BH97)/12))^2</f>
        <v/>
      </c>
      <c r="BR97">
        <f>((cc_D/2*(1-COS(($BH97+8*($BI97-$BH97)/12)))-$BF97)/$BG97)^2*SIN(($BH97+8*($BI97-$BH97)/12))^2</f>
        <v/>
      </c>
      <c r="BS97">
        <f>((cc_D/2*(1-COS(($BH97+9*($BI97-$BH97)/12)))-$BF97)/$BG97)^2*SIN(($BH97+9*($BI97-$BH97)/12))^2</f>
        <v/>
      </c>
      <c r="BT97">
        <f>((cc_D/2*(1-COS(($BH97+10*($BI97-$BH97)/12)))-$BF97)/$BG97)^2*SIN(($BH97+10*($BI97-$BH97)/12))^2</f>
        <v/>
      </c>
      <c r="BU97">
        <f>((cc_D/2*(1-COS(($BH97+11*($BI97-$BH97)/12)))-$BF97)/$BG97)^2*SIN(($BH97+11*($BI97-$BH97)/12))^2</f>
        <v/>
      </c>
      <c r="BV97">
        <f>((cc_D/2*(1-COS(($BH97+12*($BI97-$BH97)/12)))-$BF97)/$BG97)^2*SIN(($BH97+12*($BI97-$BH97)/12))^2</f>
        <v/>
      </c>
      <c r="BW97">
        <f>BJ97*COS(($BH97+0*($BI97-$BH97)/12))</f>
        <v/>
      </c>
      <c r="BX97">
        <f>BK97*COS(($BH97+1*($BI97-$BH97)/12))</f>
        <v/>
      </c>
      <c r="BY97">
        <f>BL97*COS(($BH97+2*($BI97-$BH97)/12))</f>
        <v/>
      </c>
      <c r="BZ97">
        <f>BM97*COS(($BH97+3*($BI97-$BH97)/12))</f>
        <v/>
      </c>
      <c r="CA97">
        <f>BN97*COS(($BH97+4*($BI97-$BH97)/12))</f>
        <v/>
      </c>
      <c r="CB97">
        <f>BO97*COS(($BH97+5*($BI97-$BH97)/12))</f>
        <v/>
      </c>
      <c r="CC97">
        <f>BP97*COS(($BH97+6*($BI97-$BH97)/12))</f>
        <v/>
      </c>
      <c r="CD97">
        <f>BQ97*COS(($BH97+7*($BI97-$BH97)/12))</f>
        <v/>
      </c>
      <c r="CE97">
        <f>BR97*COS(($BH97+8*($BI97-$BH97)/12))</f>
        <v/>
      </c>
      <c r="CF97">
        <f>BS97*COS(($BH97+9*($BI97-$BH97)/12))</f>
        <v/>
      </c>
      <c r="CG97">
        <f>BT97*COS(($BH97+10*($BI97-$BH97)/12))</f>
        <v/>
      </c>
      <c r="CH97">
        <f>BU97*COS(($BH97+11*($BI97-$BH97)/12))</f>
        <v/>
      </c>
      <c r="CI97">
        <f>BV97*COS(($BH97+12*($BI97-$BH97)/12))</f>
        <v/>
      </c>
    </row>
    <row r="98">
      <c r="B98" s="65" t="n">
        <v>9</v>
      </c>
      <c r="C98" s="66">
        <f>IF($G97&lt;cc_NEd-1E-9*ABS(cc_NEd),($C97+$D97)/2,$C97)</f>
        <v/>
      </c>
      <c r="D98" s="66">
        <f>IF($G97&lt;cc_NEd-1E-9*ABS(cc_NEd),$D97,($C97+$D97)/2)</f>
        <v/>
      </c>
      <c r="E98" s="67">
        <f>cc_D*(($C98+$D98)/2)/(1-(($C98+$D98)/2))</f>
        <v/>
      </c>
      <c r="F98" s="68">
        <f>IF($E98&lt;=cc_D,3.5,2*$E98/($E98-3*cc_D/7))</f>
        <v/>
      </c>
      <c r="G98" s="67">
        <f>(fcd_cc*((cc_D/2)^2*($BI98-COS($BI98)*SIN($BI98))-2*(cc_D/2)^2*($BI98-$BH98)/12/3*SUMPRODUCT($BJ$4:$BV$4,$BJ98:$BV98))+SUMPRODUCT($J$5:$AG$5,$J98:$AG98))/1000</f>
        <v/>
      </c>
      <c r="H98" s="67">
        <f>(fcd_cc*(2/3*(cc_D/2)^3*SIN($BI98)^3-2*(cc_D/2)^3*($BI98-$BH98)/12/3*SUMPRODUCT($BW$4:$CI$4,$BW98:$CI98))+SUMPRODUCT($J$5:$AG$5,$J98:$AG98,$J$7:$AG$7))/1E6</f>
        <v/>
      </c>
      <c r="I98" s="67">
        <f>SUMPRODUCT($J$5:$AG$5,$J98:$AG98,$J$8:$AG$8)/1E6</f>
        <v/>
      </c>
      <c r="J98">
        <f>MAX(-fyd_cc,MIN(fyd_cc,Es_cc*IF($E98&lt;=cc_D,0.0035*($E98-J$6)/$E98,0.002*($E98-J$6)/($E98-3*cc_D/7))))-fcd_cc*(1-(1-MAX(0,MIN(1,IF($E98&lt;=cc_D,0.0035*($E98-J$6)/$E98,0.002*($E98-J$6)/($E98-3*cc_D/7))/0.002)))^2)</f>
        <v/>
      </c>
      <c r="K98">
        <f>MAX(-fyd_cc,MIN(fyd_cc,Es_cc*IF($E98&lt;=cc_D,0.0035*($E98-K$6)/$E98,0.002*($E98-K$6)/($E98-3*cc_D/7))))-fcd_cc*(1-(1-MAX(0,MIN(1,IF($E98&lt;=cc_D,0.0035*($E98-K$6)/$E98,0.002*($E98-K$6)/($E98-3*cc_D/7))/0.002)))^2)</f>
        <v/>
      </c>
      <c r="L98">
        <f>MAX(-fyd_cc,MIN(fyd_cc,Es_cc*IF($E98&lt;=cc_D,0.0035*($E98-L$6)/$E98,0.002*($E98-L$6)/($E98-3*cc_D/7))))-fcd_cc*(1-(1-MAX(0,MIN(1,IF($E98&lt;=cc_D,0.0035*($E98-L$6)/$E98,0.002*($E98-L$6)/($E98-3*cc_D/7))/0.002)))^2)</f>
        <v/>
      </c>
      <c r="M98">
        <f>MAX(-fyd_cc,MIN(fyd_cc,Es_cc*IF($E98&lt;=cc_D,0.0035*($E98-M$6)/$E98,0.002*($E98-M$6)/($E98-3*cc_D/7))))-fcd_cc*(1-(1-MAX(0,MIN(1,IF($E98&lt;=cc_D,0.0035*($E98-M$6)/$E98,0.002*($E98-M$6)/($E98-3*cc_D/7))/0.002)))^2)</f>
        <v/>
      </c>
      <c r="N98">
        <f>MAX(-fyd_cc,MIN(fyd_cc,Es_cc*IF($E98&lt;=cc_D,0.0035*($E98-N$6)/$E98,0.002*($E98-N$6)/($E98-3*cc_D/7))))-fcd_cc*(1-(1-MAX(0,MIN(1,IF($E98&lt;=cc_D,0.0035*($E98-N$6)/$E98,0.002*($E98-N$6)/($E98-3*cc_D/7))/0.002)))^2)</f>
        <v/>
      </c>
      <c r="O98">
        <f>MAX(-fyd_cc,MIN(fyd_cc,Es_cc*IF($E98&lt;=cc_D,0.0035*($E98-O$6)/$E98,0.002*($E98-O$6)/($E98-3*cc_D/7))))-fcd_cc*(1-(1-MAX(0,MIN(1,IF($E98&lt;=cc_D,0.0035*($E98-O$6)/$E98,0.002*($E98-O$6)/($E98-3*cc_D/7))/0.002)))^2)</f>
        <v/>
      </c>
      <c r="P98">
        <f>MAX(-fyd_cc,MIN(fyd_cc,Es_cc*IF($E98&lt;=cc_D,0.0035*($E98-P$6)/$E98,0.002*($E98-P$6)/($E98-3*cc_D/7))))-fcd_cc*(1-(1-MAX(0,MIN(1,IF($E98&lt;=cc_D,0.0035*($E98-P$6)/$E98,0.002*($E98-P$6)/($E98-3*cc_D/7))/0.002)))^2)</f>
        <v/>
      </c>
      <c r="Q98">
        <f>MAX(-fyd_cc,MIN(fyd_cc,Es_cc*IF($E98&lt;=cc_D,0.0035*($E98-Q$6)/$E98,0.002*($E98-Q$6)/($E98-3*cc_D/7))))-fcd_cc*(1-(1-MAX(0,MIN(1,IF($E98&lt;=cc_D,0.0035*($E98-Q$6)/$E98,0.002*($E98-Q$6)/($E98-3*cc_D/7))/0.002)))^2)</f>
        <v/>
      </c>
      <c r="R98">
        <f>MAX(-fyd_cc,MIN(fyd_cc,Es_cc*IF($E98&lt;=cc_D,0.0035*($E98-R$6)/$E98,0.002*($E98-R$6)/($E98-3*cc_D/7))))-fcd_cc*(1-(1-MAX(0,MIN(1,IF($E98&lt;=cc_D,0.0035*($E98-R$6)/$E98,0.002*($E98-R$6)/($E98-3*cc_D/7))/0.002)))^2)</f>
        <v/>
      </c>
      <c r="S98">
        <f>MAX(-fyd_cc,MIN(fyd_cc,Es_cc*IF($E98&lt;=cc_D,0.0035*($E98-S$6)/$E98,0.002*($E98-S$6)/($E98-3*cc_D/7))))-fcd_cc*(1-(1-MAX(0,MIN(1,IF($E98&lt;=cc_D,0.0035*($E98-S$6)/$E98,0.002*($E98-S$6)/($E98-3*cc_D/7))/0.002)))^2)</f>
        <v/>
      </c>
      <c r="T98">
        <f>MAX(-fyd_cc,MIN(fyd_cc,Es_cc*IF($E98&lt;=cc_D,0.0035*($E98-T$6)/$E98,0.002*($E98-T$6)/($E98-3*cc_D/7))))-fcd_cc*(1-(1-MAX(0,MIN(1,IF($E98&lt;=cc_D,0.0035*($E98-T$6)/$E98,0.002*($E98-T$6)/($E98-3*cc_D/7))/0.002)))^2)</f>
        <v/>
      </c>
      <c r="U98">
        <f>MAX(-fyd_cc,MIN(fyd_cc,Es_cc*IF($E98&lt;=cc_D,0.0035*($E98-U$6)/$E98,0.002*($E98-U$6)/($E98-3*cc_D/7))))-fcd_cc*(1-(1-MAX(0,MIN(1,IF($E98&lt;=cc_D,0.0035*($E98-U$6)/$E98,0.002*($E98-U$6)/($E98-3*cc_D/7))/0.002)))^2)</f>
        <v/>
      </c>
      <c r="V98">
        <f>MAX(-fyd_cc,MIN(fyd_cc,Es_cc*IF($E98&lt;=cc_D,0.0035*($E98-V$6)/$E98,0.002*($E98-V$6)/($E98-3*cc_D/7))))-fcd_cc*(1-(1-MAX(0,MIN(1,IF($E98&lt;=cc_D,0.0035*($E98-V$6)/$E98,0.002*($E98-V$6)/($E98-3*cc_D/7))/0.002)))^2)</f>
        <v/>
      </c>
      <c r="W98">
        <f>MAX(-fyd_cc,MIN(fyd_cc,Es_cc*IF($E98&lt;=cc_D,0.0035*($E98-W$6)/$E98,0.002*($E98-W$6)/($E98-3*cc_D/7))))-fcd_cc*(1-(1-MAX(0,MIN(1,IF($E98&lt;=cc_D,0.0035*($E98-W$6)/$E98,0.002*($E98-W$6)/($E98-3*cc_D/7))/0.002)))^2)</f>
        <v/>
      </c>
      <c r="X98">
        <f>MAX(-fyd_cc,MIN(fyd_cc,Es_cc*IF($E98&lt;=cc_D,0.0035*($E98-X$6)/$E98,0.002*($E98-X$6)/($E98-3*cc_D/7))))-fcd_cc*(1-(1-MAX(0,MIN(1,IF($E98&lt;=cc_D,0.0035*($E98-X$6)/$E98,0.002*($E98-X$6)/($E98-3*cc_D/7))/0.002)))^2)</f>
        <v/>
      </c>
      <c r="Y98">
        <f>MAX(-fyd_cc,MIN(fyd_cc,Es_cc*IF($E98&lt;=cc_D,0.0035*($E98-Y$6)/$E98,0.002*($E98-Y$6)/($E98-3*cc_D/7))))-fcd_cc*(1-(1-MAX(0,MIN(1,IF($E98&lt;=cc_D,0.0035*($E98-Y$6)/$E98,0.002*($E98-Y$6)/($E98-3*cc_D/7))/0.002)))^2)</f>
        <v/>
      </c>
      <c r="Z98">
        <f>MAX(-fyd_cc,MIN(fyd_cc,Es_cc*IF($E98&lt;=cc_D,0.0035*($E98-Z$6)/$E98,0.002*($E98-Z$6)/($E98-3*cc_D/7))))-fcd_cc*(1-(1-MAX(0,MIN(1,IF($E98&lt;=cc_D,0.0035*($E98-Z$6)/$E98,0.002*($E98-Z$6)/($E98-3*cc_D/7))/0.002)))^2)</f>
        <v/>
      </c>
      <c r="AA98">
        <f>MAX(-fyd_cc,MIN(fyd_cc,Es_cc*IF($E98&lt;=cc_D,0.0035*($E98-AA$6)/$E98,0.002*($E98-AA$6)/($E98-3*cc_D/7))))-fcd_cc*(1-(1-MAX(0,MIN(1,IF($E98&lt;=cc_D,0.0035*($E98-AA$6)/$E98,0.002*($E98-AA$6)/($E98-3*cc_D/7))/0.002)))^2)</f>
        <v/>
      </c>
      <c r="AB98">
        <f>MAX(-fyd_cc,MIN(fyd_cc,Es_cc*IF($E98&lt;=cc_D,0.0035*($E98-AB$6)/$E98,0.002*($E98-AB$6)/($E98-3*cc_D/7))))-fcd_cc*(1-(1-MAX(0,MIN(1,IF($E98&lt;=cc_D,0.0035*($E98-AB$6)/$E98,0.002*($E98-AB$6)/($E98-3*cc_D/7))/0.002)))^2)</f>
        <v/>
      </c>
      <c r="AC98">
        <f>MAX(-fyd_cc,MIN(fyd_cc,Es_cc*IF($E98&lt;=cc_D,0.0035*($E98-AC$6)/$E98,0.002*($E98-AC$6)/($E98-3*cc_D/7))))-fcd_cc*(1-(1-MAX(0,MIN(1,IF($E98&lt;=cc_D,0.0035*($E98-AC$6)/$E98,0.002*($E98-AC$6)/($E98-3*cc_D/7))/0.002)))^2)</f>
        <v/>
      </c>
      <c r="AD98">
        <f>MAX(-fyd_cc,MIN(fyd_cc,Es_cc*IF($E98&lt;=cc_D,0.0035*($E98-AD$6)/$E98,0.002*($E98-AD$6)/($E98-3*cc_D/7))))-fcd_cc*(1-(1-MAX(0,MIN(1,IF($E98&lt;=cc_D,0.0035*($E98-AD$6)/$E98,0.002*($E98-AD$6)/($E98-3*cc_D/7))/0.002)))^2)</f>
        <v/>
      </c>
      <c r="AE98">
        <f>MAX(-fyd_cc,MIN(fyd_cc,Es_cc*IF($E98&lt;=cc_D,0.0035*($E98-AE$6)/$E98,0.002*($E98-AE$6)/($E98-3*cc_D/7))))-fcd_cc*(1-(1-MAX(0,MIN(1,IF($E98&lt;=cc_D,0.0035*($E98-AE$6)/$E98,0.002*($E98-AE$6)/($E98-3*cc_D/7))/0.002)))^2)</f>
        <v/>
      </c>
      <c r="AF98">
        <f>MAX(-fyd_cc,MIN(fyd_cc,Es_cc*IF($E98&lt;=cc_D,0.0035*($E98-AF$6)/$E98,0.002*($E98-AF$6)/($E98-3*cc_D/7))))-fcd_cc*(1-(1-MAX(0,MIN(1,IF($E98&lt;=cc_D,0.0035*($E98-AF$6)/$E98,0.002*($E98-AF$6)/($E98-3*cc_D/7))/0.002)))^2)</f>
        <v/>
      </c>
      <c r="AG98">
        <f>MAX(-fyd_cc,MIN(fyd_cc,Es_cc*IF($E98&lt;=cc_D,0.0035*($E98-AG$6)/$E98,0.002*($E98-AG$6)/($E98-3*cc_D/7))))-fcd_cc*(1-(1-MAX(0,MIN(1,IF($E98&lt;=cc_D,0.0035*($E98-AG$6)/$E98,0.002*($E98-AG$6)/($E98-3*cc_D/7))/0.002)))^2)</f>
        <v/>
      </c>
      <c r="BF98">
        <f>3*MIN($E98,cc_D)/7</f>
        <v/>
      </c>
      <c r="BG98">
        <f>$E98-$BF98</f>
        <v/>
      </c>
      <c r="BH98">
        <f>ACOS(MAX(-1,MIN(1,1-$BF98/(cc_D/2))))</f>
        <v/>
      </c>
      <c r="BI98">
        <f>ACOS(MAX(-1,MIN(1,1-MIN($E98,cc_D)/(cc_D/2))))</f>
        <v/>
      </c>
      <c r="BJ98">
        <f>((cc_D/2*(1-COS(($BH98+0*($BI98-$BH98)/12)))-$BF98)/$BG98)^2*SIN(($BH98+0*($BI98-$BH98)/12))^2</f>
        <v/>
      </c>
      <c r="BK98">
        <f>((cc_D/2*(1-COS(($BH98+1*($BI98-$BH98)/12)))-$BF98)/$BG98)^2*SIN(($BH98+1*($BI98-$BH98)/12))^2</f>
        <v/>
      </c>
      <c r="BL98">
        <f>((cc_D/2*(1-COS(($BH98+2*($BI98-$BH98)/12)))-$BF98)/$BG98)^2*SIN(($BH98+2*($BI98-$BH98)/12))^2</f>
        <v/>
      </c>
      <c r="BM98">
        <f>((cc_D/2*(1-COS(($BH98+3*($BI98-$BH98)/12)))-$BF98)/$BG98)^2*SIN(($BH98+3*($BI98-$BH98)/12))^2</f>
        <v/>
      </c>
      <c r="BN98">
        <f>((cc_D/2*(1-COS(($BH98+4*($BI98-$BH98)/12)))-$BF98)/$BG98)^2*SIN(($BH98+4*($BI98-$BH98)/12))^2</f>
        <v/>
      </c>
      <c r="BO98">
        <f>((cc_D/2*(1-COS(($BH98+5*($BI98-$BH98)/12)))-$BF98)/$BG98)^2*SIN(($BH98+5*($BI98-$BH98)/12))^2</f>
        <v/>
      </c>
      <c r="BP98">
        <f>((cc_D/2*(1-COS(($BH98+6*($BI98-$BH98)/12)))-$BF98)/$BG98)^2*SIN(($BH98+6*($BI98-$BH98)/12))^2</f>
        <v/>
      </c>
      <c r="BQ98">
        <f>((cc_D/2*(1-COS(($BH98+7*($BI98-$BH98)/12)))-$BF98)/$BG98)^2*SIN(($BH98+7*($BI98-$BH98)/12))^2</f>
        <v/>
      </c>
      <c r="BR98">
        <f>((cc_D/2*(1-COS(($BH98+8*($BI98-$BH98)/12)))-$BF98)/$BG98)^2*SIN(($BH98+8*($BI98-$BH98)/12))^2</f>
        <v/>
      </c>
      <c r="BS98">
        <f>((cc_D/2*(1-COS(($BH98+9*($BI98-$BH98)/12)))-$BF98)/$BG98)^2*SIN(($BH98+9*($BI98-$BH98)/12))^2</f>
        <v/>
      </c>
      <c r="BT98">
        <f>((cc_D/2*(1-COS(($BH98+10*($BI98-$BH98)/12)))-$BF98)/$BG98)^2*SIN(($BH98+10*($BI98-$BH98)/12))^2</f>
        <v/>
      </c>
      <c r="BU98">
        <f>((cc_D/2*(1-COS(($BH98+11*($BI98-$BH98)/12)))-$BF98)/$BG98)^2*SIN(($BH98+11*($BI98-$BH98)/12))^2</f>
        <v/>
      </c>
      <c r="BV98">
        <f>((cc_D/2*(1-COS(($BH98+12*($BI98-$BH98)/12)))-$BF98)/$BG98)^2*SIN(($BH98+12*($BI98-$BH98)/12))^2</f>
        <v/>
      </c>
      <c r="BW98">
        <f>BJ98*COS(($BH98+0*($BI98-$BH98)/12))</f>
        <v/>
      </c>
      <c r="BX98">
        <f>BK98*COS(($BH98+1*($BI98-$BH98)/12))</f>
        <v/>
      </c>
      <c r="BY98">
        <f>BL98*COS(($BH98+2*($BI98-$BH98)/12))</f>
        <v/>
      </c>
      <c r="BZ98">
        <f>BM98*COS(($BH98+3*($BI98-$BH98)/12))</f>
        <v/>
      </c>
      <c r="CA98">
        <f>BN98*COS(($BH98+4*($BI98-$BH98)/12))</f>
        <v/>
      </c>
      <c r="CB98">
        <f>BO98*COS(($BH98+5*($BI98-$BH98)/12))</f>
        <v/>
      </c>
      <c r="CC98">
        <f>BP98*COS(($BH98+6*($BI98-$BH98)/12))</f>
        <v/>
      </c>
      <c r="CD98">
        <f>BQ98*COS(($BH98+7*($BI98-$BH98)/12))</f>
        <v/>
      </c>
      <c r="CE98">
        <f>BR98*COS(($BH98+8*($BI98-$BH98)/12))</f>
        <v/>
      </c>
      <c r="CF98">
        <f>BS98*COS(($BH98+9*($BI98-$BH98)/12))</f>
        <v/>
      </c>
      <c r="CG98">
        <f>BT98*COS(($BH98+10*($BI98-$BH98)/12))</f>
        <v/>
      </c>
      <c r="CH98">
        <f>BU98*COS(($BH98+11*($BI98-$BH98)/12))</f>
        <v/>
      </c>
      <c r="CI98">
        <f>BV98*COS(($BH98+12*($BI98-$BH98)/12))</f>
        <v/>
      </c>
    </row>
    <row r="99">
      <c r="B99" s="65" t="n">
        <v>10</v>
      </c>
      <c r="C99" s="66">
        <f>IF($G98&lt;cc_NEd-1E-9*ABS(cc_NEd),($C98+$D98)/2,$C98)</f>
        <v/>
      </c>
      <c r="D99" s="66">
        <f>IF($G98&lt;cc_NEd-1E-9*ABS(cc_NEd),$D98,($C98+$D98)/2)</f>
        <v/>
      </c>
      <c r="E99" s="67">
        <f>cc_D*(($C99+$D99)/2)/(1-(($C99+$D99)/2))</f>
        <v/>
      </c>
      <c r="F99" s="68">
        <f>IF($E99&lt;=cc_D,3.5,2*$E99/($E99-3*cc_D/7))</f>
        <v/>
      </c>
      <c r="G99" s="67">
        <f>(fcd_cc*((cc_D/2)^2*($BI99-COS($BI99)*SIN($BI99))-2*(cc_D/2)^2*($BI99-$BH99)/12/3*SUMPRODUCT($BJ$4:$BV$4,$BJ99:$BV99))+SUMPRODUCT($J$5:$AG$5,$J99:$AG99))/1000</f>
        <v/>
      </c>
      <c r="H99" s="67">
        <f>(fcd_cc*(2/3*(cc_D/2)^3*SIN($BI99)^3-2*(cc_D/2)^3*($BI99-$BH99)/12/3*SUMPRODUCT($BW$4:$CI$4,$BW99:$CI99))+SUMPRODUCT($J$5:$AG$5,$J99:$AG99,$J$7:$AG$7))/1E6</f>
        <v/>
      </c>
      <c r="I99" s="67">
        <f>SUMPRODUCT($J$5:$AG$5,$J99:$AG99,$J$8:$AG$8)/1E6</f>
        <v/>
      </c>
      <c r="J99">
        <f>MAX(-fyd_cc,MIN(fyd_cc,Es_cc*IF($E99&lt;=cc_D,0.0035*($E99-J$6)/$E99,0.002*($E99-J$6)/($E99-3*cc_D/7))))-fcd_cc*(1-(1-MAX(0,MIN(1,IF($E99&lt;=cc_D,0.0035*($E99-J$6)/$E99,0.002*($E99-J$6)/($E99-3*cc_D/7))/0.002)))^2)</f>
        <v/>
      </c>
      <c r="K99">
        <f>MAX(-fyd_cc,MIN(fyd_cc,Es_cc*IF($E99&lt;=cc_D,0.0035*($E99-K$6)/$E99,0.002*($E99-K$6)/($E99-3*cc_D/7))))-fcd_cc*(1-(1-MAX(0,MIN(1,IF($E99&lt;=cc_D,0.0035*($E99-K$6)/$E99,0.002*($E99-K$6)/($E99-3*cc_D/7))/0.002)))^2)</f>
        <v/>
      </c>
      <c r="L99">
        <f>MAX(-fyd_cc,MIN(fyd_cc,Es_cc*IF($E99&lt;=cc_D,0.0035*($E99-L$6)/$E99,0.002*($E99-L$6)/($E99-3*cc_D/7))))-fcd_cc*(1-(1-MAX(0,MIN(1,IF($E99&lt;=cc_D,0.0035*($E99-L$6)/$E99,0.002*($E99-L$6)/($E99-3*cc_D/7))/0.002)))^2)</f>
        <v/>
      </c>
      <c r="M99">
        <f>MAX(-fyd_cc,MIN(fyd_cc,Es_cc*IF($E99&lt;=cc_D,0.0035*($E99-M$6)/$E99,0.002*($E99-M$6)/($E99-3*cc_D/7))))-fcd_cc*(1-(1-MAX(0,MIN(1,IF($E99&lt;=cc_D,0.0035*($E99-M$6)/$E99,0.002*($E99-M$6)/($E99-3*cc_D/7))/0.002)))^2)</f>
        <v/>
      </c>
      <c r="N99">
        <f>MAX(-fyd_cc,MIN(fyd_cc,Es_cc*IF($E99&lt;=cc_D,0.0035*($E99-N$6)/$E99,0.002*($E99-N$6)/($E99-3*cc_D/7))))-fcd_cc*(1-(1-MAX(0,MIN(1,IF($E99&lt;=cc_D,0.0035*($E99-N$6)/$E99,0.002*($E99-N$6)/($E99-3*cc_D/7))/0.002)))^2)</f>
        <v/>
      </c>
      <c r="O99">
        <f>MAX(-fyd_cc,MIN(fyd_cc,Es_cc*IF($E99&lt;=cc_D,0.0035*($E99-O$6)/$E99,0.002*($E99-O$6)/($E99-3*cc_D/7))))-fcd_cc*(1-(1-MAX(0,MIN(1,IF($E99&lt;=cc_D,0.0035*($E99-O$6)/$E99,0.002*($E99-O$6)/($E99-3*cc_D/7))/0.002)))^2)</f>
        <v/>
      </c>
      <c r="P99">
        <f>MAX(-fyd_cc,MIN(fyd_cc,Es_cc*IF($E99&lt;=cc_D,0.0035*($E99-P$6)/$E99,0.002*($E99-P$6)/($E99-3*cc_D/7))))-fcd_cc*(1-(1-MAX(0,MIN(1,IF($E99&lt;=cc_D,0.0035*($E99-P$6)/$E99,0.002*($E99-P$6)/($E99-3*cc_D/7))/0.002)))^2)</f>
        <v/>
      </c>
      <c r="Q99">
        <f>MAX(-fyd_cc,MIN(fyd_cc,Es_cc*IF($E99&lt;=cc_D,0.0035*($E99-Q$6)/$E99,0.002*($E99-Q$6)/($E99-3*cc_D/7))))-fcd_cc*(1-(1-MAX(0,MIN(1,IF($E99&lt;=cc_D,0.0035*($E99-Q$6)/$E99,0.002*($E99-Q$6)/($E99-3*cc_D/7))/0.002)))^2)</f>
        <v/>
      </c>
      <c r="R99">
        <f>MAX(-fyd_cc,MIN(fyd_cc,Es_cc*IF($E99&lt;=cc_D,0.0035*($E99-R$6)/$E99,0.002*($E99-R$6)/($E99-3*cc_D/7))))-fcd_cc*(1-(1-MAX(0,MIN(1,IF($E99&lt;=cc_D,0.0035*($E99-R$6)/$E99,0.002*($E99-R$6)/($E99-3*cc_D/7))/0.002)))^2)</f>
        <v/>
      </c>
      <c r="S99">
        <f>MAX(-fyd_cc,MIN(fyd_cc,Es_cc*IF($E99&lt;=cc_D,0.0035*($E99-S$6)/$E99,0.002*($E99-S$6)/($E99-3*cc_D/7))))-fcd_cc*(1-(1-MAX(0,MIN(1,IF($E99&lt;=cc_D,0.0035*($E99-S$6)/$E99,0.002*($E99-S$6)/($E99-3*cc_D/7))/0.002)))^2)</f>
        <v/>
      </c>
      <c r="T99">
        <f>MAX(-fyd_cc,MIN(fyd_cc,Es_cc*IF($E99&lt;=cc_D,0.0035*($E99-T$6)/$E99,0.002*($E99-T$6)/($E99-3*cc_D/7))))-fcd_cc*(1-(1-MAX(0,MIN(1,IF($E99&lt;=cc_D,0.0035*($E99-T$6)/$E99,0.002*($E99-T$6)/($E99-3*cc_D/7))/0.002)))^2)</f>
        <v/>
      </c>
      <c r="U99">
        <f>MAX(-fyd_cc,MIN(fyd_cc,Es_cc*IF($E99&lt;=cc_D,0.0035*($E99-U$6)/$E99,0.002*($E99-U$6)/($E99-3*cc_D/7))))-fcd_cc*(1-(1-MAX(0,MIN(1,IF($E99&lt;=cc_D,0.0035*($E99-U$6)/$E99,0.002*($E99-U$6)/($E99-3*cc_D/7))/0.002)))^2)</f>
        <v/>
      </c>
      <c r="V99">
        <f>MAX(-fyd_cc,MIN(fyd_cc,Es_cc*IF($E99&lt;=cc_D,0.0035*($E99-V$6)/$E99,0.002*($E99-V$6)/($E99-3*cc_D/7))))-fcd_cc*(1-(1-MAX(0,MIN(1,IF($E99&lt;=cc_D,0.0035*($E99-V$6)/$E99,0.002*($E99-V$6)/($E99-3*cc_D/7))/0.002)))^2)</f>
        <v/>
      </c>
      <c r="W99">
        <f>MAX(-fyd_cc,MIN(fyd_cc,Es_cc*IF($E99&lt;=cc_D,0.0035*($E99-W$6)/$E99,0.002*($E99-W$6)/($E99-3*cc_D/7))))-fcd_cc*(1-(1-MAX(0,MIN(1,IF($E99&lt;=cc_D,0.0035*($E99-W$6)/$E99,0.002*($E99-W$6)/($E99-3*cc_D/7))/0.002)))^2)</f>
        <v/>
      </c>
      <c r="X99">
        <f>MAX(-fyd_cc,MIN(fyd_cc,Es_cc*IF($E99&lt;=cc_D,0.0035*($E99-X$6)/$E99,0.002*($E99-X$6)/($E99-3*cc_D/7))))-fcd_cc*(1-(1-MAX(0,MIN(1,IF($E99&lt;=cc_D,0.0035*($E99-X$6)/$E99,0.002*($E99-X$6)/($E99-3*cc_D/7))/0.002)))^2)</f>
        <v/>
      </c>
      <c r="Y99">
        <f>MAX(-fyd_cc,MIN(fyd_cc,Es_cc*IF($E99&lt;=cc_D,0.0035*($E99-Y$6)/$E99,0.002*($E99-Y$6)/($E99-3*cc_D/7))))-fcd_cc*(1-(1-MAX(0,MIN(1,IF($E99&lt;=cc_D,0.0035*($E99-Y$6)/$E99,0.002*($E99-Y$6)/($E99-3*cc_D/7))/0.002)))^2)</f>
        <v/>
      </c>
      <c r="Z99">
        <f>MAX(-fyd_cc,MIN(fyd_cc,Es_cc*IF($E99&lt;=cc_D,0.0035*($E99-Z$6)/$E99,0.002*($E99-Z$6)/($E99-3*cc_D/7))))-fcd_cc*(1-(1-MAX(0,MIN(1,IF($E99&lt;=cc_D,0.0035*($E99-Z$6)/$E99,0.002*($E99-Z$6)/($E99-3*cc_D/7))/0.002)))^2)</f>
        <v/>
      </c>
      <c r="AA99">
        <f>MAX(-fyd_cc,MIN(fyd_cc,Es_cc*IF($E99&lt;=cc_D,0.0035*($E99-AA$6)/$E99,0.002*($E99-AA$6)/($E99-3*cc_D/7))))-fcd_cc*(1-(1-MAX(0,MIN(1,IF($E99&lt;=cc_D,0.0035*($E99-AA$6)/$E99,0.002*($E99-AA$6)/($E99-3*cc_D/7))/0.002)))^2)</f>
        <v/>
      </c>
      <c r="AB99">
        <f>MAX(-fyd_cc,MIN(fyd_cc,Es_cc*IF($E99&lt;=cc_D,0.0035*($E99-AB$6)/$E99,0.002*($E99-AB$6)/($E99-3*cc_D/7))))-fcd_cc*(1-(1-MAX(0,MIN(1,IF($E99&lt;=cc_D,0.0035*($E99-AB$6)/$E99,0.002*($E99-AB$6)/($E99-3*cc_D/7))/0.002)))^2)</f>
        <v/>
      </c>
      <c r="AC99">
        <f>MAX(-fyd_cc,MIN(fyd_cc,Es_cc*IF($E99&lt;=cc_D,0.0035*($E99-AC$6)/$E99,0.002*($E99-AC$6)/($E99-3*cc_D/7))))-fcd_cc*(1-(1-MAX(0,MIN(1,IF($E99&lt;=cc_D,0.0035*($E99-AC$6)/$E99,0.002*($E99-AC$6)/($E99-3*cc_D/7))/0.002)))^2)</f>
        <v/>
      </c>
      <c r="AD99">
        <f>MAX(-fyd_cc,MIN(fyd_cc,Es_cc*IF($E99&lt;=cc_D,0.0035*($E99-AD$6)/$E99,0.002*($E99-AD$6)/($E99-3*cc_D/7))))-fcd_cc*(1-(1-MAX(0,MIN(1,IF($E99&lt;=cc_D,0.0035*($E99-AD$6)/$E99,0.002*($E99-AD$6)/($E99-3*cc_D/7))/0.002)))^2)</f>
        <v/>
      </c>
      <c r="AE99">
        <f>MAX(-fyd_cc,MIN(fyd_cc,Es_cc*IF($E99&lt;=cc_D,0.0035*($E99-AE$6)/$E99,0.002*($E99-AE$6)/($E99-3*cc_D/7))))-fcd_cc*(1-(1-MAX(0,MIN(1,IF($E99&lt;=cc_D,0.0035*($E99-AE$6)/$E99,0.002*($E99-AE$6)/($E99-3*cc_D/7))/0.002)))^2)</f>
        <v/>
      </c>
      <c r="AF99">
        <f>MAX(-fyd_cc,MIN(fyd_cc,Es_cc*IF($E99&lt;=cc_D,0.0035*($E99-AF$6)/$E99,0.002*($E99-AF$6)/($E99-3*cc_D/7))))-fcd_cc*(1-(1-MAX(0,MIN(1,IF($E99&lt;=cc_D,0.0035*($E99-AF$6)/$E99,0.002*($E99-AF$6)/($E99-3*cc_D/7))/0.002)))^2)</f>
        <v/>
      </c>
      <c r="AG99">
        <f>MAX(-fyd_cc,MIN(fyd_cc,Es_cc*IF($E99&lt;=cc_D,0.0035*($E99-AG$6)/$E99,0.002*($E99-AG$6)/($E99-3*cc_D/7))))-fcd_cc*(1-(1-MAX(0,MIN(1,IF($E99&lt;=cc_D,0.0035*($E99-AG$6)/$E99,0.002*($E99-AG$6)/($E99-3*cc_D/7))/0.002)))^2)</f>
        <v/>
      </c>
      <c r="BF99">
        <f>3*MIN($E99,cc_D)/7</f>
        <v/>
      </c>
      <c r="BG99">
        <f>$E99-$BF99</f>
        <v/>
      </c>
      <c r="BH99">
        <f>ACOS(MAX(-1,MIN(1,1-$BF99/(cc_D/2))))</f>
        <v/>
      </c>
      <c r="BI99">
        <f>ACOS(MAX(-1,MIN(1,1-MIN($E99,cc_D)/(cc_D/2))))</f>
        <v/>
      </c>
      <c r="BJ99">
        <f>((cc_D/2*(1-COS(($BH99+0*($BI99-$BH99)/12)))-$BF99)/$BG99)^2*SIN(($BH99+0*($BI99-$BH99)/12))^2</f>
        <v/>
      </c>
      <c r="BK99">
        <f>((cc_D/2*(1-COS(($BH99+1*($BI99-$BH99)/12)))-$BF99)/$BG99)^2*SIN(($BH99+1*($BI99-$BH99)/12))^2</f>
        <v/>
      </c>
      <c r="BL99">
        <f>((cc_D/2*(1-COS(($BH99+2*($BI99-$BH99)/12)))-$BF99)/$BG99)^2*SIN(($BH99+2*($BI99-$BH99)/12))^2</f>
        <v/>
      </c>
      <c r="BM99">
        <f>((cc_D/2*(1-COS(($BH99+3*($BI99-$BH99)/12)))-$BF99)/$BG99)^2*SIN(($BH99+3*($BI99-$BH99)/12))^2</f>
        <v/>
      </c>
      <c r="BN99">
        <f>((cc_D/2*(1-COS(($BH99+4*($BI99-$BH99)/12)))-$BF99)/$BG99)^2*SIN(($BH99+4*($BI99-$BH99)/12))^2</f>
        <v/>
      </c>
      <c r="BO99">
        <f>((cc_D/2*(1-COS(($BH99+5*($BI99-$BH99)/12)))-$BF99)/$BG99)^2*SIN(($BH99+5*($BI99-$BH99)/12))^2</f>
        <v/>
      </c>
      <c r="BP99">
        <f>((cc_D/2*(1-COS(($BH99+6*($BI99-$BH99)/12)))-$BF99)/$BG99)^2*SIN(($BH99+6*($BI99-$BH99)/12))^2</f>
        <v/>
      </c>
      <c r="BQ99">
        <f>((cc_D/2*(1-COS(($BH99+7*($BI99-$BH99)/12)))-$BF99)/$BG99)^2*SIN(($BH99+7*($BI99-$BH99)/12))^2</f>
        <v/>
      </c>
      <c r="BR99">
        <f>((cc_D/2*(1-COS(($BH99+8*($BI99-$BH99)/12)))-$BF99)/$BG99)^2*SIN(($BH99+8*($BI99-$BH99)/12))^2</f>
        <v/>
      </c>
      <c r="BS99">
        <f>((cc_D/2*(1-COS(($BH99+9*($BI99-$BH99)/12)))-$BF99)/$BG99)^2*SIN(($BH99+9*($BI99-$BH99)/12))^2</f>
        <v/>
      </c>
      <c r="BT99">
        <f>((cc_D/2*(1-COS(($BH99+10*($BI99-$BH99)/12)))-$BF99)/$BG99)^2*SIN(($BH99+10*($BI99-$BH99)/12))^2</f>
        <v/>
      </c>
      <c r="BU99">
        <f>((cc_D/2*(1-COS(($BH99+11*($BI99-$BH99)/12)))-$BF99)/$BG99)^2*SIN(($BH99+11*($BI99-$BH99)/12))^2</f>
        <v/>
      </c>
      <c r="BV99">
        <f>((cc_D/2*(1-COS(($BH99+12*($BI99-$BH99)/12)))-$BF99)/$BG99)^2*SIN(($BH99+12*($BI99-$BH99)/12))^2</f>
        <v/>
      </c>
      <c r="BW99">
        <f>BJ99*COS(($BH99+0*($BI99-$BH99)/12))</f>
        <v/>
      </c>
      <c r="BX99">
        <f>BK99*COS(($BH99+1*($BI99-$BH99)/12))</f>
        <v/>
      </c>
      <c r="BY99">
        <f>BL99*COS(($BH99+2*($BI99-$BH99)/12))</f>
        <v/>
      </c>
      <c r="BZ99">
        <f>BM99*COS(($BH99+3*($BI99-$BH99)/12))</f>
        <v/>
      </c>
      <c r="CA99">
        <f>BN99*COS(($BH99+4*($BI99-$BH99)/12))</f>
        <v/>
      </c>
      <c r="CB99">
        <f>BO99*COS(($BH99+5*($BI99-$BH99)/12))</f>
        <v/>
      </c>
      <c r="CC99">
        <f>BP99*COS(($BH99+6*($BI99-$BH99)/12))</f>
        <v/>
      </c>
      <c r="CD99">
        <f>BQ99*COS(($BH99+7*($BI99-$BH99)/12))</f>
        <v/>
      </c>
      <c r="CE99">
        <f>BR99*COS(($BH99+8*($BI99-$BH99)/12))</f>
        <v/>
      </c>
      <c r="CF99">
        <f>BS99*COS(($BH99+9*($BI99-$BH99)/12))</f>
        <v/>
      </c>
      <c r="CG99">
        <f>BT99*COS(($BH99+10*($BI99-$BH99)/12))</f>
        <v/>
      </c>
      <c r="CH99">
        <f>BU99*COS(($BH99+11*($BI99-$BH99)/12))</f>
        <v/>
      </c>
      <c r="CI99">
        <f>BV99*COS(($BH99+12*($BI99-$BH99)/12))</f>
        <v/>
      </c>
    </row>
    <row r="100">
      <c r="B100" s="65" t="n">
        <v>11</v>
      </c>
      <c r="C100" s="66">
        <f>IF($G99&lt;cc_NEd-1E-9*ABS(cc_NEd),($C99+$D99)/2,$C99)</f>
        <v/>
      </c>
      <c r="D100" s="66">
        <f>IF($G99&lt;cc_NEd-1E-9*ABS(cc_NEd),$D99,($C99+$D99)/2)</f>
        <v/>
      </c>
      <c r="E100" s="67">
        <f>cc_D*(($C100+$D100)/2)/(1-(($C100+$D100)/2))</f>
        <v/>
      </c>
      <c r="F100" s="68">
        <f>IF($E100&lt;=cc_D,3.5,2*$E100/($E100-3*cc_D/7))</f>
        <v/>
      </c>
      <c r="G100" s="67">
        <f>(fcd_cc*((cc_D/2)^2*($BI100-COS($BI100)*SIN($BI100))-2*(cc_D/2)^2*($BI100-$BH100)/12/3*SUMPRODUCT($BJ$4:$BV$4,$BJ100:$BV100))+SUMPRODUCT($J$5:$AG$5,$J100:$AG100))/1000</f>
        <v/>
      </c>
      <c r="H100" s="67">
        <f>(fcd_cc*(2/3*(cc_D/2)^3*SIN($BI100)^3-2*(cc_D/2)^3*($BI100-$BH100)/12/3*SUMPRODUCT($BW$4:$CI$4,$BW100:$CI100))+SUMPRODUCT($J$5:$AG$5,$J100:$AG100,$J$7:$AG$7))/1E6</f>
        <v/>
      </c>
      <c r="I100" s="67">
        <f>SUMPRODUCT($J$5:$AG$5,$J100:$AG100,$J$8:$AG$8)/1E6</f>
        <v/>
      </c>
      <c r="J100">
        <f>MAX(-fyd_cc,MIN(fyd_cc,Es_cc*IF($E100&lt;=cc_D,0.0035*($E100-J$6)/$E100,0.002*($E100-J$6)/($E100-3*cc_D/7))))-fcd_cc*(1-(1-MAX(0,MIN(1,IF($E100&lt;=cc_D,0.0035*($E100-J$6)/$E100,0.002*($E100-J$6)/($E100-3*cc_D/7))/0.002)))^2)</f>
        <v/>
      </c>
      <c r="K100">
        <f>MAX(-fyd_cc,MIN(fyd_cc,Es_cc*IF($E100&lt;=cc_D,0.0035*($E100-K$6)/$E100,0.002*($E100-K$6)/($E100-3*cc_D/7))))-fcd_cc*(1-(1-MAX(0,MIN(1,IF($E100&lt;=cc_D,0.0035*($E100-K$6)/$E100,0.002*($E100-K$6)/($E100-3*cc_D/7))/0.002)))^2)</f>
        <v/>
      </c>
      <c r="L100">
        <f>MAX(-fyd_cc,MIN(fyd_cc,Es_cc*IF($E100&lt;=cc_D,0.0035*($E100-L$6)/$E100,0.002*($E100-L$6)/($E100-3*cc_D/7))))-fcd_cc*(1-(1-MAX(0,MIN(1,IF($E100&lt;=cc_D,0.0035*($E100-L$6)/$E100,0.002*($E100-L$6)/($E100-3*cc_D/7))/0.002)))^2)</f>
        <v/>
      </c>
      <c r="M100">
        <f>MAX(-fyd_cc,MIN(fyd_cc,Es_cc*IF($E100&lt;=cc_D,0.0035*($E100-M$6)/$E100,0.002*($E100-M$6)/($E100-3*cc_D/7))))-fcd_cc*(1-(1-MAX(0,MIN(1,IF($E100&lt;=cc_D,0.0035*($E100-M$6)/$E100,0.002*($E100-M$6)/($E100-3*cc_D/7))/0.002)))^2)</f>
        <v/>
      </c>
      <c r="N100">
        <f>MAX(-fyd_cc,MIN(fyd_cc,Es_cc*IF($E100&lt;=cc_D,0.0035*($E100-N$6)/$E100,0.002*($E100-N$6)/($E100-3*cc_D/7))))-fcd_cc*(1-(1-MAX(0,MIN(1,IF($E100&lt;=cc_D,0.0035*($E100-N$6)/$E100,0.002*($E100-N$6)/($E100-3*cc_D/7))/0.002)))^2)</f>
        <v/>
      </c>
      <c r="O100">
        <f>MAX(-fyd_cc,MIN(fyd_cc,Es_cc*IF($E100&lt;=cc_D,0.0035*($E100-O$6)/$E100,0.002*($E100-O$6)/($E100-3*cc_D/7))))-fcd_cc*(1-(1-MAX(0,MIN(1,IF($E100&lt;=cc_D,0.0035*($E100-O$6)/$E100,0.002*($E100-O$6)/($E100-3*cc_D/7))/0.002)))^2)</f>
        <v/>
      </c>
      <c r="P100">
        <f>MAX(-fyd_cc,MIN(fyd_cc,Es_cc*IF($E100&lt;=cc_D,0.0035*($E100-P$6)/$E100,0.002*($E100-P$6)/($E100-3*cc_D/7))))-fcd_cc*(1-(1-MAX(0,MIN(1,IF($E100&lt;=cc_D,0.0035*($E100-P$6)/$E100,0.002*($E100-P$6)/($E100-3*cc_D/7))/0.002)))^2)</f>
        <v/>
      </c>
      <c r="Q100">
        <f>MAX(-fyd_cc,MIN(fyd_cc,Es_cc*IF($E100&lt;=cc_D,0.0035*($E100-Q$6)/$E100,0.002*($E100-Q$6)/($E100-3*cc_D/7))))-fcd_cc*(1-(1-MAX(0,MIN(1,IF($E100&lt;=cc_D,0.0035*($E100-Q$6)/$E100,0.002*($E100-Q$6)/($E100-3*cc_D/7))/0.002)))^2)</f>
        <v/>
      </c>
      <c r="R100">
        <f>MAX(-fyd_cc,MIN(fyd_cc,Es_cc*IF($E100&lt;=cc_D,0.0035*($E100-R$6)/$E100,0.002*($E100-R$6)/($E100-3*cc_D/7))))-fcd_cc*(1-(1-MAX(0,MIN(1,IF($E100&lt;=cc_D,0.0035*($E100-R$6)/$E100,0.002*($E100-R$6)/($E100-3*cc_D/7))/0.002)))^2)</f>
        <v/>
      </c>
      <c r="S100">
        <f>MAX(-fyd_cc,MIN(fyd_cc,Es_cc*IF($E100&lt;=cc_D,0.0035*($E100-S$6)/$E100,0.002*($E100-S$6)/($E100-3*cc_D/7))))-fcd_cc*(1-(1-MAX(0,MIN(1,IF($E100&lt;=cc_D,0.0035*($E100-S$6)/$E100,0.002*($E100-S$6)/($E100-3*cc_D/7))/0.002)))^2)</f>
        <v/>
      </c>
      <c r="T100">
        <f>MAX(-fyd_cc,MIN(fyd_cc,Es_cc*IF($E100&lt;=cc_D,0.0035*($E100-T$6)/$E100,0.002*($E100-T$6)/($E100-3*cc_D/7))))-fcd_cc*(1-(1-MAX(0,MIN(1,IF($E100&lt;=cc_D,0.0035*($E100-T$6)/$E100,0.002*($E100-T$6)/($E100-3*cc_D/7))/0.002)))^2)</f>
        <v/>
      </c>
      <c r="U100">
        <f>MAX(-fyd_cc,MIN(fyd_cc,Es_cc*IF($E100&lt;=cc_D,0.0035*($E100-U$6)/$E100,0.002*($E100-U$6)/($E100-3*cc_D/7))))-fcd_cc*(1-(1-MAX(0,MIN(1,IF($E100&lt;=cc_D,0.0035*($E100-U$6)/$E100,0.002*($E100-U$6)/($E100-3*cc_D/7))/0.002)))^2)</f>
        <v/>
      </c>
      <c r="V100">
        <f>MAX(-fyd_cc,MIN(fyd_cc,Es_cc*IF($E100&lt;=cc_D,0.0035*($E100-V$6)/$E100,0.002*($E100-V$6)/($E100-3*cc_D/7))))-fcd_cc*(1-(1-MAX(0,MIN(1,IF($E100&lt;=cc_D,0.0035*($E100-V$6)/$E100,0.002*($E100-V$6)/($E100-3*cc_D/7))/0.002)))^2)</f>
        <v/>
      </c>
      <c r="W100">
        <f>MAX(-fyd_cc,MIN(fyd_cc,Es_cc*IF($E100&lt;=cc_D,0.0035*($E100-W$6)/$E100,0.002*($E100-W$6)/($E100-3*cc_D/7))))-fcd_cc*(1-(1-MAX(0,MIN(1,IF($E100&lt;=cc_D,0.0035*($E100-W$6)/$E100,0.002*($E100-W$6)/($E100-3*cc_D/7))/0.002)))^2)</f>
        <v/>
      </c>
      <c r="X100">
        <f>MAX(-fyd_cc,MIN(fyd_cc,Es_cc*IF($E100&lt;=cc_D,0.0035*($E100-X$6)/$E100,0.002*($E100-X$6)/($E100-3*cc_D/7))))-fcd_cc*(1-(1-MAX(0,MIN(1,IF($E100&lt;=cc_D,0.0035*($E100-X$6)/$E100,0.002*($E100-X$6)/($E100-3*cc_D/7))/0.002)))^2)</f>
        <v/>
      </c>
      <c r="Y100">
        <f>MAX(-fyd_cc,MIN(fyd_cc,Es_cc*IF($E100&lt;=cc_D,0.0035*($E100-Y$6)/$E100,0.002*($E100-Y$6)/($E100-3*cc_D/7))))-fcd_cc*(1-(1-MAX(0,MIN(1,IF($E100&lt;=cc_D,0.0035*($E100-Y$6)/$E100,0.002*($E100-Y$6)/($E100-3*cc_D/7))/0.002)))^2)</f>
        <v/>
      </c>
      <c r="Z100">
        <f>MAX(-fyd_cc,MIN(fyd_cc,Es_cc*IF($E100&lt;=cc_D,0.0035*($E100-Z$6)/$E100,0.002*($E100-Z$6)/($E100-3*cc_D/7))))-fcd_cc*(1-(1-MAX(0,MIN(1,IF($E100&lt;=cc_D,0.0035*($E100-Z$6)/$E100,0.002*($E100-Z$6)/($E100-3*cc_D/7))/0.002)))^2)</f>
        <v/>
      </c>
      <c r="AA100">
        <f>MAX(-fyd_cc,MIN(fyd_cc,Es_cc*IF($E100&lt;=cc_D,0.0035*($E100-AA$6)/$E100,0.002*($E100-AA$6)/($E100-3*cc_D/7))))-fcd_cc*(1-(1-MAX(0,MIN(1,IF($E100&lt;=cc_D,0.0035*($E100-AA$6)/$E100,0.002*($E100-AA$6)/($E100-3*cc_D/7))/0.002)))^2)</f>
        <v/>
      </c>
      <c r="AB100">
        <f>MAX(-fyd_cc,MIN(fyd_cc,Es_cc*IF($E100&lt;=cc_D,0.0035*($E100-AB$6)/$E100,0.002*($E100-AB$6)/($E100-3*cc_D/7))))-fcd_cc*(1-(1-MAX(0,MIN(1,IF($E100&lt;=cc_D,0.0035*($E100-AB$6)/$E100,0.002*($E100-AB$6)/($E100-3*cc_D/7))/0.002)))^2)</f>
        <v/>
      </c>
      <c r="AC100">
        <f>MAX(-fyd_cc,MIN(fyd_cc,Es_cc*IF($E100&lt;=cc_D,0.0035*($E100-AC$6)/$E100,0.002*($E100-AC$6)/($E100-3*cc_D/7))))-fcd_cc*(1-(1-MAX(0,MIN(1,IF($E100&lt;=cc_D,0.0035*($E100-AC$6)/$E100,0.002*($E100-AC$6)/($E100-3*cc_D/7))/0.002)))^2)</f>
        <v/>
      </c>
      <c r="AD100">
        <f>MAX(-fyd_cc,MIN(fyd_cc,Es_cc*IF($E100&lt;=cc_D,0.0035*($E100-AD$6)/$E100,0.002*($E100-AD$6)/($E100-3*cc_D/7))))-fcd_cc*(1-(1-MAX(0,MIN(1,IF($E100&lt;=cc_D,0.0035*($E100-AD$6)/$E100,0.002*($E100-AD$6)/($E100-3*cc_D/7))/0.002)))^2)</f>
        <v/>
      </c>
      <c r="AE100">
        <f>MAX(-fyd_cc,MIN(fyd_cc,Es_cc*IF($E100&lt;=cc_D,0.0035*($E100-AE$6)/$E100,0.002*($E100-AE$6)/($E100-3*cc_D/7))))-fcd_cc*(1-(1-MAX(0,MIN(1,IF($E100&lt;=cc_D,0.0035*($E100-AE$6)/$E100,0.002*($E100-AE$6)/($E100-3*cc_D/7))/0.002)))^2)</f>
        <v/>
      </c>
      <c r="AF100">
        <f>MAX(-fyd_cc,MIN(fyd_cc,Es_cc*IF($E100&lt;=cc_D,0.0035*($E100-AF$6)/$E100,0.002*($E100-AF$6)/($E100-3*cc_D/7))))-fcd_cc*(1-(1-MAX(0,MIN(1,IF($E100&lt;=cc_D,0.0035*($E100-AF$6)/$E100,0.002*($E100-AF$6)/($E100-3*cc_D/7))/0.002)))^2)</f>
        <v/>
      </c>
      <c r="AG100">
        <f>MAX(-fyd_cc,MIN(fyd_cc,Es_cc*IF($E100&lt;=cc_D,0.0035*($E100-AG$6)/$E100,0.002*($E100-AG$6)/($E100-3*cc_D/7))))-fcd_cc*(1-(1-MAX(0,MIN(1,IF($E100&lt;=cc_D,0.0035*($E100-AG$6)/$E100,0.002*($E100-AG$6)/($E100-3*cc_D/7))/0.002)))^2)</f>
        <v/>
      </c>
      <c r="BF100">
        <f>3*MIN($E100,cc_D)/7</f>
        <v/>
      </c>
      <c r="BG100">
        <f>$E100-$BF100</f>
        <v/>
      </c>
      <c r="BH100">
        <f>ACOS(MAX(-1,MIN(1,1-$BF100/(cc_D/2))))</f>
        <v/>
      </c>
      <c r="BI100">
        <f>ACOS(MAX(-1,MIN(1,1-MIN($E100,cc_D)/(cc_D/2))))</f>
        <v/>
      </c>
      <c r="BJ100">
        <f>((cc_D/2*(1-COS(($BH100+0*($BI100-$BH100)/12)))-$BF100)/$BG100)^2*SIN(($BH100+0*($BI100-$BH100)/12))^2</f>
        <v/>
      </c>
      <c r="BK100">
        <f>((cc_D/2*(1-COS(($BH100+1*($BI100-$BH100)/12)))-$BF100)/$BG100)^2*SIN(($BH100+1*($BI100-$BH100)/12))^2</f>
        <v/>
      </c>
      <c r="BL100">
        <f>((cc_D/2*(1-COS(($BH100+2*($BI100-$BH100)/12)))-$BF100)/$BG100)^2*SIN(($BH100+2*($BI100-$BH100)/12))^2</f>
        <v/>
      </c>
      <c r="BM100">
        <f>((cc_D/2*(1-COS(($BH100+3*($BI100-$BH100)/12)))-$BF100)/$BG100)^2*SIN(($BH100+3*($BI100-$BH100)/12))^2</f>
        <v/>
      </c>
      <c r="BN100">
        <f>((cc_D/2*(1-COS(($BH100+4*($BI100-$BH100)/12)))-$BF100)/$BG100)^2*SIN(($BH100+4*($BI100-$BH100)/12))^2</f>
        <v/>
      </c>
      <c r="BO100">
        <f>((cc_D/2*(1-COS(($BH100+5*($BI100-$BH100)/12)))-$BF100)/$BG100)^2*SIN(($BH100+5*($BI100-$BH100)/12))^2</f>
        <v/>
      </c>
      <c r="BP100">
        <f>((cc_D/2*(1-COS(($BH100+6*($BI100-$BH100)/12)))-$BF100)/$BG100)^2*SIN(($BH100+6*($BI100-$BH100)/12))^2</f>
        <v/>
      </c>
      <c r="BQ100">
        <f>((cc_D/2*(1-COS(($BH100+7*($BI100-$BH100)/12)))-$BF100)/$BG100)^2*SIN(($BH100+7*($BI100-$BH100)/12))^2</f>
        <v/>
      </c>
      <c r="BR100">
        <f>((cc_D/2*(1-COS(($BH100+8*($BI100-$BH100)/12)))-$BF100)/$BG100)^2*SIN(($BH100+8*($BI100-$BH100)/12))^2</f>
        <v/>
      </c>
      <c r="BS100">
        <f>((cc_D/2*(1-COS(($BH100+9*($BI100-$BH100)/12)))-$BF100)/$BG100)^2*SIN(($BH100+9*($BI100-$BH100)/12))^2</f>
        <v/>
      </c>
      <c r="BT100">
        <f>((cc_D/2*(1-COS(($BH100+10*($BI100-$BH100)/12)))-$BF100)/$BG100)^2*SIN(($BH100+10*($BI100-$BH100)/12))^2</f>
        <v/>
      </c>
      <c r="BU100">
        <f>((cc_D/2*(1-COS(($BH100+11*($BI100-$BH100)/12)))-$BF100)/$BG100)^2*SIN(($BH100+11*($BI100-$BH100)/12))^2</f>
        <v/>
      </c>
      <c r="BV100">
        <f>((cc_D/2*(1-COS(($BH100+12*($BI100-$BH100)/12)))-$BF100)/$BG100)^2*SIN(($BH100+12*($BI100-$BH100)/12))^2</f>
        <v/>
      </c>
      <c r="BW100">
        <f>BJ100*COS(($BH100+0*($BI100-$BH100)/12))</f>
        <v/>
      </c>
      <c r="BX100">
        <f>BK100*COS(($BH100+1*($BI100-$BH100)/12))</f>
        <v/>
      </c>
      <c r="BY100">
        <f>BL100*COS(($BH100+2*($BI100-$BH100)/12))</f>
        <v/>
      </c>
      <c r="BZ100">
        <f>BM100*COS(($BH100+3*($BI100-$BH100)/12))</f>
        <v/>
      </c>
      <c r="CA100">
        <f>BN100*COS(($BH100+4*($BI100-$BH100)/12))</f>
        <v/>
      </c>
      <c r="CB100">
        <f>BO100*COS(($BH100+5*($BI100-$BH100)/12))</f>
        <v/>
      </c>
      <c r="CC100">
        <f>BP100*COS(($BH100+6*($BI100-$BH100)/12))</f>
        <v/>
      </c>
      <c r="CD100">
        <f>BQ100*COS(($BH100+7*($BI100-$BH100)/12))</f>
        <v/>
      </c>
      <c r="CE100">
        <f>BR100*COS(($BH100+8*($BI100-$BH100)/12))</f>
        <v/>
      </c>
      <c r="CF100">
        <f>BS100*COS(($BH100+9*($BI100-$BH100)/12))</f>
        <v/>
      </c>
      <c r="CG100">
        <f>BT100*COS(($BH100+10*($BI100-$BH100)/12))</f>
        <v/>
      </c>
      <c r="CH100">
        <f>BU100*COS(($BH100+11*($BI100-$BH100)/12))</f>
        <v/>
      </c>
      <c r="CI100">
        <f>BV100*COS(($BH100+12*($BI100-$BH100)/12))</f>
        <v/>
      </c>
    </row>
    <row r="101">
      <c r="B101" s="65" t="n">
        <v>12</v>
      </c>
      <c r="C101" s="66">
        <f>IF($G100&lt;cc_NEd-1E-9*ABS(cc_NEd),($C100+$D100)/2,$C100)</f>
        <v/>
      </c>
      <c r="D101" s="66">
        <f>IF($G100&lt;cc_NEd-1E-9*ABS(cc_NEd),$D100,($C100+$D100)/2)</f>
        <v/>
      </c>
      <c r="E101" s="67">
        <f>cc_D*(($C101+$D101)/2)/(1-(($C101+$D101)/2))</f>
        <v/>
      </c>
      <c r="F101" s="68">
        <f>IF($E101&lt;=cc_D,3.5,2*$E101/($E101-3*cc_D/7))</f>
        <v/>
      </c>
      <c r="G101" s="67">
        <f>(fcd_cc*((cc_D/2)^2*($BI101-COS($BI101)*SIN($BI101))-2*(cc_D/2)^2*($BI101-$BH101)/12/3*SUMPRODUCT($BJ$4:$BV$4,$BJ101:$BV101))+SUMPRODUCT($J$5:$AG$5,$J101:$AG101))/1000</f>
        <v/>
      </c>
      <c r="H101" s="67">
        <f>(fcd_cc*(2/3*(cc_D/2)^3*SIN($BI101)^3-2*(cc_D/2)^3*($BI101-$BH101)/12/3*SUMPRODUCT($BW$4:$CI$4,$BW101:$CI101))+SUMPRODUCT($J$5:$AG$5,$J101:$AG101,$J$7:$AG$7))/1E6</f>
        <v/>
      </c>
      <c r="I101" s="67">
        <f>SUMPRODUCT($J$5:$AG$5,$J101:$AG101,$J$8:$AG$8)/1E6</f>
        <v/>
      </c>
      <c r="J101">
        <f>MAX(-fyd_cc,MIN(fyd_cc,Es_cc*IF($E101&lt;=cc_D,0.0035*($E101-J$6)/$E101,0.002*($E101-J$6)/($E101-3*cc_D/7))))-fcd_cc*(1-(1-MAX(0,MIN(1,IF($E101&lt;=cc_D,0.0035*($E101-J$6)/$E101,0.002*($E101-J$6)/($E101-3*cc_D/7))/0.002)))^2)</f>
        <v/>
      </c>
      <c r="K101">
        <f>MAX(-fyd_cc,MIN(fyd_cc,Es_cc*IF($E101&lt;=cc_D,0.0035*($E101-K$6)/$E101,0.002*($E101-K$6)/($E101-3*cc_D/7))))-fcd_cc*(1-(1-MAX(0,MIN(1,IF($E101&lt;=cc_D,0.0035*($E101-K$6)/$E101,0.002*($E101-K$6)/($E101-3*cc_D/7))/0.002)))^2)</f>
        <v/>
      </c>
      <c r="L101">
        <f>MAX(-fyd_cc,MIN(fyd_cc,Es_cc*IF($E101&lt;=cc_D,0.0035*($E101-L$6)/$E101,0.002*($E101-L$6)/($E101-3*cc_D/7))))-fcd_cc*(1-(1-MAX(0,MIN(1,IF($E101&lt;=cc_D,0.0035*($E101-L$6)/$E101,0.002*($E101-L$6)/($E101-3*cc_D/7))/0.002)))^2)</f>
        <v/>
      </c>
      <c r="M101">
        <f>MAX(-fyd_cc,MIN(fyd_cc,Es_cc*IF($E101&lt;=cc_D,0.0035*($E101-M$6)/$E101,0.002*($E101-M$6)/($E101-3*cc_D/7))))-fcd_cc*(1-(1-MAX(0,MIN(1,IF($E101&lt;=cc_D,0.0035*($E101-M$6)/$E101,0.002*($E101-M$6)/($E101-3*cc_D/7))/0.002)))^2)</f>
        <v/>
      </c>
      <c r="N101">
        <f>MAX(-fyd_cc,MIN(fyd_cc,Es_cc*IF($E101&lt;=cc_D,0.0035*($E101-N$6)/$E101,0.002*($E101-N$6)/($E101-3*cc_D/7))))-fcd_cc*(1-(1-MAX(0,MIN(1,IF($E101&lt;=cc_D,0.0035*($E101-N$6)/$E101,0.002*($E101-N$6)/($E101-3*cc_D/7))/0.002)))^2)</f>
        <v/>
      </c>
      <c r="O101">
        <f>MAX(-fyd_cc,MIN(fyd_cc,Es_cc*IF($E101&lt;=cc_D,0.0035*($E101-O$6)/$E101,0.002*($E101-O$6)/($E101-3*cc_D/7))))-fcd_cc*(1-(1-MAX(0,MIN(1,IF($E101&lt;=cc_D,0.0035*($E101-O$6)/$E101,0.002*($E101-O$6)/($E101-3*cc_D/7))/0.002)))^2)</f>
        <v/>
      </c>
      <c r="P101">
        <f>MAX(-fyd_cc,MIN(fyd_cc,Es_cc*IF($E101&lt;=cc_D,0.0035*($E101-P$6)/$E101,0.002*($E101-P$6)/($E101-3*cc_D/7))))-fcd_cc*(1-(1-MAX(0,MIN(1,IF($E101&lt;=cc_D,0.0035*($E101-P$6)/$E101,0.002*($E101-P$6)/($E101-3*cc_D/7))/0.002)))^2)</f>
        <v/>
      </c>
      <c r="Q101">
        <f>MAX(-fyd_cc,MIN(fyd_cc,Es_cc*IF($E101&lt;=cc_D,0.0035*($E101-Q$6)/$E101,0.002*($E101-Q$6)/($E101-3*cc_D/7))))-fcd_cc*(1-(1-MAX(0,MIN(1,IF($E101&lt;=cc_D,0.0035*($E101-Q$6)/$E101,0.002*($E101-Q$6)/($E101-3*cc_D/7))/0.002)))^2)</f>
        <v/>
      </c>
      <c r="R101">
        <f>MAX(-fyd_cc,MIN(fyd_cc,Es_cc*IF($E101&lt;=cc_D,0.0035*($E101-R$6)/$E101,0.002*($E101-R$6)/($E101-3*cc_D/7))))-fcd_cc*(1-(1-MAX(0,MIN(1,IF($E101&lt;=cc_D,0.0035*($E101-R$6)/$E101,0.002*($E101-R$6)/($E101-3*cc_D/7))/0.002)))^2)</f>
        <v/>
      </c>
      <c r="S101">
        <f>MAX(-fyd_cc,MIN(fyd_cc,Es_cc*IF($E101&lt;=cc_D,0.0035*($E101-S$6)/$E101,0.002*($E101-S$6)/($E101-3*cc_D/7))))-fcd_cc*(1-(1-MAX(0,MIN(1,IF($E101&lt;=cc_D,0.0035*($E101-S$6)/$E101,0.002*($E101-S$6)/($E101-3*cc_D/7))/0.002)))^2)</f>
        <v/>
      </c>
      <c r="T101">
        <f>MAX(-fyd_cc,MIN(fyd_cc,Es_cc*IF($E101&lt;=cc_D,0.0035*($E101-T$6)/$E101,0.002*($E101-T$6)/($E101-3*cc_D/7))))-fcd_cc*(1-(1-MAX(0,MIN(1,IF($E101&lt;=cc_D,0.0035*($E101-T$6)/$E101,0.002*($E101-T$6)/($E101-3*cc_D/7))/0.002)))^2)</f>
        <v/>
      </c>
      <c r="U101">
        <f>MAX(-fyd_cc,MIN(fyd_cc,Es_cc*IF($E101&lt;=cc_D,0.0035*($E101-U$6)/$E101,0.002*($E101-U$6)/($E101-3*cc_D/7))))-fcd_cc*(1-(1-MAX(0,MIN(1,IF($E101&lt;=cc_D,0.0035*($E101-U$6)/$E101,0.002*($E101-U$6)/($E101-3*cc_D/7))/0.002)))^2)</f>
        <v/>
      </c>
      <c r="V101">
        <f>MAX(-fyd_cc,MIN(fyd_cc,Es_cc*IF($E101&lt;=cc_D,0.0035*($E101-V$6)/$E101,0.002*($E101-V$6)/($E101-3*cc_D/7))))-fcd_cc*(1-(1-MAX(0,MIN(1,IF($E101&lt;=cc_D,0.0035*($E101-V$6)/$E101,0.002*($E101-V$6)/($E101-3*cc_D/7))/0.002)))^2)</f>
        <v/>
      </c>
      <c r="W101">
        <f>MAX(-fyd_cc,MIN(fyd_cc,Es_cc*IF($E101&lt;=cc_D,0.0035*($E101-W$6)/$E101,0.002*($E101-W$6)/($E101-3*cc_D/7))))-fcd_cc*(1-(1-MAX(0,MIN(1,IF($E101&lt;=cc_D,0.0035*($E101-W$6)/$E101,0.002*($E101-W$6)/($E101-3*cc_D/7))/0.002)))^2)</f>
        <v/>
      </c>
      <c r="X101">
        <f>MAX(-fyd_cc,MIN(fyd_cc,Es_cc*IF($E101&lt;=cc_D,0.0035*($E101-X$6)/$E101,0.002*($E101-X$6)/($E101-3*cc_D/7))))-fcd_cc*(1-(1-MAX(0,MIN(1,IF($E101&lt;=cc_D,0.0035*($E101-X$6)/$E101,0.002*($E101-X$6)/($E101-3*cc_D/7))/0.002)))^2)</f>
        <v/>
      </c>
      <c r="Y101">
        <f>MAX(-fyd_cc,MIN(fyd_cc,Es_cc*IF($E101&lt;=cc_D,0.0035*($E101-Y$6)/$E101,0.002*($E101-Y$6)/($E101-3*cc_D/7))))-fcd_cc*(1-(1-MAX(0,MIN(1,IF($E101&lt;=cc_D,0.0035*($E101-Y$6)/$E101,0.002*($E101-Y$6)/($E101-3*cc_D/7))/0.002)))^2)</f>
        <v/>
      </c>
      <c r="Z101">
        <f>MAX(-fyd_cc,MIN(fyd_cc,Es_cc*IF($E101&lt;=cc_D,0.0035*($E101-Z$6)/$E101,0.002*($E101-Z$6)/($E101-3*cc_D/7))))-fcd_cc*(1-(1-MAX(0,MIN(1,IF($E101&lt;=cc_D,0.0035*($E101-Z$6)/$E101,0.002*($E101-Z$6)/($E101-3*cc_D/7))/0.002)))^2)</f>
        <v/>
      </c>
      <c r="AA101">
        <f>MAX(-fyd_cc,MIN(fyd_cc,Es_cc*IF($E101&lt;=cc_D,0.0035*($E101-AA$6)/$E101,0.002*($E101-AA$6)/($E101-3*cc_D/7))))-fcd_cc*(1-(1-MAX(0,MIN(1,IF($E101&lt;=cc_D,0.0035*($E101-AA$6)/$E101,0.002*($E101-AA$6)/($E101-3*cc_D/7))/0.002)))^2)</f>
        <v/>
      </c>
      <c r="AB101">
        <f>MAX(-fyd_cc,MIN(fyd_cc,Es_cc*IF($E101&lt;=cc_D,0.0035*($E101-AB$6)/$E101,0.002*($E101-AB$6)/($E101-3*cc_D/7))))-fcd_cc*(1-(1-MAX(0,MIN(1,IF($E101&lt;=cc_D,0.0035*($E101-AB$6)/$E101,0.002*($E101-AB$6)/($E101-3*cc_D/7))/0.002)))^2)</f>
        <v/>
      </c>
      <c r="AC101">
        <f>MAX(-fyd_cc,MIN(fyd_cc,Es_cc*IF($E101&lt;=cc_D,0.0035*($E101-AC$6)/$E101,0.002*($E101-AC$6)/($E101-3*cc_D/7))))-fcd_cc*(1-(1-MAX(0,MIN(1,IF($E101&lt;=cc_D,0.0035*($E101-AC$6)/$E101,0.002*($E101-AC$6)/($E101-3*cc_D/7))/0.002)))^2)</f>
        <v/>
      </c>
      <c r="AD101">
        <f>MAX(-fyd_cc,MIN(fyd_cc,Es_cc*IF($E101&lt;=cc_D,0.0035*($E101-AD$6)/$E101,0.002*($E101-AD$6)/($E101-3*cc_D/7))))-fcd_cc*(1-(1-MAX(0,MIN(1,IF($E101&lt;=cc_D,0.0035*($E101-AD$6)/$E101,0.002*($E101-AD$6)/($E101-3*cc_D/7))/0.002)))^2)</f>
        <v/>
      </c>
      <c r="AE101">
        <f>MAX(-fyd_cc,MIN(fyd_cc,Es_cc*IF($E101&lt;=cc_D,0.0035*($E101-AE$6)/$E101,0.002*($E101-AE$6)/($E101-3*cc_D/7))))-fcd_cc*(1-(1-MAX(0,MIN(1,IF($E101&lt;=cc_D,0.0035*($E101-AE$6)/$E101,0.002*($E101-AE$6)/($E101-3*cc_D/7))/0.002)))^2)</f>
        <v/>
      </c>
      <c r="AF101">
        <f>MAX(-fyd_cc,MIN(fyd_cc,Es_cc*IF($E101&lt;=cc_D,0.0035*($E101-AF$6)/$E101,0.002*($E101-AF$6)/($E101-3*cc_D/7))))-fcd_cc*(1-(1-MAX(0,MIN(1,IF($E101&lt;=cc_D,0.0035*($E101-AF$6)/$E101,0.002*($E101-AF$6)/($E101-3*cc_D/7))/0.002)))^2)</f>
        <v/>
      </c>
      <c r="AG101">
        <f>MAX(-fyd_cc,MIN(fyd_cc,Es_cc*IF($E101&lt;=cc_D,0.0035*($E101-AG$6)/$E101,0.002*($E101-AG$6)/($E101-3*cc_D/7))))-fcd_cc*(1-(1-MAX(0,MIN(1,IF($E101&lt;=cc_D,0.0035*($E101-AG$6)/$E101,0.002*($E101-AG$6)/($E101-3*cc_D/7))/0.002)))^2)</f>
        <v/>
      </c>
      <c r="BF101">
        <f>3*MIN($E101,cc_D)/7</f>
        <v/>
      </c>
      <c r="BG101">
        <f>$E101-$BF101</f>
        <v/>
      </c>
      <c r="BH101">
        <f>ACOS(MAX(-1,MIN(1,1-$BF101/(cc_D/2))))</f>
        <v/>
      </c>
      <c r="BI101">
        <f>ACOS(MAX(-1,MIN(1,1-MIN($E101,cc_D)/(cc_D/2))))</f>
        <v/>
      </c>
      <c r="BJ101">
        <f>((cc_D/2*(1-COS(($BH101+0*($BI101-$BH101)/12)))-$BF101)/$BG101)^2*SIN(($BH101+0*($BI101-$BH101)/12))^2</f>
        <v/>
      </c>
      <c r="BK101">
        <f>((cc_D/2*(1-COS(($BH101+1*($BI101-$BH101)/12)))-$BF101)/$BG101)^2*SIN(($BH101+1*($BI101-$BH101)/12))^2</f>
        <v/>
      </c>
      <c r="BL101">
        <f>((cc_D/2*(1-COS(($BH101+2*($BI101-$BH101)/12)))-$BF101)/$BG101)^2*SIN(($BH101+2*($BI101-$BH101)/12))^2</f>
        <v/>
      </c>
      <c r="BM101">
        <f>((cc_D/2*(1-COS(($BH101+3*($BI101-$BH101)/12)))-$BF101)/$BG101)^2*SIN(($BH101+3*($BI101-$BH101)/12))^2</f>
        <v/>
      </c>
      <c r="BN101">
        <f>((cc_D/2*(1-COS(($BH101+4*($BI101-$BH101)/12)))-$BF101)/$BG101)^2*SIN(($BH101+4*($BI101-$BH101)/12))^2</f>
        <v/>
      </c>
      <c r="BO101">
        <f>((cc_D/2*(1-COS(($BH101+5*($BI101-$BH101)/12)))-$BF101)/$BG101)^2*SIN(($BH101+5*($BI101-$BH101)/12))^2</f>
        <v/>
      </c>
      <c r="BP101">
        <f>((cc_D/2*(1-COS(($BH101+6*($BI101-$BH101)/12)))-$BF101)/$BG101)^2*SIN(($BH101+6*($BI101-$BH101)/12))^2</f>
        <v/>
      </c>
      <c r="BQ101">
        <f>((cc_D/2*(1-COS(($BH101+7*($BI101-$BH101)/12)))-$BF101)/$BG101)^2*SIN(($BH101+7*($BI101-$BH101)/12))^2</f>
        <v/>
      </c>
      <c r="BR101">
        <f>((cc_D/2*(1-COS(($BH101+8*($BI101-$BH101)/12)))-$BF101)/$BG101)^2*SIN(($BH101+8*($BI101-$BH101)/12))^2</f>
        <v/>
      </c>
      <c r="BS101">
        <f>((cc_D/2*(1-COS(($BH101+9*($BI101-$BH101)/12)))-$BF101)/$BG101)^2*SIN(($BH101+9*($BI101-$BH101)/12))^2</f>
        <v/>
      </c>
      <c r="BT101">
        <f>((cc_D/2*(1-COS(($BH101+10*($BI101-$BH101)/12)))-$BF101)/$BG101)^2*SIN(($BH101+10*($BI101-$BH101)/12))^2</f>
        <v/>
      </c>
      <c r="BU101">
        <f>((cc_D/2*(1-COS(($BH101+11*($BI101-$BH101)/12)))-$BF101)/$BG101)^2*SIN(($BH101+11*($BI101-$BH101)/12))^2</f>
        <v/>
      </c>
      <c r="BV101">
        <f>((cc_D/2*(1-COS(($BH101+12*($BI101-$BH101)/12)))-$BF101)/$BG101)^2*SIN(($BH101+12*($BI101-$BH101)/12))^2</f>
        <v/>
      </c>
      <c r="BW101">
        <f>BJ101*COS(($BH101+0*($BI101-$BH101)/12))</f>
        <v/>
      </c>
      <c r="BX101">
        <f>BK101*COS(($BH101+1*($BI101-$BH101)/12))</f>
        <v/>
      </c>
      <c r="BY101">
        <f>BL101*COS(($BH101+2*($BI101-$BH101)/12))</f>
        <v/>
      </c>
      <c r="BZ101">
        <f>BM101*COS(($BH101+3*($BI101-$BH101)/12))</f>
        <v/>
      </c>
      <c r="CA101">
        <f>BN101*COS(($BH101+4*($BI101-$BH101)/12))</f>
        <v/>
      </c>
      <c r="CB101">
        <f>BO101*COS(($BH101+5*($BI101-$BH101)/12))</f>
        <v/>
      </c>
      <c r="CC101">
        <f>BP101*COS(($BH101+6*($BI101-$BH101)/12))</f>
        <v/>
      </c>
      <c r="CD101">
        <f>BQ101*COS(($BH101+7*($BI101-$BH101)/12))</f>
        <v/>
      </c>
      <c r="CE101">
        <f>BR101*COS(($BH101+8*($BI101-$BH101)/12))</f>
        <v/>
      </c>
      <c r="CF101">
        <f>BS101*COS(($BH101+9*($BI101-$BH101)/12))</f>
        <v/>
      </c>
      <c r="CG101">
        <f>BT101*COS(($BH101+10*($BI101-$BH101)/12))</f>
        <v/>
      </c>
      <c r="CH101">
        <f>BU101*COS(($BH101+11*($BI101-$BH101)/12))</f>
        <v/>
      </c>
      <c r="CI101">
        <f>BV101*COS(($BH101+12*($BI101-$BH101)/12))</f>
        <v/>
      </c>
    </row>
    <row r="102">
      <c r="B102" s="65" t="n">
        <v>13</v>
      </c>
      <c r="C102" s="66">
        <f>IF($G101&lt;cc_NEd-1E-9*ABS(cc_NEd),($C101+$D101)/2,$C101)</f>
        <v/>
      </c>
      <c r="D102" s="66">
        <f>IF($G101&lt;cc_NEd-1E-9*ABS(cc_NEd),$D101,($C101+$D101)/2)</f>
        <v/>
      </c>
      <c r="E102" s="67">
        <f>cc_D*(($C102+$D102)/2)/(1-(($C102+$D102)/2))</f>
        <v/>
      </c>
      <c r="F102" s="68">
        <f>IF($E102&lt;=cc_D,3.5,2*$E102/($E102-3*cc_D/7))</f>
        <v/>
      </c>
      <c r="G102" s="67">
        <f>(fcd_cc*((cc_D/2)^2*($BI102-COS($BI102)*SIN($BI102))-2*(cc_D/2)^2*($BI102-$BH102)/12/3*SUMPRODUCT($BJ$4:$BV$4,$BJ102:$BV102))+SUMPRODUCT($J$5:$AG$5,$J102:$AG102))/1000</f>
        <v/>
      </c>
      <c r="H102" s="67">
        <f>(fcd_cc*(2/3*(cc_D/2)^3*SIN($BI102)^3-2*(cc_D/2)^3*($BI102-$BH102)/12/3*SUMPRODUCT($BW$4:$CI$4,$BW102:$CI102))+SUMPRODUCT($J$5:$AG$5,$J102:$AG102,$J$7:$AG$7))/1E6</f>
        <v/>
      </c>
      <c r="I102" s="67">
        <f>SUMPRODUCT($J$5:$AG$5,$J102:$AG102,$J$8:$AG$8)/1E6</f>
        <v/>
      </c>
      <c r="J102">
        <f>MAX(-fyd_cc,MIN(fyd_cc,Es_cc*IF($E102&lt;=cc_D,0.0035*($E102-J$6)/$E102,0.002*($E102-J$6)/($E102-3*cc_D/7))))-fcd_cc*(1-(1-MAX(0,MIN(1,IF($E102&lt;=cc_D,0.0035*($E102-J$6)/$E102,0.002*($E102-J$6)/($E102-3*cc_D/7))/0.002)))^2)</f>
        <v/>
      </c>
      <c r="K102">
        <f>MAX(-fyd_cc,MIN(fyd_cc,Es_cc*IF($E102&lt;=cc_D,0.0035*($E102-K$6)/$E102,0.002*($E102-K$6)/($E102-3*cc_D/7))))-fcd_cc*(1-(1-MAX(0,MIN(1,IF($E102&lt;=cc_D,0.0035*($E102-K$6)/$E102,0.002*($E102-K$6)/($E102-3*cc_D/7))/0.002)))^2)</f>
        <v/>
      </c>
      <c r="L102">
        <f>MAX(-fyd_cc,MIN(fyd_cc,Es_cc*IF($E102&lt;=cc_D,0.0035*($E102-L$6)/$E102,0.002*($E102-L$6)/($E102-3*cc_D/7))))-fcd_cc*(1-(1-MAX(0,MIN(1,IF($E102&lt;=cc_D,0.0035*($E102-L$6)/$E102,0.002*($E102-L$6)/($E102-3*cc_D/7))/0.002)))^2)</f>
        <v/>
      </c>
      <c r="M102">
        <f>MAX(-fyd_cc,MIN(fyd_cc,Es_cc*IF($E102&lt;=cc_D,0.0035*($E102-M$6)/$E102,0.002*($E102-M$6)/($E102-3*cc_D/7))))-fcd_cc*(1-(1-MAX(0,MIN(1,IF($E102&lt;=cc_D,0.0035*($E102-M$6)/$E102,0.002*($E102-M$6)/($E102-3*cc_D/7))/0.002)))^2)</f>
        <v/>
      </c>
      <c r="N102">
        <f>MAX(-fyd_cc,MIN(fyd_cc,Es_cc*IF($E102&lt;=cc_D,0.0035*($E102-N$6)/$E102,0.002*($E102-N$6)/($E102-3*cc_D/7))))-fcd_cc*(1-(1-MAX(0,MIN(1,IF($E102&lt;=cc_D,0.0035*($E102-N$6)/$E102,0.002*($E102-N$6)/($E102-3*cc_D/7))/0.002)))^2)</f>
        <v/>
      </c>
      <c r="O102">
        <f>MAX(-fyd_cc,MIN(fyd_cc,Es_cc*IF($E102&lt;=cc_D,0.0035*($E102-O$6)/$E102,0.002*($E102-O$6)/($E102-3*cc_D/7))))-fcd_cc*(1-(1-MAX(0,MIN(1,IF($E102&lt;=cc_D,0.0035*($E102-O$6)/$E102,0.002*($E102-O$6)/($E102-3*cc_D/7))/0.002)))^2)</f>
        <v/>
      </c>
      <c r="P102">
        <f>MAX(-fyd_cc,MIN(fyd_cc,Es_cc*IF($E102&lt;=cc_D,0.0035*($E102-P$6)/$E102,0.002*($E102-P$6)/($E102-3*cc_D/7))))-fcd_cc*(1-(1-MAX(0,MIN(1,IF($E102&lt;=cc_D,0.0035*($E102-P$6)/$E102,0.002*($E102-P$6)/($E102-3*cc_D/7))/0.002)))^2)</f>
        <v/>
      </c>
      <c r="Q102">
        <f>MAX(-fyd_cc,MIN(fyd_cc,Es_cc*IF($E102&lt;=cc_D,0.0035*($E102-Q$6)/$E102,0.002*($E102-Q$6)/($E102-3*cc_D/7))))-fcd_cc*(1-(1-MAX(0,MIN(1,IF($E102&lt;=cc_D,0.0035*($E102-Q$6)/$E102,0.002*($E102-Q$6)/($E102-3*cc_D/7))/0.002)))^2)</f>
        <v/>
      </c>
      <c r="R102">
        <f>MAX(-fyd_cc,MIN(fyd_cc,Es_cc*IF($E102&lt;=cc_D,0.0035*($E102-R$6)/$E102,0.002*($E102-R$6)/($E102-3*cc_D/7))))-fcd_cc*(1-(1-MAX(0,MIN(1,IF($E102&lt;=cc_D,0.0035*($E102-R$6)/$E102,0.002*($E102-R$6)/($E102-3*cc_D/7))/0.002)))^2)</f>
        <v/>
      </c>
      <c r="S102">
        <f>MAX(-fyd_cc,MIN(fyd_cc,Es_cc*IF($E102&lt;=cc_D,0.0035*($E102-S$6)/$E102,0.002*($E102-S$6)/($E102-3*cc_D/7))))-fcd_cc*(1-(1-MAX(0,MIN(1,IF($E102&lt;=cc_D,0.0035*($E102-S$6)/$E102,0.002*($E102-S$6)/($E102-3*cc_D/7))/0.002)))^2)</f>
        <v/>
      </c>
      <c r="T102">
        <f>MAX(-fyd_cc,MIN(fyd_cc,Es_cc*IF($E102&lt;=cc_D,0.0035*($E102-T$6)/$E102,0.002*($E102-T$6)/($E102-3*cc_D/7))))-fcd_cc*(1-(1-MAX(0,MIN(1,IF($E102&lt;=cc_D,0.0035*($E102-T$6)/$E102,0.002*($E102-T$6)/($E102-3*cc_D/7))/0.002)))^2)</f>
        <v/>
      </c>
      <c r="U102">
        <f>MAX(-fyd_cc,MIN(fyd_cc,Es_cc*IF($E102&lt;=cc_D,0.0035*($E102-U$6)/$E102,0.002*($E102-U$6)/($E102-3*cc_D/7))))-fcd_cc*(1-(1-MAX(0,MIN(1,IF($E102&lt;=cc_D,0.0035*($E102-U$6)/$E102,0.002*($E102-U$6)/($E102-3*cc_D/7))/0.002)))^2)</f>
        <v/>
      </c>
      <c r="V102">
        <f>MAX(-fyd_cc,MIN(fyd_cc,Es_cc*IF($E102&lt;=cc_D,0.0035*($E102-V$6)/$E102,0.002*($E102-V$6)/($E102-3*cc_D/7))))-fcd_cc*(1-(1-MAX(0,MIN(1,IF($E102&lt;=cc_D,0.0035*($E102-V$6)/$E102,0.002*($E102-V$6)/($E102-3*cc_D/7))/0.002)))^2)</f>
        <v/>
      </c>
      <c r="W102">
        <f>MAX(-fyd_cc,MIN(fyd_cc,Es_cc*IF($E102&lt;=cc_D,0.0035*($E102-W$6)/$E102,0.002*($E102-W$6)/($E102-3*cc_D/7))))-fcd_cc*(1-(1-MAX(0,MIN(1,IF($E102&lt;=cc_D,0.0035*($E102-W$6)/$E102,0.002*($E102-W$6)/($E102-3*cc_D/7))/0.002)))^2)</f>
        <v/>
      </c>
      <c r="X102">
        <f>MAX(-fyd_cc,MIN(fyd_cc,Es_cc*IF($E102&lt;=cc_D,0.0035*($E102-X$6)/$E102,0.002*($E102-X$6)/($E102-3*cc_D/7))))-fcd_cc*(1-(1-MAX(0,MIN(1,IF($E102&lt;=cc_D,0.0035*($E102-X$6)/$E102,0.002*($E102-X$6)/($E102-3*cc_D/7))/0.002)))^2)</f>
        <v/>
      </c>
      <c r="Y102">
        <f>MAX(-fyd_cc,MIN(fyd_cc,Es_cc*IF($E102&lt;=cc_D,0.0035*($E102-Y$6)/$E102,0.002*($E102-Y$6)/($E102-3*cc_D/7))))-fcd_cc*(1-(1-MAX(0,MIN(1,IF($E102&lt;=cc_D,0.0035*($E102-Y$6)/$E102,0.002*($E102-Y$6)/($E102-3*cc_D/7))/0.002)))^2)</f>
        <v/>
      </c>
      <c r="Z102">
        <f>MAX(-fyd_cc,MIN(fyd_cc,Es_cc*IF($E102&lt;=cc_D,0.0035*($E102-Z$6)/$E102,0.002*($E102-Z$6)/($E102-3*cc_D/7))))-fcd_cc*(1-(1-MAX(0,MIN(1,IF($E102&lt;=cc_D,0.0035*($E102-Z$6)/$E102,0.002*($E102-Z$6)/($E102-3*cc_D/7))/0.002)))^2)</f>
        <v/>
      </c>
      <c r="AA102">
        <f>MAX(-fyd_cc,MIN(fyd_cc,Es_cc*IF($E102&lt;=cc_D,0.0035*($E102-AA$6)/$E102,0.002*($E102-AA$6)/($E102-3*cc_D/7))))-fcd_cc*(1-(1-MAX(0,MIN(1,IF($E102&lt;=cc_D,0.0035*($E102-AA$6)/$E102,0.002*($E102-AA$6)/($E102-3*cc_D/7))/0.002)))^2)</f>
        <v/>
      </c>
      <c r="AB102">
        <f>MAX(-fyd_cc,MIN(fyd_cc,Es_cc*IF($E102&lt;=cc_D,0.0035*($E102-AB$6)/$E102,0.002*($E102-AB$6)/($E102-3*cc_D/7))))-fcd_cc*(1-(1-MAX(0,MIN(1,IF($E102&lt;=cc_D,0.0035*($E102-AB$6)/$E102,0.002*($E102-AB$6)/($E102-3*cc_D/7))/0.002)))^2)</f>
        <v/>
      </c>
      <c r="AC102">
        <f>MAX(-fyd_cc,MIN(fyd_cc,Es_cc*IF($E102&lt;=cc_D,0.0035*($E102-AC$6)/$E102,0.002*($E102-AC$6)/($E102-3*cc_D/7))))-fcd_cc*(1-(1-MAX(0,MIN(1,IF($E102&lt;=cc_D,0.0035*($E102-AC$6)/$E102,0.002*($E102-AC$6)/($E102-3*cc_D/7))/0.002)))^2)</f>
        <v/>
      </c>
      <c r="AD102">
        <f>MAX(-fyd_cc,MIN(fyd_cc,Es_cc*IF($E102&lt;=cc_D,0.0035*($E102-AD$6)/$E102,0.002*($E102-AD$6)/($E102-3*cc_D/7))))-fcd_cc*(1-(1-MAX(0,MIN(1,IF($E102&lt;=cc_D,0.0035*($E102-AD$6)/$E102,0.002*($E102-AD$6)/($E102-3*cc_D/7))/0.002)))^2)</f>
        <v/>
      </c>
      <c r="AE102">
        <f>MAX(-fyd_cc,MIN(fyd_cc,Es_cc*IF($E102&lt;=cc_D,0.0035*($E102-AE$6)/$E102,0.002*($E102-AE$6)/($E102-3*cc_D/7))))-fcd_cc*(1-(1-MAX(0,MIN(1,IF($E102&lt;=cc_D,0.0035*($E102-AE$6)/$E102,0.002*($E102-AE$6)/($E102-3*cc_D/7))/0.002)))^2)</f>
        <v/>
      </c>
      <c r="AF102">
        <f>MAX(-fyd_cc,MIN(fyd_cc,Es_cc*IF($E102&lt;=cc_D,0.0035*($E102-AF$6)/$E102,0.002*($E102-AF$6)/($E102-3*cc_D/7))))-fcd_cc*(1-(1-MAX(0,MIN(1,IF($E102&lt;=cc_D,0.0035*($E102-AF$6)/$E102,0.002*($E102-AF$6)/($E102-3*cc_D/7))/0.002)))^2)</f>
        <v/>
      </c>
      <c r="AG102">
        <f>MAX(-fyd_cc,MIN(fyd_cc,Es_cc*IF($E102&lt;=cc_D,0.0035*($E102-AG$6)/$E102,0.002*($E102-AG$6)/($E102-3*cc_D/7))))-fcd_cc*(1-(1-MAX(0,MIN(1,IF($E102&lt;=cc_D,0.0035*($E102-AG$6)/$E102,0.002*($E102-AG$6)/($E102-3*cc_D/7))/0.002)))^2)</f>
        <v/>
      </c>
      <c r="BF102">
        <f>3*MIN($E102,cc_D)/7</f>
        <v/>
      </c>
      <c r="BG102">
        <f>$E102-$BF102</f>
        <v/>
      </c>
      <c r="BH102">
        <f>ACOS(MAX(-1,MIN(1,1-$BF102/(cc_D/2))))</f>
        <v/>
      </c>
      <c r="BI102">
        <f>ACOS(MAX(-1,MIN(1,1-MIN($E102,cc_D)/(cc_D/2))))</f>
        <v/>
      </c>
      <c r="BJ102">
        <f>((cc_D/2*(1-COS(($BH102+0*($BI102-$BH102)/12)))-$BF102)/$BG102)^2*SIN(($BH102+0*($BI102-$BH102)/12))^2</f>
        <v/>
      </c>
      <c r="BK102">
        <f>((cc_D/2*(1-COS(($BH102+1*($BI102-$BH102)/12)))-$BF102)/$BG102)^2*SIN(($BH102+1*($BI102-$BH102)/12))^2</f>
        <v/>
      </c>
      <c r="BL102">
        <f>((cc_D/2*(1-COS(($BH102+2*($BI102-$BH102)/12)))-$BF102)/$BG102)^2*SIN(($BH102+2*($BI102-$BH102)/12))^2</f>
        <v/>
      </c>
      <c r="BM102">
        <f>((cc_D/2*(1-COS(($BH102+3*($BI102-$BH102)/12)))-$BF102)/$BG102)^2*SIN(($BH102+3*($BI102-$BH102)/12))^2</f>
        <v/>
      </c>
      <c r="BN102">
        <f>((cc_D/2*(1-COS(($BH102+4*($BI102-$BH102)/12)))-$BF102)/$BG102)^2*SIN(($BH102+4*($BI102-$BH102)/12))^2</f>
        <v/>
      </c>
      <c r="BO102">
        <f>((cc_D/2*(1-COS(($BH102+5*($BI102-$BH102)/12)))-$BF102)/$BG102)^2*SIN(($BH102+5*($BI102-$BH102)/12))^2</f>
        <v/>
      </c>
      <c r="BP102">
        <f>((cc_D/2*(1-COS(($BH102+6*($BI102-$BH102)/12)))-$BF102)/$BG102)^2*SIN(($BH102+6*($BI102-$BH102)/12))^2</f>
        <v/>
      </c>
      <c r="BQ102">
        <f>((cc_D/2*(1-COS(($BH102+7*($BI102-$BH102)/12)))-$BF102)/$BG102)^2*SIN(($BH102+7*($BI102-$BH102)/12))^2</f>
        <v/>
      </c>
      <c r="BR102">
        <f>((cc_D/2*(1-COS(($BH102+8*($BI102-$BH102)/12)))-$BF102)/$BG102)^2*SIN(($BH102+8*($BI102-$BH102)/12))^2</f>
        <v/>
      </c>
      <c r="BS102">
        <f>((cc_D/2*(1-COS(($BH102+9*($BI102-$BH102)/12)))-$BF102)/$BG102)^2*SIN(($BH102+9*($BI102-$BH102)/12))^2</f>
        <v/>
      </c>
      <c r="BT102">
        <f>((cc_D/2*(1-COS(($BH102+10*($BI102-$BH102)/12)))-$BF102)/$BG102)^2*SIN(($BH102+10*($BI102-$BH102)/12))^2</f>
        <v/>
      </c>
      <c r="BU102">
        <f>((cc_D/2*(1-COS(($BH102+11*($BI102-$BH102)/12)))-$BF102)/$BG102)^2*SIN(($BH102+11*($BI102-$BH102)/12))^2</f>
        <v/>
      </c>
      <c r="BV102">
        <f>((cc_D/2*(1-COS(($BH102+12*($BI102-$BH102)/12)))-$BF102)/$BG102)^2*SIN(($BH102+12*($BI102-$BH102)/12))^2</f>
        <v/>
      </c>
      <c r="BW102">
        <f>BJ102*COS(($BH102+0*($BI102-$BH102)/12))</f>
        <v/>
      </c>
      <c r="BX102">
        <f>BK102*COS(($BH102+1*($BI102-$BH102)/12))</f>
        <v/>
      </c>
      <c r="BY102">
        <f>BL102*COS(($BH102+2*($BI102-$BH102)/12))</f>
        <v/>
      </c>
      <c r="BZ102">
        <f>BM102*COS(($BH102+3*($BI102-$BH102)/12))</f>
        <v/>
      </c>
      <c r="CA102">
        <f>BN102*COS(($BH102+4*($BI102-$BH102)/12))</f>
        <v/>
      </c>
      <c r="CB102">
        <f>BO102*COS(($BH102+5*($BI102-$BH102)/12))</f>
        <v/>
      </c>
      <c r="CC102">
        <f>BP102*COS(($BH102+6*($BI102-$BH102)/12))</f>
        <v/>
      </c>
      <c r="CD102">
        <f>BQ102*COS(($BH102+7*($BI102-$BH102)/12))</f>
        <v/>
      </c>
      <c r="CE102">
        <f>BR102*COS(($BH102+8*($BI102-$BH102)/12))</f>
        <v/>
      </c>
      <c r="CF102">
        <f>BS102*COS(($BH102+9*($BI102-$BH102)/12))</f>
        <v/>
      </c>
      <c r="CG102">
        <f>BT102*COS(($BH102+10*($BI102-$BH102)/12))</f>
        <v/>
      </c>
      <c r="CH102">
        <f>BU102*COS(($BH102+11*($BI102-$BH102)/12))</f>
        <v/>
      </c>
      <c r="CI102">
        <f>BV102*COS(($BH102+12*($BI102-$BH102)/12))</f>
        <v/>
      </c>
    </row>
    <row r="103">
      <c r="B103" s="65" t="n">
        <v>14</v>
      </c>
      <c r="C103" s="66">
        <f>IF($G102&lt;cc_NEd-1E-9*ABS(cc_NEd),($C102+$D102)/2,$C102)</f>
        <v/>
      </c>
      <c r="D103" s="66">
        <f>IF($G102&lt;cc_NEd-1E-9*ABS(cc_NEd),$D102,($C102+$D102)/2)</f>
        <v/>
      </c>
      <c r="E103" s="67">
        <f>cc_D*(($C103+$D103)/2)/(1-(($C103+$D103)/2))</f>
        <v/>
      </c>
      <c r="F103" s="68">
        <f>IF($E103&lt;=cc_D,3.5,2*$E103/($E103-3*cc_D/7))</f>
        <v/>
      </c>
      <c r="G103" s="67">
        <f>(fcd_cc*((cc_D/2)^2*($BI103-COS($BI103)*SIN($BI103))-2*(cc_D/2)^2*($BI103-$BH103)/12/3*SUMPRODUCT($BJ$4:$BV$4,$BJ103:$BV103))+SUMPRODUCT($J$5:$AG$5,$J103:$AG103))/1000</f>
        <v/>
      </c>
      <c r="H103" s="67">
        <f>(fcd_cc*(2/3*(cc_D/2)^3*SIN($BI103)^3-2*(cc_D/2)^3*($BI103-$BH103)/12/3*SUMPRODUCT($BW$4:$CI$4,$BW103:$CI103))+SUMPRODUCT($J$5:$AG$5,$J103:$AG103,$J$7:$AG$7))/1E6</f>
        <v/>
      </c>
      <c r="I103" s="67">
        <f>SUMPRODUCT($J$5:$AG$5,$J103:$AG103,$J$8:$AG$8)/1E6</f>
        <v/>
      </c>
      <c r="J103">
        <f>MAX(-fyd_cc,MIN(fyd_cc,Es_cc*IF($E103&lt;=cc_D,0.0035*($E103-J$6)/$E103,0.002*($E103-J$6)/($E103-3*cc_D/7))))-fcd_cc*(1-(1-MAX(0,MIN(1,IF($E103&lt;=cc_D,0.0035*($E103-J$6)/$E103,0.002*($E103-J$6)/($E103-3*cc_D/7))/0.002)))^2)</f>
        <v/>
      </c>
      <c r="K103">
        <f>MAX(-fyd_cc,MIN(fyd_cc,Es_cc*IF($E103&lt;=cc_D,0.0035*($E103-K$6)/$E103,0.002*($E103-K$6)/($E103-3*cc_D/7))))-fcd_cc*(1-(1-MAX(0,MIN(1,IF($E103&lt;=cc_D,0.0035*($E103-K$6)/$E103,0.002*($E103-K$6)/($E103-3*cc_D/7))/0.002)))^2)</f>
        <v/>
      </c>
      <c r="L103">
        <f>MAX(-fyd_cc,MIN(fyd_cc,Es_cc*IF($E103&lt;=cc_D,0.0035*($E103-L$6)/$E103,0.002*($E103-L$6)/($E103-3*cc_D/7))))-fcd_cc*(1-(1-MAX(0,MIN(1,IF($E103&lt;=cc_D,0.0035*($E103-L$6)/$E103,0.002*($E103-L$6)/($E103-3*cc_D/7))/0.002)))^2)</f>
        <v/>
      </c>
      <c r="M103">
        <f>MAX(-fyd_cc,MIN(fyd_cc,Es_cc*IF($E103&lt;=cc_D,0.0035*($E103-M$6)/$E103,0.002*($E103-M$6)/($E103-3*cc_D/7))))-fcd_cc*(1-(1-MAX(0,MIN(1,IF($E103&lt;=cc_D,0.0035*($E103-M$6)/$E103,0.002*($E103-M$6)/($E103-3*cc_D/7))/0.002)))^2)</f>
        <v/>
      </c>
      <c r="N103">
        <f>MAX(-fyd_cc,MIN(fyd_cc,Es_cc*IF($E103&lt;=cc_D,0.0035*($E103-N$6)/$E103,0.002*($E103-N$6)/($E103-3*cc_D/7))))-fcd_cc*(1-(1-MAX(0,MIN(1,IF($E103&lt;=cc_D,0.0035*($E103-N$6)/$E103,0.002*($E103-N$6)/($E103-3*cc_D/7))/0.002)))^2)</f>
        <v/>
      </c>
      <c r="O103">
        <f>MAX(-fyd_cc,MIN(fyd_cc,Es_cc*IF($E103&lt;=cc_D,0.0035*($E103-O$6)/$E103,0.002*($E103-O$6)/($E103-3*cc_D/7))))-fcd_cc*(1-(1-MAX(0,MIN(1,IF($E103&lt;=cc_D,0.0035*($E103-O$6)/$E103,0.002*($E103-O$6)/($E103-3*cc_D/7))/0.002)))^2)</f>
        <v/>
      </c>
      <c r="P103">
        <f>MAX(-fyd_cc,MIN(fyd_cc,Es_cc*IF($E103&lt;=cc_D,0.0035*($E103-P$6)/$E103,0.002*($E103-P$6)/($E103-3*cc_D/7))))-fcd_cc*(1-(1-MAX(0,MIN(1,IF($E103&lt;=cc_D,0.0035*($E103-P$6)/$E103,0.002*($E103-P$6)/($E103-3*cc_D/7))/0.002)))^2)</f>
        <v/>
      </c>
      <c r="Q103">
        <f>MAX(-fyd_cc,MIN(fyd_cc,Es_cc*IF($E103&lt;=cc_D,0.0035*($E103-Q$6)/$E103,0.002*($E103-Q$6)/($E103-3*cc_D/7))))-fcd_cc*(1-(1-MAX(0,MIN(1,IF($E103&lt;=cc_D,0.0035*($E103-Q$6)/$E103,0.002*($E103-Q$6)/($E103-3*cc_D/7))/0.002)))^2)</f>
        <v/>
      </c>
      <c r="R103">
        <f>MAX(-fyd_cc,MIN(fyd_cc,Es_cc*IF($E103&lt;=cc_D,0.0035*($E103-R$6)/$E103,0.002*($E103-R$6)/($E103-3*cc_D/7))))-fcd_cc*(1-(1-MAX(0,MIN(1,IF($E103&lt;=cc_D,0.0035*($E103-R$6)/$E103,0.002*($E103-R$6)/($E103-3*cc_D/7))/0.002)))^2)</f>
        <v/>
      </c>
      <c r="S103">
        <f>MAX(-fyd_cc,MIN(fyd_cc,Es_cc*IF($E103&lt;=cc_D,0.0035*($E103-S$6)/$E103,0.002*($E103-S$6)/($E103-3*cc_D/7))))-fcd_cc*(1-(1-MAX(0,MIN(1,IF($E103&lt;=cc_D,0.0035*($E103-S$6)/$E103,0.002*($E103-S$6)/($E103-3*cc_D/7))/0.002)))^2)</f>
        <v/>
      </c>
      <c r="T103">
        <f>MAX(-fyd_cc,MIN(fyd_cc,Es_cc*IF($E103&lt;=cc_D,0.0035*($E103-T$6)/$E103,0.002*($E103-T$6)/($E103-3*cc_D/7))))-fcd_cc*(1-(1-MAX(0,MIN(1,IF($E103&lt;=cc_D,0.0035*($E103-T$6)/$E103,0.002*($E103-T$6)/($E103-3*cc_D/7))/0.002)))^2)</f>
        <v/>
      </c>
      <c r="U103">
        <f>MAX(-fyd_cc,MIN(fyd_cc,Es_cc*IF($E103&lt;=cc_D,0.0035*($E103-U$6)/$E103,0.002*($E103-U$6)/($E103-3*cc_D/7))))-fcd_cc*(1-(1-MAX(0,MIN(1,IF($E103&lt;=cc_D,0.0035*($E103-U$6)/$E103,0.002*($E103-U$6)/($E103-3*cc_D/7))/0.002)))^2)</f>
        <v/>
      </c>
      <c r="V103">
        <f>MAX(-fyd_cc,MIN(fyd_cc,Es_cc*IF($E103&lt;=cc_D,0.0035*($E103-V$6)/$E103,0.002*($E103-V$6)/($E103-3*cc_D/7))))-fcd_cc*(1-(1-MAX(0,MIN(1,IF($E103&lt;=cc_D,0.0035*($E103-V$6)/$E103,0.002*($E103-V$6)/($E103-3*cc_D/7))/0.002)))^2)</f>
        <v/>
      </c>
      <c r="W103">
        <f>MAX(-fyd_cc,MIN(fyd_cc,Es_cc*IF($E103&lt;=cc_D,0.0035*($E103-W$6)/$E103,0.002*($E103-W$6)/($E103-3*cc_D/7))))-fcd_cc*(1-(1-MAX(0,MIN(1,IF($E103&lt;=cc_D,0.0035*($E103-W$6)/$E103,0.002*($E103-W$6)/($E103-3*cc_D/7))/0.002)))^2)</f>
        <v/>
      </c>
      <c r="X103">
        <f>MAX(-fyd_cc,MIN(fyd_cc,Es_cc*IF($E103&lt;=cc_D,0.0035*($E103-X$6)/$E103,0.002*($E103-X$6)/($E103-3*cc_D/7))))-fcd_cc*(1-(1-MAX(0,MIN(1,IF($E103&lt;=cc_D,0.0035*($E103-X$6)/$E103,0.002*($E103-X$6)/($E103-3*cc_D/7))/0.002)))^2)</f>
        <v/>
      </c>
      <c r="Y103">
        <f>MAX(-fyd_cc,MIN(fyd_cc,Es_cc*IF($E103&lt;=cc_D,0.0035*($E103-Y$6)/$E103,0.002*($E103-Y$6)/($E103-3*cc_D/7))))-fcd_cc*(1-(1-MAX(0,MIN(1,IF($E103&lt;=cc_D,0.0035*($E103-Y$6)/$E103,0.002*($E103-Y$6)/($E103-3*cc_D/7))/0.002)))^2)</f>
        <v/>
      </c>
      <c r="Z103">
        <f>MAX(-fyd_cc,MIN(fyd_cc,Es_cc*IF($E103&lt;=cc_D,0.0035*($E103-Z$6)/$E103,0.002*($E103-Z$6)/($E103-3*cc_D/7))))-fcd_cc*(1-(1-MAX(0,MIN(1,IF($E103&lt;=cc_D,0.0035*($E103-Z$6)/$E103,0.002*($E103-Z$6)/($E103-3*cc_D/7))/0.002)))^2)</f>
        <v/>
      </c>
      <c r="AA103">
        <f>MAX(-fyd_cc,MIN(fyd_cc,Es_cc*IF($E103&lt;=cc_D,0.0035*($E103-AA$6)/$E103,0.002*($E103-AA$6)/($E103-3*cc_D/7))))-fcd_cc*(1-(1-MAX(0,MIN(1,IF($E103&lt;=cc_D,0.0035*($E103-AA$6)/$E103,0.002*($E103-AA$6)/($E103-3*cc_D/7))/0.002)))^2)</f>
        <v/>
      </c>
      <c r="AB103">
        <f>MAX(-fyd_cc,MIN(fyd_cc,Es_cc*IF($E103&lt;=cc_D,0.0035*($E103-AB$6)/$E103,0.002*($E103-AB$6)/($E103-3*cc_D/7))))-fcd_cc*(1-(1-MAX(0,MIN(1,IF($E103&lt;=cc_D,0.0035*($E103-AB$6)/$E103,0.002*($E103-AB$6)/($E103-3*cc_D/7))/0.002)))^2)</f>
        <v/>
      </c>
      <c r="AC103">
        <f>MAX(-fyd_cc,MIN(fyd_cc,Es_cc*IF($E103&lt;=cc_D,0.0035*($E103-AC$6)/$E103,0.002*($E103-AC$6)/($E103-3*cc_D/7))))-fcd_cc*(1-(1-MAX(0,MIN(1,IF($E103&lt;=cc_D,0.0035*($E103-AC$6)/$E103,0.002*($E103-AC$6)/($E103-3*cc_D/7))/0.002)))^2)</f>
        <v/>
      </c>
      <c r="AD103">
        <f>MAX(-fyd_cc,MIN(fyd_cc,Es_cc*IF($E103&lt;=cc_D,0.0035*($E103-AD$6)/$E103,0.002*($E103-AD$6)/($E103-3*cc_D/7))))-fcd_cc*(1-(1-MAX(0,MIN(1,IF($E103&lt;=cc_D,0.0035*($E103-AD$6)/$E103,0.002*($E103-AD$6)/($E103-3*cc_D/7))/0.002)))^2)</f>
        <v/>
      </c>
      <c r="AE103">
        <f>MAX(-fyd_cc,MIN(fyd_cc,Es_cc*IF($E103&lt;=cc_D,0.0035*($E103-AE$6)/$E103,0.002*($E103-AE$6)/($E103-3*cc_D/7))))-fcd_cc*(1-(1-MAX(0,MIN(1,IF($E103&lt;=cc_D,0.0035*($E103-AE$6)/$E103,0.002*($E103-AE$6)/($E103-3*cc_D/7))/0.002)))^2)</f>
        <v/>
      </c>
      <c r="AF103">
        <f>MAX(-fyd_cc,MIN(fyd_cc,Es_cc*IF($E103&lt;=cc_D,0.0035*($E103-AF$6)/$E103,0.002*($E103-AF$6)/($E103-3*cc_D/7))))-fcd_cc*(1-(1-MAX(0,MIN(1,IF($E103&lt;=cc_D,0.0035*($E103-AF$6)/$E103,0.002*($E103-AF$6)/($E103-3*cc_D/7))/0.002)))^2)</f>
        <v/>
      </c>
      <c r="AG103">
        <f>MAX(-fyd_cc,MIN(fyd_cc,Es_cc*IF($E103&lt;=cc_D,0.0035*($E103-AG$6)/$E103,0.002*($E103-AG$6)/($E103-3*cc_D/7))))-fcd_cc*(1-(1-MAX(0,MIN(1,IF($E103&lt;=cc_D,0.0035*($E103-AG$6)/$E103,0.002*($E103-AG$6)/($E103-3*cc_D/7))/0.002)))^2)</f>
        <v/>
      </c>
      <c r="BF103">
        <f>3*MIN($E103,cc_D)/7</f>
        <v/>
      </c>
      <c r="BG103">
        <f>$E103-$BF103</f>
        <v/>
      </c>
      <c r="BH103">
        <f>ACOS(MAX(-1,MIN(1,1-$BF103/(cc_D/2))))</f>
        <v/>
      </c>
      <c r="BI103">
        <f>ACOS(MAX(-1,MIN(1,1-MIN($E103,cc_D)/(cc_D/2))))</f>
        <v/>
      </c>
      <c r="BJ103">
        <f>((cc_D/2*(1-COS(($BH103+0*($BI103-$BH103)/12)))-$BF103)/$BG103)^2*SIN(($BH103+0*($BI103-$BH103)/12))^2</f>
        <v/>
      </c>
      <c r="BK103">
        <f>((cc_D/2*(1-COS(($BH103+1*($BI103-$BH103)/12)))-$BF103)/$BG103)^2*SIN(($BH103+1*($BI103-$BH103)/12))^2</f>
        <v/>
      </c>
      <c r="BL103">
        <f>((cc_D/2*(1-COS(($BH103+2*($BI103-$BH103)/12)))-$BF103)/$BG103)^2*SIN(($BH103+2*($BI103-$BH103)/12))^2</f>
        <v/>
      </c>
      <c r="BM103">
        <f>((cc_D/2*(1-COS(($BH103+3*($BI103-$BH103)/12)))-$BF103)/$BG103)^2*SIN(($BH103+3*($BI103-$BH103)/12))^2</f>
        <v/>
      </c>
      <c r="BN103">
        <f>((cc_D/2*(1-COS(($BH103+4*($BI103-$BH103)/12)))-$BF103)/$BG103)^2*SIN(($BH103+4*($BI103-$BH103)/12))^2</f>
        <v/>
      </c>
      <c r="BO103">
        <f>((cc_D/2*(1-COS(($BH103+5*($BI103-$BH103)/12)))-$BF103)/$BG103)^2*SIN(($BH103+5*($BI103-$BH103)/12))^2</f>
        <v/>
      </c>
      <c r="BP103">
        <f>((cc_D/2*(1-COS(($BH103+6*($BI103-$BH103)/12)))-$BF103)/$BG103)^2*SIN(($BH103+6*($BI103-$BH103)/12))^2</f>
        <v/>
      </c>
      <c r="BQ103">
        <f>((cc_D/2*(1-COS(($BH103+7*($BI103-$BH103)/12)))-$BF103)/$BG103)^2*SIN(($BH103+7*($BI103-$BH103)/12))^2</f>
        <v/>
      </c>
      <c r="BR103">
        <f>((cc_D/2*(1-COS(($BH103+8*($BI103-$BH103)/12)))-$BF103)/$BG103)^2*SIN(($BH103+8*($BI103-$BH103)/12))^2</f>
        <v/>
      </c>
      <c r="BS103">
        <f>((cc_D/2*(1-COS(($BH103+9*($BI103-$BH103)/12)))-$BF103)/$BG103)^2*SIN(($BH103+9*($BI103-$BH103)/12))^2</f>
        <v/>
      </c>
      <c r="BT103">
        <f>((cc_D/2*(1-COS(($BH103+10*($BI103-$BH103)/12)))-$BF103)/$BG103)^2*SIN(($BH103+10*($BI103-$BH103)/12))^2</f>
        <v/>
      </c>
      <c r="BU103">
        <f>((cc_D/2*(1-COS(($BH103+11*($BI103-$BH103)/12)))-$BF103)/$BG103)^2*SIN(($BH103+11*($BI103-$BH103)/12))^2</f>
        <v/>
      </c>
      <c r="BV103">
        <f>((cc_D/2*(1-COS(($BH103+12*($BI103-$BH103)/12)))-$BF103)/$BG103)^2*SIN(($BH103+12*($BI103-$BH103)/12))^2</f>
        <v/>
      </c>
      <c r="BW103">
        <f>BJ103*COS(($BH103+0*($BI103-$BH103)/12))</f>
        <v/>
      </c>
      <c r="BX103">
        <f>BK103*COS(($BH103+1*($BI103-$BH103)/12))</f>
        <v/>
      </c>
      <c r="BY103">
        <f>BL103*COS(($BH103+2*($BI103-$BH103)/12))</f>
        <v/>
      </c>
      <c r="BZ103">
        <f>BM103*COS(($BH103+3*($BI103-$BH103)/12))</f>
        <v/>
      </c>
      <c r="CA103">
        <f>BN103*COS(($BH103+4*($BI103-$BH103)/12))</f>
        <v/>
      </c>
      <c r="CB103">
        <f>BO103*COS(($BH103+5*($BI103-$BH103)/12))</f>
        <v/>
      </c>
      <c r="CC103">
        <f>BP103*COS(($BH103+6*($BI103-$BH103)/12))</f>
        <v/>
      </c>
      <c r="CD103">
        <f>BQ103*COS(($BH103+7*($BI103-$BH103)/12))</f>
        <v/>
      </c>
      <c r="CE103">
        <f>BR103*COS(($BH103+8*($BI103-$BH103)/12))</f>
        <v/>
      </c>
      <c r="CF103">
        <f>BS103*COS(($BH103+9*($BI103-$BH103)/12))</f>
        <v/>
      </c>
      <c r="CG103">
        <f>BT103*COS(($BH103+10*($BI103-$BH103)/12))</f>
        <v/>
      </c>
      <c r="CH103">
        <f>BU103*COS(($BH103+11*($BI103-$BH103)/12))</f>
        <v/>
      </c>
      <c r="CI103">
        <f>BV103*COS(($BH103+12*($BI103-$BH103)/12))</f>
        <v/>
      </c>
    </row>
    <row r="104">
      <c r="B104" s="65" t="n">
        <v>15</v>
      </c>
      <c r="C104" s="66">
        <f>IF($G103&lt;cc_NEd-1E-9*ABS(cc_NEd),($C103+$D103)/2,$C103)</f>
        <v/>
      </c>
      <c r="D104" s="66">
        <f>IF($G103&lt;cc_NEd-1E-9*ABS(cc_NEd),$D103,($C103+$D103)/2)</f>
        <v/>
      </c>
      <c r="E104" s="67">
        <f>cc_D*(($C104+$D104)/2)/(1-(($C104+$D104)/2))</f>
        <v/>
      </c>
      <c r="F104" s="68">
        <f>IF($E104&lt;=cc_D,3.5,2*$E104/($E104-3*cc_D/7))</f>
        <v/>
      </c>
      <c r="G104" s="67">
        <f>(fcd_cc*((cc_D/2)^2*($BI104-COS($BI104)*SIN($BI104))-2*(cc_D/2)^2*($BI104-$BH104)/12/3*SUMPRODUCT($BJ$4:$BV$4,$BJ104:$BV104))+SUMPRODUCT($J$5:$AG$5,$J104:$AG104))/1000</f>
        <v/>
      </c>
      <c r="H104" s="67">
        <f>(fcd_cc*(2/3*(cc_D/2)^3*SIN($BI104)^3-2*(cc_D/2)^3*($BI104-$BH104)/12/3*SUMPRODUCT($BW$4:$CI$4,$BW104:$CI104))+SUMPRODUCT($J$5:$AG$5,$J104:$AG104,$J$7:$AG$7))/1E6</f>
        <v/>
      </c>
      <c r="I104" s="67">
        <f>SUMPRODUCT($J$5:$AG$5,$J104:$AG104,$J$8:$AG$8)/1E6</f>
        <v/>
      </c>
      <c r="J104">
        <f>MAX(-fyd_cc,MIN(fyd_cc,Es_cc*IF($E104&lt;=cc_D,0.0035*($E104-J$6)/$E104,0.002*($E104-J$6)/($E104-3*cc_D/7))))-fcd_cc*(1-(1-MAX(0,MIN(1,IF($E104&lt;=cc_D,0.0035*($E104-J$6)/$E104,0.002*($E104-J$6)/($E104-3*cc_D/7))/0.002)))^2)</f>
        <v/>
      </c>
      <c r="K104">
        <f>MAX(-fyd_cc,MIN(fyd_cc,Es_cc*IF($E104&lt;=cc_D,0.0035*($E104-K$6)/$E104,0.002*($E104-K$6)/($E104-3*cc_D/7))))-fcd_cc*(1-(1-MAX(0,MIN(1,IF($E104&lt;=cc_D,0.0035*($E104-K$6)/$E104,0.002*($E104-K$6)/($E104-3*cc_D/7))/0.002)))^2)</f>
        <v/>
      </c>
      <c r="L104">
        <f>MAX(-fyd_cc,MIN(fyd_cc,Es_cc*IF($E104&lt;=cc_D,0.0035*($E104-L$6)/$E104,0.002*($E104-L$6)/($E104-3*cc_D/7))))-fcd_cc*(1-(1-MAX(0,MIN(1,IF($E104&lt;=cc_D,0.0035*($E104-L$6)/$E104,0.002*($E104-L$6)/($E104-3*cc_D/7))/0.002)))^2)</f>
        <v/>
      </c>
      <c r="M104">
        <f>MAX(-fyd_cc,MIN(fyd_cc,Es_cc*IF($E104&lt;=cc_D,0.0035*($E104-M$6)/$E104,0.002*($E104-M$6)/($E104-3*cc_D/7))))-fcd_cc*(1-(1-MAX(0,MIN(1,IF($E104&lt;=cc_D,0.0035*($E104-M$6)/$E104,0.002*($E104-M$6)/($E104-3*cc_D/7))/0.002)))^2)</f>
        <v/>
      </c>
      <c r="N104">
        <f>MAX(-fyd_cc,MIN(fyd_cc,Es_cc*IF($E104&lt;=cc_D,0.0035*($E104-N$6)/$E104,0.002*($E104-N$6)/($E104-3*cc_D/7))))-fcd_cc*(1-(1-MAX(0,MIN(1,IF($E104&lt;=cc_D,0.0035*($E104-N$6)/$E104,0.002*($E104-N$6)/($E104-3*cc_D/7))/0.002)))^2)</f>
        <v/>
      </c>
      <c r="O104">
        <f>MAX(-fyd_cc,MIN(fyd_cc,Es_cc*IF($E104&lt;=cc_D,0.0035*($E104-O$6)/$E104,0.002*($E104-O$6)/($E104-3*cc_D/7))))-fcd_cc*(1-(1-MAX(0,MIN(1,IF($E104&lt;=cc_D,0.0035*($E104-O$6)/$E104,0.002*($E104-O$6)/($E104-3*cc_D/7))/0.002)))^2)</f>
        <v/>
      </c>
      <c r="P104">
        <f>MAX(-fyd_cc,MIN(fyd_cc,Es_cc*IF($E104&lt;=cc_D,0.0035*($E104-P$6)/$E104,0.002*($E104-P$6)/($E104-3*cc_D/7))))-fcd_cc*(1-(1-MAX(0,MIN(1,IF($E104&lt;=cc_D,0.0035*($E104-P$6)/$E104,0.002*($E104-P$6)/($E104-3*cc_D/7))/0.002)))^2)</f>
        <v/>
      </c>
      <c r="Q104">
        <f>MAX(-fyd_cc,MIN(fyd_cc,Es_cc*IF($E104&lt;=cc_D,0.0035*($E104-Q$6)/$E104,0.002*($E104-Q$6)/($E104-3*cc_D/7))))-fcd_cc*(1-(1-MAX(0,MIN(1,IF($E104&lt;=cc_D,0.0035*($E104-Q$6)/$E104,0.002*($E104-Q$6)/($E104-3*cc_D/7))/0.002)))^2)</f>
        <v/>
      </c>
      <c r="R104">
        <f>MAX(-fyd_cc,MIN(fyd_cc,Es_cc*IF($E104&lt;=cc_D,0.0035*($E104-R$6)/$E104,0.002*($E104-R$6)/($E104-3*cc_D/7))))-fcd_cc*(1-(1-MAX(0,MIN(1,IF($E104&lt;=cc_D,0.0035*($E104-R$6)/$E104,0.002*($E104-R$6)/($E104-3*cc_D/7))/0.002)))^2)</f>
        <v/>
      </c>
      <c r="S104">
        <f>MAX(-fyd_cc,MIN(fyd_cc,Es_cc*IF($E104&lt;=cc_D,0.0035*($E104-S$6)/$E104,0.002*($E104-S$6)/($E104-3*cc_D/7))))-fcd_cc*(1-(1-MAX(0,MIN(1,IF($E104&lt;=cc_D,0.0035*($E104-S$6)/$E104,0.002*($E104-S$6)/($E104-3*cc_D/7))/0.002)))^2)</f>
        <v/>
      </c>
      <c r="T104">
        <f>MAX(-fyd_cc,MIN(fyd_cc,Es_cc*IF($E104&lt;=cc_D,0.0035*($E104-T$6)/$E104,0.002*($E104-T$6)/($E104-3*cc_D/7))))-fcd_cc*(1-(1-MAX(0,MIN(1,IF($E104&lt;=cc_D,0.0035*($E104-T$6)/$E104,0.002*($E104-T$6)/($E104-3*cc_D/7))/0.002)))^2)</f>
        <v/>
      </c>
      <c r="U104">
        <f>MAX(-fyd_cc,MIN(fyd_cc,Es_cc*IF($E104&lt;=cc_D,0.0035*($E104-U$6)/$E104,0.002*($E104-U$6)/($E104-3*cc_D/7))))-fcd_cc*(1-(1-MAX(0,MIN(1,IF($E104&lt;=cc_D,0.0035*($E104-U$6)/$E104,0.002*($E104-U$6)/($E104-3*cc_D/7))/0.002)))^2)</f>
        <v/>
      </c>
      <c r="V104">
        <f>MAX(-fyd_cc,MIN(fyd_cc,Es_cc*IF($E104&lt;=cc_D,0.0035*($E104-V$6)/$E104,0.002*($E104-V$6)/($E104-3*cc_D/7))))-fcd_cc*(1-(1-MAX(0,MIN(1,IF($E104&lt;=cc_D,0.0035*($E104-V$6)/$E104,0.002*($E104-V$6)/($E104-3*cc_D/7))/0.002)))^2)</f>
        <v/>
      </c>
      <c r="W104">
        <f>MAX(-fyd_cc,MIN(fyd_cc,Es_cc*IF($E104&lt;=cc_D,0.0035*($E104-W$6)/$E104,0.002*($E104-W$6)/($E104-3*cc_D/7))))-fcd_cc*(1-(1-MAX(0,MIN(1,IF($E104&lt;=cc_D,0.0035*($E104-W$6)/$E104,0.002*($E104-W$6)/($E104-3*cc_D/7))/0.002)))^2)</f>
        <v/>
      </c>
      <c r="X104">
        <f>MAX(-fyd_cc,MIN(fyd_cc,Es_cc*IF($E104&lt;=cc_D,0.0035*($E104-X$6)/$E104,0.002*($E104-X$6)/($E104-3*cc_D/7))))-fcd_cc*(1-(1-MAX(0,MIN(1,IF($E104&lt;=cc_D,0.0035*($E104-X$6)/$E104,0.002*($E104-X$6)/($E104-3*cc_D/7))/0.002)))^2)</f>
        <v/>
      </c>
      <c r="Y104">
        <f>MAX(-fyd_cc,MIN(fyd_cc,Es_cc*IF($E104&lt;=cc_D,0.0035*($E104-Y$6)/$E104,0.002*($E104-Y$6)/($E104-3*cc_D/7))))-fcd_cc*(1-(1-MAX(0,MIN(1,IF($E104&lt;=cc_D,0.0035*($E104-Y$6)/$E104,0.002*($E104-Y$6)/($E104-3*cc_D/7))/0.002)))^2)</f>
        <v/>
      </c>
      <c r="Z104">
        <f>MAX(-fyd_cc,MIN(fyd_cc,Es_cc*IF($E104&lt;=cc_D,0.0035*($E104-Z$6)/$E104,0.002*($E104-Z$6)/($E104-3*cc_D/7))))-fcd_cc*(1-(1-MAX(0,MIN(1,IF($E104&lt;=cc_D,0.0035*($E104-Z$6)/$E104,0.002*($E104-Z$6)/($E104-3*cc_D/7))/0.002)))^2)</f>
        <v/>
      </c>
      <c r="AA104">
        <f>MAX(-fyd_cc,MIN(fyd_cc,Es_cc*IF($E104&lt;=cc_D,0.0035*($E104-AA$6)/$E104,0.002*($E104-AA$6)/($E104-3*cc_D/7))))-fcd_cc*(1-(1-MAX(0,MIN(1,IF($E104&lt;=cc_D,0.0035*($E104-AA$6)/$E104,0.002*($E104-AA$6)/($E104-3*cc_D/7))/0.002)))^2)</f>
        <v/>
      </c>
      <c r="AB104">
        <f>MAX(-fyd_cc,MIN(fyd_cc,Es_cc*IF($E104&lt;=cc_D,0.0035*($E104-AB$6)/$E104,0.002*($E104-AB$6)/($E104-3*cc_D/7))))-fcd_cc*(1-(1-MAX(0,MIN(1,IF($E104&lt;=cc_D,0.0035*($E104-AB$6)/$E104,0.002*($E104-AB$6)/($E104-3*cc_D/7))/0.002)))^2)</f>
        <v/>
      </c>
      <c r="AC104">
        <f>MAX(-fyd_cc,MIN(fyd_cc,Es_cc*IF($E104&lt;=cc_D,0.0035*($E104-AC$6)/$E104,0.002*($E104-AC$6)/($E104-3*cc_D/7))))-fcd_cc*(1-(1-MAX(0,MIN(1,IF($E104&lt;=cc_D,0.0035*($E104-AC$6)/$E104,0.002*($E104-AC$6)/($E104-3*cc_D/7))/0.002)))^2)</f>
        <v/>
      </c>
      <c r="AD104">
        <f>MAX(-fyd_cc,MIN(fyd_cc,Es_cc*IF($E104&lt;=cc_D,0.0035*($E104-AD$6)/$E104,0.002*($E104-AD$6)/($E104-3*cc_D/7))))-fcd_cc*(1-(1-MAX(0,MIN(1,IF($E104&lt;=cc_D,0.0035*($E104-AD$6)/$E104,0.002*($E104-AD$6)/($E104-3*cc_D/7))/0.002)))^2)</f>
        <v/>
      </c>
      <c r="AE104">
        <f>MAX(-fyd_cc,MIN(fyd_cc,Es_cc*IF($E104&lt;=cc_D,0.0035*($E104-AE$6)/$E104,0.002*($E104-AE$6)/($E104-3*cc_D/7))))-fcd_cc*(1-(1-MAX(0,MIN(1,IF($E104&lt;=cc_D,0.0035*($E104-AE$6)/$E104,0.002*($E104-AE$6)/($E104-3*cc_D/7))/0.002)))^2)</f>
        <v/>
      </c>
      <c r="AF104">
        <f>MAX(-fyd_cc,MIN(fyd_cc,Es_cc*IF($E104&lt;=cc_D,0.0035*($E104-AF$6)/$E104,0.002*($E104-AF$6)/($E104-3*cc_D/7))))-fcd_cc*(1-(1-MAX(0,MIN(1,IF($E104&lt;=cc_D,0.0035*($E104-AF$6)/$E104,0.002*($E104-AF$6)/($E104-3*cc_D/7))/0.002)))^2)</f>
        <v/>
      </c>
      <c r="AG104">
        <f>MAX(-fyd_cc,MIN(fyd_cc,Es_cc*IF($E104&lt;=cc_D,0.0035*($E104-AG$6)/$E104,0.002*($E104-AG$6)/($E104-3*cc_D/7))))-fcd_cc*(1-(1-MAX(0,MIN(1,IF($E104&lt;=cc_D,0.0035*($E104-AG$6)/$E104,0.002*($E104-AG$6)/($E104-3*cc_D/7))/0.002)))^2)</f>
        <v/>
      </c>
      <c r="BF104">
        <f>3*MIN($E104,cc_D)/7</f>
        <v/>
      </c>
      <c r="BG104">
        <f>$E104-$BF104</f>
        <v/>
      </c>
      <c r="BH104">
        <f>ACOS(MAX(-1,MIN(1,1-$BF104/(cc_D/2))))</f>
        <v/>
      </c>
      <c r="BI104">
        <f>ACOS(MAX(-1,MIN(1,1-MIN($E104,cc_D)/(cc_D/2))))</f>
        <v/>
      </c>
      <c r="BJ104">
        <f>((cc_D/2*(1-COS(($BH104+0*($BI104-$BH104)/12)))-$BF104)/$BG104)^2*SIN(($BH104+0*($BI104-$BH104)/12))^2</f>
        <v/>
      </c>
      <c r="BK104">
        <f>((cc_D/2*(1-COS(($BH104+1*($BI104-$BH104)/12)))-$BF104)/$BG104)^2*SIN(($BH104+1*($BI104-$BH104)/12))^2</f>
        <v/>
      </c>
      <c r="BL104">
        <f>((cc_D/2*(1-COS(($BH104+2*($BI104-$BH104)/12)))-$BF104)/$BG104)^2*SIN(($BH104+2*($BI104-$BH104)/12))^2</f>
        <v/>
      </c>
      <c r="BM104">
        <f>((cc_D/2*(1-COS(($BH104+3*($BI104-$BH104)/12)))-$BF104)/$BG104)^2*SIN(($BH104+3*($BI104-$BH104)/12))^2</f>
        <v/>
      </c>
      <c r="BN104">
        <f>((cc_D/2*(1-COS(($BH104+4*($BI104-$BH104)/12)))-$BF104)/$BG104)^2*SIN(($BH104+4*($BI104-$BH104)/12))^2</f>
        <v/>
      </c>
      <c r="BO104">
        <f>((cc_D/2*(1-COS(($BH104+5*($BI104-$BH104)/12)))-$BF104)/$BG104)^2*SIN(($BH104+5*($BI104-$BH104)/12))^2</f>
        <v/>
      </c>
      <c r="BP104">
        <f>((cc_D/2*(1-COS(($BH104+6*($BI104-$BH104)/12)))-$BF104)/$BG104)^2*SIN(($BH104+6*($BI104-$BH104)/12))^2</f>
        <v/>
      </c>
      <c r="BQ104">
        <f>((cc_D/2*(1-COS(($BH104+7*($BI104-$BH104)/12)))-$BF104)/$BG104)^2*SIN(($BH104+7*($BI104-$BH104)/12))^2</f>
        <v/>
      </c>
      <c r="BR104">
        <f>((cc_D/2*(1-COS(($BH104+8*($BI104-$BH104)/12)))-$BF104)/$BG104)^2*SIN(($BH104+8*($BI104-$BH104)/12))^2</f>
        <v/>
      </c>
      <c r="BS104">
        <f>((cc_D/2*(1-COS(($BH104+9*($BI104-$BH104)/12)))-$BF104)/$BG104)^2*SIN(($BH104+9*($BI104-$BH104)/12))^2</f>
        <v/>
      </c>
      <c r="BT104">
        <f>((cc_D/2*(1-COS(($BH104+10*($BI104-$BH104)/12)))-$BF104)/$BG104)^2*SIN(($BH104+10*($BI104-$BH104)/12))^2</f>
        <v/>
      </c>
      <c r="BU104">
        <f>((cc_D/2*(1-COS(($BH104+11*($BI104-$BH104)/12)))-$BF104)/$BG104)^2*SIN(($BH104+11*($BI104-$BH104)/12))^2</f>
        <v/>
      </c>
      <c r="BV104">
        <f>((cc_D/2*(1-COS(($BH104+12*($BI104-$BH104)/12)))-$BF104)/$BG104)^2*SIN(($BH104+12*($BI104-$BH104)/12))^2</f>
        <v/>
      </c>
      <c r="BW104">
        <f>BJ104*COS(($BH104+0*($BI104-$BH104)/12))</f>
        <v/>
      </c>
      <c r="BX104">
        <f>BK104*COS(($BH104+1*($BI104-$BH104)/12))</f>
        <v/>
      </c>
      <c r="BY104">
        <f>BL104*COS(($BH104+2*($BI104-$BH104)/12))</f>
        <v/>
      </c>
      <c r="BZ104">
        <f>BM104*COS(($BH104+3*($BI104-$BH104)/12))</f>
        <v/>
      </c>
      <c r="CA104">
        <f>BN104*COS(($BH104+4*($BI104-$BH104)/12))</f>
        <v/>
      </c>
      <c r="CB104">
        <f>BO104*COS(($BH104+5*($BI104-$BH104)/12))</f>
        <v/>
      </c>
      <c r="CC104">
        <f>BP104*COS(($BH104+6*($BI104-$BH104)/12))</f>
        <v/>
      </c>
      <c r="CD104">
        <f>BQ104*COS(($BH104+7*($BI104-$BH104)/12))</f>
        <v/>
      </c>
      <c r="CE104">
        <f>BR104*COS(($BH104+8*($BI104-$BH104)/12))</f>
        <v/>
      </c>
      <c r="CF104">
        <f>BS104*COS(($BH104+9*($BI104-$BH104)/12))</f>
        <v/>
      </c>
      <c r="CG104">
        <f>BT104*COS(($BH104+10*($BI104-$BH104)/12))</f>
        <v/>
      </c>
      <c r="CH104">
        <f>BU104*COS(($BH104+11*($BI104-$BH104)/12))</f>
        <v/>
      </c>
      <c r="CI104">
        <f>BV104*COS(($BH104+12*($BI104-$BH104)/12))</f>
        <v/>
      </c>
    </row>
    <row r="105">
      <c r="B105" s="65" t="n">
        <v>16</v>
      </c>
      <c r="C105" s="66">
        <f>IF($G104&lt;cc_NEd-1E-9*ABS(cc_NEd),($C104+$D104)/2,$C104)</f>
        <v/>
      </c>
      <c r="D105" s="66">
        <f>IF($G104&lt;cc_NEd-1E-9*ABS(cc_NEd),$D104,($C104+$D104)/2)</f>
        <v/>
      </c>
      <c r="E105" s="67">
        <f>cc_D*(($C105+$D105)/2)/(1-(($C105+$D105)/2))</f>
        <v/>
      </c>
      <c r="F105" s="68">
        <f>IF($E105&lt;=cc_D,3.5,2*$E105/($E105-3*cc_D/7))</f>
        <v/>
      </c>
      <c r="G105" s="67">
        <f>(fcd_cc*((cc_D/2)^2*($BI105-COS($BI105)*SIN($BI105))-2*(cc_D/2)^2*($BI105-$BH105)/12/3*SUMPRODUCT($BJ$4:$BV$4,$BJ105:$BV105))+SUMPRODUCT($J$5:$AG$5,$J105:$AG105))/1000</f>
        <v/>
      </c>
      <c r="H105" s="67">
        <f>(fcd_cc*(2/3*(cc_D/2)^3*SIN($BI105)^3-2*(cc_D/2)^3*($BI105-$BH105)/12/3*SUMPRODUCT($BW$4:$CI$4,$BW105:$CI105))+SUMPRODUCT($J$5:$AG$5,$J105:$AG105,$J$7:$AG$7))/1E6</f>
        <v/>
      </c>
      <c r="I105" s="67">
        <f>SUMPRODUCT($J$5:$AG$5,$J105:$AG105,$J$8:$AG$8)/1E6</f>
        <v/>
      </c>
      <c r="J105">
        <f>MAX(-fyd_cc,MIN(fyd_cc,Es_cc*IF($E105&lt;=cc_D,0.0035*($E105-J$6)/$E105,0.002*($E105-J$6)/($E105-3*cc_D/7))))-fcd_cc*(1-(1-MAX(0,MIN(1,IF($E105&lt;=cc_D,0.0035*($E105-J$6)/$E105,0.002*($E105-J$6)/($E105-3*cc_D/7))/0.002)))^2)</f>
        <v/>
      </c>
      <c r="K105">
        <f>MAX(-fyd_cc,MIN(fyd_cc,Es_cc*IF($E105&lt;=cc_D,0.0035*($E105-K$6)/$E105,0.002*($E105-K$6)/($E105-3*cc_D/7))))-fcd_cc*(1-(1-MAX(0,MIN(1,IF($E105&lt;=cc_D,0.0035*($E105-K$6)/$E105,0.002*($E105-K$6)/($E105-3*cc_D/7))/0.002)))^2)</f>
        <v/>
      </c>
      <c r="L105">
        <f>MAX(-fyd_cc,MIN(fyd_cc,Es_cc*IF($E105&lt;=cc_D,0.0035*($E105-L$6)/$E105,0.002*($E105-L$6)/($E105-3*cc_D/7))))-fcd_cc*(1-(1-MAX(0,MIN(1,IF($E105&lt;=cc_D,0.0035*($E105-L$6)/$E105,0.002*($E105-L$6)/($E105-3*cc_D/7))/0.002)))^2)</f>
        <v/>
      </c>
      <c r="M105">
        <f>MAX(-fyd_cc,MIN(fyd_cc,Es_cc*IF($E105&lt;=cc_D,0.0035*($E105-M$6)/$E105,0.002*($E105-M$6)/($E105-3*cc_D/7))))-fcd_cc*(1-(1-MAX(0,MIN(1,IF($E105&lt;=cc_D,0.0035*($E105-M$6)/$E105,0.002*($E105-M$6)/($E105-3*cc_D/7))/0.002)))^2)</f>
        <v/>
      </c>
      <c r="N105">
        <f>MAX(-fyd_cc,MIN(fyd_cc,Es_cc*IF($E105&lt;=cc_D,0.0035*($E105-N$6)/$E105,0.002*($E105-N$6)/($E105-3*cc_D/7))))-fcd_cc*(1-(1-MAX(0,MIN(1,IF($E105&lt;=cc_D,0.0035*($E105-N$6)/$E105,0.002*($E105-N$6)/($E105-3*cc_D/7))/0.002)))^2)</f>
        <v/>
      </c>
      <c r="O105">
        <f>MAX(-fyd_cc,MIN(fyd_cc,Es_cc*IF($E105&lt;=cc_D,0.0035*($E105-O$6)/$E105,0.002*($E105-O$6)/($E105-3*cc_D/7))))-fcd_cc*(1-(1-MAX(0,MIN(1,IF($E105&lt;=cc_D,0.0035*($E105-O$6)/$E105,0.002*($E105-O$6)/($E105-3*cc_D/7))/0.002)))^2)</f>
        <v/>
      </c>
      <c r="P105">
        <f>MAX(-fyd_cc,MIN(fyd_cc,Es_cc*IF($E105&lt;=cc_D,0.0035*($E105-P$6)/$E105,0.002*($E105-P$6)/($E105-3*cc_D/7))))-fcd_cc*(1-(1-MAX(0,MIN(1,IF($E105&lt;=cc_D,0.0035*($E105-P$6)/$E105,0.002*($E105-P$6)/($E105-3*cc_D/7))/0.002)))^2)</f>
        <v/>
      </c>
      <c r="Q105">
        <f>MAX(-fyd_cc,MIN(fyd_cc,Es_cc*IF($E105&lt;=cc_D,0.0035*($E105-Q$6)/$E105,0.002*($E105-Q$6)/($E105-3*cc_D/7))))-fcd_cc*(1-(1-MAX(0,MIN(1,IF($E105&lt;=cc_D,0.0035*($E105-Q$6)/$E105,0.002*($E105-Q$6)/($E105-3*cc_D/7))/0.002)))^2)</f>
        <v/>
      </c>
      <c r="R105">
        <f>MAX(-fyd_cc,MIN(fyd_cc,Es_cc*IF($E105&lt;=cc_D,0.0035*($E105-R$6)/$E105,0.002*($E105-R$6)/($E105-3*cc_D/7))))-fcd_cc*(1-(1-MAX(0,MIN(1,IF($E105&lt;=cc_D,0.0035*($E105-R$6)/$E105,0.002*($E105-R$6)/($E105-3*cc_D/7))/0.002)))^2)</f>
        <v/>
      </c>
      <c r="S105">
        <f>MAX(-fyd_cc,MIN(fyd_cc,Es_cc*IF($E105&lt;=cc_D,0.0035*($E105-S$6)/$E105,0.002*($E105-S$6)/($E105-3*cc_D/7))))-fcd_cc*(1-(1-MAX(0,MIN(1,IF($E105&lt;=cc_D,0.0035*($E105-S$6)/$E105,0.002*($E105-S$6)/($E105-3*cc_D/7))/0.002)))^2)</f>
        <v/>
      </c>
      <c r="T105">
        <f>MAX(-fyd_cc,MIN(fyd_cc,Es_cc*IF($E105&lt;=cc_D,0.0035*($E105-T$6)/$E105,0.002*($E105-T$6)/($E105-3*cc_D/7))))-fcd_cc*(1-(1-MAX(0,MIN(1,IF($E105&lt;=cc_D,0.0035*($E105-T$6)/$E105,0.002*($E105-T$6)/($E105-3*cc_D/7))/0.002)))^2)</f>
        <v/>
      </c>
      <c r="U105">
        <f>MAX(-fyd_cc,MIN(fyd_cc,Es_cc*IF($E105&lt;=cc_D,0.0035*($E105-U$6)/$E105,0.002*($E105-U$6)/($E105-3*cc_D/7))))-fcd_cc*(1-(1-MAX(0,MIN(1,IF($E105&lt;=cc_D,0.0035*($E105-U$6)/$E105,0.002*($E105-U$6)/($E105-3*cc_D/7))/0.002)))^2)</f>
        <v/>
      </c>
      <c r="V105">
        <f>MAX(-fyd_cc,MIN(fyd_cc,Es_cc*IF($E105&lt;=cc_D,0.0035*($E105-V$6)/$E105,0.002*($E105-V$6)/($E105-3*cc_D/7))))-fcd_cc*(1-(1-MAX(0,MIN(1,IF($E105&lt;=cc_D,0.0035*($E105-V$6)/$E105,0.002*($E105-V$6)/($E105-3*cc_D/7))/0.002)))^2)</f>
        <v/>
      </c>
      <c r="W105">
        <f>MAX(-fyd_cc,MIN(fyd_cc,Es_cc*IF($E105&lt;=cc_D,0.0035*($E105-W$6)/$E105,0.002*($E105-W$6)/($E105-3*cc_D/7))))-fcd_cc*(1-(1-MAX(0,MIN(1,IF($E105&lt;=cc_D,0.0035*($E105-W$6)/$E105,0.002*($E105-W$6)/($E105-3*cc_D/7))/0.002)))^2)</f>
        <v/>
      </c>
      <c r="X105">
        <f>MAX(-fyd_cc,MIN(fyd_cc,Es_cc*IF($E105&lt;=cc_D,0.0035*($E105-X$6)/$E105,0.002*($E105-X$6)/($E105-3*cc_D/7))))-fcd_cc*(1-(1-MAX(0,MIN(1,IF($E105&lt;=cc_D,0.0035*($E105-X$6)/$E105,0.002*($E105-X$6)/($E105-3*cc_D/7))/0.002)))^2)</f>
        <v/>
      </c>
      <c r="Y105">
        <f>MAX(-fyd_cc,MIN(fyd_cc,Es_cc*IF($E105&lt;=cc_D,0.0035*($E105-Y$6)/$E105,0.002*($E105-Y$6)/($E105-3*cc_D/7))))-fcd_cc*(1-(1-MAX(0,MIN(1,IF($E105&lt;=cc_D,0.0035*($E105-Y$6)/$E105,0.002*($E105-Y$6)/($E105-3*cc_D/7))/0.002)))^2)</f>
        <v/>
      </c>
      <c r="Z105">
        <f>MAX(-fyd_cc,MIN(fyd_cc,Es_cc*IF($E105&lt;=cc_D,0.0035*($E105-Z$6)/$E105,0.002*($E105-Z$6)/($E105-3*cc_D/7))))-fcd_cc*(1-(1-MAX(0,MIN(1,IF($E105&lt;=cc_D,0.0035*($E105-Z$6)/$E105,0.002*($E105-Z$6)/($E105-3*cc_D/7))/0.002)))^2)</f>
        <v/>
      </c>
      <c r="AA105">
        <f>MAX(-fyd_cc,MIN(fyd_cc,Es_cc*IF($E105&lt;=cc_D,0.0035*($E105-AA$6)/$E105,0.002*($E105-AA$6)/($E105-3*cc_D/7))))-fcd_cc*(1-(1-MAX(0,MIN(1,IF($E105&lt;=cc_D,0.0035*($E105-AA$6)/$E105,0.002*($E105-AA$6)/($E105-3*cc_D/7))/0.002)))^2)</f>
        <v/>
      </c>
      <c r="AB105">
        <f>MAX(-fyd_cc,MIN(fyd_cc,Es_cc*IF($E105&lt;=cc_D,0.0035*($E105-AB$6)/$E105,0.002*($E105-AB$6)/($E105-3*cc_D/7))))-fcd_cc*(1-(1-MAX(0,MIN(1,IF($E105&lt;=cc_D,0.0035*($E105-AB$6)/$E105,0.002*($E105-AB$6)/($E105-3*cc_D/7))/0.002)))^2)</f>
        <v/>
      </c>
      <c r="AC105">
        <f>MAX(-fyd_cc,MIN(fyd_cc,Es_cc*IF($E105&lt;=cc_D,0.0035*($E105-AC$6)/$E105,0.002*($E105-AC$6)/($E105-3*cc_D/7))))-fcd_cc*(1-(1-MAX(0,MIN(1,IF($E105&lt;=cc_D,0.0035*($E105-AC$6)/$E105,0.002*($E105-AC$6)/($E105-3*cc_D/7))/0.002)))^2)</f>
        <v/>
      </c>
      <c r="AD105">
        <f>MAX(-fyd_cc,MIN(fyd_cc,Es_cc*IF($E105&lt;=cc_D,0.0035*($E105-AD$6)/$E105,0.002*($E105-AD$6)/($E105-3*cc_D/7))))-fcd_cc*(1-(1-MAX(0,MIN(1,IF($E105&lt;=cc_D,0.0035*($E105-AD$6)/$E105,0.002*($E105-AD$6)/($E105-3*cc_D/7))/0.002)))^2)</f>
        <v/>
      </c>
      <c r="AE105">
        <f>MAX(-fyd_cc,MIN(fyd_cc,Es_cc*IF($E105&lt;=cc_D,0.0035*($E105-AE$6)/$E105,0.002*($E105-AE$6)/($E105-3*cc_D/7))))-fcd_cc*(1-(1-MAX(0,MIN(1,IF($E105&lt;=cc_D,0.0035*($E105-AE$6)/$E105,0.002*($E105-AE$6)/($E105-3*cc_D/7))/0.002)))^2)</f>
        <v/>
      </c>
      <c r="AF105">
        <f>MAX(-fyd_cc,MIN(fyd_cc,Es_cc*IF($E105&lt;=cc_D,0.0035*($E105-AF$6)/$E105,0.002*($E105-AF$6)/($E105-3*cc_D/7))))-fcd_cc*(1-(1-MAX(0,MIN(1,IF($E105&lt;=cc_D,0.0035*($E105-AF$6)/$E105,0.002*($E105-AF$6)/($E105-3*cc_D/7))/0.002)))^2)</f>
        <v/>
      </c>
      <c r="AG105">
        <f>MAX(-fyd_cc,MIN(fyd_cc,Es_cc*IF($E105&lt;=cc_D,0.0035*($E105-AG$6)/$E105,0.002*($E105-AG$6)/($E105-3*cc_D/7))))-fcd_cc*(1-(1-MAX(0,MIN(1,IF($E105&lt;=cc_D,0.0035*($E105-AG$6)/$E105,0.002*($E105-AG$6)/($E105-3*cc_D/7))/0.002)))^2)</f>
        <v/>
      </c>
      <c r="BF105">
        <f>3*MIN($E105,cc_D)/7</f>
        <v/>
      </c>
      <c r="BG105">
        <f>$E105-$BF105</f>
        <v/>
      </c>
      <c r="BH105">
        <f>ACOS(MAX(-1,MIN(1,1-$BF105/(cc_D/2))))</f>
        <v/>
      </c>
      <c r="BI105">
        <f>ACOS(MAX(-1,MIN(1,1-MIN($E105,cc_D)/(cc_D/2))))</f>
        <v/>
      </c>
      <c r="BJ105">
        <f>((cc_D/2*(1-COS(($BH105+0*($BI105-$BH105)/12)))-$BF105)/$BG105)^2*SIN(($BH105+0*($BI105-$BH105)/12))^2</f>
        <v/>
      </c>
      <c r="BK105">
        <f>((cc_D/2*(1-COS(($BH105+1*($BI105-$BH105)/12)))-$BF105)/$BG105)^2*SIN(($BH105+1*($BI105-$BH105)/12))^2</f>
        <v/>
      </c>
      <c r="BL105">
        <f>((cc_D/2*(1-COS(($BH105+2*($BI105-$BH105)/12)))-$BF105)/$BG105)^2*SIN(($BH105+2*($BI105-$BH105)/12))^2</f>
        <v/>
      </c>
      <c r="BM105">
        <f>((cc_D/2*(1-COS(($BH105+3*($BI105-$BH105)/12)))-$BF105)/$BG105)^2*SIN(($BH105+3*($BI105-$BH105)/12))^2</f>
        <v/>
      </c>
      <c r="BN105">
        <f>((cc_D/2*(1-COS(($BH105+4*($BI105-$BH105)/12)))-$BF105)/$BG105)^2*SIN(($BH105+4*($BI105-$BH105)/12))^2</f>
        <v/>
      </c>
      <c r="BO105">
        <f>((cc_D/2*(1-COS(($BH105+5*($BI105-$BH105)/12)))-$BF105)/$BG105)^2*SIN(($BH105+5*($BI105-$BH105)/12))^2</f>
        <v/>
      </c>
      <c r="BP105">
        <f>((cc_D/2*(1-COS(($BH105+6*($BI105-$BH105)/12)))-$BF105)/$BG105)^2*SIN(($BH105+6*($BI105-$BH105)/12))^2</f>
        <v/>
      </c>
      <c r="BQ105">
        <f>((cc_D/2*(1-COS(($BH105+7*($BI105-$BH105)/12)))-$BF105)/$BG105)^2*SIN(($BH105+7*($BI105-$BH105)/12))^2</f>
        <v/>
      </c>
      <c r="BR105">
        <f>((cc_D/2*(1-COS(($BH105+8*($BI105-$BH105)/12)))-$BF105)/$BG105)^2*SIN(($BH105+8*($BI105-$BH105)/12))^2</f>
        <v/>
      </c>
      <c r="BS105">
        <f>((cc_D/2*(1-COS(($BH105+9*($BI105-$BH105)/12)))-$BF105)/$BG105)^2*SIN(($BH105+9*($BI105-$BH105)/12))^2</f>
        <v/>
      </c>
      <c r="BT105">
        <f>((cc_D/2*(1-COS(($BH105+10*($BI105-$BH105)/12)))-$BF105)/$BG105)^2*SIN(($BH105+10*($BI105-$BH105)/12))^2</f>
        <v/>
      </c>
      <c r="BU105">
        <f>((cc_D/2*(1-COS(($BH105+11*($BI105-$BH105)/12)))-$BF105)/$BG105)^2*SIN(($BH105+11*($BI105-$BH105)/12))^2</f>
        <v/>
      </c>
      <c r="BV105">
        <f>((cc_D/2*(1-COS(($BH105+12*($BI105-$BH105)/12)))-$BF105)/$BG105)^2*SIN(($BH105+12*($BI105-$BH105)/12))^2</f>
        <v/>
      </c>
      <c r="BW105">
        <f>BJ105*COS(($BH105+0*($BI105-$BH105)/12))</f>
        <v/>
      </c>
      <c r="BX105">
        <f>BK105*COS(($BH105+1*($BI105-$BH105)/12))</f>
        <v/>
      </c>
      <c r="BY105">
        <f>BL105*COS(($BH105+2*($BI105-$BH105)/12))</f>
        <v/>
      </c>
      <c r="BZ105">
        <f>BM105*COS(($BH105+3*($BI105-$BH105)/12))</f>
        <v/>
      </c>
      <c r="CA105">
        <f>BN105*COS(($BH105+4*($BI105-$BH105)/12))</f>
        <v/>
      </c>
      <c r="CB105">
        <f>BO105*COS(($BH105+5*($BI105-$BH105)/12))</f>
        <v/>
      </c>
      <c r="CC105">
        <f>BP105*COS(($BH105+6*($BI105-$BH105)/12))</f>
        <v/>
      </c>
      <c r="CD105">
        <f>BQ105*COS(($BH105+7*($BI105-$BH105)/12))</f>
        <v/>
      </c>
      <c r="CE105">
        <f>BR105*COS(($BH105+8*($BI105-$BH105)/12))</f>
        <v/>
      </c>
      <c r="CF105">
        <f>BS105*COS(($BH105+9*($BI105-$BH105)/12))</f>
        <v/>
      </c>
      <c r="CG105">
        <f>BT105*COS(($BH105+10*($BI105-$BH105)/12))</f>
        <v/>
      </c>
      <c r="CH105">
        <f>BU105*COS(($BH105+11*($BI105-$BH105)/12))</f>
        <v/>
      </c>
      <c r="CI105">
        <f>BV105*COS(($BH105+12*($BI105-$BH105)/12))</f>
        <v/>
      </c>
    </row>
    <row r="106">
      <c r="B106" s="65" t="n">
        <v>17</v>
      </c>
      <c r="C106" s="66">
        <f>IF($G105&lt;cc_NEd-1E-9*ABS(cc_NEd),($C105+$D105)/2,$C105)</f>
        <v/>
      </c>
      <c r="D106" s="66">
        <f>IF($G105&lt;cc_NEd-1E-9*ABS(cc_NEd),$D105,($C105+$D105)/2)</f>
        <v/>
      </c>
      <c r="E106" s="67">
        <f>cc_D*(($C106+$D106)/2)/(1-(($C106+$D106)/2))</f>
        <v/>
      </c>
      <c r="F106" s="68">
        <f>IF($E106&lt;=cc_D,3.5,2*$E106/($E106-3*cc_D/7))</f>
        <v/>
      </c>
      <c r="G106" s="67">
        <f>(fcd_cc*((cc_D/2)^2*($BI106-COS($BI106)*SIN($BI106))-2*(cc_D/2)^2*($BI106-$BH106)/12/3*SUMPRODUCT($BJ$4:$BV$4,$BJ106:$BV106))+SUMPRODUCT($J$5:$AG$5,$J106:$AG106))/1000</f>
        <v/>
      </c>
      <c r="H106" s="67">
        <f>(fcd_cc*(2/3*(cc_D/2)^3*SIN($BI106)^3-2*(cc_D/2)^3*($BI106-$BH106)/12/3*SUMPRODUCT($BW$4:$CI$4,$BW106:$CI106))+SUMPRODUCT($J$5:$AG$5,$J106:$AG106,$J$7:$AG$7))/1E6</f>
        <v/>
      </c>
      <c r="I106" s="67">
        <f>SUMPRODUCT($J$5:$AG$5,$J106:$AG106,$J$8:$AG$8)/1E6</f>
        <v/>
      </c>
      <c r="J106">
        <f>MAX(-fyd_cc,MIN(fyd_cc,Es_cc*IF($E106&lt;=cc_D,0.0035*($E106-J$6)/$E106,0.002*($E106-J$6)/($E106-3*cc_D/7))))-fcd_cc*(1-(1-MAX(0,MIN(1,IF($E106&lt;=cc_D,0.0035*($E106-J$6)/$E106,0.002*($E106-J$6)/($E106-3*cc_D/7))/0.002)))^2)</f>
        <v/>
      </c>
      <c r="K106">
        <f>MAX(-fyd_cc,MIN(fyd_cc,Es_cc*IF($E106&lt;=cc_D,0.0035*($E106-K$6)/$E106,0.002*($E106-K$6)/($E106-3*cc_D/7))))-fcd_cc*(1-(1-MAX(0,MIN(1,IF($E106&lt;=cc_D,0.0035*($E106-K$6)/$E106,0.002*($E106-K$6)/($E106-3*cc_D/7))/0.002)))^2)</f>
        <v/>
      </c>
      <c r="L106">
        <f>MAX(-fyd_cc,MIN(fyd_cc,Es_cc*IF($E106&lt;=cc_D,0.0035*($E106-L$6)/$E106,0.002*($E106-L$6)/($E106-3*cc_D/7))))-fcd_cc*(1-(1-MAX(0,MIN(1,IF($E106&lt;=cc_D,0.0035*($E106-L$6)/$E106,0.002*($E106-L$6)/($E106-3*cc_D/7))/0.002)))^2)</f>
        <v/>
      </c>
      <c r="M106">
        <f>MAX(-fyd_cc,MIN(fyd_cc,Es_cc*IF($E106&lt;=cc_D,0.0035*($E106-M$6)/$E106,0.002*($E106-M$6)/($E106-3*cc_D/7))))-fcd_cc*(1-(1-MAX(0,MIN(1,IF($E106&lt;=cc_D,0.0035*($E106-M$6)/$E106,0.002*($E106-M$6)/($E106-3*cc_D/7))/0.002)))^2)</f>
        <v/>
      </c>
      <c r="N106">
        <f>MAX(-fyd_cc,MIN(fyd_cc,Es_cc*IF($E106&lt;=cc_D,0.0035*($E106-N$6)/$E106,0.002*($E106-N$6)/($E106-3*cc_D/7))))-fcd_cc*(1-(1-MAX(0,MIN(1,IF($E106&lt;=cc_D,0.0035*($E106-N$6)/$E106,0.002*($E106-N$6)/($E106-3*cc_D/7))/0.002)))^2)</f>
        <v/>
      </c>
      <c r="O106">
        <f>MAX(-fyd_cc,MIN(fyd_cc,Es_cc*IF($E106&lt;=cc_D,0.0035*($E106-O$6)/$E106,0.002*($E106-O$6)/($E106-3*cc_D/7))))-fcd_cc*(1-(1-MAX(0,MIN(1,IF($E106&lt;=cc_D,0.0035*($E106-O$6)/$E106,0.002*($E106-O$6)/($E106-3*cc_D/7))/0.002)))^2)</f>
        <v/>
      </c>
      <c r="P106">
        <f>MAX(-fyd_cc,MIN(fyd_cc,Es_cc*IF($E106&lt;=cc_D,0.0035*($E106-P$6)/$E106,0.002*($E106-P$6)/($E106-3*cc_D/7))))-fcd_cc*(1-(1-MAX(0,MIN(1,IF($E106&lt;=cc_D,0.0035*($E106-P$6)/$E106,0.002*($E106-P$6)/($E106-3*cc_D/7))/0.002)))^2)</f>
        <v/>
      </c>
      <c r="Q106">
        <f>MAX(-fyd_cc,MIN(fyd_cc,Es_cc*IF($E106&lt;=cc_D,0.0035*($E106-Q$6)/$E106,0.002*($E106-Q$6)/($E106-3*cc_D/7))))-fcd_cc*(1-(1-MAX(0,MIN(1,IF($E106&lt;=cc_D,0.0035*($E106-Q$6)/$E106,0.002*($E106-Q$6)/($E106-3*cc_D/7))/0.002)))^2)</f>
        <v/>
      </c>
      <c r="R106">
        <f>MAX(-fyd_cc,MIN(fyd_cc,Es_cc*IF($E106&lt;=cc_D,0.0035*($E106-R$6)/$E106,0.002*($E106-R$6)/($E106-3*cc_D/7))))-fcd_cc*(1-(1-MAX(0,MIN(1,IF($E106&lt;=cc_D,0.0035*($E106-R$6)/$E106,0.002*($E106-R$6)/($E106-3*cc_D/7))/0.002)))^2)</f>
        <v/>
      </c>
      <c r="S106">
        <f>MAX(-fyd_cc,MIN(fyd_cc,Es_cc*IF($E106&lt;=cc_D,0.0035*($E106-S$6)/$E106,0.002*($E106-S$6)/($E106-3*cc_D/7))))-fcd_cc*(1-(1-MAX(0,MIN(1,IF($E106&lt;=cc_D,0.0035*($E106-S$6)/$E106,0.002*($E106-S$6)/($E106-3*cc_D/7))/0.002)))^2)</f>
        <v/>
      </c>
      <c r="T106">
        <f>MAX(-fyd_cc,MIN(fyd_cc,Es_cc*IF($E106&lt;=cc_D,0.0035*($E106-T$6)/$E106,0.002*($E106-T$6)/($E106-3*cc_D/7))))-fcd_cc*(1-(1-MAX(0,MIN(1,IF($E106&lt;=cc_D,0.0035*($E106-T$6)/$E106,0.002*($E106-T$6)/($E106-3*cc_D/7))/0.002)))^2)</f>
        <v/>
      </c>
      <c r="U106">
        <f>MAX(-fyd_cc,MIN(fyd_cc,Es_cc*IF($E106&lt;=cc_D,0.0035*($E106-U$6)/$E106,0.002*($E106-U$6)/($E106-3*cc_D/7))))-fcd_cc*(1-(1-MAX(0,MIN(1,IF($E106&lt;=cc_D,0.0035*($E106-U$6)/$E106,0.002*($E106-U$6)/($E106-3*cc_D/7))/0.002)))^2)</f>
        <v/>
      </c>
      <c r="V106">
        <f>MAX(-fyd_cc,MIN(fyd_cc,Es_cc*IF($E106&lt;=cc_D,0.0035*($E106-V$6)/$E106,0.002*($E106-V$6)/($E106-3*cc_D/7))))-fcd_cc*(1-(1-MAX(0,MIN(1,IF($E106&lt;=cc_D,0.0035*($E106-V$6)/$E106,0.002*($E106-V$6)/($E106-3*cc_D/7))/0.002)))^2)</f>
        <v/>
      </c>
      <c r="W106">
        <f>MAX(-fyd_cc,MIN(fyd_cc,Es_cc*IF($E106&lt;=cc_D,0.0035*($E106-W$6)/$E106,0.002*($E106-W$6)/($E106-3*cc_D/7))))-fcd_cc*(1-(1-MAX(0,MIN(1,IF($E106&lt;=cc_D,0.0035*($E106-W$6)/$E106,0.002*($E106-W$6)/($E106-3*cc_D/7))/0.002)))^2)</f>
        <v/>
      </c>
      <c r="X106">
        <f>MAX(-fyd_cc,MIN(fyd_cc,Es_cc*IF($E106&lt;=cc_D,0.0035*($E106-X$6)/$E106,0.002*($E106-X$6)/($E106-3*cc_D/7))))-fcd_cc*(1-(1-MAX(0,MIN(1,IF($E106&lt;=cc_D,0.0035*($E106-X$6)/$E106,0.002*($E106-X$6)/($E106-3*cc_D/7))/0.002)))^2)</f>
        <v/>
      </c>
      <c r="Y106">
        <f>MAX(-fyd_cc,MIN(fyd_cc,Es_cc*IF($E106&lt;=cc_D,0.0035*($E106-Y$6)/$E106,0.002*($E106-Y$6)/($E106-3*cc_D/7))))-fcd_cc*(1-(1-MAX(0,MIN(1,IF($E106&lt;=cc_D,0.0035*($E106-Y$6)/$E106,0.002*($E106-Y$6)/($E106-3*cc_D/7))/0.002)))^2)</f>
        <v/>
      </c>
      <c r="Z106">
        <f>MAX(-fyd_cc,MIN(fyd_cc,Es_cc*IF($E106&lt;=cc_D,0.0035*($E106-Z$6)/$E106,0.002*($E106-Z$6)/($E106-3*cc_D/7))))-fcd_cc*(1-(1-MAX(0,MIN(1,IF($E106&lt;=cc_D,0.0035*($E106-Z$6)/$E106,0.002*($E106-Z$6)/($E106-3*cc_D/7))/0.002)))^2)</f>
        <v/>
      </c>
      <c r="AA106">
        <f>MAX(-fyd_cc,MIN(fyd_cc,Es_cc*IF($E106&lt;=cc_D,0.0035*($E106-AA$6)/$E106,0.002*($E106-AA$6)/($E106-3*cc_D/7))))-fcd_cc*(1-(1-MAX(0,MIN(1,IF($E106&lt;=cc_D,0.0035*($E106-AA$6)/$E106,0.002*($E106-AA$6)/($E106-3*cc_D/7))/0.002)))^2)</f>
        <v/>
      </c>
      <c r="AB106">
        <f>MAX(-fyd_cc,MIN(fyd_cc,Es_cc*IF($E106&lt;=cc_D,0.0035*($E106-AB$6)/$E106,0.002*($E106-AB$6)/($E106-3*cc_D/7))))-fcd_cc*(1-(1-MAX(0,MIN(1,IF($E106&lt;=cc_D,0.0035*($E106-AB$6)/$E106,0.002*($E106-AB$6)/($E106-3*cc_D/7))/0.002)))^2)</f>
        <v/>
      </c>
      <c r="AC106">
        <f>MAX(-fyd_cc,MIN(fyd_cc,Es_cc*IF($E106&lt;=cc_D,0.0035*($E106-AC$6)/$E106,0.002*($E106-AC$6)/($E106-3*cc_D/7))))-fcd_cc*(1-(1-MAX(0,MIN(1,IF($E106&lt;=cc_D,0.0035*($E106-AC$6)/$E106,0.002*($E106-AC$6)/($E106-3*cc_D/7))/0.002)))^2)</f>
        <v/>
      </c>
      <c r="AD106">
        <f>MAX(-fyd_cc,MIN(fyd_cc,Es_cc*IF($E106&lt;=cc_D,0.0035*($E106-AD$6)/$E106,0.002*($E106-AD$6)/($E106-3*cc_D/7))))-fcd_cc*(1-(1-MAX(0,MIN(1,IF($E106&lt;=cc_D,0.0035*($E106-AD$6)/$E106,0.002*($E106-AD$6)/($E106-3*cc_D/7))/0.002)))^2)</f>
        <v/>
      </c>
      <c r="AE106">
        <f>MAX(-fyd_cc,MIN(fyd_cc,Es_cc*IF($E106&lt;=cc_D,0.0035*($E106-AE$6)/$E106,0.002*($E106-AE$6)/($E106-3*cc_D/7))))-fcd_cc*(1-(1-MAX(0,MIN(1,IF($E106&lt;=cc_D,0.0035*($E106-AE$6)/$E106,0.002*($E106-AE$6)/($E106-3*cc_D/7))/0.002)))^2)</f>
        <v/>
      </c>
      <c r="AF106">
        <f>MAX(-fyd_cc,MIN(fyd_cc,Es_cc*IF($E106&lt;=cc_D,0.0035*($E106-AF$6)/$E106,0.002*($E106-AF$6)/($E106-3*cc_D/7))))-fcd_cc*(1-(1-MAX(0,MIN(1,IF($E106&lt;=cc_D,0.0035*($E106-AF$6)/$E106,0.002*($E106-AF$6)/($E106-3*cc_D/7))/0.002)))^2)</f>
        <v/>
      </c>
      <c r="AG106">
        <f>MAX(-fyd_cc,MIN(fyd_cc,Es_cc*IF($E106&lt;=cc_D,0.0035*($E106-AG$6)/$E106,0.002*($E106-AG$6)/($E106-3*cc_D/7))))-fcd_cc*(1-(1-MAX(0,MIN(1,IF($E106&lt;=cc_D,0.0035*($E106-AG$6)/$E106,0.002*($E106-AG$6)/($E106-3*cc_D/7))/0.002)))^2)</f>
        <v/>
      </c>
      <c r="BF106">
        <f>3*MIN($E106,cc_D)/7</f>
        <v/>
      </c>
      <c r="BG106">
        <f>$E106-$BF106</f>
        <v/>
      </c>
      <c r="BH106">
        <f>ACOS(MAX(-1,MIN(1,1-$BF106/(cc_D/2))))</f>
        <v/>
      </c>
      <c r="BI106">
        <f>ACOS(MAX(-1,MIN(1,1-MIN($E106,cc_D)/(cc_D/2))))</f>
        <v/>
      </c>
      <c r="BJ106">
        <f>((cc_D/2*(1-COS(($BH106+0*($BI106-$BH106)/12)))-$BF106)/$BG106)^2*SIN(($BH106+0*($BI106-$BH106)/12))^2</f>
        <v/>
      </c>
      <c r="BK106">
        <f>((cc_D/2*(1-COS(($BH106+1*($BI106-$BH106)/12)))-$BF106)/$BG106)^2*SIN(($BH106+1*($BI106-$BH106)/12))^2</f>
        <v/>
      </c>
      <c r="BL106">
        <f>((cc_D/2*(1-COS(($BH106+2*($BI106-$BH106)/12)))-$BF106)/$BG106)^2*SIN(($BH106+2*($BI106-$BH106)/12))^2</f>
        <v/>
      </c>
      <c r="BM106">
        <f>((cc_D/2*(1-COS(($BH106+3*($BI106-$BH106)/12)))-$BF106)/$BG106)^2*SIN(($BH106+3*($BI106-$BH106)/12))^2</f>
        <v/>
      </c>
      <c r="BN106">
        <f>((cc_D/2*(1-COS(($BH106+4*($BI106-$BH106)/12)))-$BF106)/$BG106)^2*SIN(($BH106+4*($BI106-$BH106)/12))^2</f>
        <v/>
      </c>
      <c r="BO106">
        <f>((cc_D/2*(1-COS(($BH106+5*($BI106-$BH106)/12)))-$BF106)/$BG106)^2*SIN(($BH106+5*($BI106-$BH106)/12))^2</f>
        <v/>
      </c>
      <c r="BP106">
        <f>((cc_D/2*(1-COS(($BH106+6*($BI106-$BH106)/12)))-$BF106)/$BG106)^2*SIN(($BH106+6*($BI106-$BH106)/12))^2</f>
        <v/>
      </c>
      <c r="BQ106">
        <f>((cc_D/2*(1-COS(($BH106+7*($BI106-$BH106)/12)))-$BF106)/$BG106)^2*SIN(($BH106+7*($BI106-$BH106)/12))^2</f>
        <v/>
      </c>
      <c r="BR106">
        <f>((cc_D/2*(1-COS(($BH106+8*($BI106-$BH106)/12)))-$BF106)/$BG106)^2*SIN(($BH106+8*($BI106-$BH106)/12))^2</f>
        <v/>
      </c>
      <c r="BS106">
        <f>((cc_D/2*(1-COS(($BH106+9*($BI106-$BH106)/12)))-$BF106)/$BG106)^2*SIN(($BH106+9*($BI106-$BH106)/12))^2</f>
        <v/>
      </c>
      <c r="BT106">
        <f>((cc_D/2*(1-COS(($BH106+10*($BI106-$BH106)/12)))-$BF106)/$BG106)^2*SIN(($BH106+10*($BI106-$BH106)/12))^2</f>
        <v/>
      </c>
      <c r="BU106">
        <f>((cc_D/2*(1-COS(($BH106+11*($BI106-$BH106)/12)))-$BF106)/$BG106)^2*SIN(($BH106+11*($BI106-$BH106)/12))^2</f>
        <v/>
      </c>
      <c r="BV106">
        <f>((cc_D/2*(1-COS(($BH106+12*($BI106-$BH106)/12)))-$BF106)/$BG106)^2*SIN(($BH106+12*($BI106-$BH106)/12))^2</f>
        <v/>
      </c>
      <c r="BW106">
        <f>BJ106*COS(($BH106+0*($BI106-$BH106)/12))</f>
        <v/>
      </c>
      <c r="BX106">
        <f>BK106*COS(($BH106+1*($BI106-$BH106)/12))</f>
        <v/>
      </c>
      <c r="BY106">
        <f>BL106*COS(($BH106+2*($BI106-$BH106)/12))</f>
        <v/>
      </c>
      <c r="BZ106">
        <f>BM106*COS(($BH106+3*($BI106-$BH106)/12))</f>
        <v/>
      </c>
      <c r="CA106">
        <f>BN106*COS(($BH106+4*($BI106-$BH106)/12))</f>
        <v/>
      </c>
      <c r="CB106">
        <f>BO106*COS(($BH106+5*($BI106-$BH106)/12))</f>
        <v/>
      </c>
      <c r="CC106">
        <f>BP106*COS(($BH106+6*($BI106-$BH106)/12))</f>
        <v/>
      </c>
      <c r="CD106">
        <f>BQ106*COS(($BH106+7*($BI106-$BH106)/12))</f>
        <v/>
      </c>
      <c r="CE106">
        <f>BR106*COS(($BH106+8*($BI106-$BH106)/12))</f>
        <v/>
      </c>
      <c r="CF106">
        <f>BS106*COS(($BH106+9*($BI106-$BH106)/12))</f>
        <v/>
      </c>
      <c r="CG106">
        <f>BT106*COS(($BH106+10*($BI106-$BH106)/12))</f>
        <v/>
      </c>
      <c r="CH106">
        <f>BU106*COS(($BH106+11*($BI106-$BH106)/12))</f>
        <v/>
      </c>
      <c r="CI106">
        <f>BV106*COS(($BH106+12*($BI106-$BH106)/12))</f>
        <v/>
      </c>
    </row>
    <row r="107">
      <c r="B107" s="65" t="n">
        <v>18</v>
      </c>
      <c r="C107" s="66">
        <f>IF($G106&lt;cc_NEd-1E-9*ABS(cc_NEd),($C106+$D106)/2,$C106)</f>
        <v/>
      </c>
      <c r="D107" s="66">
        <f>IF($G106&lt;cc_NEd-1E-9*ABS(cc_NEd),$D106,($C106+$D106)/2)</f>
        <v/>
      </c>
      <c r="E107" s="67">
        <f>cc_D*(($C107+$D107)/2)/(1-(($C107+$D107)/2))</f>
        <v/>
      </c>
      <c r="F107" s="68">
        <f>IF($E107&lt;=cc_D,3.5,2*$E107/($E107-3*cc_D/7))</f>
        <v/>
      </c>
      <c r="G107" s="67">
        <f>(fcd_cc*((cc_D/2)^2*($BI107-COS($BI107)*SIN($BI107))-2*(cc_D/2)^2*($BI107-$BH107)/12/3*SUMPRODUCT($BJ$4:$BV$4,$BJ107:$BV107))+SUMPRODUCT($J$5:$AG$5,$J107:$AG107))/1000</f>
        <v/>
      </c>
      <c r="H107" s="67">
        <f>(fcd_cc*(2/3*(cc_D/2)^3*SIN($BI107)^3-2*(cc_D/2)^3*($BI107-$BH107)/12/3*SUMPRODUCT($BW$4:$CI$4,$BW107:$CI107))+SUMPRODUCT($J$5:$AG$5,$J107:$AG107,$J$7:$AG$7))/1E6</f>
        <v/>
      </c>
      <c r="I107" s="67">
        <f>SUMPRODUCT($J$5:$AG$5,$J107:$AG107,$J$8:$AG$8)/1E6</f>
        <v/>
      </c>
      <c r="J107">
        <f>MAX(-fyd_cc,MIN(fyd_cc,Es_cc*IF($E107&lt;=cc_D,0.0035*($E107-J$6)/$E107,0.002*($E107-J$6)/($E107-3*cc_D/7))))-fcd_cc*(1-(1-MAX(0,MIN(1,IF($E107&lt;=cc_D,0.0035*($E107-J$6)/$E107,0.002*($E107-J$6)/($E107-3*cc_D/7))/0.002)))^2)</f>
        <v/>
      </c>
      <c r="K107">
        <f>MAX(-fyd_cc,MIN(fyd_cc,Es_cc*IF($E107&lt;=cc_D,0.0035*($E107-K$6)/$E107,0.002*($E107-K$6)/($E107-3*cc_D/7))))-fcd_cc*(1-(1-MAX(0,MIN(1,IF($E107&lt;=cc_D,0.0035*($E107-K$6)/$E107,0.002*($E107-K$6)/($E107-3*cc_D/7))/0.002)))^2)</f>
        <v/>
      </c>
      <c r="L107">
        <f>MAX(-fyd_cc,MIN(fyd_cc,Es_cc*IF($E107&lt;=cc_D,0.0035*($E107-L$6)/$E107,0.002*($E107-L$6)/($E107-3*cc_D/7))))-fcd_cc*(1-(1-MAX(0,MIN(1,IF($E107&lt;=cc_D,0.0035*($E107-L$6)/$E107,0.002*($E107-L$6)/($E107-3*cc_D/7))/0.002)))^2)</f>
        <v/>
      </c>
      <c r="M107">
        <f>MAX(-fyd_cc,MIN(fyd_cc,Es_cc*IF($E107&lt;=cc_D,0.0035*($E107-M$6)/$E107,0.002*($E107-M$6)/($E107-3*cc_D/7))))-fcd_cc*(1-(1-MAX(0,MIN(1,IF($E107&lt;=cc_D,0.0035*($E107-M$6)/$E107,0.002*($E107-M$6)/($E107-3*cc_D/7))/0.002)))^2)</f>
        <v/>
      </c>
      <c r="N107">
        <f>MAX(-fyd_cc,MIN(fyd_cc,Es_cc*IF($E107&lt;=cc_D,0.0035*($E107-N$6)/$E107,0.002*($E107-N$6)/($E107-3*cc_D/7))))-fcd_cc*(1-(1-MAX(0,MIN(1,IF($E107&lt;=cc_D,0.0035*($E107-N$6)/$E107,0.002*($E107-N$6)/($E107-3*cc_D/7))/0.002)))^2)</f>
        <v/>
      </c>
      <c r="O107">
        <f>MAX(-fyd_cc,MIN(fyd_cc,Es_cc*IF($E107&lt;=cc_D,0.0035*($E107-O$6)/$E107,0.002*($E107-O$6)/($E107-3*cc_D/7))))-fcd_cc*(1-(1-MAX(0,MIN(1,IF($E107&lt;=cc_D,0.0035*($E107-O$6)/$E107,0.002*($E107-O$6)/($E107-3*cc_D/7))/0.002)))^2)</f>
        <v/>
      </c>
      <c r="P107">
        <f>MAX(-fyd_cc,MIN(fyd_cc,Es_cc*IF($E107&lt;=cc_D,0.0035*($E107-P$6)/$E107,0.002*($E107-P$6)/($E107-3*cc_D/7))))-fcd_cc*(1-(1-MAX(0,MIN(1,IF($E107&lt;=cc_D,0.0035*($E107-P$6)/$E107,0.002*($E107-P$6)/($E107-3*cc_D/7))/0.002)))^2)</f>
        <v/>
      </c>
      <c r="Q107">
        <f>MAX(-fyd_cc,MIN(fyd_cc,Es_cc*IF($E107&lt;=cc_D,0.0035*($E107-Q$6)/$E107,0.002*($E107-Q$6)/($E107-3*cc_D/7))))-fcd_cc*(1-(1-MAX(0,MIN(1,IF($E107&lt;=cc_D,0.0035*($E107-Q$6)/$E107,0.002*($E107-Q$6)/($E107-3*cc_D/7))/0.002)))^2)</f>
        <v/>
      </c>
      <c r="R107">
        <f>MAX(-fyd_cc,MIN(fyd_cc,Es_cc*IF($E107&lt;=cc_D,0.0035*($E107-R$6)/$E107,0.002*($E107-R$6)/($E107-3*cc_D/7))))-fcd_cc*(1-(1-MAX(0,MIN(1,IF($E107&lt;=cc_D,0.0035*($E107-R$6)/$E107,0.002*($E107-R$6)/($E107-3*cc_D/7))/0.002)))^2)</f>
        <v/>
      </c>
      <c r="S107">
        <f>MAX(-fyd_cc,MIN(fyd_cc,Es_cc*IF($E107&lt;=cc_D,0.0035*($E107-S$6)/$E107,0.002*($E107-S$6)/($E107-3*cc_D/7))))-fcd_cc*(1-(1-MAX(0,MIN(1,IF($E107&lt;=cc_D,0.0035*($E107-S$6)/$E107,0.002*($E107-S$6)/($E107-3*cc_D/7))/0.002)))^2)</f>
        <v/>
      </c>
      <c r="T107">
        <f>MAX(-fyd_cc,MIN(fyd_cc,Es_cc*IF($E107&lt;=cc_D,0.0035*($E107-T$6)/$E107,0.002*($E107-T$6)/($E107-3*cc_D/7))))-fcd_cc*(1-(1-MAX(0,MIN(1,IF($E107&lt;=cc_D,0.0035*($E107-T$6)/$E107,0.002*($E107-T$6)/($E107-3*cc_D/7))/0.002)))^2)</f>
        <v/>
      </c>
      <c r="U107">
        <f>MAX(-fyd_cc,MIN(fyd_cc,Es_cc*IF($E107&lt;=cc_D,0.0035*($E107-U$6)/$E107,0.002*($E107-U$6)/($E107-3*cc_D/7))))-fcd_cc*(1-(1-MAX(0,MIN(1,IF($E107&lt;=cc_D,0.0035*($E107-U$6)/$E107,0.002*($E107-U$6)/($E107-3*cc_D/7))/0.002)))^2)</f>
        <v/>
      </c>
      <c r="V107">
        <f>MAX(-fyd_cc,MIN(fyd_cc,Es_cc*IF($E107&lt;=cc_D,0.0035*($E107-V$6)/$E107,0.002*($E107-V$6)/($E107-3*cc_D/7))))-fcd_cc*(1-(1-MAX(0,MIN(1,IF($E107&lt;=cc_D,0.0035*($E107-V$6)/$E107,0.002*($E107-V$6)/($E107-3*cc_D/7))/0.002)))^2)</f>
        <v/>
      </c>
      <c r="W107">
        <f>MAX(-fyd_cc,MIN(fyd_cc,Es_cc*IF($E107&lt;=cc_D,0.0035*($E107-W$6)/$E107,0.002*($E107-W$6)/($E107-3*cc_D/7))))-fcd_cc*(1-(1-MAX(0,MIN(1,IF($E107&lt;=cc_D,0.0035*($E107-W$6)/$E107,0.002*($E107-W$6)/($E107-3*cc_D/7))/0.002)))^2)</f>
        <v/>
      </c>
      <c r="X107">
        <f>MAX(-fyd_cc,MIN(fyd_cc,Es_cc*IF($E107&lt;=cc_D,0.0035*($E107-X$6)/$E107,0.002*($E107-X$6)/($E107-3*cc_D/7))))-fcd_cc*(1-(1-MAX(0,MIN(1,IF($E107&lt;=cc_D,0.0035*($E107-X$6)/$E107,0.002*($E107-X$6)/($E107-3*cc_D/7))/0.002)))^2)</f>
        <v/>
      </c>
      <c r="Y107">
        <f>MAX(-fyd_cc,MIN(fyd_cc,Es_cc*IF($E107&lt;=cc_D,0.0035*($E107-Y$6)/$E107,0.002*($E107-Y$6)/($E107-3*cc_D/7))))-fcd_cc*(1-(1-MAX(0,MIN(1,IF($E107&lt;=cc_D,0.0035*($E107-Y$6)/$E107,0.002*($E107-Y$6)/($E107-3*cc_D/7))/0.002)))^2)</f>
        <v/>
      </c>
      <c r="Z107">
        <f>MAX(-fyd_cc,MIN(fyd_cc,Es_cc*IF($E107&lt;=cc_D,0.0035*($E107-Z$6)/$E107,0.002*($E107-Z$6)/($E107-3*cc_D/7))))-fcd_cc*(1-(1-MAX(0,MIN(1,IF($E107&lt;=cc_D,0.0035*($E107-Z$6)/$E107,0.002*($E107-Z$6)/($E107-3*cc_D/7))/0.002)))^2)</f>
        <v/>
      </c>
      <c r="AA107">
        <f>MAX(-fyd_cc,MIN(fyd_cc,Es_cc*IF($E107&lt;=cc_D,0.0035*($E107-AA$6)/$E107,0.002*($E107-AA$6)/($E107-3*cc_D/7))))-fcd_cc*(1-(1-MAX(0,MIN(1,IF($E107&lt;=cc_D,0.0035*($E107-AA$6)/$E107,0.002*($E107-AA$6)/($E107-3*cc_D/7))/0.002)))^2)</f>
        <v/>
      </c>
      <c r="AB107">
        <f>MAX(-fyd_cc,MIN(fyd_cc,Es_cc*IF($E107&lt;=cc_D,0.0035*($E107-AB$6)/$E107,0.002*($E107-AB$6)/($E107-3*cc_D/7))))-fcd_cc*(1-(1-MAX(0,MIN(1,IF($E107&lt;=cc_D,0.0035*($E107-AB$6)/$E107,0.002*($E107-AB$6)/($E107-3*cc_D/7))/0.002)))^2)</f>
        <v/>
      </c>
      <c r="AC107">
        <f>MAX(-fyd_cc,MIN(fyd_cc,Es_cc*IF($E107&lt;=cc_D,0.0035*($E107-AC$6)/$E107,0.002*($E107-AC$6)/($E107-3*cc_D/7))))-fcd_cc*(1-(1-MAX(0,MIN(1,IF($E107&lt;=cc_D,0.0035*($E107-AC$6)/$E107,0.002*($E107-AC$6)/($E107-3*cc_D/7))/0.002)))^2)</f>
        <v/>
      </c>
      <c r="AD107">
        <f>MAX(-fyd_cc,MIN(fyd_cc,Es_cc*IF($E107&lt;=cc_D,0.0035*($E107-AD$6)/$E107,0.002*($E107-AD$6)/($E107-3*cc_D/7))))-fcd_cc*(1-(1-MAX(0,MIN(1,IF($E107&lt;=cc_D,0.0035*($E107-AD$6)/$E107,0.002*($E107-AD$6)/($E107-3*cc_D/7))/0.002)))^2)</f>
        <v/>
      </c>
      <c r="AE107">
        <f>MAX(-fyd_cc,MIN(fyd_cc,Es_cc*IF($E107&lt;=cc_D,0.0035*($E107-AE$6)/$E107,0.002*($E107-AE$6)/($E107-3*cc_D/7))))-fcd_cc*(1-(1-MAX(0,MIN(1,IF($E107&lt;=cc_D,0.0035*($E107-AE$6)/$E107,0.002*($E107-AE$6)/($E107-3*cc_D/7))/0.002)))^2)</f>
        <v/>
      </c>
      <c r="AF107">
        <f>MAX(-fyd_cc,MIN(fyd_cc,Es_cc*IF($E107&lt;=cc_D,0.0035*($E107-AF$6)/$E107,0.002*($E107-AF$6)/($E107-3*cc_D/7))))-fcd_cc*(1-(1-MAX(0,MIN(1,IF($E107&lt;=cc_D,0.0035*($E107-AF$6)/$E107,0.002*($E107-AF$6)/($E107-3*cc_D/7))/0.002)))^2)</f>
        <v/>
      </c>
      <c r="AG107">
        <f>MAX(-fyd_cc,MIN(fyd_cc,Es_cc*IF($E107&lt;=cc_D,0.0035*($E107-AG$6)/$E107,0.002*($E107-AG$6)/($E107-3*cc_D/7))))-fcd_cc*(1-(1-MAX(0,MIN(1,IF($E107&lt;=cc_D,0.0035*($E107-AG$6)/$E107,0.002*($E107-AG$6)/($E107-3*cc_D/7))/0.002)))^2)</f>
        <v/>
      </c>
      <c r="BF107">
        <f>3*MIN($E107,cc_D)/7</f>
        <v/>
      </c>
      <c r="BG107">
        <f>$E107-$BF107</f>
        <v/>
      </c>
      <c r="BH107">
        <f>ACOS(MAX(-1,MIN(1,1-$BF107/(cc_D/2))))</f>
        <v/>
      </c>
      <c r="BI107">
        <f>ACOS(MAX(-1,MIN(1,1-MIN($E107,cc_D)/(cc_D/2))))</f>
        <v/>
      </c>
      <c r="BJ107">
        <f>((cc_D/2*(1-COS(($BH107+0*($BI107-$BH107)/12)))-$BF107)/$BG107)^2*SIN(($BH107+0*($BI107-$BH107)/12))^2</f>
        <v/>
      </c>
      <c r="BK107">
        <f>((cc_D/2*(1-COS(($BH107+1*($BI107-$BH107)/12)))-$BF107)/$BG107)^2*SIN(($BH107+1*($BI107-$BH107)/12))^2</f>
        <v/>
      </c>
      <c r="BL107">
        <f>((cc_D/2*(1-COS(($BH107+2*($BI107-$BH107)/12)))-$BF107)/$BG107)^2*SIN(($BH107+2*($BI107-$BH107)/12))^2</f>
        <v/>
      </c>
      <c r="BM107">
        <f>((cc_D/2*(1-COS(($BH107+3*($BI107-$BH107)/12)))-$BF107)/$BG107)^2*SIN(($BH107+3*($BI107-$BH107)/12))^2</f>
        <v/>
      </c>
      <c r="BN107">
        <f>((cc_D/2*(1-COS(($BH107+4*($BI107-$BH107)/12)))-$BF107)/$BG107)^2*SIN(($BH107+4*($BI107-$BH107)/12))^2</f>
        <v/>
      </c>
      <c r="BO107">
        <f>((cc_D/2*(1-COS(($BH107+5*($BI107-$BH107)/12)))-$BF107)/$BG107)^2*SIN(($BH107+5*($BI107-$BH107)/12))^2</f>
        <v/>
      </c>
      <c r="BP107">
        <f>((cc_D/2*(1-COS(($BH107+6*($BI107-$BH107)/12)))-$BF107)/$BG107)^2*SIN(($BH107+6*($BI107-$BH107)/12))^2</f>
        <v/>
      </c>
      <c r="BQ107">
        <f>((cc_D/2*(1-COS(($BH107+7*($BI107-$BH107)/12)))-$BF107)/$BG107)^2*SIN(($BH107+7*($BI107-$BH107)/12))^2</f>
        <v/>
      </c>
      <c r="BR107">
        <f>((cc_D/2*(1-COS(($BH107+8*($BI107-$BH107)/12)))-$BF107)/$BG107)^2*SIN(($BH107+8*($BI107-$BH107)/12))^2</f>
        <v/>
      </c>
      <c r="BS107">
        <f>((cc_D/2*(1-COS(($BH107+9*($BI107-$BH107)/12)))-$BF107)/$BG107)^2*SIN(($BH107+9*($BI107-$BH107)/12))^2</f>
        <v/>
      </c>
      <c r="BT107">
        <f>((cc_D/2*(1-COS(($BH107+10*($BI107-$BH107)/12)))-$BF107)/$BG107)^2*SIN(($BH107+10*($BI107-$BH107)/12))^2</f>
        <v/>
      </c>
      <c r="BU107">
        <f>((cc_D/2*(1-COS(($BH107+11*($BI107-$BH107)/12)))-$BF107)/$BG107)^2*SIN(($BH107+11*($BI107-$BH107)/12))^2</f>
        <v/>
      </c>
      <c r="BV107">
        <f>((cc_D/2*(1-COS(($BH107+12*($BI107-$BH107)/12)))-$BF107)/$BG107)^2*SIN(($BH107+12*($BI107-$BH107)/12))^2</f>
        <v/>
      </c>
      <c r="BW107">
        <f>BJ107*COS(($BH107+0*($BI107-$BH107)/12))</f>
        <v/>
      </c>
      <c r="BX107">
        <f>BK107*COS(($BH107+1*($BI107-$BH107)/12))</f>
        <v/>
      </c>
      <c r="BY107">
        <f>BL107*COS(($BH107+2*($BI107-$BH107)/12))</f>
        <v/>
      </c>
      <c r="BZ107">
        <f>BM107*COS(($BH107+3*($BI107-$BH107)/12))</f>
        <v/>
      </c>
      <c r="CA107">
        <f>BN107*COS(($BH107+4*($BI107-$BH107)/12))</f>
        <v/>
      </c>
      <c r="CB107">
        <f>BO107*COS(($BH107+5*($BI107-$BH107)/12))</f>
        <v/>
      </c>
      <c r="CC107">
        <f>BP107*COS(($BH107+6*($BI107-$BH107)/12))</f>
        <v/>
      </c>
      <c r="CD107">
        <f>BQ107*COS(($BH107+7*($BI107-$BH107)/12))</f>
        <v/>
      </c>
      <c r="CE107">
        <f>BR107*COS(($BH107+8*($BI107-$BH107)/12))</f>
        <v/>
      </c>
      <c r="CF107">
        <f>BS107*COS(($BH107+9*($BI107-$BH107)/12))</f>
        <v/>
      </c>
      <c r="CG107">
        <f>BT107*COS(($BH107+10*($BI107-$BH107)/12))</f>
        <v/>
      </c>
      <c r="CH107">
        <f>BU107*COS(($BH107+11*($BI107-$BH107)/12))</f>
        <v/>
      </c>
      <c r="CI107">
        <f>BV107*COS(($BH107+12*($BI107-$BH107)/12))</f>
        <v/>
      </c>
    </row>
    <row r="108">
      <c r="B108" s="65" t="n">
        <v>19</v>
      </c>
      <c r="C108" s="66">
        <f>IF($G107&lt;cc_NEd-1E-9*ABS(cc_NEd),($C107+$D107)/2,$C107)</f>
        <v/>
      </c>
      <c r="D108" s="66">
        <f>IF($G107&lt;cc_NEd-1E-9*ABS(cc_NEd),$D107,($C107+$D107)/2)</f>
        <v/>
      </c>
      <c r="E108" s="67">
        <f>cc_D*(($C108+$D108)/2)/(1-(($C108+$D108)/2))</f>
        <v/>
      </c>
      <c r="F108" s="68">
        <f>IF($E108&lt;=cc_D,3.5,2*$E108/($E108-3*cc_D/7))</f>
        <v/>
      </c>
      <c r="G108" s="67">
        <f>(fcd_cc*((cc_D/2)^2*($BI108-COS($BI108)*SIN($BI108))-2*(cc_D/2)^2*($BI108-$BH108)/12/3*SUMPRODUCT($BJ$4:$BV$4,$BJ108:$BV108))+SUMPRODUCT($J$5:$AG$5,$J108:$AG108))/1000</f>
        <v/>
      </c>
      <c r="H108" s="67">
        <f>(fcd_cc*(2/3*(cc_D/2)^3*SIN($BI108)^3-2*(cc_D/2)^3*($BI108-$BH108)/12/3*SUMPRODUCT($BW$4:$CI$4,$BW108:$CI108))+SUMPRODUCT($J$5:$AG$5,$J108:$AG108,$J$7:$AG$7))/1E6</f>
        <v/>
      </c>
      <c r="I108" s="67">
        <f>SUMPRODUCT($J$5:$AG$5,$J108:$AG108,$J$8:$AG$8)/1E6</f>
        <v/>
      </c>
      <c r="J108">
        <f>MAX(-fyd_cc,MIN(fyd_cc,Es_cc*IF($E108&lt;=cc_D,0.0035*($E108-J$6)/$E108,0.002*($E108-J$6)/($E108-3*cc_D/7))))-fcd_cc*(1-(1-MAX(0,MIN(1,IF($E108&lt;=cc_D,0.0035*($E108-J$6)/$E108,0.002*($E108-J$6)/($E108-3*cc_D/7))/0.002)))^2)</f>
        <v/>
      </c>
      <c r="K108">
        <f>MAX(-fyd_cc,MIN(fyd_cc,Es_cc*IF($E108&lt;=cc_D,0.0035*($E108-K$6)/$E108,0.002*($E108-K$6)/($E108-3*cc_D/7))))-fcd_cc*(1-(1-MAX(0,MIN(1,IF($E108&lt;=cc_D,0.0035*($E108-K$6)/$E108,0.002*($E108-K$6)/($E108-3*cc_D/7))/0.002)))^2)</f>
        <v/>
      </c>
      <c r="L108">
        <f>MAX(-fyd_cc,MIN(fyd_cc,Es_cc*IF($E108&lt;=cc_D,0.0035*($E108-L$6)/$E108,0.002*($E108-L$6)/($E108-3*cc_D/7))))-fcd_cc*(1-(1-MAX(0,MIN(1,IF($E108&lt;=cc_D,0.0035*($E108-L$6)/$E108,0.002*($E108-L$6)/($E108-3*cc_D/7))/0.002)))^2)</f>
        <v/>
      </c>
      <c r="M108">
        <f>MAX(-fyd_cc,MIN(fyd_cc,Es_cc*IF($E108&lt;=cc_D,0.0035*($E108-M$6)/$E108,0.002*($E108-M$6)/($E108-3*cc_D/7))))-fcd_cc*(1-(1-MAX(0,MIN(1,IF($E108&lt;=cc_D,0.0035*($E108-M$6)/$E108,0.002*($E108-M$6)/($E108-3*cc_D/7))/0.002)))^2)</f>
        <v/>
      </c>
      <c r="N108">
        <f>MAX(-fyd_cc,MIN(fyd_cc,Es_cc*IF($E108&lt;=cc_D,0.0035*($E108-N$6)/$E108,0.002*($E108-N$6)/($E108-3*cc_D/7))))-fcd_cc*(1-(1-MAX(0,MIN(1,IF($E108&lt;=cc_D,0.0035*($E108-N$6)/$E108,0.002*($E108-N$6)/($E108-3*cc_D/7))/0.002)))^2)</f>
        <v/>
      </c>
      <c r="O108">
        <f>MAX(-fyd_cc,MIN(fyd_cc,Es_cc*IF($E108&lt;=cc_D,0.0035*($E108-O$6)/$E108,0.002*($E108-O$6)/($E108-3*cc_D/7))))-fcd_cc*(1-(1-MAX(0,MIN(1,IF($E108&lt;=cc_D,0.0035*($E108-O$6)/$E108,0.002*($E108-O$6)/($E108-3*cc_D/7))/0.002)))^2)</f>
        <v/>
      </c>
      <c r="P108">
        <f>MAX(-fyd_cc,MIN(fyd_cc,Es_cc*IF($E108&lt;=cc_D,0.0035*($E108-P$6)/$E108,0.002*($E108-P$6)/($E108-3*cc_D/7))))-fcd_cc*(1-(1-MAX(0,MIN(1,IF($E108&lt;=cc_D,0.0035*($E108-P$6)/$E108,0.002*($E108-P$6)/($E108-3*cc_D/7))/0.002)))^2)</f>
        <v/>
      </c>
      <c r="Q108">
        <f>MAX(-fyd_cc,MIN(fyd_cc,Es_cc*IF($E108&lt;=cc_D,0.0035*($E108-Q$6)/$E108,0.002*($E108-Q$6)/($E108-3*cc_D/7))))-fcd_cc*(1-(1-MAX(0,MIN(1,IF($E108&lt;=cc_D,0.0035*($E108-Q$6)/$E108,0.002*($E108-Q$6)/($E108-3*cc_D/7))/0.002)))^2)</f>
        <v/>
      </c>
      <c r="R108">
        <f>MAX(-fyd_cc,MIN(fyd_cc,Es_cc*IF($E108&lt;=cc_D,0.0035*($E108-R$6)/$E108,0.002*($E108-R$6)/($E108-3*cc_D/7))))-fcd_cc*(1-(1-MAX(0,MIN(1,IF($E108&lt;=cc_D,0.0035*($E108-R$6)/$E108,0.002*($E108-R$6)/($E108-3*cc_D/7))/0.002)))^2)</f>
        <v/>
      </c>
      <c r="S108">
        <f>MAX(-fyd_cc,MIN(fyd_cc,Es_cc*IF($E108&lt;=cc_D,0.0035*($E108-S$6)/$E108,0.002*($E108-S$6)/($E108-3*cc_D/7))))-fcd_cc*(1-(1-MAX(0,MIN(1,IF($E108&lt;=cc_D,0.0035*($E108-S$6)/$E108,0.002*($E108-S$6)/($E108-3*cc_D/7))/0.002)))^2)</f>
        <v/>
      </c>
      <c r="T108">
        <f>MAX(-fyd_cc,MIN(fyd_cc,Es_cc*IF($E108&lt;=cc_D,0.0035*($E108-T$6)/$E108,0.002*($E108-T$6)/($E108-3*cc_D/7))))-fcd_cc*(1-(1-MAX(0,MIN(1,IF($E108&lt;=cc_D,0.0035*($E108-T$6)/$E108,0.002*($E108-T$6)/($E108-3*cc_D/7))/0.002)))^2)</f>
        <v/>
      </c>
      <c r="U108">
        <f>MAX(-fyd_cc,MIN(fyd_cc,Es_cc*IF($E108&lt;=cc_D,0.0035*($E108-U$6)/$E108,0.002*($E108-U$6)/($E108-3*cc_D/7))))-fcd_cc*(1-(1-MAX(0,MIN(1,IF($E108&lt;=cc_D,0.0035*($E108-U$6)/$E108,0.002*($E108-U$6)/($E108-3*cc_D/7))/0.002)))^2)</f>
        <v/>
      </c>
      <c r="V108">
        <f>MAX(-fyd_cc,MIN(fyd_cc,Es_cc*IF($E108&lt;=cc_D,0.0035*($E108-V$6)/$E108,0.002*($E108-V$6)/($E108-3*cc_D/7))))-fcd_cc*(1-(1-MAX(0,MIN(1,IF($E108&lt;=cc_D,0.0035*($E108-V$6)/$E108,0.002*($E108-V$6)/($E108-3*cc_D/7))/0.002)))^2)</f>
        <v/>
      </c>
      <c r="W108">
        <f>MAX(-fyd_cc,MIN(fyd_cc,Es_cc*IF($E108&lt;=cc_D,0.0035*($E108-W$6)/$E108,0.002*($E108-W$6)/($E108-3*cc_D/7))))-fcd_cc*(1-(1-MAX(0,MIN(1,IF($E108&lt;=cc_D,0.0035*($E108-W$6)/$E108,0.002*($E108-W$6)/($E108-3*cc_D/7))/0.002)))^2)</f>
        <v/>
      </c>
      <c r="X108">
        <f>MAX(-fyd_cc,MIN(fyd_cc,Es_cc*IF($E108&lt;=cc_D,0.0035*($E108-X$6)/$E108,0.002*($E108-X$6)/($E108-3*cc_D/7))))-fcd_cc*(1-(1-MAX(0,MIN(1,IF($E108&lt;=cc_D,0.0035*($E108-X$6)/$E108,0.002*($E108-X$6)/($E108-3*cc_D/7))/0.002)))^2)</f>
        <v/>
      </c>
      <c r="Y108">
        <f>MAX(-fyd_cc,MIN(fyd_cc,Es_cc*IF($E108&lt;=cc_D,0.0035*($E108-Y$6)/$E108,0.002*($E108-Y$6)/($E108-3*cc_D/7))))-fcd_cc*(1-(1-MAX(0,MIN(1,IF($E108&lt;=cc_D,0.0035*($E108-Y$6)/$E108,0.002*($E108-Y$6)/($E108-3*cc_D/7))/0.002)))^2)</f>
        <v/>
      </c>
      <c r="Z108">
        <f>MAX(-fyd_cc,MIN(fyd_cc,Es_cc*IF($E108&lt;=cc_D,0.0035*($E108-Z$6)/$E108,0.002*($E108-Z$6)/($E108-3*cc_D/7))))-fcd_cc*(1-(1-MAX(0,MIN(1,IF($E108&lt;=cc_D,0.0035*($E108-Z$6)/$E108,0.002*($E108-Z$6)/($E108-3*cc_D/7))/0.002)))^2)</f>
        <v/>
      </c>
      <c r="AA108">
        <f>MAX(-fyd_cc,MIN(fyd_cc,Es_cc*IF($E108&lt;=cc_D,0.0035*($E108-AA$6)/$E108,0.002*($E108-AA$6)/($E108-3*cc_D/7))))-fcd_cc*(1-(1-MAX(0,MIN(1,IF($E108&lt;=cc_D,0.0035*($E108-AA$6)/$E108,0.002*($E108-AA$6)/($E108-3*cc_D/7))/0.002)))^2)</f>
        <v/>
      </c>
      <c r="AB108">
        <f>MAX(-fyd_cc,MIN(fyd_cc,Es_cc*IF($E108&lt;=cc_D,0.0035*($E108-AB$6)/$E108,0.002*($E108-AB$6)/($E108-3*cc_D/7))))-fcd_cc*(1-(1-MAX(0,MIN(1,IF($E108&lt;=cc_D,0.0035*($E108-AB$6)/$E108,0.002*($E108-AB$6)/($E108-3*cc_D/7))/0.002)))^2)</f>
        <v/>
      </c>
      <c r="AC108">
        <f>MAX(-fyd_cc,MIN(fyd_cc,Es_cc*IF($E108&lt;=cc_D,0.0035*($E108-AC$6)/$E108,0.002*($E108-AC$6)/($E108-3*cc_D/7))))-fcd_cc*(1-(1-MAX(0,MIN(1,IF($E108&lt;=cc_D,0.0035*($E108-AC$6)/$E108,0.002*($E108-AC$6)/($E108-3*cc_D/7))/0.002)))^2)</f>
        <v/>
      </c>
      <c r="AD108">
        <f>MAX(-fyd_cc,MIN(fyd_cc,Es_cc*IF($E108&lt;=cc_D,0.0035*($E108-AD$6)/$E108,0.002*($E108-AD$6)/($E108-3*cc_D/7))))-fcd_cc*(1-(1-MAX(0,MIN(1,IF($E108&lt;=cc_D,0.0035*($E108-AD$6)/$E108,0.002*($E108-AD$6)/($E108-3*cc_D/7))/0.002)))^2)</f>
        <v/>
      </c>
      <c r="AE108">
        <f>MAX(-fyd_cc,MIN(fyd_cc,Es_cc*IF($E108&lt;=cc_D,0.0035*($E108-AE$6)/$E108,0.002*($E108-AE$6)/($E108-3*cc_D/7))))-fcd_cc*(1-(1-MAX(0,MIN(1,IF($E108&lt;=cc_D,0.0035*($E108-AE$6)/$E108,0.002*($E108-AE$6)/($E108-3*cc_D/7))/0.002)))^2)</f>
        <v/>
      </c>
      <c r="AF108">
        <f>MAX(-fyd_cc,MIN(fyd_cc,Es_cc*IF($E108&lt;=cc_D,0.0035*($E108-AF$6)/$E108,0.002*($E108-AF$6)/($E108-3*cc_D/7))))-fcd_cc*(1-(1-MAX(0,MIN(1,IF($E108&lt;=cc_D,0.0035*($E108-AF$6)/$E108,0.002*($E108-AF$6)/($E108-3*cc_D/7))/0.002)))^2)</f>
        <v/>
      </c>
      <c r="AG108">
        <f>MAX(-fyd_cc,MIN(fyd_cc,Es_cc*IF($E108&lt;=cc_D,0.0035*($E108-AG$6)/$E108,0.002*($E108-AG$6)/($E108-3*cc_D/7))))-fcd_cc*(1-(1-MAX(0,MIN(1,IF($E108&lt;=cc_D,0.0035*($E108-AG$6)/$E108,0.002*($E108-AG$6)/($E108-3*cc_D/7))/0.002)))^2)</f>
        <v/>
      </c>
      <c r="BF108">
        <f>3*MIN($E108,cc_D)/7</f>
        <v/>
      </c>
      <c r="BG108">
        <f>$E108-$BF108</f>
        <v/>
      </c>
      <c r="BH108">
        <f>ACOS(MAX(-1,MIN(1,1-$BF108/(cc_D/2))))</f>
        <v/>
      </c>
      <c r="BI108">
        <f>ACOS(MAX(-1,MIN(1,1-MIN($E108,cc_D)/(cc_D/2))))</f>
        <v/>
      </c>
      <c r="BJ108">
        <f>((cc_D/2*(1-COS(($BH108+0*($BI108-$BH108)/12)))-$BF108)/$BG108)^2*SIN(($BH108+0*($BI108-$BH108)/12))^2</f>
        <v/>
      </c>
      <c r="BK108">
        <f>((cc_D/2*(1-COS(($BH108+1*($BI108-$BH108)/12)))-$BF108)/$BG108)^2*SIN(($BH108+1*($BI108-$BH108)/12))^2</f>
        <v/>
      </c>
      <c r="BL108">
        <f>((cc_D/2*(1-COS(($BH108+2*($BI108-$BH108)/12)))-$BF108)/$BG108)^2*SIN(($BH108+2*($BI108-$BH108)/12))^2</f>
        <v/>
      </c>
      <c r="BM108">
        <f>((cc_D/2*(1-COS(($BH108+3*($BI108-$BH108)/12)))-$BF108)/$BG108)^2*SIN(($BH108+3*($BI108-$BH108)/12))^2</f>
        <v/>
      </c>
      <c r="BN108">
        <f>((cc_D/2*(1-COS(($BH108+4*($BI108-$BH108)/12)))-$BF108)/$BG108)^2*SIN(($BH108+4*($BI108-$BH108)/12))^2</f>
        <v/>
      </c>
      <c r="BO108">
        <f>((cc_D/2*(1-COS(($BH108+5*($BI108-$BH108)/12)))-$BF108)/$BG108)^2*SIN(($BH108+5*($BI108-$BH108)/12))^2</f>
        <v/>
      </c>
      <c r="BP108">
        <f>((cc_D/2*(1-COS(($BH108+6*($BI108-$BH108)/12)))-$BF108)/$BG108)^2*SIN(($BH108+6*($BI108-$BH108)/12))^2</f>
        <v/>
      </c>
      <c r="BQ108">
        <f>((cc_D/2*(1-COS(($BH108+7*($BI108-$BH108)/12)))-$BF108)/$BG108)^2*SIN(($BH108+7*($BI108-$BH108)/12))^2</f>
        <v/>
      </c>
      <c r="BR108">
        <f>((cc_D/2*(1-COS(($BH108+8*($BI108-$BH108)/12)))-$BF108)/$BG108)^2*SIN(($BH108+8*($BI108-$BH108)/12))^2</f>
        <v/>
      </c>
      <c r="BS108">
        <f>((cc_D/2*(1-COS(($BH108+9*($BI108-$BH108)/12)))-$BF108)/$BG108)^2*SIN(($BH108+9*($BI108-$BH108)/12))^2</f>
        <v/>
      </c>
      <c r="BT108">
        <f>((cc_D/2*(1-COS(($BH108+10*($BI108-$BH108)/12)))-$BF108)/$BG108)^2*SIN(($BH108+10*($BI108-$BH108)/12))^2</f>
        <v/>
      </c>
      <c r="BU108">
        <f>((cc_D/2*(1-COS(($BH108+11*($BI108-$BH108)/12)))-$BF108)/$BG108)^2*SIN(($BH108+11*($BI108-$BH108)/12))^2</f>
        <v/>
      </c>
      <c r="BV108">
        <f>((cc_D/2*(1-COS(($BH108+12*($BI108-$BH108)/12)))-$BF108)/$BG108)^2*SIN(($BH108+12*($BI108-$BH108)/12))^2</f>
        <v/>
      </c>
      <c r="BW108">
        <f>BJ108*COS(($BH108+0*($BI108-$BH108)/12))</f>
        <v/>
      </c>
      <c r="BX108">
        <f>BK108*COS(($BH108+1*($BI108-$BH108)/12))</f>
        <v/>
      </c>
      <c r="BY108">
        <f>BL108*COS(($BH108+2*($BI108-$BH108)/12))</f>
        <v/>
      </c>
      <c r="BZ108">
        <f>BM108*COS(($BH108+3*($BI108-$BH108)/12))</f>
        <v/>
      </c>
      <c r="CA108">
        <f>BN108*COS(($BH108+4*($BI108-$BH108)/12))</f>
        <v/>
      </c>
      <c r="CB108">
        <f>BO108*COS(($BH108+5*($BI108-$BH108)/12))</f>
        <v/>
      </c>
      <c r="CC108">
        <f>BP108*COS(($BH108+6*($BI108-$BH108)/12))</f>
        <v/>
      </c>
      <c r="CD108">
        <f>BQ108*COS(($BH108+7*($BI108-$BH108)/12))</f>
        <v/>
      </c>
      <c r="CE108">
        <f>BR108*COS(($BH108+8*($BI108-$BH108)/12))</f>
        <v/>
      </c>
      <c r="CF108">
        <f>BS108*COS(($BH108+9*($BI108-$BH108)/12))</f>
        <v/>
      </c>
      <c r="CG108">
        <f>BT108*COS(($BH108+10*($BI108-$BH108)/12))</f>
        <v/>
      </c>
      <c r="CH108">
        <f>BU108*COS(($BH108+11*($BI108-$BH108)/12))</f>
        <v/>
      </c>
      <c r="CI108">
        <f>BV108*COS(($BH108+12*($BI108-$BH108)/12))</f>
        <v/>
      </c>
    </row>
    <row r="109">
      <c r="B109" s="65" t="n">
        <v>20</v>
      </c>
      <c r="C109" s="66">
        <f>IF($G108&lt;cc_NEd-1E-9*ABS(cc_NEd),($C108+$D108)/2,$C108)</f>
        <v/>
      </c>
      <c r="D109" s="66">
        <f>IF($G108&lt;cc_NEd-1E-9*ABS(cc_NEd),$D108,($C108+$D108)/2)</f>
        <v/>
      </c>
      <c r="E109" s="67">
        <f>cc_D*(($C109+$D109)/2)/(1-(($C109+$D109)/2))</f>
        <v/>
      </c>
      <c r="F109" s="68">
        <f>IF($E109&lt;=cc_D,3.5,2*$E109/($E109-3*cc_D/7))</f>
        <v/>
      </c>
      <c r="G109" s="67">
        <f>(fcd_cc*((cc_D/2)^2*($BI109-COS($BI109)*SIN($BI109))-2*(cc_D/2)^2*($BI109-$BH109)/12/3*SUMPRODUCT($BJ$4:$BV$4,$BJ109:$BV109))+SUMPRODUCT($J$5:$AG$5,$J109:$AG109))/1000</f>
        <v/>
      </c>
      <c r="H109" s="67">
        <f>(fcd_cc*(2/3*(cc_D/2)^3*SIN($BI109)^3-2*(cc_D/2)^3*($BI109-$BH109)/12/3*SUMPRODUCT($BW$4:$CI$4,$BW109:$CI109))+SUMPRODUCT($J$5:$AG$5,$J109:$AG109,$J$7:$AG$7))/1E6</f>
        <v/>
      </c>
      <c r="I109" s="67">
        <f>SUMPRODUCT($J$5:$AG$5,$J109:$AG109,$J$8:$AG$8)/1E6</f>
        <v/>
      </c>
      <c r="J109">
        <f>MAX(-fyd_cc,MIN(fyd_cc,Es_cc*IF($E109&lt;=cc_D,0.0035*($E109-J$6)/$E109,0.002*($E109-J$6)/($E109-3*cc_D/7))))-fcd_cc*(1-(1-MAX(0,MIN(1,IF($E109&lt;=cc_D,0.0035*($E109-J$6)/$E109,0.002*($E109-J$6)/($E109-3*cc_D/7))/0.002)))^2)</f>
        <v/>
      </c>
      <c r="K109">
        <f>MAX(-fyd_cc,MIN(fyd_cc,Es_cc*IF($E109&lt;=cc_D,0.0035*($E109-K$6)/$E109,0.002*($E109-K$6)/($E109-3*cc_D/7))))-fcd_cc*(1-(1-MAX(0,MIN(1,IF($E109&lt;=cc_D,0.0035*($E109-K$6)/$E109,0.002*($E109-K$6)/($E109-3*cc_D/7))/0.002)))^2)</f>
        <v/>
      </c>
      <c r="L109">
        <f>MAX(-fyd_cc,MIN(fyd_cc,Es_cc*IF($E109&lt;=cc_D,0.0035*($E109-L$6)/$E109,0.002*($E109-L$6)/($E109-3*cc_D/7))))-fcd_cc*(1-(1-MAX(0,MIN(1,IF($E109&lt;=cc_D,0.0035*($E109-L$6)/$E109,0.002*($E109-L$6)/($E109-3*cc_D/7))/0.002)))^2)</f>
        <v/>
      </c>
      <c r="M109">
        <f>MAX(-fyd_cc,MIN(fyd_cc,Es_cc*IF($E109&lt;=cc_D,0.0035*($E109-M$6)/$E109,0.002*($E109-M$6)/($E109-3*cc_D/7))))-fcd_cc*(1-(1-MAX(0,MIN(1,IF($E109&lt;=cc_D,0.0035*($E109-M$6)/$E109,0.002*($E109-M$6)/($E109-3*cc_D/7))/0.002)))^2)</f>
        <v/>
      </c>
      <c r="N109">
        <f>MAX(-fyd_cc,MIN(fyd_cc,Es_cc*IF($E109&lt;=cc_D,0.0035*($E109-N$6)/$E109,0.002*($E109-N$6)/($E109-3*cc_D/7))))-fcd_cc*(1-(1-MAX(0,MIN(1,IF($E109&lt;=cc_D,0.0035*($E109-N$6)/$E109,0.002*($E109-N$6)/($E109-3*cc_D/7))/0.002)))^2)</f>
        <v/>
      </c>
      <c r="O109">
        <f>MAX(-fyd_cc,MIN(fyd_cc,Es_cc*IF($E109&lt;=cc_D,0.0035*($E109-O$6)/$E109,0.002*($E109-O$6)/($E109-3*cc_D/7))))-fcd_cc*(1-(1-MAX(0,MIN(1,IF($E109&lt;=cc_D,0.0035*($E109-O$6)/$E109,0.002*($E109-O$6)/($E109-3*cc_D/7))/0.002)))^2)</f>
        <v/>
      </c>
      <c r="P109">
        <f>MAX(-fyd_cc,MIN(fyd_cc,Es_cc*IF($E109&lt;=cc_D,0.0035*($E109-P$6)/$E109,0.002*($E109-P$6)/($E109-3*cc_D/7))))-fcd_cc*(1-(1-MAX(0,MIN(1,IF($E109&lt;=cc_D,0.0035*($E109-P$6)/$E109,0.002*($E109-P$6)/($E109-3*cc_D/7))/0.002)))^2)</f>
        <v/>
      </c>
      <c r="Q109">
        <f>MAX(-fyd_cc,MIN(fyd_cc,Es_cc*IF($E109&lt;=cc_D,0.0035*($E109-Q$6)/$E109,0.002*($E109-Q$6)/($E109-3*cc_D/7))))-fcd_cc*(1-(1-MAX(0,MIN(1,IF($E109&lt;=cc_D,0.0035*($E109-Q$6)/$E109,0.002*($E109-Q$6)/($E109-3*cc_D/7))/0.002)))^2)</f>
        <v/>
      </c>
      <c r="R109">
        <f>MAX(-fyd_cc,MIN(fyd_cc,Es_cc*IF($E109&lt;=cc_D,0.0035*($E109-R$6)/$E109,0.002*($E109-R$6)/($E109-3*cc_D/7))))-fcd_cc*(1-(1-MAX(0,MIN(1,IF($E109&lt;=cc_D,0.0035*($E109-R$6)/$E109,0.002*($E109-R$6)/($E109-3*cc_D/7))/0.002)))^2)</f>
        <v/>
      </c>
      <c r="S109">
        <f>MAX(-fyd_cc,MIN(fyd_cc,Es_cc*IF($E109&lt;=cc_D,0.0035*($E109-S$6)/$E109,0.002*($E109-S$6)/($E109-3*cc_D/7))))-fcd_cc*(1-(1-MAX(0,MIN(1,IF($E109&lt;=cc_D,0.0035*($E109-S$6)/$E109,0.002*($E109-S$6)/($E109-3*cc_D/7))/0.002)))^2)</f>
        <v/>
      </c>
      <c r="T109">
        <f>MAX(-fyd_cc,MIN(fyd_cc,Es_cc*IF($E109&lt;=cc_D,0.0035*($E109-T$6)/$E109,0.002*($E109-T$6)/($E109-3*cc_D/7))))-fcd_cc*(1-(1-MAX(0,MIN(1,IF($E109&lt;=cc_D,0.0035*($E109-T$6)/$E109,0.002*($E109-T$6)/($E109-3*cc_D/7))/0.002)))^2)</f>
        <v/>
      </c>
      <c r="U109">
        <f>MAX(-fyd_cc,MIN(fyd_cc,Es_cc*IF($E109&lt;=cc_D,0.0035*($E109-U$6)/$E109,0.002*($E109-U$6)/($E109-3*cc_D/7))))-fcd_cc*(1-(1-MAX(0,MIN(1,IF($E109&lt;=cc_D,0.0035*($E109-U$6)/$E109,0.002*($E109-U$6)/($E109-3*cc_D/7))/0.002)))^2)</f>
        <v/>
      </c>
      <c r="V109">
        <f>MAX(-fyd_cc,MIN(fyd_cc,Es_cc*IF($E109&lt;=cc_D,0.0035*($E109-V$6)/$E109,0.002*($E109-V$6)/($E109-3*cc_D/7))))-fcd_cc*(1-(1-MAX(0,MIN(1,IF($E109&lt;=cc_D,0.0035*($E109-V$6)/$E109,0.002*($E109-V$6)/($E109-3*cc_D/7))/0.002)))^2)</f>
        <v/>
      </c>
      <c r="W109">
        <f>MAX(-fyd_cc,MIN(fyd_cc,Es_cc*IF($E109&lt;=cc_D,0.0035*($E109-W$6)/$E109,0.002*($E109-W$6)/($E109-3*cc_D/7))))-fcd_cc*(1-(1-MAX(0,MIN(1,IF($E109&lt;=cc_D,0.0035*($E109-W$6)/$E109,0.002*($E109-W$6)/($E109-3*cc_D/7))/0.002)))^2)</f>
        <v/>
      </c>
      <c r="X109">
        <f>MAX(-fyd_cc,MIN(fyd_cc,Es_cc*IF($E109&lt;=cc_D,0.0035*($E109-X$6)/$E109,0.002*($E109-X$6)/($E109-3*cc_D/7))))-fcd_cc*(1-(1-MAX(0,MIN(1,IF($E109&lt;=cc_D,0.0035*($E109-X$6)/$E109,0.002*($E109-X$6)/($E109-3*cc_D/7))/0.002)))^2)</f>
        <v/>
      </c>
      <c r="Y109">
        <f>MAX(-fyd_cc,MIN(fyd_cc,Es_cc*IF($E109&lt;=cc_D,0.0035*($E109-Y$6)/$E109,0.002*($E109-Y$6)/($E109-3*cc_D/7))))-fcd_cc*(1-(1-MAX(0,MIN(1,IF($E109&lt;=cc_D,0.0035*($E109-Y$6)/$E109,0.002*($E109-Y$6)/($E109-3*cc_D/7))/0.002)))^2)</f>
        <v/>
      </c>
      <c r="Z109">
        <f>MAX(-fyd_cc,MIN(fyd_cc,Es_cc*IF($E109&lt;=cc_D,0.0035*($E109-Z$6)/$E109,0.002*($E109-Z$6)/($E109-3*cc_D/7))))-fcd_cc*(1-(1-MAX(0,MIN(1,IF($E109&lt;=cc_D,0.0035*($E109-Z$6)/$E109,0.002*($E109-Z$6)/($E109-3*cc_D/7))/0.002)))^2)</f>
        <v/>
      </c>
      <c r="AA109">
        <f>MAX(-fyd_cc,MIN(fyd_cc,Es_cc*IF($E109&lt;=cc_D,0.0035*($E109-AA$6)/$E109,0.002*($E109-AA$6)/($E109-3*cc_D/7))))-fcd_cc*(1-(1-MAX(0,MIN(1,IF($E109&lt;=cc_D,0.0035*($E109-AA$6)/$E109,0.002*($E109-AA$6)/($E109-3*cc_D/7))/0.002)))^2)</f>
        <v/>
      </c>
      <c r="AB109">
        <f>MAX(-fyd_cc,MIN(fyd_cc,Es_cc*IF($E109&lt;=cc_D,0.0035*($E109-AB$6)/$E109,0.002*($E109-AB$6)/($E109-3*cc_D/7))))-fcd_cc*(1-(1-MAX(0,MIN(1,IF($E109&lt;=cc_D,0.0035*($E109-AB$6)/$E109,0.002*($E109-AB$6)/($E109-3*cc_D/7))/0.002)))^2)</f>
        <v/>
      </c>
      <c r="AC109">
        <f>MAX(-fyd_cc,MIN(fyd_cc,Es_cc*IF($E109&lt;=cc_D,0.0035*($E109-AC$6)/$E109,0.002*($E109-AC$6)/($E109-3*cc_D/7))))-fcd_cc*(1-(1-MAX(0,MIN(1,IF($E109&lt;=cc_D,0.0035*($E109-AC$6)/$E109,0.002*($E109-AC$6)/($E109-3*cc_D/7))/0.002)))^2)</f>
        <v/>
      </c>
      <c r="AD109">
        <f>MAX(-fyd_cc,MIN(fyd_cc,Es_cc*IF($E109&lt;=cc_D,0.0035*($E109-AD$6)/$E109,0.002*($E109-AD$6)/($E109-3*cc_D/7))))-fcd_cc*(1-(1-MAX(0,MIN(1,IF($E109&lt;=cc_D,0.0035*($E109-AD$6)/$E109,0.002*($E109-AD$6)/($E109-3*cc_D/7))/0.002)))^2)</f>
        <v/>
      </c>
      <c r="AE109">
        <f>MAX(-fyd_cc,MIN(fyd_cc,Es_cc*IF($E109&lt;=cc_D,0.0035*($E109-AE$6)/$E109,0.002*($E109-AE$6)/($E109-3*cc_D/7))))-fcd_cc*(1-(1-MAX(0,MIN(1,IF($E109&lt;=cc_D,0.0035*($E109-AE$6)/$E109,0.002*($E109-AE$6)/($E109-3*cc_D/7))/0.002)))^2)</f>
        <v/>
      </c>
      <c r="AF109">
        <f>MAX(-fyd_cc,MIN(fyd_cc,Es_cc*IF($E109&lt;=cc_D,0.0035*($E109-AF$6)/$E109,0.002*($E109-AF$6)/($E109-3*cc_D/7))))-fcd_cc*(1-(1-MAX(0,MIN(1,IF($E109&lt;=cc_D,0.0035*($E109-AF$6)/$E109,0.002*($E109-AF$6)/($E109-3*cc_D/7))/0.002)))^2)</f>
        <v/>
      </c>
      <c r="AG109">
        <f>MAX(-fyd_cc,MIN(fyd_cc,Es_cc*IF($E109&lt;=cc_D,0.0035*($E109-AG$6)/$E109,0.002*($E109-AG$6)/($E109-3*cc_D/7))))-fcd_cc*(1-(1-MAX(0,MIN(1,IF($E109&lt;=cc_D,0.0035*($E109-AG$6)/$E109,0.002*($E109-AG$6)/($E109-3*cc_D/7))/0.002)))^2)</f>
        <v/>
      </c>
      <c r="BF109">
        <f>3*MIN($E109,cc_D)/7</f>
        <v/>
      </c>
      <c r="BG109">
        <f>$E109-$BF109</f>
        <v/>
      </c>
      <c r="BH109">
        <f>ACOS(MAX(-1,MIN(1,1-$BF109/(cc_D/2))))</f>
        <v/>
      </c>
      <c r="BI109">
        <f>ACOS(MAX(-1,MIN(1,1-MIN($E109,cc_D)/(cc_D/2))))</f>
        <v/>
      </c>
      <c r="BJ109">
        <f>((cc_D/2*(1-COS(($BH109+0*($BI109-$BH109)/12)))-$BF109)/$BG109)^2*SIN(($BH109+0*($BI109-$BH109)/12))^2</f>
        <v/>
      </c>
      <c r="BK109">
        <f>((cc_D/2*(1-COS(($BH109+1*($BI109-$BH109)/12)))-$BF109)/$BG109)^2*SIN(($BH109+1*($BI109-$BH109)/12))^2</f>
        <v/>
      </c>
      <c r="BL109">
        <f>((cc_D/2*(1-COS(($BH109+2*($BI109-$BH109)/12)))-$BF109)/$BG109)^2*SIN(($BH109+2*($BI109-$BH109)/12))^2</f>
        <v/>
      </c>
      <c r="BM109">
        <f>((cc_D/2*(1-COS(($BH109+3*($BI109-$BH109)/12)))-$BF109)/$BG109)^2*SIN(($BH109+3*($BI109-$BH109)/12))^2</f>
        <v/>
      </c>
      <c r="BN109">
        <f>((cc_D/2*(1-COS(($BH109+4*($BI109-$BH109)/12)))-$BF109)/$BG109)^2*SIN(($BH109+4*($BI109-$BH109)/12))^2</f>
        <v/>
      </c>
      <c r="BO109">
        <f>((cc_D/2*(1-COS(($BH109+5*($BI109-$BH109)/12)))-$BF109)/$BG109)^2*SIN(($BH109+5*($BI109-$BH109)/12))^2</f>
        <v/>
      </c>
      <c r="BP109">
        <f>((cc_D/2*(1-COS(($BH109+6*($BI109-$BH109)/12)))-$BF109)/$BG109)^2*SIN(($BH109+6*($BI109-$BH109)/12))^2</f>
        <v/>
      </c>
      <c r="BQ109">
        <f>((cc_D/2*(1-COS(($BH109+7*($BI109-$BH109)/12)))-$BF109)/$BG109)^2*SIN(($BH109+7*($BI109-$BH109)/12))^2</f>
        <v/>
      </c>
      <c r="BR109">
        <f>((cc_D/2*(1-COS(($BH109+8*($BI109-$BH109)/12)))-$BF109)/$BG109)^2*SIN(($BH109+8*($BI109-$BH109)/12))^2</f>
        <v/>
      </c>
      <c r="BS109">
        <f>((cc_D/2*(1-COS(($BH109+9*($BI109-$BH109)/12)))-$BF109)/$BG109)^2*SIN(($BH109+9*($BI109-$BH109)/12))^2</f>
        <v/>
      </c>
      <c r="BT109">
        <f>((cc_D/2*(1-COS(($BH109+10*($BI109-$BH109)/12)))-$BF109)/$BG109)^2*SIN(($BH109+10*($BI109-$BH109)/12))^2</f>
        <v/>
      </c>
      <c r="BU109">
        <f>((cc_D/2*(1-COS(($BH109+11*($BI109-$BH109)/12)))-$BF109)/$BG109)^2*SIN(($BH109+11*($BI109-$BH109)/12))^2</f>
        <v/>
      </c>
      <c r="BV109">
        <f>((cc_D/2*(1-COS(($BH109+12*($BI109-$BH109)/12)))-$BF109)/$BG109)^2*SIN(($BH109+12*($BI109-$BH109)/12))^2</f>
        <v/>
      </c>
      <c r="BW109">
        <f>BJ109*COS(($BH109+0*($BI109-$BH109)/12))</f>
        <v/>
      </c>
      <c r="BX109">
        <f>BK109*COS(($BH109+1*($BI109-$BH109)/12))</f>
        <v/>
      </c>
      <c r="BY109">
        <f>BL109*COS(($BH109+2*($BI109-$BH109)/12))</f>
        <v/>
      </c>
      <c r="BZ109">
        <f>BM109*COS(($BH109+3*($BI109-$BH109)/12))</f>
        <v/>
      </c>
      <c r="CA109">
        <f>BN109*COS(($BH109+4*($BI109-$BH109)/12))</f>
        <v/>
      </c>
      <c r="CB109">
        <f>BO109*COS(($BH109+5*($BI109-$BH109)/12))</f>
        <v/>
      </c>
      <c r="CC109">
        <f>BP109*COS(($BH109+6*($BI109-$BH109)/12))</f>
        <v/>
      </c>
      <c r="CD109">
        <f>BQ109*COS(($BH109+7*($BI109-$BH109)/12))</f>
        <v/>
      </c>
      <c r="CE109">
        <f>BR109*COS(($BH109+8*($BI109-$BH109)/12))</f>
        <v/>
      </c>
      <c r="CF109">
        <f>BS109*COS(($BH109+9*($BI109-$BH109)/12))</f>
        <v/>
      </c>
      <c r="CG109">
        <f>BT109*COS(($BH109+10*($BI109-$BH109)/12))</f>
        <v/>
      </c>
      <c r="CH109">
        <f>BU109*COS(($BH109+11*($BI109-$BH109)/12))</f>
        <v/>
      </c>
      <c r="CI109">
        <f>BV109*COS(($BH109+12*($BI109-$BH109)/12))</f>
        <v/>
      </c>
    </row>
    <row r="110">
      <c r="B110" s="65" t="n">
        <v>21</v>
      </c>
      <c r="C110" s="66">
        <f>IF($G109&lt;cc_NEd-1E-9*ABS(cc_NEd),($C109+$D109)/2,$C109)</f>
        <v/>
      </c>
      <c r="D110" s="66">
        <f>IF($G109&lt;cc_NEd-1E-9*ABS(cc_NEd),$D109,($C109+$D109)/2)</f>
        <v/>
      </c>
      <c r="E110" s="67">
        <f>cc_D*(($C110+$D110)/2)/(1-(($C110+$D110)/2))</f>
        <v/>
      </c>
      <c r="F110" s="68">
        <f>IF($E110&lt;=cc_D,3.5,2*$E110/($E110-3*cc_D/7))</f>
        <v/>
      </c>
      <c r="G110" s="67">
        <f>(fcd_cc*((cc_D/2)^2*($BI110-COS($BI110)*SIN($BI110))-2*(cc_D/2)^2*($BI110-$BH110)/12/3*SUMPRODUCT($BJ$4:$BV$4,$BJ110:$BV110))+SUMPRODUCT($J$5:$AG$5,$J110:$AG110))/1000</f>
        <v/>
      </c>
      <c r="H110" s="67">
        <f>(fcd_cc*(2/3*(cc_D/2)^3*SIN($BI110)^3-2*(cc_D/2)^3*($BI110-$BH110)/12/3*SUMPRODUCT($BW$4:$CI$4,$BW110:$CI110))+SUMPRODUCT($J$5:$AG$5,$J110:$AG110,$J$7:$AG$7))/1E6</f>
        <v/>
      </c>
      <c r="I110" s="67">
        <f>SUMPRODUCT($J$5:$AG$5,$J110:$AG110,$J$8:$AG$8)/1E6</f>
        <v/>
      </c>
      <c r="J110">
        <f>MAX(-fyd_cc,MIN(fyd_cc,Es_cc*IF($E110&lt;=cc_D,0.0035*($E110-J$6)/$E110,0.002*($E110-J$6)/($E110-3*cc_D/7))))-fcd_cc*(1-(1-MAX(0,MIN(1,IF($E110&lt;=cc_D,0.0035*($E110-J$6)/$E110,0.002*($E110-J$6)/($E110-3*cc_D/7))/0.002)))^2)</f>
        <v/>
      </c>
      <c r="K110">
        <f>MAX(-fyd_cc,MIN(fyd_cc,Es_cc*IF($E110&lt;=cc_D,0.0035*($E110-K$6)/$E110,0.002*($E110-K$6)/($E110-3*cc_D/7))))-fcd_cc*(1-(1-MAX(0,MIN(1,IF($E110&lt;=cc_D,0.0035*($E110-K$6)/$E110,0.002*($E110-K$6)/($E110-3*cc_D/7))/0.002)))^2)</f>
        <v/>
      </c>
      <c r="L110">
        <f>MAX(-fyd_cc,MIN(fyd_cc,Es_cc*IF($E110&lt;=cc_D,0.0035*($E110-L$6)/$E110,0.002*($E110-L$6)/($E110-3*cc_D/7))))-fcd_cc*(1-(1-MAX(0,MIN(1,IF($E110&lt;=cc_D,0.0035*($E110-L$6)/$E110,0.002*($E110-L$6)/($E110-3*cc_D/7))/0.002)))^2)</f>
        <v/>
      </c>
      <c r="M110">
        <f>MAX(-fyd_cc,MIN(fyd_cc,Es_cc*IF($E110&lt;=cc_D,0.0035*($E110-M$6)/$E110,0.002*($E110-M$6)/($E110-3*cc_D/7))))-fcd_cc*(1-(1-MAX(0,MIN(1,IF($E110&lt;=cc_D,0.0035*($E110-M$6)/$E110,0.002*($E110-M$6)/($E110-3*cc_D/7))/0.002)))^2)</f>
        <v/>
      </c>
      <c r="N110">
        <f>MAX(-fyd_cc,MIN(fyd_cc,Es_cc*IF($E110&lt;=cc_D,0.0035*($E110-N$6)/$E110,0.002*($E110-N$6)/($E110-3*cc_D/7))))-fcd_cc*(1-(1-MAX(0,MIN(1,IF($E110&lt;=cc_D,0.0035*($E110-N$6)/$E110,0.002*($E110-N$6)/($E110-3*cc_D/7))/0.002)))^2)</f>
        <v/>
      </c>
      <c r="O110">
        <f>MAX(-fyd_cc,MIN(fyd_cc,Es_cc*IF($E110&lt;=cc_D,0.0035*($E110-O$6)/$E110,0.002*($E110-O$6)/($E110-3*cc_D/7))))-fcd_cc*(1-(1-MAX(0,MIN(1,IF($E110&lt;=cc_D,0.0035*($E110-O$6)/$E110,0.002*($E110-O$6)/($E110-3*cc_D/7))/0.002)))^2)</f>
        <v/>
      </c>
      <c r="P110">
        <f>MAX(-fyd_cc,MIN(fyd_cc,Es_cc*IF($E110&lt;=cc_D,0.0035*($E110-P$6)/$E110,0.002*($E110-P$6)/($E110-3*cc_D/7))))-fcd_cc*(1-(1-MAX(0,MIN(1,IF($E110&lt;=cc_D,0.0035*($E110-P$6)/$E110,0.002*($E110-P$6)/($E110-3*cc_D/7))/0.002)))^2)</f>
        <v/>
      </c>
      <c r="Q110">
        <f>MAX(-fyd_cc,MIN(fyd_cc,Es_cc*IF($E110&lt;=cc_D,0.0035*($E110-Q$6)/$E110,0.002*($E110-Q$6)/($E110-3*cc_D/7))))-fcd_cc*(1-(1-MAX(0,MIN(1,IF($E110&lt;=cc_D,0.0035*($E110-Q$6)/$E110,0.002*($E110-Q$6)/($E110-3*cc_D/7))/0.002)))^2)</f>
        <v/>
      </c>
      <c r="R110">
        <f>MAX(-fyd_cc,MIN(fyd_cc,Es_cc*IF($E110&lt;=cc_D,0.0035*($E110-R$6)/$E110,0.002*($E110-R$6)/($E110-3*cc_D/7))))-fcd_cc*(1-(1-MAX(0,MIN(1,IF($E110&lt;=cc_D,0.0035*($E110-R$6)/$E110,0.002*($E110-R$6)/($E110-3*cc_D/7))/0.002)))^2)</f>
        <v/>
      </c>
      <c r="S110">
        <f>MAX(-fyd_cc,MIN(fyd_cc,Es_cc*IF($E110&lt;=cc_D,0.0035*($E110-S$6)/$E110,0.002*($E110-S$6)/($E110-3*cc_D/7))))-fcd_cc*(1-(1-MAX(0,MIN(1,IF($E110&lt;=cc_D,0.0035*($E110-S$6)/$E110,0.002*($E110-S$6)/($E110-3*cc_D/7))/0.002)))^2)</f>
        <v/>
      </c>
      <c r="T110">
        <f>MAX(-fyd_cc,MIN(fyd_cc,Es_cc*IF($E110&lt;=cc_D,0.0035*($E110-T$6)/$E110,0.002*($E110-T$6)/($E110-3*cc_D/7))))-fcd_cc*(1-(1-MAX(0,MIN(1,IF($E110&lt;=cc_D,0.0035*($E110-T$6)/$E110,0.002*($E110-T$6)/($E110-3*cc_D/7))/0.002)))^2)</f>
        <v/>
      </c>
      <c r="U110">
        <f>MAX(-fyd_cc,MIN(fyd_cc,Es_cc*IF($E110&lt;=cc_D,0.0035*($E110-U$6)/$E110,0.002*($E110-U$6)/($E110-3*cc_D/7))))-fcd_cc*(1-(1-MAX(0,MIN(1,IF($E110&lt;=cc_D,0.0035*($E110-U$6)/$E110,0.002*($E110-U$6)/($E110-3*cc_D/7))/0.002)))^2)</f>
        <v/>
      </c>
      <c r="V110">
        <f>MAX(-fyd_cc,MIN(fyd_cc,Es_cc*IF($E110&lt;=cc_D,0.0035*($E110-V$6)/$E110,0.002*($E110-V$6)/($E110-3*cc_D/7))))-fcd_cc*(1-(1-MAX(0,MIN(1,IF($E110&lt;=cc_D,0.0035*($E110-V$6)/$E110,0.002*($E110-V$6)/($E110-3*cc_D/7))/0.002)))^2)</f>
        <v/>
      </c>
      <c r="W110">
        <f>MAX(-fyd_cc,MIN(fyd_cc,Es_cc*IF($E110&lt;=cc_D,0.0035*($E110-W$6)/$E110,0.002*($E110-W$6)/($E110-3*cc_D/7))))-fcd_cc*(1-(1-MAX(0,MIN(1,IF($E110&lt;=cc_D,0.0035*($E110-W$6)/$E110,0.002*($E110-W$6)/($E110-3*cc_D/7))/0.002)))^2)</f>
        <v/>
      </c>
      <c r="X110">
        <f>MAX(-fyd_cc,MIN(fyd_cc,Es_cc*IF($E110&lt;=cc_D,0.0035*($E110-X$6)/$E110,0.002*($E110-X$6)/($E110-3*cc_D/7))))-fcd_cc*(1-(1-MAX(0,MIN(1,IF($E110&lt;=cc_D,0.0035*($E110-X$6)/$E110,0.002*($E110-X$6)/($E110-3*cc_D/7))/0.002)))^2)</f>
        <v/>
      </c>
      <c r="Y110">
        <f>MAX(-fyd_cc,MIN(fyd_cc,Es_cc*IF($E110&lt;=cc_D,0.0035*($E110-Y$6)/$E110,0.002*($E110-Y$6)/($E110-3*cc_D/7))))-fcd_cc*(1-(1-MAX(0,MIN(1,IF($E110&lt;=cc_D,0.0035*($E110-Y$6)/$E110,0.002*($E110-Y$6)/($E110-3*cc_D/7))/0.002)))^2)</f>
        <v/>
      </c>
      <c r="Z110">
        <f>MAX(-fyd_cc,MIN(fyd_cc,Es_cc*IF($E110&lt;=cc_D,0.0035*($E110-Z$6)/$E110,0.002*($E110-Z$6)/($E110-3*cc_D/7))))-fcd_cc*(1-(1-MAX(0,MIN(1,IF($E110&lt;=cc_D,0.0035*($E110-Z$6)/$E110,0.002*($E110-Z$6)/($E110-3*cc_D/7))/0.002)))^2)</f>
        <v/>
      </c>
      <c r="AA110">
        <f>MAX(-fyd_cc,MIN(fyd_cc,Es_cc*IF($E110&lt;=cc_D,0.0035*($E110-AA$6)/$E110,0.002*($E110-AA$6)/($E110-3*cc_D/7))))-fcd_cc*(1-(1-MAX(0,MIN(1,IF($E110&lt;=cc_D,0.0035*($E110-AA$6)/$E110,0.002*($E110-AA$6)/($E110-3*cc_D/7))/0.002)))^2)</f>
        <v/>
      </c>
      <c r="AB110">
        <f>MAX(-fyd_cc,MIN(fyd_cc,Es_cc*IF($E110&lt;=cc_D,0.0035*($E110-AB$6)/$E110,0.002*($E110-AB$6)/($E110-3*cc_D/7))))-fcd_cc*(1-(1-MAX(0,MIN(1,IF($E110&lt;=cc_D,0.0035*($E110-AB$6)/$E110,0.002*($E110-AB$6)/($E110-3*cc_D/7))/0.002)))^2)</f>
        <v/>
      </c>
      <c r="AC110">
        <f>MAX(-fyd_cc,MIN(fyd_cc,Es_cc*IF($E110&lt;=cc_D,0.0035*($E110-AC$6)/$E110,0.002*($E110-AC$6)/($E110-3*cc_D/7))))-fcd_cc*(1-(1-MAX(0,MIN(1,IF($E110&lt;=cc_D,0.0035*($E110-AC$6)/$E110,0.002*($E110-AC$6)/($E110-3*cc_D/7))/0.002)))^2)</f>
        <v/>
      </c>
      <c r="AD110">
        <f>MAX(-fyd_cc,MIN(fyd_cc,Es_cc*IF($E110&lt;=cc_D,0.0035*($E110-AD$6)/$E110,0.002*($E110-AD$6)/($E110-3*cc_D/7))))-fcd_cc*(1-(1-MAX(0,MIN(1,IF($E110&lt;=cc_D,0.0035*($E110-AD$6)/$E110,0.002*($E110-AD$6)/($E110-3*cc_D/7))/0.002)))^2)</f>
        <v/>
      </c>
      <c r="AE110">
        <f>MAX(-fyd_cc,MIN(fyd_cc,Es_cc*IF($E110&lt;=cc_D,0.0035*($E110-AE$6)/$E110,0.002*($E110-AE$6)/($E110-3*cc_D/7))))-fcd_cc*(1-(1-MAX(0,MIN(1,IF($E110&lt;=cc_D,0.0035*($E110-AE$6)/$E110,0.002*($E110-AE$6)/($E110-3*cc_D/7))/0.002)))^2)</f>
        <v/>
      </c>
      <c r="AF110">
        <f>MAX(-fyd_cc,MIN(fyd_cc,Es_cc*IF($E110&lt;=cc_D,0.0035*($E110-AF$6)/$E110,0.002*($E110-AF$6)/($E110-3*cc_D/7))))-fcd_cc*(1-(1-MAX(0,MIN(1,IF($E110&lt;=cc_D,0.0035*($E110-AF$6)/$E110,0.002*($E110-AF$6)/($E110-3*cc_D/7))/0.002)))^2)</f>
        <v/>
      </c>
      <c r="AG110">
        <f>MAX(-fyd_cc,MIN(fyd_cc,Es_cc*IF($E110&lt;=cc_D,0.0035*($E110-AG$6)/$E110,0.002*($E110-AG$6)/($E110-3*cc_D/7))))-fcd_cc*(1-(1-MAX(0,MIN(1,IF($E110&lt;=cc_D,0.0035*($E110-AG$6)/$E110,0.002*($E110-AG$6)/($E110-3*cc_D/7))/0.002)))^2)</f>
        <v/>
      </c>
      <c r="BF110">
        <f>3*MIN($E110,cc_D)/7</f>
        <v/>
      </c>
      <c r="BG110">
        <f>$E110-$BF110</f>
        <v/>
      </c>
      <c r="BH110">
        <f>ACOS(MAX(-1,MIN(1,1-$BF110/(cc_D/2))))</f>
        <v/>
      </c>
      <c r="BI110">
        <f>ACOS(MAX(-1,MIN(1,1-MIN($E110,cc_D)/(cc_D/2))))</f>
        <v/>
      </c>
      <c r="BJ110">
        <f>((cc_D/2*(1-COS(($BH110+0*($BI110-$BH110)/12)))-$BF110)/$BG110)^2*SIN(($BH110+0*($BI110-$BH110)/12))^2</f>
        <v/>
      </c>
      <c r="BK110">
        <f>((cc_D/2*(1-COS(($BH110+1*($BI110-$BH110)/12)))-$BF110)/$BG110)^2*SIN(($BH110+1*($BI110-$BH110)/12))^2</f>
        <v/>
      </c>
      <c r="BL110">
        <f>((cc_D/2*(1-COS(($BH110+2*($BI110-$BH110)/12)))-$BF110)/$BG110)^2*SIN(($BH110+2*($BI110-$BH110)/12))^2</f>
        <v/>
      </c>
      <c r="BM110">
        <f>((cc_D/2*(1-COS(($BH110+3*($BI110-$BH110)/12)))-$BF110)/$BG110)^2*SIN(($BH110+3*($BI110-$BH110)/12))^2</f>
        <v/>
      </c>
      <c r="BN110">
        <f>((cc_D/2*(1-COS(($BH110+4*($BI110-$BH110)/12)))-$BF110)/$BG110)^2*SIN(($BH110+4*($BI110-$BH110)/12))^2</f>
        <v/>
      </c>
      <c r="BO110">
        <f>((cc_D/2*(1-COS(($BH110+5*($BI110-$BH110)/12)))-$BF110)/$BG110)^2*SIN(($BH110+5*($BI110-$BH110)/12))^2</f>
        <v/>
      </c>
      <c r="BP110">
        <f>((cc_D/2*(1-COS(($BH110+6*($BI110-$BH110)/12)))-$BF110)/$BG110)^2*SIN(($BH110+6*($BI110-$BH110)/12))^2</f>
        <v/>
      </c>
      <c r="BQ110">
        <f>((cc_D/2*(1-COS(($BH110+7*($BI110-$BH110)/12)))-$BF110)/$BG110)^2*SIN(($BH110+7*($BI110-$BH110)/12))^2</f>
        <v/>
      </c>
      <c r="BR110">
        <f>((cc_D/2*(1-COS(($BH110+8*($BI110-$BH110)/12)))-$BF110)/$BG110)^2*SIN(($BH110+8*($BI110-$BH110)/12))^2</f>
        <v/>
      </c>
      <c r="BS110">
        <f>((cc_D/2*(1-COS(($BH110+9*($BI110-$BH110)/12)))-$BF110)/$BG110)^2*SIN(($BH110+9*($BI110-$BH110)/12))^2</f>
        <v/>
      </c>
      <c r="BT110">
        <f>((cc_D/2*(1-COS(($BH110+10*($BI110-$BH110)/12)))-$BF110)/$BG110)^2*SIN(($BH110+10*($BI110-$BH110)/12))^2</f>
        <v/>
      </c>
      <c r="BU110">
        <f>((cc_D/2*(1-COS(($BH110+11*($BI110-$BH110)/12)))-$BF110)/$BG110)^2*SIN(($BH110+11*($BI110-$BH110)/12))^2</f>
        <v/>
      </c>
      <c r="BV110">
        <f>((cc_D/2*(1-COS(($BH110+12*($BI110-$BH110)/12)))-$BF110)/$BG110)^2*SIN(($BH110+12*($BI110-$BH110)/12))^2</f>
        <v/>
      </c>
      <c r="BW110">
        <f>BJ110*COS(($BH110+0*($BI110-$BH110)/12))</f>
        <v/>
      </c>
      <c r="BX110">
        <f>BK110*COS(($BH110+1*($BI110-$BH110)/12))</f>
        <v/>
      </c>
      <c r="BY110">
        <f>BL110*COS(($BH110+2*($BI110-$BH110)/12))</f>
        <v/>
      </c>
      <c r="BZ110">
        <f>BM110*COS(($BH110+3*($BI110-$BH110)/12))</f>
        <v/>
      </c>
      <c r="CA110">
        <f>BN110*COS(($BH110+4*($BI110-$BH110)/12))</f>
        <v/>
      </c>
      <c r="CB110">
        <f>BO110*COS(($BH110+5*($BI110-$BH110)/12))</f>
        <v/>
      </c>
      <c r="CC110">
        <f>BP110*COS(($BH110+6*($BI110-$BH110)/12))</f>
        <v/>
      </c>
      <c r="CD110">
        <f>BQ110*COS(($BH110+7*($BI110-$BH110)/12))</f>
        <v/>
      </c>
      <c r="CE110">
        <f>BR110*COS(($BH110+8*($BI110-$BH110)/12))</f>
        <v/>
      </c>
      <c r="CF110">
        <f>BS110*COS(($BH110+9*($BI110-$BH110)/12))</f>
        <v/>
      </c>
      <c r="CG110">
        <f>BT110*COS(($BH110+10*($BI110-$BH110)/12))</f>
        <v/>
      </c>
      <c r="CH110">
        <f>BU110*COS(($BH110+11*($BI110-$BH110)/12))</f>
        <v/>
      </c>
      <c r="CI110">
        <f>BV110*COS(($BH110+12*($BI110-$BH110)/12))</f>
        <v/>
      </c>
    </row>
    <row r="111">
      <c r="B111" s="65" t="n">
        <v>22</v>
      </c>
      <c r="C111" s="66">
        <f>IF($G110&lt;cc_NEd-1E-9*ABS(cc_NEd),($C110+$D110)/2,$C110)</f>
        <v/>
      </c>
      <c r="D111" s="66">
        <f>IF($G110&lt;cc_NEd-1E-9*ABS(cc_NEd),$D110,($C110+$D110)/2)</f>
        <v/>
      </c>
      <c r="E111" s="67">
        <f>cc_D*(($C111+$D111)/2)/(1-(($C111+$D111)/2))</f>
        <v/>
      </c>
      <c r="F111" s="68">
        <f>IF($E111&lt;=cc_D,3.5,2*$E111/($E111-3*cc_D/7))</f>
        <v/>
      </c>
      <c r="G111" s="67">
        <f>(fcd_cc*((cc_D/2)^2*($BI111-COS($BI111)*SIN($BI111))-2*(cc_D/2)^2*($BI111-$BH111)/12/3*SUMPRODUCT($BJ$4:$BV$4,$BJ111:$BV111))+SUMPRODUCT($J$5:$AG$5,$J111:$AG111))/1000</f>
        <v/>
      </c>
      <c r="H111" s="67">
        <f>(fcd_cc*(2/3*(cc_D/2)^3*SIN($BI111)^3-2*(cc_D/2)^3*($BI111-$BH111)/12/3*SUMPRODUCT($BW$4:$CI$4,$BW111:$CI111))+SUMPRODUCT($J$5:$AG$5,$J111:$AG111,$J$7:$AG$7))/1E6</f>
        <v/>
      </c>
      <c r="I111" s="67">
        <f>SUMPRODUCT($J$5:$AG$5,$J111:$AG111,$J$8:$AG$8)/1E6</f>
        <v/>
      </c>
      <c r="J111">
        <f>MAX(-fyd_cc,MIN(fyd_cc,Es_cc*IF($E111&lt;=cc_D,0.0035*($E111-J$6)/$E111,0.002*($E111-J$6)/($E111-3*cc_D/7))))-fcd_cc*(1-(1-MAX(0,MIN(1,IF($E111&lt;=cc_D,0.0035*($E111-J$6)/$E111,0.002*($E111-J$6)/($E111-3*cc_D/7))/0.002)))^2)</f>
        <v/>
      </c>
      <c r="K111">
        <f>MAX(-fyd_cc,MIN(fyd_cc,Es_cc*IF($E111&lt;=cc_D,0.0035*($E111-K$6)/$E111,0.002*($E111-K$6)/($E111-3*cc_D/7))))-fcd_cc*(1-(1-MAX(0,MIN(1,IF($E111&lt;=cc_D,0.0035*($E111-K$6)/$E111,0.002*($E111-K$6)/($E111-3*cc_D/7))/0.002)))^2)</f>
        <v/>
      </c>
      <c r="L111">
        <f>MAX(-fyd_cc,MIN(fyd_cc,Es_cc*IF($E111&lt;=cc_D,0.0035*($E111-L$6)/$E111,0.002*($E111-L$6)/($E111-3*cc_D/7))))-fcd_cc*(1-(1-MAX(0,MIN(1,IF($E111&lt;=cc_D,0.0035*($E111-L$6)/$E111,0.002*($E111-L$6)/($E111-3*cc_D/7))/0.002)))^2)</f>
        <v/>
      </c>
      <c r="M111">
        <f>MAX(-fyd_cc,MIN(fyd_cc,Es_cc*IF($E111&lt;=cc_D,0.0035*($E111-M$6)/$E111,0.002*($E111-M$6)/($E111-3*cc_D/7))))-fcd_cc*(1-(1-MAX(0,MIN(1,IF($E111&lt;=cc_D,0.0035*($E111-M$6)/$E111,0.002*($E111-M$6)/($E111-3*cc_D/7))/0.002)))^2)</f>
        <v/>
      </c>
      <c r="N111">
        <f>MAX(-fyd_cc,MIN(fyd_cc,Es_cc*IF($E111&lt;=cc_D,0.0035*($E111-N$6)/$E111,0.002*($E111-N$6)/($E111-3*cc_D/7))))-fcd_cc*(1-(1-MAX(0,MIN(1,IF($E111&lt;=cc_D,0.0035*($E111-N$6)/$E111,0.002*($E111-N$6)/($E111-3*cc_D/7))/0.002)))^2)</f>
        <v/>
      </c>
      <c r="O111">
        <f>MAX(-fyd_cc,MIN(fyd_cc,Es_cc*IF($E111&lt;=cc_D,0.0035*($E111-O$6)/$E111,0.002*($E111-O$6)/($E111-3*cc_D/7))))-fcd_cc*(1-(1-MAX(0,MIN(1,IF($E111&lt;=cc_D,0.0035*($E111-O$6)/$E111,0.002*($E111-O$6)/($E111-3*cc_D/7))/0.002)))^2)</f>
        <v/>
      </c>
      <c r="P111">
        <f>MAX(-fyd_cc,MIN(fyd_cc,Es_cc*IF($E111&lt;=cc_D,0.0035*($E111-P$6)/$E111,0.002*($E111-P$6)/($E111-3*cc_D/7))))-fcd_cc*(1-(1-MAX(0,MIN(1,IF($E111&lt;=cc_D,0.0035*($E111-P$6)/$E111,0.002*($E111-P$6)/($E111-3*cc_D/7))/0.002)))^2)</f>
        <v/>
      </c>
      <c r="Q111">
        <f>MAX(-fyd_cc,MIN(fyd_cc,Es_cc*IF($E111&lt;=cc_D,0.0035*($E111-Q$6)/$E111,0.002*($E111-Q$6)/($E111-3*cc_D/7))))-fcd_cc*(1-(1-MAX(0,MIN(1,IF($E111&lt;=cc_D,0.0035*($E111-Q$6)/$E111,0.002*($E111-Q$6)/($E111-3*cc_D/7))/0.002)))^2)</f>
        <v/>
      </c>
      <c r="R111">
        <f>MAX(-fyd_cc,MIN(fyd_cc,Es_cc*IF($E111&lt;=cc_D,0.0035*($E111-R$6)/$E111,0.002*($E111-R$6)/($E111-3*cc_D/7))))-fcd_cc*(1-(1-MAX(0,MIN(1,IF($E111&lt;=cc_D,0.0035*($E111-R$6)/$E111,0.002*($E111-R$6)/($E111-3*cc_D/7))/0.002)))^2)</f>
        <v/>
      </c>
      <c r="S111">
        <f>MAX(-fyd_cc,MIN(fyd_cc,Es_cc*IF($E111&lt;=cc_D,0.0035*($E111-S$6)/$E111,0.002*($E111-S$6)/($E111-3*cc_D/7))))-fcd_cc*(1-(1-MAX(0,MIN(1,IF($E111&lt;=cc_D,0.0035*($E111-S$6)/$E111,0.002*($E111-S$6)/($E111-3*cc_D/7))/0.002)))^2)</f>
        <v/>
      </c>
      <c r="T111">
        <f>MAX(-fyd_cc,MIN(fyd_cc,Es_cc*IF($E111&lt;=cc_D,0.0035*($E111-T$6)/$E111,0.002*($E111-T$6)/($E111-3*cc_D/7))))-fcd_cc*(1-(1-MAX(0,MIN(1,IF($E111&lt;=cc_D,0.0035*($E111-T$6)/$E111,0.002*($E111-T$6)/($E111-3*cc_D/7))/0.002)))^2)</f>
        <v/>
      </c>
      <c r="U111">
        <f>MAX(-fyd_cc,MIN(fyd_cc,Es_cc*IF($E111&lt;=cc_D,0.0035*($E111-U$6)/$E111,0.002*($E111-U$6)/($E111-3*cc_D/7))))-fcd_cc*(1-(1-MAX(0,MIN(1,IF($E111&lt;=cc_D,0.0035*($E111-U$6)/$E111,0.002*($E111-U$6)/($E111-3*cc_D/7))/0.002)))^2)</f>
        <v/>
      </c>
      <c r="V111">
        <f>MAX(-fyd_cc,MIN(fyd_cc,Es_cc*IF($E111&lt;=cc_D,0.0035*($E111-V$6)/$E111,0.002*($E111-V$6)/($E111-3*cc_D/7))))-fcd_cc*(1-(1-MAX(0,MIN(1,IF($E111&lt;=cc_D,0.0035*($E111-V$6)/$E111,0.002*($E111-V$6)/($E111-3*cc_D/7))/0.002)))^2)</f>
        <v/>
      </c>
      <c r="W111">
        <f>MAX(-fyd_cc,MIN(fyd_cc,Es_cc*IF($E111&lt;=cc_D,0.0035*($E111-W$6)/$E111,0.002*($E111-W$6)/($E111-3*cc_D/7))))-fcd_cc*(1-(1-MAX(0,MIN(1,IF($E111&lt;=cc_D,0.0035*($E111-W$6)/$E111,0.002*($E111-W$6)/($E111-3*cc_D/7))/0.002)))^2)</f>
        <v/>
      </c>
      <c r="X111">
        <f>MAX(-fyd_cc,MIN(fyd_cc,Es_cc*IF($E111&lt;=cc_D,0.0035*($E111-X$6)/$E111,0.002*($E111-X$6)/($E111-3*cc_D/7))))-fcd_cc*(1-(1-MAX(0,MIN(1,IF($E111&lt;=cc_D,0.0035*($E111-X$6)/$E111,0.002*($E111-X$6)/($E111-3*cc_D/7))/0.002)))^2)</f>
        <v/>
      </c>
      <c r="Y111">
        <f>MAX(-fyd_cc,MIN(fyd_cc,Es_cc*IF($E111&lt;=cc_D,0.0035*($E111-Y$6)/$E111,0.002*($E111-Y$6)/($E111-3*cc_D/7))))-fcd_cc*(1-(1-MAX(0,MIN(1,IF($E111&lt;=cc_D,0.0035*($E111-Y$6)/$E111,0.002*($E111-Y$6)/($E111-3*cc_D/7))/0.002)))^2)</f>
        <v/>
      </c>
      <c r="Z111">
        <f>MAX(-fyd_cc,MIN(fyd_cc,Es_cc*IF($E111&lt;=cc_D,0.0035*($E111-Z$6)/$E111,0.002*($E111-Z$6)/($E111-3*cc_D/7))))-fcd_cc*(1-(1-MAX(0,MIN(1,IF($E111&lt;=cc_D,0.0035*($E111-Z$6)/$E111,0.002*($E111-Z$6)/($E111-3*cc_D/7))/0.002)))^2)</f>
        <v/>
      </c>
      <c r="AA111">
        <f>MAX(-fyd_cc,MIN(fyd_cc,Es_cc*IF($E111&lt;=cc_D,0.0035*($E111-AA$6)/$E111,0.002*($E111-AA$6)/($E111-3*cc_D/7))))-fcd_cc*(1-(1-MAX(0,MIN(1,IF($E111&lt;=cc_D,0.0035*($E111-AA$6)/$E111,0.002*($E111-AA$6)/($E111-3*cc_D/7))/0.002)))^2)</f>
        <v/>
      </c>
      <c r="AB111">
        <f>MAX(-fyd_cc,MIN(fyd_cc,Es_cc*IF($E111&lt;=cc_D,0.0035*($E111-AB$6)/$E111,0.002*($E111-AB$6)/($E111-3*cc_D/7))))-fcd_cc*(1-(1-MAX(0,MIN(1,IF($E111&lt;=cc_D,0.0035*($E111-AB$6)/$E111,0.002*($E111-AB$6)/($E111-3*cc_D/7))/0.002)))^2)</f>
        <v/>
      </c>
      <c r="AC111">
        <f>MAX(-fyd_cc,MIN(fyd_cc,Es_cc*IF($E111&lt;=cc_D,0.0035*($E111-AC$6)/$E111,0.002*($E111-AC$6)/($E111-3*cc_D/7))))-fcd_cc*(1-(1-MAX(0,MIN(1,IF($E111&lt;=cc_D,0.0035*($E111-AC$6)/$E111,0.002*($E111-AC$6)/($E111-3*cc_D/7))/0.002)))^2)</f>
        <v/>
      </c>
      <c r="AD111">
        <f>MAX(-fyd_cc,MIN(fyd_cc,Es_cc*IF($E111&lt;=cc_D,0.0035*($E111-AD$6)/$E111,0.002*($E111-AD$6)/($E111-3*cc_D/7))))-fcd_cc*(1-(1-MAX(0,MIN(1,IF($E111&lt;=cc_D,0.0035*($E111-AD$6)/$E111,0.002*($E111-AD$6)/($E111-3*cc_D/7))/0.002)))^2)</f>
        <v/>
      </c>
      <c r="AE111">
        <f>MAX(-fyd_cc,MIN(fyd_cc,Es_cc*IF($E111&lt;=cc_D,0.0035*($E111-AE$6)/$E111,0.002*($E111-AE$6)/($E111-3*cc_D/7))))-fcd_cc*(1-(1-MAX(0,MIN(1,IF($E111&lt;=cc_D,0.0035*($E111-AE$6)/$E111,0.002*($E111-AE$6)/($E111-3*cc_D/7))/0.002)))^2)</f>
        <v/>
      </c>
      <c r="AF111">
        <f>MAX(-fyd_cc,MIN(fyd_cc,Es_cc*IF($E111&lt;=cc_D,0.0035*($E111-AF$6)/$E111,0.002*($E111-AF$6)/($E111-3*cc_D/7))))-fcd_cc*(1-(1-MAX(0,MIN(1,IF($E111&lt;=cc_D,0.0035*($E111-AF$6)/$E111,0.002*($E111-AF$6)/($E111-3*cc_D/7))/0.002)))^2)</f>
        <v/>
      </c>
      <c r="AG111">
        <f>MAX(-fyd_cc,MIN(fyd_cc,Es_cc*IF($E111&lt;=cc_D,0.0035*($E111-AG$6)/$E111,0.002*($E111-AG$6)/($E111-3*cc_D/7))))-fcd_cc*(1-(1-MAX(0,MIN(1,IF($E111&lt;=cc_D,0.0035*($E111-AG$6)/$E111,0.002*($E111-AG$6)/($E111-3*cc_D/7))/0.002)))^2)</f>
        <v/>
      </c>
      <c r="BF111">
        <f>3*MIN($E111,cc_D)/7</f>
        <v/>
      </c>
      <c r="BG111">
        <f>$E111-$BF111</f>
        <v/>
      </c>
      <c r="BH111">
        <f>ACOS(MAX(-1,MIN(1,1-$BF111/(cc_D/2))))</f>
        <v/>
      </c>
      <c r="BI111">
        <f>ACOS(MAX(-1,MIN(1,1-MIN($E111,cc_D)/(cc_D/2))))</f>
        <v/>
      </c>
      <c r="BJ111">
        <f>((cc_D/2*(1-COS(($BH111+0*($BI111-$BH111)/12)))-$BF111)/$BG111)^2*SIN(($BH111+0*($BI111-$BH111)/12))^2</f>
        <v/>
      </c>
      <c r="BK111">
        <f>((cc_D/2*(1-COS(($BH111+1*($BI111-$BH111)/12)))-$BF111)/$BG111)^2*SIN(($BH111+1*($BI111-$BH111)/12))^2</f>
        <v/>
      </c>
      <c r="BL111">
        <f>((cc_D/2*(1-COS(($BH111+2*($BI111-$BH111)/12)))-$BF111)/$BG111)^2*SIN(($BH111+2*($BI111-$BH111)/12))^2</f>
        <v/>
      </c>
      <c r="BM111">
        <f>((cc_D/2*(1-COS(($BH111+3*($BI111-$BH111)/12)))-$BF111)/$BG111)^2*SIN(($BH111+3*($BI111-$BH111)/12))^2</f>
        <v/>
      </c>
      <c r="BN111">
        <f>((cc_D/2*(1-COS(($BH111+4*($BI111-$BH111)/12)))-$BF111)/$BG111)^2*SIN(($BH111+4*($BI111-$BH111)/12))^2</f>
        <v/>
      </c>
      <c r="BO111">
        <f>((cc_D/2*(1-COS(($BH111+5*($BI111-$BH111)/12)))-$BF111)/$BG111)^2*SIN(($BH111+5*($BI111-$BH111)/12))^2</f>
        <v/>
      </c>
      <c r="BP111">
        <f>((cc_D/2*(1-COS(($BH111+6*($BI111-$BH111)/12)))-$BF111)/$BG111)^2*SIN(($BH111+6*($BI111-$BH111)/12))^2</f>
        <v/>
      </c>
      <c r="BQ111">
        <f>((cc_D/2*(1-COS(($BH111+7*($BI111-$BH111)/12)))-$BF111)/$BG111)^2*SIN(($BH111+7*($BI111-$BH111)/12))^2</f>
        <v/>
      </c>
      <c r="BR111">
        <f>((cc_D/2*(1-COS(($BH111+8*($BI111-$BH111)/12)))-$BF111)/$BG111)^2*SIN(($BH111+8*($BI111-$BH111)/12))^2</f>
        <v/>
      </c>
      <c r="BS111">
        <f>((cc_D/2*(1-COS(($BH111+9*($BI111-$BH111)/12)))-$BF111)/$BG111)^2*SIN(($BH111+9*($BI111-$BH111)/12))^2</f>
        <v/>
      </c>
      <c r="BT111">
        <f>((cc_D/2*(1-COS(($BH111+10*($BI111-$BH111)/12)))-$BF111)/$BG111)^2*SIN(($BH111+10*($BI111-$BH111)/12))^2</f>
        <v/>
      </c>
      <c r="BU111">
        <f>((cc_D/2*(1-COS(($BH111+11*($BI111-$BH111)/12)))-$BF111)/$BG111)^2*SIN(($BH111+11*($BI111-$BH111)/12))^2</f>
        <v/>
      </c>
      <c r="BV111">
        <f>((cc_D/2*(1-COS(($BH111+12*($BI111-$BH111)/12)))-$BF111)/$BG111)^2*SIN(($BH111+12*($BI111-$BH111)/12))^2</f>
        <v/>
      </c>
      <c r="BW111">
        <f>BJ111*COS(($BH111+0*($BI111-$BH111)/12))</f>
        <v/>
      </c>
      <c r="BX111">
        <f>BK111*COS(($BH111+1*($BI111-$BH111)/12))</f>
        <v/>
      </c>
      <c r="BY111">
        <f>BL111*COS(($BH111+2*($BI111-$BH111)/12))</f>
        <v/>
      </c>
      <c r="BZ111">
        <f>BM111*COS(($BH111+3*($BI111-$BH111)/12))</f>
        <v/>
      </c>
      <c r="CA111">
        <f>BN111*COS(($BH111+4*($BI111-$BH111)/12))</f>
        <v/>
      </c>
      <c r="CB111">
        <f>BO111*COS(($BH111+5*($BI111-$BH111)/12))</f>
        <v/>
      </c>
      <c r="CC111">
        <f>BP111*COS(($BH111+6*($BI111-$BH111)/12))</f>
        <v/>
      </c>
      <c r="CD111">
        <f>BQ111*COS(($BH111+7*($BI111-$BH111)/12))</f>
        <v/>
      </c>
      <c r="CE111">
        <f>BR111*COS(($BH111+8*($BI111-$BH111)/12))</f>
        <v/>
      </c>
      <c r="CF111">
        <f>BS111*COS(($BH111+9*($BI111-$BH111)/12))</f>
        <v/>
      </c>
      <c r="CG111">
        <f>BT111*COS(($BH111+10*($BI111-$BH111)/12))</f>
        <v/>
      </c>
      <c r="CH111">
        <f>BU111*COS(($BH111+11*($BI111-$BH111)/12))</f>
        <v/>
      </c>
      <c r="CI111">
        <f>BV111*COS(($BH111+12*($BI111-$BH111)/12))</f>
        <v/>
      </c>
    </row>
    <row r="112">
      <c r="B112" s="65" t="n">
        <v>23</v>
      </c>
      <c r="C112" s="66">
        <f>IF($G111&lt;cc_NEd-1E-9*ABS(cc_NEd),($C111+$D111)/2,$C111)</f>
        <v/>
      </c>
      <c r="D112" s="66">
        <f>IF($G111&lt;cc_NEd-1E-9*ABS(cc_NEd),$D111,($C111+$D111)/2)</f>
        <v/>
      </c>
      <c r="E112" s="67">
        <f>cc_D*(($C112+$D112)/2)/(1-(($C112+$D112)/2))</f>
        <v/>
      </c>
      <c r="F112" s="68">
        <f>IF($E112&lt;=cc_D,3.5,2*$E112/($E112-3*cc_D/7))</f>
        <v/>
      </c>
      <c r="G112" s="67">
        <f>(fcd_cc*((cc_D/2)^2*($BI112-COS($BI112)*SIN($BI112))-2*(cc_D/2)^2*($BI112-$BH112)/12/3*SUMPRODUCT($BJ$4:$BV$4,$BJ112:$BV112))+SUMPRODUCT($J$5:$AG$5,$J112:$AG112))/1000</f>
        <v/>
      </c>
      <c r="H112" s="67">
        <f>(fcd_cc*(2/3*(cc_D/2)^3*SIN($BI112)^3-2*(cc_D/2)^3*($BI112-$BH112)/12/3*SUMPRODUCT($BW$4:$CI$4,$BW112:$CI112))+SUMPRODUCT($J$5:$AG$5,$J112:$AG112,$J$7:$AG$7))/1E6</f>
        <v/>
      </c>
      <c r="I112" s="67">
        <f>SUMPRODUCT($J$5:$AG$5,$J112:$AG112,$J$8:$AG$8)/1E6</f>
        <v/>
      </c>
      <c r="J112">
        <f>MAX(-fyd_cc,MIN(fyd_cc,Es_cc*IF($E112&lt;=cc_D,0.0035*($E112-J$6)/$E112,0.002*($E112-J$6)/($E112-3*cc_D/7))))-fcd_cc*(1-(1-MAX(0,MIN(1,IF($E112&lt;=cc_D,0.0035*($E112-J$6)/$E112,0.002*($E112-J$6)/($E112-3*cc_D/7))/0.002)))^2)</f>
        <v/>
      </c>
      <c r="K112">
        <f>MAX(-fyd_cc,MIN(fyd_cc,Es_cc*IF($E112&lt;=cc_D,0.0035*($E112-K$6)/$E112,0.002*($E112-K$6)/($E112-3*cc_D/7))))-fcd_cc*(1-(1-MAX(0,MIN(1,IF($E112&lt;=cc_D,0.0035*($E112-K$6)/$E112,0.002*($E112-K$6)/($E112-3*cc_D/7))/0.002)))^2)</f>
        <v/>
      </c>
      <c r="L112">
        <f>MAX(-fyd_cc,MIN(fyd_cc,Es_cc*IF($E112&lt;=cc_D,0.0035*($E112-L$6)/$E112,0.002*($E112-L$6)/($E112-3*cc_D/7))))-fcd_cc*(1-(1-MAX(0,MIN(1,IF($E112&lt;=cc_D,0.0035*($E112-L$6)/$E112,0.002*($E112-L$6)/($E112-3*cc_D/7))/0.002)))^2)</f>
        <v/>
      </c>
      <c r="M112">
        <f>MAX(-fyd_cc,MIN(fyd_cc,Es_cc*IF($E112&lt;=cc_D,0.0035*($E112-M$6)/$E112,0.002*($E112-M$6)/($E112-3*cc_D/7))))-fcd_cc*(1-(1-MAX(0,MIN(1,IF($E112&lt;=cc_D,0.0035*($E112-M$6)/$E112,0.002*($E112-M$6)/($E112-3*cc_D/7))/0.002)))^2)</f>
        <v/>
      </c>
      <c r="N112">
        <f>MAX(-fyd_cc,MIN(fyd_cc,Es_cc*IF($E112&lt;=cc_D,0.0035*($E112-N$6)/$E112,0.002*($E112-N$6)/($E112-3*cc_D/7))))-fcd_cc*(1-(1-MAX(0,MIN(1,IF($E112&lt;=cc_D,0.0035*($E112-N$6)/$E112,0.002*($E112-N$6)/($E112-3*cc_D/7))/0.002)))^2)</f>
        <v/>
      </c>
      <c r="O112">
        <f>MAX(-fyd_cc,MIN(fyd_cc,Es_cc*IF($E112&lt;=cc_D,0.0035*($E112-O$6)/$E112,0.002*($E112-O$6)/($E112-3*cc_D/7))))-fcd_cc*(1-(1-MAX(0,MIN(1,IF($E112&lt;=cc_D,0.0035*($E112-O$6)/$E112,0.002*($E112-O$6)/($E112-3*cc_D/7))/0.002)))^2)</f>
        <v/>
      </c>
      <c r="P112">
        <f>MAX(-fyd_cc,MIN(fyd_cc,Es_cc*IF($E112&lt;=cc_D,0.0035*($E112-P$6)/$E112,0.002*($E112-P$6)/($E112-3*cc_D/7))))-fcd_cc*(1-(1-MAX(0,MIN(1,IF($E112&lt;=cc_D,0.0035*($E112-P$6)/$E112,0.002*($E112-P$6)/($E112-3*cc_D/7))/0.002)))^2)</f>
        <v/>
      </c>
      <c r="Q112">
        <f>MAX(-fyd_cc,MIN(fyd_cc,Es_cc*IF($E112&lt;=cc_D,0.0035*($E112-Q$6)/$E112,0.002*($E112-Q$6)/($E112-3*cc_D/7))))-fcd_cc*(1-(1-MAX(0,MIN(1,IF($E112&lt;=cc_D,0.0035*($E112-Q$6)/$E112,0.002*($E112-Q$6)/($E112-3*cc_D/7))/0.002)))^2)</f>
        <v/>
      </c>
      <c r="R112">
        <f>MAX(-fyd_cc,MIN(fyd_cc,Es_cc*IF($E112&lt;=cc_D,0.0035*($E112-R$6)/$E112,0.002*($E112-R$6)/($E112-3*cc_D/7))))-fcd_cc*(1-(1-MAX(0,MIN(1,IF($E112&lt;=cc_D,0.0035*($E112-R$6)/$E112,0.002*($E112-R$6)/($E112-3*cc_D/7))/0.002)))^2)</f>
        <v/>
      </c>
      <c r="S112">
        <f>MAX(-fyd_cc,MIN(fyd_cc,Es_cc*IF($E112&lt;=cc_D,0.0035*($E112-S$6)/$E112,0.002*($E112-S$6)/($E112-3*cc_D/7))))-fcd_cc*(1-(1-MAX(0,MIN(1,IF($E112&lt;=cc_D,0.0035*($E112-S$6)/$E112,0.002*($E112-S$6)/($E112-3*cc_D/7))/0.002)))^2)</f>
        <v/>
      </c>
      <c r="T112">
        <f>MAX(-fyd_cc,MIN(fyd_cc,Es_cc*IF($E112&lt;=cc_D,0.0035*($E112-T$6)/$E112,0.002*($E112-T$6)/($E112-3*cc_D/7))))-fcd_cc*(1-(1-MAX(0,MIN(1,IF($E112&lt;=cc_D,0.0035*($E112-T$6)/$E112,0.002*($E112-T$6)/($E112-3*cc_D/7))/0.002)))^2)</f>
        <v/>
      </c>
      <c r="U112">
        <f>MAX(-fyd_cc,MIN(fyd_cc,Es_cc*IF($E112&lt;=cc_D,0.0035*($E112-U$6)/$E112,0.002*($E112-U$6)/($E112-3*cc_D/7))))-fcd_cc*(1-(1-MAX(0,MIN(1,IF($E112&lt;=cc_D,0.0035*($E112-U$6)/$E112,0.002*($E112-U$6)/($E112-3*cc_D/7))/0.002)))^2)</f>
        <v/>
      </c>
      <c r="V112">
        <f>MAX(-fyd_cc,MIN(fyd_cc,Es_cc*IF($E112&lt;=cc_D,0.0035*($E112-V$6)/$E112,0.002*($E112-V$6)/($E112-3*cc_D/7))))-fcd_cc*(1-(1-MAX(0,MIN(1,IF($E112&lt;=cc_D,0.0035*($E112-V$6)/$E112,0.002*($E112-V$6)/($E112-3*cc_D/7))/0.002)))^2)</f>
        <v/>
      </c>
      <c r="W112">
        <f>MAX(-fyd_cc,MIN(fyd_cc,Es_cc*IF($E112&lt;=cc_D,0.0035*($E112-W$6)/$E112,0.002*($E112-W$6)/($E112-3*cc_D/7))))-fcd_cc*(1-(1-MAX(0,MIN(1,IF($E112&lt;=cc_D,0.0035*($E112-W$6)/$E112,0.002*($E112-W$6)/($E112-3*cc_D/7))/0.002)))^2)</f>
        <v/>
      </c>
      <c r="X112">
        <f>MAX(-fyd_cc,MIN(fyd_cc,Es_cc*IF($E112&lt;=cc_D,0.0035*($E112-X$6)/$E112,0.002*($E112-X$6)/($E112-3*cc_D/7))))-fcd_cc*(1-(1-MAX(0,MIN(1,IF($E112&lt;=cc_D,0.0035*($E112-X$6)/$E112,0.002*($E112-X$6)/($E112-3*cc_D/7))/0.002)))^2)</f>
        <v/>
      </c>
      <c r="Y112">
        <f>MAX(-fyd_cc,MIN(fyd_cc,Es_cc*IF($E112&lt;=cc_D,0.0035*($E112-Y$6)/$E112,0.002*($E112-Y$6)/($E112-3*cc_D/7))))-fcd_cc*(1-(1-MAX(0,MIN(1,IF($E112&lt;=cc_D,0.0035*($E112-Y$6)/$E112,0.002*($E112-Y$6)/($E112-3*cc_D/7))/0.002)))^2)</f>
        <v/>
      </c>
      <c r="Z112">
        <f>MAX(-fyd_cc,MIN(fyd_cc,Es_cc*IF($E112&lt;=cc_D,0.0035*($E112-Z$6)/$E112,0.002*($E112-Z$6)/($E112-3*cc_D/7))))-fcd_cc*(1-(1-MAX(0,MIN(1,IF($E112&lt;=cc_D,0.0035*($E112-Z$6)/$E112,0.002*($E112-Z$6)/($E112-3*cc_D/7))/0.002)))^2)</f>
        <v/>
      </c>
      <c r="AA112">
        <f>MAX(-fyd_cc,MIN(fyd_cc,Es_cc*IF($E112&lt;=cc_D,0.0035*($E112-AA$6)/$E112,0.002*($E112-AA$6)/($E112-3*cc_D/7))))-fcd_cc*(1-(1-MAX(0,MIN(1,IF($E112&lt;=cc_D,0.0035*($E112-AA$6)/$E112,0.002*($E112-AA$6)/($E112-3*cc_D/7))/0.002)))^2)</f>
        <v/>
      </c>
      <c r="AB112">
        <f>MAX(-fyd_cc,MIN(fyd_cc,Es_cc*IF($E112&lt;=cc_D,0.0035*($E112-AB$6)/$E112,0.002*($E112-AB$6)/($E112-3*cc_D/7))))-fcd_cc*(1-(1-MAX(0,MIN(1,IF($E112&lt;=cc_D,0.0035*($E112-AB$6)/$E112,0.002*($E112-AB$6)/($E112-3*cc_D/7))/0.002)))^2)</f>
        <v/>
      </c>
      <c r="AC112">
        <f>MAX(-fyd_cc,MIN(fyd_cc,Es_cc*IF($E112&lt;=cc_D,0.0035*($E112-AC$6)/$E112,0.002*($E112-AC$6)/($E112-3*cc_D/7))))-fcd_cc*(1-(1-MAX(0,MIN(1,IF($E112&lt;=cc_D,0.0035*($E112-AC$6)/$E112,0.002*($E112-AC$6)/($E112-3*cc_D/7))/0.002)))^2)</f>
        <v/>
      </c>
      <c r="AD112">
        <f>MAX(-fyd_cc,MIN(fyd_cc,Es_cc*IF($E112&lt;=cc_D,0.0035*($E112-AD$6)/$E112,0.002*($E112-AD$6)/($E112-3*cc_D/7))))-fcd_cc*(1-(1-MAX(0,MIN(1,IF($E112&lt;=cc_D,0.0035*($E112-AD$6)/$E112,0.002*($E112-AD$6)/($E112-3*cc_D/7))/0.002)))^2)</f>
        <v/>
      </c>
      <c r="AE112">
        <f>MAX(-fyd_cc,MIN(fyd_cc,Es_cc*IF($E112&lt;=cc_D,0.0035*($E112-AE$6)/$E112,0.002*($E112-AE$6)/($E112-3*cc_D/7))))-fcd_cc*(1-(1-MAX(0,MIN(1,IF($E112&lt;=cc_D,0.0035*($E112-AE$6)/$E112,0.002*($E112-AE$6)/($E112-3*cc_D/7))/0.002)))^2)</f>
        <v/>
      </c>
      <c r="AF112">
        <f>MAX(-fyd_cc,MIN(fyd_cc,Es_cc*IF($E112&lt;=cc_D,0.0035*($E112-AF$6)/$E112,0.002*($E112-AF$6)/($E112-3*cc_D/7))))-fcd_cc*(1-(1-MAX(0,MIN(1,IF($E112&lt;=cc_D,0.0035*($E112-AF$6)/$E112,0.002*($E112-AF$6)/($E112-3*cc_D/7))/0.002)))^2)</f>
        <v/>
      </c>
      <c r="AG112">
        <f>MAX(-fyd_cc,MIN(fyd_cc,Es_cc*IF($E112&lt;=cc_D,0.0035*($E112-AG$6)/$E112,0.002*($E112-AG$6)/($E112-3*cc_D/7))))-fcd_cc*(1-(1-MAX(0,MIN(1,IF($E112&lt;=cc_D,0.0035*($E112-AG$6)/$E112,0.002*($E112-AG$6)/($E112-3*cc_D/7))/0.002)))^2)</f>
        <v/>
      </c>
      <c r="BF112">
        <f>3*MIN($E112,cc_D)/7</f>
        <v/>
      </c>
      <c r="BG112">
        <f>$E112-$BF112</f>
        <v/>
      </c>
      <c r="BH112">
        <f>ACOS(MAX(-1,MIN(1,1-$BF112/(cc_D/2))))</f>
        <v/>
      </c>
      <c r="BI112">
        <f>ACOS(MAX(-1,MIN(1,1-MIN($E112,cc_D)/(cc_D/2))))</f>
        <v/>
      </c>
      <c r="BJ112">
        <f>((cc_D/2*(1-COS(($BH112+0*($BI112-$BH112)/12)))-$BF112)/$BG112)^2*SIN(($BH112+0*($BI112-$BH112)/12))^2</f>
        <v/>
      </c>
      <c r="BK112">
        <f>((cc_D/2*(1-COS(($BH112+1*($BI112-$BH112)/12)))-$BF112)/$BG112)^2*SIN(($BH112+1*($BI112-$BH112)/12))^2</f>
        <v/>
      </c>
      <c r="BL112">
        <f>((cc_D/2*(1-COS(($BH112+2*($BI112-$BH112)/12)))-$BF112)/$BG112)^2*SIN(($BH112+2*($BI112-$BH112)/12))^2</f>
        <v/>
      </c>
      <c r="BM112">
        <f>((cc_D/2*(1-COS(($BH112+3*($BI112-$BH112)/12)))-$BF112)/$BG112)^2*SIN(($BH112+3*($BI112-$BH112)/12))^2</f>
        <v/>
      </c>
      <c r="BN112">
        <f>((cc_D/2*(1-COS(($BH112+4*($BI112-$BH112)/12)))-$BF112)/$BG112)^2*SIN(($BH112+4*($BI112-$BH112)/12))^2</f>
        <v/>
      </c>
      <c r="BO112">
        <f>((cc_D/2*(1-COS(($BH112+5*($BI112-$BH112)/12)))-$BF112)/$BG112)^2*SIN(($BH112+5*($BI112-$BH112)/12))^2</f>
        <v/>
      </c>
      <c r="BP112">
        <f>((cc_D/2*(1-COS(($BH112+6*($BI112-$BH112)/12)))-$BF112)/$BG112)^2*SIN(($BH112+6*($BI112-$BH112)/12))^2</f>
        <v/>
      </c>
      <c r="BQ112">
        <f>((cc_D/2*(1-COS(($BH112+7*($BI112-$BH112)/12)))-$BF112)/$BG112)^2*SIN(($BH112+7*($BI112-$BH112)/12))^2</f>
        <v/>
      </c>
      <c r="BR112">
        <f>((cc_D/2*(1-COS(($BH112+8*($BI112-$BH112)/12)))-$BF112)/$BG112)^2*SIN(($BH112+8*($BI112-$BH112)/12))^2</f>
        <v/>
      </c>
      <c r="BS112">
        <f>((cc_D/2*(1-COS(($BH112+9*($BI112-$BH112)/12)))-$BF112)/$BG112)^2*SIN(($BH112+9*($BI112-$BH112)/12))^2</f>
        <v/>
      </c>
      <c r="BT112">
        <f>((cc_D/2*(1-COS(($BH112+10*($BI112-$BH112)/12)))-$BF112)/$BG112)^2*SIN(($BH112+10*($BI112-$BH112)/12))^2</f>
        <v/>
      </c>
      <c r="BU112">
        <f>((cc_D/2*(1-COS(($BH112+11*($BI112-$BH112)/12)))-$BF112)/$BG112)^2*SIN(($BH112+11*($BI112-$BH112)/12))^2</f>
        <v/>
      </c>
      <c r="BV112">
        <f>((cc_D/2*(1-COS(($BH112+12*($BI112-$BH112)/12)))-$BF112)/$BG112)^2*SIN(($BH112+12*($BI112-$BH112)/12))^2</f>
        <v/>
      </c>
      <c r="BW112">
        <f>BJ112*COS(($BH112+0*($BI112-$BH112)/12))</f>
        <v/>
      </c>
      <c r="BX112">
        <f>BK112*COS(($BH112+1*($BI112-$BH112)/12))</f>
        <v/>
      </c>
      <c r="BY112">
        <f>BL112*COS(($BH112+2*($BI112-$BH112)/12))</f>
        <v/>
      </c>
      <c r="BZ112">
        <f>BM112*COS(($BH112+3*($BI112-$BH112)/12))</f>
        <v/>
      </c>
      <c r="CA112">
        <f>BN112*COS(($BH112+4*($BI112-$BH112)/12))</f>
        <v/>
      </c>
      <c r="CB112">
        <f>BO112*COS(($BH112+5*($BI112-$BH112)/12))</f>
        <v/>
      </c>
      <c r="CC112">
        <f>BP112*COS(($BH112+6*($BI112-$BH112)/12))</f>
        <v/>
      </c>
      <c r="CD112">
        <f>BQ112*COS(($BH112+7*($BI112-$BH112)/12))</f>
        <v/>
      </c>
      <c r="CE112">
        <f>BR112*COS(($BH112+8*($BI112-$BH112)/12))</f>
        <v/>
      </c>
      <c r="CF112">
        <f>BS112*COS(($BH112+9*($BI112-$BH112)/12))</f>
        <v/>
      </c>
      <c r="CG112">
        <f>BT112*COS(($BH112+10*($BI112-$BH112)/12))</f>
        <v/>
      </c>
      <c r="CH112">
        <f>BU112*COS(($BH112+11*($BI112-$BH112)/12))</f>
        <v/>
      </c>
      <c r="CI112">
        <f>BV112*COS(($BH112+12*($BI112-$BH112)/12))</f>
        <v/>
      </c>
    </row>
    <row r="113">
      <c r="B113" s="65" t="n">
        <v>24</v>
      </c>
      <c r="C113" s="66">
        <f>IF($G112&lt;cc_NEd-1E-9*ABS(cc_NEd),($C112+$D112)/2,$C112)</f>
        <v/>
      </c>
      <c r="D113" s="66">
        <f>IF($G112&lt;cc_NEd-1E-9*ABS(cc_NEd),$D112,($C112+$D112)/2)</f>
        <v/>
      </c>
      <c r="E113" s="67">
        <f>cc_D*(($C113+$D113)/2)/(1-(($C113+$D113)/2))</f>
        <v/>
      </c>
      <c r="F113" s="68">
        <f>IF($E113&lt;=cc_D,3.5,2*$E113/($E113-3*cc_D/7))</f>
        <v/>
      </c>
      <c r="G113" s="67">
        <f>(fcd_cc*((cc_D/2)^2*($BI113-COS($BI113)*SIN($BI113))-2*(cc_D/2)^2*($BI113-$BH113)/12/3*SUMPRODUCT($BJ$4:$BV$4,$BJ113:$BV113))+SUMPRODUCT($J$5:$AG$5,$J113:$AG113))/1000</f>
        <v/>
      </c>
      <c r="H113" s="67">
        <f>(fcd_cc*(2/3*(cc_D/2)^3*SIN($BI113)^3-2*(cc_D/2)^3*($BI113-$BH113)/12/3*SUMPRODUCT($BW$4:$CI$4,$BW113:$CI113))+SUMPRODUCT($J$5:$AG$5,$J113:$AG113,$J$7:$AG$7))/1E6</f>
        <v/>
      </c>
      <c r="I113" s="67">
        <f>SUMPRODUCT($J$5:$AG$5,$J113:$AG113,$J$8:$AG$8)/1E6</f>
        <v/>
      </c>
      <c r="J113">
        <f>MAX(-fyd_cc,MIN(fyd_cc,Es_cc*IF($E113&lt;=cc_D,0.0035*($E113-J$6)/$E113,0.002*($E113-J$6)/($E113-3*cc_D/7))))-fcd_cc*(1-(1-MAX(0,MIN(1,IF($E113&lt;=cc_D,0.0035*($E113-J$6)/$E113,0.002*($E113-J$6)/($E113-3*cc_D/7))/0.002)))^2)</f>
        <v/>
      </c>
      <c r="K113">
        <f>MAX(-fyd_cc,MIN(fyd_cc,Es_cc*IF($E113&lt;=cc_D,0.0035*($E113-K$6)/$E113,0.002*($E113-K$6)/($E113-3*cc_D/7))))-fcd_cc*(1-(1-MAX(0,MIN(1,IF($E113&lt;=cc_D,0.0035*($E113-K$6)/$E113,0.002*($E113-K$6)/($E113-3*cc_D/7))/0.002)))^2)</f>
        <v/>
      </c>
      <c r="L113">
        <f>MAX(-fyd_cc,MIN(fyd_cc,Es_cc*IF($E113&lt;=cc_D,0.0035*($E113-L$6)/$E113,0.002*($E113-L$6)/($E113-3*cc_D/7))))-fcd_cc*(1-(1-MAX(0,MIN(1,IF($E113&lt;=cc_D,0.0035*($E113-L$6)/$E113,0.002*($E113-L$6)/($E113-3*cc_D/7))/0.002)))^2)</f>
        <v/>
      </c>
      <c r="M113">
        <f>MAX(-fyd_cc,MIN(fyd_cc,Es_cc*IF($E113&lt;=cc_D,0.0035*($E113-M$6)/$E113,0.002*($E113-M$6)/($E113-3*cc_D/7))))-fcd_cc*(1-(1-MAX(0,MIN(1,IF($E113&lt;=cc_D,0.0035*($E113-M$6)/$E113,0.002*($E113-M$6)/($E113-3*cc_D/7))/0.002)))^2)</f>
        <v/>
      </c>
      <c r="N113">
        <f>MAX(-fyd_cc,MIN(fyd_cc,Es_cc*IF($E113&lt;=cc_D,0.0035*($E113-N$6)/$E113,0.002*($E113-N$6)/($E113-3*cc_D/7))))-fcd_cc*(1-(1-MAX(0,MIN(1,IF($E113&lt;=cc_D,0.0035*($E113-N$6)/$E113,0.002*($E113-N$6)/($E113-3*cc_D/7))/0.002)))^2)</f>
        <v/>
      </c>
      <c r="O113">
        <f>MAX(-fyd_cc,MIN(fyd_cc,Es_cc*IF($E113&lt;=cc_D,0.0035*($E113-O$6)/$E113,0.002*($E113-O$6)/($E113-3*cc_D/7))))-fcd_cc*(1-(1-MAX(0,MIN(1,IF($E113&lt;=cc_D,0.0035*($E113-O$6)/$E113,0.002*($E113-O$6)/($E113-3*cc_D/7))/0.002)))^2)</f>
        <v/>
      </c>
      <c r="P113">
        <f>MAX(-fyd_cc,MIN(fyd_cc,Es_cc*IF($E113&lt;=cc_D,0.0035*($E113-P$6)/$E113,0.002*($E113-P$6)/($E113-3*cc_D/7))))-fcd_cc*(1-(1-MAX(0,MIN(1,IF($E113&lt;=cc_D,0.0035*($E113-P$6)/$E113,0.002*($E113-P$6)/($E113-3*cc_D/7))/0.002)))^2)</f>
        <v/>
      </c>
      <c r="Q113">
        <f>MAX(-fyd_cc,MIN(fyd_cc,Es_cc*IF($E113&lt;=cc_D,0.0035*($E113-Q$6)/$E113,0.002*($E113-Q$6)/($E113-3*cc_D/7))))-fcd_cc*(1-(1-MAX(0,MIN(1,IF($E113&lt;=cc_D,0.0035*($E113-Q$6)/$E113,0.002*($E113-Q$6)/($E113-3*cc_D/7))/0.002)))^2)</f>
        <v/>
      </c>
      <c r="R113">
        <f>MAX(-fyd_cc,MIN(fyd_cc,Es_cc*IF($E113&lt;=cc_D,0.0035*($E113-R$6)/$E113,0.002*($E113-R$6)/($E113-3*cc_D/7))))-fcd_cc*(1-(1-MAX(0,MIN(1,IF($E113&lt;=cc_D,0.0035*($E113-R$6)/$E113,0.002*($E113-R$6)/($E113-3*cc_D/7))/0.002)))^2)</f>
        <v/>
      </c>
      <c r="S113">
        <f>MAX(-fyd_cc,MIN(fyd_cc,Es_cc*IF($E113&lt;=cc_D,0.0035*($E113-S$6)/$E113,0.002*($E113-S$6)/($E113-3*cc_D/7))))-fcd_cc*(1-(1-MAX(0,MIN(1,IF($E113&lt;=cc_D,0.0035*($E113-S$6)/$E113,0.002*($E113-S$6)/($E113-3*cc_D/7))/0.002)))^2)</f>
        <v/>
      </c>
      <c r="T113">
        <f>MAX(-fyd_cc,MIN(fyd_cc,Es_cc*IF($E113&lt;=cc_D,0.0035*($E113-T$6)/$E113,0.002*($E113-T$6)/($E113-3*cc_D/7))))-fcd_cc*(1-(1-MAX(0,MIN(1,IF($E113&lt;=cc_D,0.0035*($E113-T$6)/$E113,0.002*($E113-T$6)/($E113-3*cc_D/7))/0.002)))^2)</f>
        <v/>
      </c>
      <c r="U113">
        <f>MAX(-fyd_cc,MIN(fyd_cc,Es_cc*IF($E113&lt;=cc_D,0.0035*($E113-U$6)/$E113,0.002*($E113-U$6)/($E113-3*cc_D/7))))-fcd_cc*(1-(1-MAX(0,MIN(1,IF($E113&lt;=cc_D,0.0035*($E113-U$6)/$E113,0.002*($E113-U$6)/($E113-3*cc_D/7))/0.002)))^2)</f>
        <v/>
      </c>
      <c r="V113">
        <f>MAX(-fyd_cc,MIN(fyd_cc,Es_cc*IF($E113&lt;=cc_D,0.0035*($E113-V$6)/$E113,0.002*($E113-V$6)/($E113-3*cc_D/7))))-fcd_cc*(1-(1-MAX(0,MIN(1,IF($E113&lt;=cc_D,0.0035*($E113-V$6)/$E113,0.002*($E113-V$6)/($E113-3*cc_D/7))/0.002)))^2)</f>
        <v/>
      </c>
      <c r="W113">
        <f>MAX(-fyd_cc,MIN(fyd_cc,Es_cc*IF($E113&lt;=cc_D,0.0035*($E113-W$6)/$E113,0.002*($E113-W$6)/($E113-3*cc_D/7))))-fcd_cc*(1-(1-MAX(0,MIN(1,IF($E113&lt;=cc_D,0.0035*($E113-W$6)/$E113,0.002*($E113-W$6)/($E113-3*cc_D/7))/0.002)))^2)</f>
        <v/>
      </c>
      <c r="X113">
        <f>MAX(-fyd_cc,MIN(fyd_cc,Es_cc*IF($E113&lt;=cc_D,0.0035*($E113-X$6)/$E113,0.002*($E113-X$6)/($E113-3*cc_D/7))))-fcd_cc*(1-(1-MAX(0,MIN(1,IF($E113&lt;=cc_D,0.0035*($E113-X$6)/$E113,0.002*($E113-X$6)/($E113-3*cc_D/7))/0.002)))^2)</f>
        <v/>
      </c>
      <c r="Y113">
        <f>MAX(-fyd_cc,MIN(fyd_cc,Es_cc*IF($E113&lt;=cc_D,0.0035*($E113-Y$6)/$E113,0.002*($E113-Y$6)/($E113-3*cc_D/7))))-fcd_cc*(1-(1-MAX(0,MIN(1,IF($E113&lt;=cc_D,0.0035*($E113-Y$6)/$E113,0.002*($E113-Y$6)/($E113-3*cc_D/7))/0.002)))^2)</f>
        <v/>
      </c>
      <c r="Z113">
        <f>MAX(-fyd_cc,MIN(fyd_cc,Es_cc*IF($E113&lt;=cc_D,0.0035*($E113-Z$6)/$E113,0.002*($E113-Z$6)/($E113-3*cc_D/7))))-fcd_cc*(1-(1-MAX(0,MIN(1,IF($E113&lt;=cc_D,0.0035*($E113-Z$6)/$E113,0.002*($E113-Z$6)/($E113-3*cc_D/7))/0.002)))^2)</f>
        <v/>
      </c>
      <c r="AA113">
        <f>MAX(-fyd_cc,MIN(fyd_cc,Es_cc*IF($E113&lt;=cc_D,0.0035*($E113-AA$6)/$E113,0.002*($E113-AA$6)/($E113-3*cc_D/7))))-fcd_cc*(1-(1-MAX(0,MIN(1,IF($E113&lt;=cc_D,0.0035*($E113-AA$6)/$E113,0.002*($E113-AA$6)/($E113-3*cc_D/7))/0.002)))^2)</f>
        <v/>
      </c>
      <c r="AB113">
        <f>MAX(-fyd_cc,MIN(fyd_cc,Es_cc*IF($E113&lt;=cc_D,0.0035*($E113-AB$6)/$E113,0.002*($E113-AB$6)/($E113-3*cc_D/7))))-fcd_cc*(1-(1-MAX(0,MIN(1,IF($E113&lt;=cc_D,0.0035*($E113-AB$6)/$E113,0.002*($E113-AB$6)/($E113-3*cc_D/7))/0.002)))^2)</f>
        <v/>
      </c>
      <c r="AC113">
        <f>MAX(-fyd_cc,MIN(fyd_cc,Es_cc*IF($E113&lt;=cc_D,0.0035*($E113-AC$6)/$E113,0.002*($E113-AC$6)/($E113-3*cc_D/7))))-fcd_cc*(1-(1-MAX(0,MIN(1,IF($E113&lt;=cc_D,0.0035*($E113-AC$6)/$E113,0.002*($E113-AC$6)/($E113-3*cc_D/7))/0.002)))^2)</f>
        <v/>
      </c>
      <c r="AD113">
        <f>MAX(-fyd_cc,MIN(fyd_cc,Es_cc*IF($E113&lt;=cc_D,0.0035*($E113-AD$6)/$E113,0.002*($E113-AD$6)/($E113-3*cc_D/7))))-fcd_cc*(1-(1-MAX(0,MIN(1,IF($E113&lt;=cc_D,0.0035*($E113-AD$6)/$E113,0.002*($E113-AD$6)/($E113-3*cc_D/7))/0.002)))^2)</f>
        <v/>
      </c>
      <c r="AE113">
        <f>MAX(-fyd_cc,MIN(fyd_cc,Es_cc*IF($E113&lt;=cc_D,0.0035*($E113-AE$6)/$E113,0.002*($E113-AE$6)/($E113-3*cc_D/7))))-fcd_cc*(1-(1-MAX(0,MIN(1,IF($E113&lt;=cc_D,0.0035*($E113-AE$6)/$E113,0.002*($E113-AE$6)/($E113-3*cc_D/7))/0.002)))^2)</f>
        <v/>
      </c>
      <c r="AF113">
        <f>MAX(-fyd_cc,MIN(fyd_cc,Es_cc*IF($E113&lt;=cc_D,0.0035*($E113-AF$6)/$E113,0.002*($E113-AF$6)/($E113-3*cc_D/7))))-fcd_cc*(1-(1-MAX(0,MIN(1,IF($E113&lt;=cc_D,0.0035*($E113-AF$6)/$E113,0.002*($E113-AF$6)/($E113-3*cc_D/7))/0.002)))^2)</f>
        <v/>
      </c>
      <c r="AG113">
        <f>MAX(-fyd_cc,MIN(fyd_cc,Es_cc*IF($E113&lt;=cc_D,0.0035*($E113-AG$6)/$E113,0.002*($E113-AG$6)/($E113-3*cc_D/7))))-fcd_cc*(1-(1-MAX(0,MIN(1,IF($E113&lt;=cc_D,0.0035*($E113-AG$6)/$E113,0.002*($E113-AG$6)/($E113-3*cc_D/7))/0.002)))^2)</f>
        <v/>
      </c>
      <c r="BF113">
        <f>3*MIN($E113,cc_D)/7</f>
        <v/>
      </c>
      <c r="BG113">
        <f>$E113-$BF113</f>
        <v/>
      </c>
      <c r="BH113">
        <f>ACOS(MAX(-1,MIN(1,1-$BF113/(cc_D/2))))</f>
        <v/>
      </c>
      <c r="BI113">
        <f>ACOS(MAX(-1,MIN(1,1-MIN($E113,cc_D)/(cc_D/2))))</f>
        <v/>
      </c>
      <c r="BJ113">
        <f>((cc_D/2*(1-COS(($BH113+0*($BI113-$BH113)/12)))-$BF113)/$BG113)^2*SIN(($BH113+0*($BI113-$BH113)/12))^2</f>
        <v/>
      </c>
      <c r="BK113">
        <f>((cc_D/2*(1-COS(($BH113+1*($BI113-$BH113)/12)))-$BF113)/$BG113)^2*SIN(($BH113+1*($BI113-$BH113)/12))^2</f>
        <v/>
      </c>
      <c r="BL113">
        <f>((cc_D/2*(1-COS(($BH113+2*($BI113-$BH113)/12)))-$BF113)/$BG113)^2*SIN(($BH113+2*($BI113-$BH113)/12))^2</f>
        <v/>
      </c>
      <c r="BM113">
        <f>((cc_D/2*(1-COS(($BH113+3*($BI113-$BH113)/12)))-$BF113)/$BG113)^2*SIN(($BH113+3*($BI113-$BH113)/12))^2</f>
        <v/>
      </c>
      <c r="BN113">
        <f>((cc_D/2*(1-COS(($BH113+4*($BI113-$BH113)/12)))-$BF113)/$BG113)^2*SIN(($BH113+4*($BI113-$BH113)/12))^2</f>
        <v/>
      </c>
      <c r="BO113">
        <f>((cc_D/2*(1-COS(($BH113+5*($BI113-$BH113)/12)))-$BF113)/$BG113)^2*SIN(($BH113+5*($BI113-$BH113)/12))^2</f>
        <v/>
      </c>
      <c r="BP113">
        <f>((cc_D/2*(1-COS(($BH113+6*($BI113-$BH113)/12)))-$BF113)/$BG113)^2*SIN(($BH113+6*($BI113-$BH113)/12))^2</f>
        <v/>
      </c>
      <c r="BQ113">
        <f>((cc_D/2*(1-COS(($BH113+7*($BI113-$BH113)/12)))-$BF113)/$BG113)^2*SIN(($BH113+7*($BI113-$BH113)/12))^2</f>
        <v/>
      </c>
      <c r="BR113">
        <f>((cc_D/2*(1-COS(($BH113+8*($BI113-$BH113)/12)))-$BF113)/$BG113)^2*SIN(($BH113+8*($BI113-$BH113)/12))^2</f>
        <v/>
      </c>
      <c r="BS113">
        <f>((cc_D/2*(1-COS(($BH113+9*($BI113-$BH113)/12)))-$BF113)/$BG113)^2*SIN(($BH113+9*($BI113-$BH113)/12))^2</f>
        <v/>
      </c>
      <c r="BT113">
        <f>((cc_D/2*(1-COS(($BH113+10*($BI113-$BH113)/12)))-$BF113)/$BG113)^2*SIN(($BH113+10*($BI113-$BH113)/12))^2</f>
        <v/>
      </c>
      <c r="BU113">
        <f>((cc_D/2*(1-COS(($BH113+11*($BI113-$BH113)/12)))-$BF113)/$BG113)^2*SIN(($BH113+11*($BI113-$BH113)/12))^2</f>
        <v/>
      </c>
      <c r="BV113">
        <f>((cc_D/2*(1-COS(($BH113+12*($BI113-$BH113)/12)))-$BF113)/$BG113)^2*SIN(($BH113+12*($BI113-$BH113)/12))^2</f>
        <v/>
      </c>
      <c r="BW113">
        <f>BJ113*COS(($BH113+0*($BI113-$BH113)/12))</f>
        <v/>
      </c>
      <c r="BX113">
        <f>BK113*COS(($BH113+1*($BI113-$BH113)/12))</f>
        <v/>
      </c>
      <c r="BY113">
        <f>BL113*COS(($BH113+2*($BI113-$BH113)/12))</f>
        <v/>
      </c>
      <c r="BZ113">
        <f>BM113*COS(($BH113+3*($BI113-$BH113)/12))</f>
        <v/>
      </c>
      <c r="CA113">
        <f>BN113*COS(($BH113+4*($BI113-$BH113)/12))</f>
        <v/>
      </c>
      <c r="CB113">
        <f>BO113*COS(($BH113+5*($BI113-$BH113)/12))</f>
        <v/>
      </c>
      <c r="CC113">
        <f>BP113*COS(($BH113+6*($BI113-$BH113)/12))</f>
        <v/>
      </c>
      <c r="CD113">
        <f>BQ113*COS(($BH113+7*($BI113-$BH113)/12))</f>
        <v/>
      </c>
      <c r="CE113">
        <f>BR113*COS(($BH113+8*($BI113-$BH113)/12))</f>
        <v/>
      </c>
      <c r="CF113">
        <f>BS113*COS(($BH113+9*($BI113-$BH113)/12))</f>
        <v/>
      </c>
      <c r="CG113">
        <f>BT113*COS(($BH113+10*($BI113-$BH113)/12))</f>
        <v/>
      </c>
      <c r="CH113">
        <f>BU113*COS(($BH113+11*($BI113-$BH113)/12))</f>
        <v/>
      </c>
      <c r="CI113">
        <f>BV113*COS(($BH113+12*($BI113-$BH113)/12))</f>
        <v/>
      </c>
    </row>
    <row r="114">
      <c r="B114" s="65" t="n">
        <v>25</v>
      </c>
      <c r="C114" s="66">
        <f>IF($G113&lt;cc_NEd-1E-9*ABS(cc_NEd),($C113+$D113)/2,$C113)</f>
        <v/>
      </c>
      <c r="D114" s="66">
        <f>IF($G113&lt;cc_NEd-1E-9*ABS(cc_NEd),$D113,($C113+$D113)/2)</f>
        <v/>
      </c>
      <c r="E114" s="67">
        <f>cc_D*(($C114+$D114)/2)/(1-(($C114+$D114)/2))</f>
        <v/>
      </c>
      <c r="F114" s="68">
        <f>IF($E114&lt;=cc_D,3.5,2*$E114/($E114-3*cc_D/7))</f>
        <v/>
      </c>
      <c r="G114" s="67">
        <f>(fcd_cc*((cc_D/2)^2*($BI114-COS($BI114)*SIN($BI114))-2*(cc_D/2)^2*($BI114-$BH114)/12/3*SUMPRODUCT($BJ$4:$BV$4,$BJ114:$BV114))+SUMPRODUCT($J$5:$AG$5,$J114:$AG114))/1000</f>
        <v/>
      </c>
      <c r="H114" s="67">
        <f>(fcd_cc*(2/3*(cc_D/2)^3*SIN($BI114)^3-2*(cc_D/2)^3*($BI114-$BH114)/12/3*SUMPRODUCT($BW$4:$CI$4,$BW114:$CI114))+SUMPRODUCT($J$5:$AG$5,$J114:$AG114,$J$7:$AG$7))/1E6</f>
        <v/>
      </c>
      <c r="I114" s="67">
        <f>SUMPRODUCT($J$5:$AG$5,$J114:$AG114,$J$8:$AG$8)/1E6</f>
        <v/>
      </c>
      <c r="J114">
        <f>MAX(-fyd_cc,MIN(fyd_cc,Es_cc*IF($E114&lt;=cc_D,0.0035*($E114-J$6)/$E114,0.002*($E114-J$6)/($E114-3*cc_D/7))))-fcd_cc*(1-(1-MAX(0,MIN(1,IF($E114&lt;=cc_D,0.0035*($E114-J$6)/$E114,0.002*($E114-J$6)/($E114-3*cc_D/7))/0.002)))^2)</f>
        <v/>
      </c>
      <c r="K114">
        <f>MAX(-fyd_cc,MIN(fyd_cc,Es_cc*IF($E114&lt;=cc_D,0.0035*($E114-K$6)/$E114,0.002*($E114-K$6)/($E114-3*cc_D/7))))-fcd_cc*(1-(1-MAX(0,MIN(1,IF($E114&lt;=cc_D,0.0035*($E114-K$6)/$E114,0.002*($E114-K$6)/($E114-3*cc_D/7))/0.002)))^2)</f>
        <v/>
      </c>
      <c r="L114">
        <f>MAX(-fyd_cc,MIN(fyd_cc,Es_cc*IF($E114&lt;=cc_D,0.0035*($E114-L$6)/$E114,0.002*($E114-L$6)/($E114-3*cc_D/7))))-fcd_cc*(1-(1-MAX(0,MIN(1,IF($E114&lt;=cc_D,0.0035*($E114-L$6)/$E114,0.002*($E114-L$6)/($E114-3*cc_D/7))/0.002)))^2)</f>
        <v/>
      </c>
      <c r="M114">
        <f>MAX(-fyd_cc,MIN(fyd_cc,Es_cc*IF($E114&lt;=cc_D,0.0035*($E114-M$6)/$E114,0.002*($E114-M$6)/($E114-3*cc_D/7))))-fcd_cc*(1-(1-MAX(0,MIN(1,IF($E114&lt;=cc_D,0.0035*($E114-M$6)/$E114,0.002*($E114-M$6)/($E114-3*cc_D/7))/0.002)))^2)</f>
        <v/>
      </c>
      <c r="N114">
        <f>MAX(-fyd_cc,MIN(fyd_cc,Es_cc*IF($E114&lt;=cc_D,0.0035*($E114-N$6)/$E114,0.002*($E114-N$6)/($E114-3*cc_D/7))))-fcd_cc*(1-(1-MAX(0,MIN(1,IF($E114&lt;=cc_D,0.0035*($E114-N$6)/$E114,0.002*($E114-N$6)/($E114-3*cc_D/7))/0.002)))^2)</f>
        <v/>
      </c>
      <c r="O114">
        <f>MAX(-fyd_cc,MIN(fyd_cc,Es_cc*IF($E114&lt;=cc_D,0.0035*($E114-O$6)/$E114,0.002*($E114-O$6)/($E114-3*cc_D/7))))-fcd_cc*(1-(1-MAX(0,MIN(1,IF($E114&lt;=cc_D,0.0035*($E114-O$6)/$E114,0.002*($E114-O$6)/($E114-3*cc_D/7))/0.002)))^2)</f>
        <v/>
      </c>
      <c r="P114">
        <f>MAX(-fyd_cc,MIN(fyd_cc,Es_cc*IF($E114&lt;=cc_D,0.0035*($E114-P$6)/$E114,0.002*($E114-P$6)/($E114-3*cc_D/7))))-fcd_cc*(1-(1-MAX(0,MIN(1,IF($E114&lt;=cc_D,0.0035*($E114-P$6)/$E114,0.002*($E114-P$6)/($E114-3*cc_D/7))/0.002)))^2)</f>
        <v/>
      </c>
      <c r="Q114">
        <f>MAX(-fyd_cc,MIN(fyd_cc,Es_cc*IF($E114&lt;=cc_D,0.0035*($E114-Q$6)/$E114,0.002*($E114-Q$6)/($E114-3*cc_D/7))))-fcd_cc*(1-(1-MAX(0,MIN(1,IF($E114&lt;=cc_D,0.0035*($E114-Q$6)/$E114,0.002*($E114-Q$6)/($E114-3*cc_D/7))/0.002)))^2)</f>
        <v/>
      </c>
      <c r="R114">
        <f>MAX(-fyd_cc,MIN(fyd_cc,Es_cc*IF($E114&lt;=cc_D,0.0035*($E114-R$6)/$E114,0.002*($E114-R$6)/($E114-3*cc_D/7))))-fcd_cc*(1-(1-MAX(0,MIN(1,IF($E114&lt;=cc_D,0.0035*($E114-R$6)/$E114,0.002*($E114-R$6)/($E114-3*cc_D/7))/0.002)))^2)</f>
        <v/>
      </c>
      <c r="S114">
        <f>MAX(-fyd_cc,MIN(fyd_cc,Es_cc*IF($E114&lt;=cc_D,0.0035*($E114-S$6)/$E114,0.002*($E114-S$6)/($E114-3*cc_D/7))))-fcd_cc*(1-(1-MAX(0,MIN(1,IF($E114&lt;=cc_D,0.0035*($E114-S$6)/$E114,0.002*($E114-S$6)/($E114-3*cc_D/7))/0.002)))^2)</f>
        <v/>
      </c>
      <c r="T114">
        <f>MAX(-fyd_cc,MIN(fyd_cc,Es_cc*IF($E114&lt;=cc_D,0.0035*($E114-T$6)/$E114,0.002*($E114-T$6)/($E114-3*cc_D/7))))-fcd_cc*(1-(1-MAX(0,MIN(1,IF($E114&lt;=cc_D,0.0035*($E114-T$6)/$E114,0.002*($E114-T$6)/($E114-3*cc_D/7))/0.002)))^2)</f>
        <v/>
      </c>
      <c r="U114">
        <f>MAX(-fyd_cc,MIN(fyd_cc,Es_cc*IF($E114&lt;=cc_D,0.0035*($E114-U$6)/$E114,0.002*($E114-U$6)/($E114-3*cc_D/7))))-fcd_cc*(1-(1-MAX(0,MIN(1,IF($E114&lt;=cc_D,0.0035*($E114-U$6)/$E114,0.002*($E114-U$6)/($E114-3*cc_D/7))/0.002)))^2)</f>
        <v/>
      </c>
      <c r="V114">
        <f>MAX(-fyd_cc,MIN(fyd_cc,Es_cc*IF($E114&lt;=cc_D,0.0035*($E114-V$6)/$E114,0.002*($E114-V$6)/($E114-3*cc_D/7))))-fcd_cc*(1-(1-MAX(0,MIN(1,IF($E114&lt;=cc_D,0.0035*($E114-V$6)/$E114,0.002*($E114-V$6)/($E114-3*cc_D/7))/0.002)))^2)</f>
        <v/>
      </c>
      <c r="W114">
        <f>MAX(-fyd_cc,MIN(fyd_cc,Es_cc*IF($E114&lt;=cc_D,0.0035*($E114-W$6)/$E114,0.002*($E114-W$6)/($E114-3*cc_D/7))))-fcd_cc*(1-(1-MAX(0,MIN(1,IF($E114&lt;=cc_D,0.0035*($E114-W$6)/$E114,0.002*($E114-W$6)/($E114-3*cc_D/7))/0.002)))^2)</f>
        <v/>
      </c>
      <c r="X114">
        <f>MAX(-fyd_cc,MIN(fyd_cc,Es_cc*IF($E114&lt;=cc_D,0.0035*($E114-X$6)/$E114,0.002*($E114-X$6)/($E114-3*cc_D/7))))-fcd_cc*(1-(1-MAX(0,MIN(1,IF($E114&lt;=cc_D,0.0035*($E114-X$6)/$E114,0.002*($E114-X$6)/($E114-3*cc_D/7))/0.002)))^2)</f>
        <v/>
      </c>
      <c r="Y114">
        <f>MAX(-fyd_cc,MIN(fyd_cc,Es_cc*IF($E114&lt;=cc_D,0.0035*($E114-Y$6)/$E114,0.002*($E114-Y$6)/($E114-3*cc_D/7))))-fcd_cc*(1-(1-MAX(0,MIN(1,IF($E114&lt;=cc_D,0.0035*($E114-Y$6)/$E114,0.002*($E114-Y$6)/($E114-3*cc_D/7))/0.002)))^2)</f>
        <v/>
      </c>
      <c r="Z114">
        <f>MAX(-fyd_cc,MIN(fyd_cc,Es_cc*IF($E114&lt;=cc_D,0.0035*($E114-Z$6)/$E114,0.002*($E114-Z$6)/($E114-3*cc_D/7))))-fcd_cc*(1-(1-MAX(0,MIN(1,IF($E114&lt;=cc_D,0.0035*($E114-Z$6)/$E114,0.002*($E114-Z$6)/($E114-3*cc_D/7))/0.002)))^2)</f>
        <v/>
      </c>
      <c r="AA114">
        <f>MAX(-fyd_cc,MIN(fyd_cc,Es_cc*IF($E114&lt;=cc_D,0.0035*($E114-AA$6)/$E114,0.002*($E114-AA$6)/($E114-3*cc_D/7))))-fcd_cc*(1-(1-MAX(0,MIN(1,IF($E114&lt;=cc_D,0.0035*($E114-AA$6)/$E114,0.002*($E114-AA$6)/($E114-3*cc_D/7))/0.002)))^2)</f>
        <v/>
      </c>
      <c r="AB114">
        <f>MAX(-fyd_cc,MIN(fyd_cc,Es_cc*IF($E114&lt;=cc_D,0.0035*($E114-AB$6)/$E114,0.002*($E114-AB$6)/($E114-3*cc_D/7))))-fcd_cc*(1-(1-MAX(0,MIN(1,IF($E114&lt;=cc_D,0.0035*($E114-AB$6)/$E114,0.002*($E114-AB$6)/($E114-3*cc_D/7))/0.002)))^2)</f>
        <v/>
      </c>
      <c r="AC114">
        <f>MAX(-fyd_cc,MIN(fyd_cc,Es_cc*IF($E114&lt;=cc_D,0.0035*($E114-AC$6)/$E114,0.002*($E114-AC$6)/($E114-3*cc_D/7))))-fcd_cc*(1-(1-MAX(0,MIN(1,IF($E114&lt;=cc_D,0.0035*($E114-AC$6)/$E114,0.002*($E114-AC$6)/($E114-3*cc_D/7))/0.002)))^2)</f>
        <v/>
      </c>
      <c r="AD114">
        <f>MAX(-fyd_cc,MIN(fyd_cc,Es_cc*IF($E114&lt;=cc_D,0.0035*($E114-AD$6)/$E114,0.002*($E114-AD$6)/($E114-3*cc_D/7))))-fcd_cc*(1-(1-MAX(0,MIN(1,IF($E114&lt;=cc_D,0.0035*($E114-AD$6)/$E114,0.002*($E114-AD$6)/($E114-3*cc_D/7))/0.002)))^2)</f>
        <v/>
      </c>
      <c r="AE114">
        <f>MAX(-fyd_cc,MIN(fyd_cc,Es_cc*IF($E114&lt;=cc_D,0.0035*($E114-AE$6)/$E114,0.002*($E114-AE$6)/($E114-3*cc_D/7))))-fcd_cc*(1-(1-MAX(0,MIN(1,IF($E114&lt;=cc_D,0.0035*($E114-AE$6)/$E114,0.002*($E114-AE$6)/($E114-3*cc_D/7))/0.002)))^2)</f>
        <v/>
      </c>
      <c r="AF114">
        <f>MAX(-fyd_cc,MIN(fyd_cc,Es_cc*IF($E114&lt;=cc_D,0.0035*($E114-AF$6)/$E114,0.002*($E114-AF$6)/($E114-3*cc_D/7))))-fcd_cc*(1-(1-MAX(0,MIN(1,IF($E114&lt;=cc_D,0.0035*($E114-AF$6)/$E114,0.002*($E114-AF$6)/($E114-3*cc_D/7))/0.002)))^2)</f>
        <v/>
      </c>
      <c r="AG114">
        <f>MAX(-fyd_cc,MIN(fyd_cc,Es_cc*IF($E114&lt;=cc_D,0.0035*($E114-AG$6)/$E114,0.002*($E114-AG$6)/($E114-3*cc_D/7))))-fcd_cc*(1-(1-MAX(0,MIN(1,IF($E114&lt;=cc_D,0.0035*($E114-AG$6)/$E114,0.002*($E114-AG$6)/($E114-3*cc_D/7))/0.002)))^2)</f>
        <v/>
      </c>
      <c r="BF114">
        <f>3*MIN($E114,cc_D)/7</f>
        <v/>
      </c>
      <c r="BG114">
        <f>$E114-$BF114</f>
        <v/>
      </c>
      <c r="BH114">
        <f>ACOS(MAX(-1,MIN(1,1-$BF114/(cc_D/2))))</f>
        <v/>
      </c>
      <c r="BI114">
        <f>ACOS(MAX(-1,MIN(1,1-MIN($E114,cc_D)/(cc_D/2))))</f>
        <v/>
      </c>
      <c r="BJ114">
        <f>((cc_D/2*(1-COS(($BH114+0*($BI114-$BH114)/12)))-$BF114)/$BG114)^2*SIN(($BH114+0*($BI114-$BH114)/12))^2</f>
        <v/>
      </c>
      <c r="BK114">
        <f>((cc_D/2*(1-COS(($BH114+1*($BI114-$BH114)/12)))-$BF114)/$BG114)^2*SIN(($BH114+1*($BI114-$BH114)/12))^2</f>
        <v/>
      </c>
      <c r="BL114">
        <f>((cc_D/2*(1-COS(($BH114+2*($BI114-$BH114)/12)))-$BF114)/$BG114)^2*SIN(($BH114+2*($BI114-$BH114)/12))^2</f>
        <v/>
      </c>
      <c r="BM114">
        <f>((cc_D/2*(1-COS(($BH114+3*($BI114-$BH114)/12)))-$BF114)/$BG114)^2*SIN(($BH114+3*($BI114-$BH114)/12))^2</f>
        <v/>
      </c>
      <c r="BN114">
        <f>((cc_D/2*(1-COS(($BH114+4*($BI114-$BH114)/12)))-$BF114)/$BG114)^2*SIN(($BH114+4*($BI114-$BH114)/12))^2</f>
        <v/>
      </c>
      <c r="BO114">
        <f>((cc_D/2*(1-COS(($BH114+5*($BI114-$BH114)/12)))-$BF114)/$BG114)^2*SIN(($BH114+5*($BI114-$BH114)/12))^2</f>
        <v/>
      </c>
      <c r="BP114">
        <f>((cc_D/2*(1-COS(($BH114+6*($BI114-$BH114)/12)))-$BF114)/$BG114)^2*SIN(($BH114+6*($BI114-$BH114)/12))^2</f>
        <v/>
      </c>
      <c r="BQ114">
        <f>((cc_D/2*(1-COS(($BH114+7*($BI114-$BH114)/12)))-$BF114)/$BG114)^2*SIN(($BH114+7*($BI114-$BH114)/12))^2</f>
        <v/>
      </c>
      <c r="BR114">
        <f>((cc_D/2*(1-COS(($BH114+8*($BI114-$BH114)/12)))-$BF114)/$BG114)^2*SIN(($BH114+8*($BI114-$BH114)/12))^2</f>
        <v/>
      </c>
      <c r="BS114">
        <f>((cc_D/2*(1-COS(($BH114+9*($BI114-$BH114)/12)))-$BF114)/$BG114)^2*SIN(($BH114+9*($BI114-$BH114)/12))^2</f>
        <v/>
      </c>
      <c r="BT114">
        <f>((cc_D/2*(1-COS(($BH114+10*($BI114-$BH114)/12)))-$BF114)/$BG114)^2*SIN(($BH114+10*($BI114-$BH114)/12))^2</f>
        <v/>
      </c>
      <c r="BU114">
        <f>((cc_D/2*(1-COS(($BH114+11*($BI114-$BH114)/12)))-$BF114)/$BG114)^2*SIN(($BH114+11*($BI114-$BH114)/12))^2</f>
        <v/>
      </c>
      <c r="BV114">
        <f>((cc_D/2*(1-COS(($BH114+12*($BI114-$BH114)/12)))-$BF114)/$BG114)^2*SIN(($BH114+12*($BI114-$BH114)/12))^2</f>
        <v/>
      </c>
      <c r="BW114">
        <f>BJ114*COS(($BH114+0*($BI114-$BH114)/12))</f>
        <v/>
      </c>
      <c r="BX114">
        <f>BK114*COS(($BH114+1*($BI114-$BH114)/12))</f>
        <v/>
      </c>
      <c r="BY114">
        <f>BL114*COS(($BH114+2*($BI114-$BH114)/12))</f>
        <v/>
      </c>
      <c r="BZ114">
        <f>BM114*COS(($BH114+3*($BI114-$BH114)/12))</f>
        <v/>
      </c>
      <c r="CA114">
        <f>BN114*COS(($BH114+4*($BI114-$BH114)/12))</f>
        <v/>
      </c>
      <c r="CB114">
        <f>BO114*COS(($BH114+5*($BI114-$BH114)/12))</f>
        <v/>
      </c>
      <c r="CC114">
        <f>BP114*COS(($BH114+6*($BI114-$BH114)/12))</f>
        <v/>
      </c>
      <c r="CD114">
        <f>BQ114*COS(($BH114+7*($BI114-$BH114)/12))</f>
        <v/>
      </c>
      <c r="CE114">
        <f>BR114*COS(($BH114+8*($BI114-$BH114)/12))</f>
        <v/>
      </c>
      <c r="CF114">
        <f>BS114*COS(($BH114+9*($BI114-$BH114)/12))</f>
        <v/>
      </c>
      <c r="CG114">
        <f>BT114*COS(($BH114+10*($BI114-$BH114)/12))</f>
        <v/>
      </c>
      <c r="CH114">
        <f>BU114*COS(($BH114+11*($BI114-$BH114)/12))</f>
        <v/>
      </c>
      <c r="CI114">
        <f>BV114*COS(($BH114+12*($BI114-$BH114)/12))</f>
        <v/>
      </c>
    </row>
    <row r="115">
      <c r="B115" s="65" t="n">
        <v>26</v>
      </c>
      <c r="C115" s="66">
        <f>IF($G114&lt;cc_NEd-1E-9*ABS(cc_NEd),($C114+$D114)/2,$C114)</f>
        <v/>
      </c>
      <c r="D115" s="66">
        <f>IF($G114&lt;cc_NEd-1E-9*ABS(cc_NEd),$D114,($C114+$D114)/2)</f>
        <v/>
      </c>
      <c r="E115" s="67">
        <f>cc_D*(($C115+$D115)/2)/(1-(($C115+$D115)/2))</f>
        <v/>
      </c>
      <c r="F115" s="68">
        <f>IF($E115&lt;=cc_D,3.5,2*$E115/($E115-3*cc_D/7))</f>
        <v/>
      </c>
      <c r="G115" s="67">
        <f>(fcd_cc*((cc_D/2)^2*($BI115-COS($BI115)*SIN($BI115))-2*(cc_D/2)^2*($BI115-$BH115)/12/3*SUMPRODUCT($BJ$4:$BV$4,$BJ115:$BV115))+SUMPRODUCT($J$5:$AG$5,$J115:$AG115))/1000</f>
        <v/>
      </c>
      <c r="H115" s="67">
        <f>(fcd_cc*(2/3*(cc_D/2)^3*SIN($BI115)^3-2*(cc_D/2)^3*($BI115-$BH115)/12/3*SUMPRODUCT($BW$4:$CI$4,$BW115:$CI115))+SUMPRODUCT($J$5:$AG$5,$J115:$AG115,$J$7:$AG$7))/1E6</f>
        <v/>
      </c>
      <c r="I115" s="67">
        <f>SUMPRODUCT($J$5:$AG$5,$J115:$AG115,$J$8:$AG$8)/1E6</f>
        <v/>
      </c>
      <c r="J115">
        <f>MAX(-fyd_cc,MIN(fyd_cc,Es_cc*IF($E115&lt;=cc_D,0.0035*($E115-J$6)/$E115,0.002*($E115-J$6)/($E115-3*cc_D/7))))-fcd_cc*(1-(1-MAX(0,MIN(1,IF($E115&lt;=cc_D,0.0035*($E115-J$6)/$E115,0.002*($E115-J$6)/($E115-3*cc_D/7))/0.002)))^2)</f>
        <v/>
      </c>
      <c r="K115">
        <f>MAX(-fyd_cc,MIN(fyd_cc,Es_cc*IF($E115&lt;=cc_D,0.0035*($E115-K$6)/$E115,0.002*($E115-K$6)/($E115-3*cc_D/7))))-fcd_cc*(1-(1-MAX(0,MIN(1,IF($E115&lt;=cc_D,0.0035*($E115-K$6)/$E115,0.002*($E115-K$6)/($E115-3*cc_D/7))/0.002)))^2)</f>
        <v/>
      </c>
      <c r="L115">
        <f>MAX(-fyd_cc,MIN(fyd_cc,Es_cc*IF($E115&lt;=cc_D,0.0035*($E115-L$6)/$E115,0.002*($E115-L$6)/($E115-3*cc_D/7))))-fcd_cc*(1-(1-MAX(0,MIN(1,IF($E115&lt;=cc_D,0.0035*($E115-L$6)/$E115,0.002*($E115-L$6)/($E115-3*cc_D/7))/0.002)))^2)</f>
        <v/>
      </c>
      <c r="M115">
        <f>MAX(-fyd_cc,MIN(fyd_cc,Es_cc*IF($E115&lt;=cc_D,0.0035*($E115-M$6)/$E115,0.002*($E115-M$6)/($E115-3*cc_D/7))))-fcd_cc*(1-(1-MAX(0,MIN(1,IF($E115&lt;=cc_D,0.0035*($E115-M$6)/$E115,0.002*($E115-M$6)/($E115-3*cc_D/7))/0.002)))^2)</f>
        <v/>
      </c>
      <c r="N115">
        <f>MAX(-fyd_cc,MIN(fyd_cc,Es_cc*IF($E115&lt;=cc_D,0.0035*($E115-N$6)/$E115,0.002*($E115-N$6)/($E115-3*cc_D/7))))-fcd_cc*(1-(1-MAX(0,MIN(1,IF($E115&lt;=cc_D,0.0035*($E115-N$6)/$E115,0.002*($E115-N$6)/($E115-3*cc_D/7))/0.002)))^2)</f>
        <v/>
      </c>
      <c r="O115">
        <f>MAX(-fyd_cc,MIN(fyd_cc,Es_cc*IF($E115&lt;=cc_D,0.0035*($E115-O$6)/$E115,0.002*($E115-O$6)/($E115-3*cc_D/7))))-fcd_cc*(1-(1-MAX(0,MIN(1,IF($E115&lt;=cc_D,0.0035*($E115-O$6)/$E115,0.002*($E115-O$6)/($E115-3*cc_D/7))/0.002)))^2)</f>
        <v/>
      </c>
      <c r="P115">
        <f>MAX(-fyd_cc,MIN(fyd_cc,Es_cc*IF($E115&lt;=cc_D,0.0035*($E115-P$6)/$E115,0.002*($E115-P$6)/($E115-3*cc_D/7))))-fcd_cc*(1-(1-MAX(0,MIN(1,IF($E115&lt;=cc_D,0.0035*($E115-P$6)/$E115,0.002*($E115-P$6)/($E115-3*cc_D/7))/0.002)))^2)</f>
        <v/>
      </c>
      <c r="Q115">
        <f>MAX(-fyd_cc,MIN(fyd_cc,Es_cc*IF($E115&lt;=cc_D,0.0035*($E115-Q$6)/$E115,0.002*($E115-Q$6)/($E115-3*cc_D/7))))-fcd_cc*(1-(1-MAX(0,MIN(1,IF($E115&lt;=cc_D,0.0035*($E115-Q$6)/$E115,0.002*($E115-Q$6)/($E115-3*cc_D/7))/0.002)))^2)</f>
        <v/>
      </c>
      <c r="R115">
        <f>MAX(-fyd_cc,MIN(fyd_cc,Es_cc*IF($E115&lt;=cc_D,0.0035*($E115-R$6)/$E115,0.002*($E115-R$6)/($E115-3*cc_D/7))))-fcd_cc*(1-(1-MAX(0,MIN(1,IF($E115&lt;=cc_D,0.0035*($E115-R$6)/$E115,0.002*($E115-R$6)/($E115-3*cc_D/7))/0.002)))^2)</f>
        <v/>
      </c>
      <c r="S115">
        <f>MAX(-fyd_cc,MIN(fyd_cc,Es_cc*IF($E115&lt;=cc_D,0.0035*($E115-S$6)/$E115,0.002*($E115-S$6)/($E115-3*cc_D/7))))-fcd_cc*(1-(1-MAX(0,MIN(1,IF($E115&lt;=cc_D,0.0035*($E115-S$6)/$E115,0.002*($E115-S$6)/($E115-3*cc_D/7))/0.002)))^2)</f>
        <v/>
      </c>
      <c r="T115">
        <f>MAX(-fyd_cc,MIN(fyd_cc,Es_cc*IF($E115&lt;=cc_D,0.0035*($E115-T$6)/$E115,0.002*($E115-T$6)/($E115-3*cc_D/7))))-fcd_cc*(1-(1-MAX(0,MIN(1,IF($E115&lt;=cc_D,0.0035*($E115-T$6)/$E115,0.002*($E115-T$6)/($E115-3*cc_D/7))/0.002)))^2)</f>
        <v/>
      </c>
      <c r="U115">
        <f>MAX(-fyd_cc,MIN(fyd_cc,Es_cc*IF($E115&lt;=cc_D,0.0035*($E115-U$6)/$E115,0.002*($E115-U$6)/($E115-3*cc_D/7))))-fcd_cc*(1-(1-MAX(0,MIN(1,IF($E115&lt;=cc_D,0.0035*($E115-U$6)/$E115,0.002*($E115-U$6)/($E115-3*cc_D/7))/0.002)))^2)</f>
        <v/>
      </c>
      <c r="V115">
        <f>MAX(-fyd_cc,MIN(fyd_cc,Es_cc*IF($E115&lt;=cc_D,0.0035*($E115-V$6)/$E115,0.002*($E115-V$6)/($E115-3*cc_D/7))))-fcd_cc*(1-(1-MAX(0,MIN(1,IF($E115&lt;=cc_D,0.0035*($E115-V$6)/$E115,0.002*($E115-V$6)/($E115-3*cc_D/7))/0.002)))^2)</f>
        <v/>
      </c>
      <c r="W115">
        <f>MAX(-fyd_cc,MIN(fyd_cc,Es_cc*IF($E115&lt;=cc_D,0.0035*($E115-W$6)/$E115,0.002*($E115-W$6)/($E115-3*cc_D/7))))-fcd_cc*(1-(1-MAX(0,MIN(1,IF($E115&lt;=cc_D,0.0035*($E115-W$6)/$E115,0.002*($E115-W$6)/($E115-3*cc_D/7))/0.002)))^2)</f>
        <v/>
      </c>
      <c r="X115">
        <f>MAX(-fyd_cc,MIN(fyd_cc,Es_cc*IF($E115&lt;=cc_D,0.0035*($E115-X$6)/$E115,0.002*($E115-X$6)/($E115-3*cc_D/7))))-fcd_cc*(1-(1-MAX(0,MIN(1,IF($E115&lt;=cc_D,0.0035*($E115-X$6)/$E115,0.002*($E115-X$6)/($E115-3*cc_D/7))/0.002)))^2)</f>
        <v/>
      </c>
      <c r="Y115">
        <f>MAX(-fyd_cc,MIN(fyd_cc,Es_cc*IF($E115&lt;=cc_D,0.0035*($E115-Y$6)/$E115,0.002*($E115-Y$6)/($E115-3*cc_D/7))))-fcd_cc*(1-(1-MAX(0,MIN(1,IF($E115&lt;=cc_D,0.0035*($E115-Y$6)/$E115,0.002*($E115-Y$6)/($E115-3*cc_D/7))/0.002)))^2)</f>
        <v/>
      </c>
      <c r="Z115">
        <f>MAX(-fyd_cc,MIN(fyd_cc,Es_cc*IF($E115&lt;=cc_D,0.0035*($E115-Z$6)/$E115,0.002*($E115-Z$6)/($E115-3*cc_D/7))))-fcd_cc*(1-(1-MAX(0,MIN(1,IF($E115&lt;=cc_D,0.0035*($E115-Z$6)/$E115,0.002*($E115-Z$6)/($E115-3*cc_D/7))/0.002)))^2)</f>
        <v/>
      </c>
      <c r="AA115">
        <f>MAX(-fyd_cc,MIN(fyd_cc,Es_cc*IF($E115&lt;=cc_D,0.0035*($E115-AA$6)/$E115,0.002*($E115-AA$6)/($E115-3*cc_D/7))))-fcd_cc*(1-(1-MAX(0,MIN(1,IF($E115&lt;=cc_D,0.0035*($E115-AA$6)/$E115,0.002*($E115-AA$6)/($E115-3*cc_D/7))/0.002)))^2)</f>
        <v/>
      </c>
      <c r="AB115">
        <f>MAX(-fyd_cc,MIN(fyd_cc,Es_cc*IF($E115&lt;=cc_D,0.0035*($E115-AB$6)/$E115,0.002*($E115-AB$6)/($E115-3*cc_D/7))))-fcd_cc*(1-(1-MAX(0,MIN(1,IF($E115&lt;=cc_D,0.0035*($E115-AB$6)/$E115,0.002*($E115-AB$6)/($E115-3*cc_D/7))/0.002)))^2)</f>
        <v/>
      </c>
      <c r="AC115">
        <f>MAX(-fyd_cc,MIN(fyd_cc,Es_cc*IF($E115&lt;=cc_D,0.0035*($E115-AC$6)/$E115,0.002*($E115-AC$6)/($E115-3*cc_D/7))))-fcd_cc*(1-(1-MAX(0,MIN(1,IF($E115&lt;=cc_D,0.0035*($E115-AC$6)/$E115,0.002*($E115-AC$6)/($E115-3*cc_D/7))/0.002)))^2)</f>
        <v/>
      </c>
      <c r="AD115">
        <f>MAX(-fyd_cc,MIN(fyd_cc,Es_cc*IF($E115&lt;=cc_D,0.0035*($E115-AD$6)/$E115,0.002*($E115-AD$6)/($E115-3*cc_D/7))))-fcd_cc*(1-(1-MAX(0,MIN(1,IF($E115&lt;=cc_D,0.0035*($E115-AD$6)/$E115,0.002*($E115-AD$6)/($E115-3*cc_D/7))/0.002)))^2)</f>
        <v/>
      </c>
      <c r="AE115">
        <f>MAX(-fyd_cc,MIN(fyd_cc,Es_cc*IF($E115&lt;=cc_D,0.0035*($E115-AE$6)/$E115,0.002*($E115-AE$6)/($E115-3*cc_D/7))))-fcd_cc*(1-(1-MAX(0,MIN(1,IF($E115&lt;=cc_D,0.0035*($E115-AE$6)/$E115,0.002*($E115-AE$6)/($E115-3*cc_D/7))/0.002)))^2)</f>
        <v/>
      </c>
      <c r="AF115">
        <f>MAX(-fyd_cc,MIN(fyd_cc,Es_cc*IF($E115&lt;=cc_D,0.0035*($E115-AF$6)/$E115,0.002*($E115-AF$6)/($E115-3*cc_D/7))))-fcd_cc*(1-(1-MAX(0,MIN(1,IF($E115&lt;=cc_D,0.0035*($E115-AF$6)/$E115,0.002*($E115-AF$6)/($E115-3*cc_D/7))/0.002)))^2)</f>
        <v/>
      </c>
      <c r="AG115">
        <f>MAX(-fyd_cc,MIN(fyd_cc,Es_cc*IF($E115&lt;=cc_D,0.0035*($E115-AG$6)/$E115,0.002*($E115-AG$6)/($E115-3*cc_D/7))))-fcd_cc*(1-(1-MAX(0,MIN(1,IF($E115&lt;=cc_D,0.0035*($E115-AG$6)/$E115,0.002*($E115-AG$6)/($E115-3*cc_D/7))/0.002)))^2)</f>
        <v/>
      </c>
      <c r="BF115">
        <f>3*MIN($E115,cc_D)/7</f>
        <v/>
      </c>
      <c r="BG115">
        <f>$E115-$BF115</f>
        <v/>
      </c>
      <c r="BH115">
        <f>ACOS(MAX(-1,MIN(1,1-$BF115/(cc_D/2))))</f>
        <v/>
      </c>
      <c r="BI115">
        <f>ACOS(MAX(-1,MIN(1,1-MIN($E115,cc_D)/(cc_D/2))))</f>
        <v/>
      </c>
      <c r="BJ115">
        <f>((cc_D/2*(1-COS(($BH115+0*($BI115-$BH115)/12)))-$BF115)/$BG115)^2*SIN(($BH115+0*($BI115-$BH115)/12))^2</f>
        <v/>
      </c>
      <c r="BK115">
        <f>((cc_D/2*(1-COS(($BH115+1*($BI115-$BH115)/12)))-$BF115)/$BG115)^2*SIN(($BH115+1*($BI115-$BH115)/12))^2</f>
        <v/>
      </c>
      <c r="BL115">
        <f>((cc_D/2*(1-COS(($BH115+2*($BI115-$BH115)/12)))-$BF115)/$BG115)^2*SIN(($BH115+2*($BI115-$BH115)/12))^2</f>
        <v/>
      </c>
      <c r="BM115">
        <f>((cc_D/2*(1-COS(($BH115+3*($BI115-$BH115)/12)))-$BF115)/$BG115)^2*SIN(($BH115+3*($BI115-$BH115)/12))^2</f>
        <v/>
      </c>
      <c r="BN115">
        <f>((cc_D/2*(1-COS(($BH115+4*($BI115-$BH115)/12)))-$BF115)/$BG115)^2*SIN(($BH115+4*($BI115-$BH115)/12))^2</f>
        <v/>
      </c>
      <c r="BO115">
        <f>((cc_D/2*(1-COS(($BH115+5*($BI115-$BH115)/12)))-$BF115)/$BG115)^2*SIN(($BH115+5*($BI115-$BH115)/12))^2</f>
        <v/>
      </c>
      <c r="BP115">
        <f>((cc_D/2*(1-COS(($BH115+6*($BI115-$BH115)/12)))-$BF115)/$BG115)^2*SIN(($BH115+6*($BI115-$BH115)/12))^2</f>
        <v/>
      </c>
      <c r="BQ115">
        <f>((cc_D/2*(1-COS(($BH115+7*($BI115-$BH115)/12)))-$BF115)/$BG115)^2*SIN(($BH115+7*($BI115-$BH115)/12))^2</f>
        <v/>
      </c>
      <c r="BR115">
        <f>((cc_D/2*(1-COS(($BH115+8*($BI115-$BH115)/12)))-$BF115)/$BG115)^2*SIN(($BH115+8*($BI115-$BH115)/12))^2</f>
        <v/>
      </c>
      <c r="BS115">
        <f>((cc_D/2*(1-COS(($BH115+9*($BI115-$BH115)/12)))-$BF115)/$BG115)^2*SIN(($BH115+9*($BI115-$BH115)/12))^2</f>
        <v/>
      </c>
      <c r="BT115">
        <f>((cc_D/2*(1-COS(($BH115+10*($BI115-$BH115)/12)))-$BF115)/$BG115)^2*SIN(($BH115+10*($BI115-$BH115)/12))^2</f>
        <v/>
      </c>
      <c r="BU115">
        <f>((cc_D/2*(1-COS(($BH115+11*($BI115-$BH115)/12)))-$BF115)/$BG115)^2*SIN(($BH115+11*($BI115-$BH115)/12))^2</f>
        <v/>
      </c>
      <c r="BV115">
        <f>((cc_D/2*(1-COS(($BH115+12*($BI115-$BH115)/12)))-$BF115)/$BG115)^2*SIN(($BH115+12*($BI115-$BH115)/12))^2</f>
        <v/>
      </c>
      <c r="BW115">
        <f>BJ115*COS(($BH115+0*($BI115-$BH115)/12))</f>
        <v/>
      </c>
      <c r="BX115">
        <f>BK115*COS(($BH115+1*($BI115-$BH115)/12))</f>
        <v/>
      </c>
      <c r="BY115">
        <f>BL115*COS(($BH115+2*($BI115-$BH115)/12))</f>
        <v/>
      </c>
      <c r="BZ115">
        <f>BM115*COS(($BH115+3*($BI115-$BH115)/12))</f>
        <v/>
      </c>
      <c r="CA115">
        <f>BN115*COS(($BH115+4*($BI115-$BH115)/12))</f>
        <v/>
      </c>
      <c r="CB115">
        <f>BO115*COS(($BH115+5*($BI115-$BH115)/12))</f>
        <v/>
      </c>
      <c r="CC115">
        <f>BP115*COS(($BH115+6*($BI115-$BH115)/12))</f>
        <v/>
      </c>
      <c r="CD115">
        <f>BQ115*COS(($BH115+7*($BI115-$BH115)/12))</f>
        <v/>
      </c>
      <c r="CE115">
        <f>BR115*COS(($BH115+8*($BI115-$BH115)/12))</f>
        <v/>
      </c>
      <c r="CF115">
        <f>BS115*COS(($BH115+9*($BI115-$BH115)/12))</f>
        <v/>
      </c>
      <c r="CG115">
        <f>BT115*COS(($BH115+10*($BI115-$BH115)/12))</f>
        <v/>
      </c>
      <c r="CH115">
        <f>BU115*COS(($BH115+11*($BI115-$BH115)/12))</f>
        <v/>
      </c>
      <c r="CI115">
        <f>BV115*COS(($BH115+12*($BI115-$BH115)/12))</f>
        <v/>
      </c>
    </row>
    <row r="116">
      <c r="B116" s="65" t="n">
        <v>27</v>
      </c>
      <c r="C116" s="66">
        <f>IF($G115&lt;cc_NEd-1E-9*ABS(cc_NEd),($C115+$D115)/2,$C115)</f>
        <v/>
      </c>
      <c r="D116" s="66">
        <f>IF($G115&lt;cc_NEd-1E-9*ABS(cc_NEd),$D115,($C115+$D115)/2)</f>
        <v/>
      </c>
      <c r="E116" s="67">
        <f>cc_D*(($C116+$D116)/2)/(1-(($C116+$D116)/2))</f>
        <v/>
      </c>
      <c r="F116" s="68">
        <f>IF($E116&lt;=cc_D,3.5,2*$E116/($E116-3*cc_D/7))</f>
        <v/>
      </c>
      <c r="G116" s="67">
        <f>(fcd_cc*((cc_D/2)^2*($BI116-COS($BI116)*SIN($BI116))-2*(cc_D/2)^2*($BI116-$BH116)/12/3*SUMPRODUCT($BJ$4:$BV$4,$BJ116:$BV116))+SUMPRODUCT($J$5:$AG$5,$J116:$AG116))/1000</f>
        <v/>
      </c>
      <c r="H116" s="67">
        <f>(fcd_cc*(2/3*(cc_D/2)^3*SIN($BI116)^3-2*(cc_D/2)^3*($BI116-$BH116)/12/3*SUMPRODUCT($BW$4:$CI$4,$BW116:$CI116))+SUMPRODUCT($J$5:$AG$5,$J116:$AG116,$J$7:$AG$7))/1E6</f>
        <v/>
      </c>
      <c r="I116" s="67">
        <f>SUMPRODUCT($J$5:$AG$5,$J116:$AG116,$J$8:$AG$8)/1E6</f>
        <v/>
      </c>
      <c r="J116">
        <f>MAX(-fyd_cc,MIN(fyd_cc,Es_cc*IF($E116&lt;=cc_D,0.0035*($E116-J$6)/$E116,0.002*($E116-J$6)/($E116-3*cc_D/7))))-fcd_cc*(1-(1-MAX(0,MIN(1,IF($E116&lt;=cc_D,0.0035*($E116-J$6)/$E116,0.002*($E116-J$6)/($E116-3*cc_D/7))/0.002)))^2)</f>
        <v/>
      </c>
      <c r="K116">
        <f>MAX(-fyd_cc,MIN(fyd_cc,Es_cc*IF($E116&lt;=cc_D,0.0035*($E116-K$6)/$E116,0.002*($E116-K$6)/($E116-3*cc_D/7))))-fcd_cc*(1-(1-MAX(0,MIN(1,IF($E116&lt;=cc_D,0.0035*($E116-K$6)/$E116,0.002*($E116-K$6)/($E116-3*cc_D/7))/0.002)))^2)</f>
        <v/>
      </c>
      <c r="L116">
        <f>MAX(-fyd_cc,MIN(fyd_cc,Es_cc*IF($E116&lt;=cc_D,0.0035*($E116-L$6)/$E116,0.002*($E116-L$6)/($E116-3*cc_D/7))))-fcd_cc*(1-(1-MAX(0,MIN(1,IF($E116&lt;=cc_D,0.0035*($E116-L$6)/$E116,0.002*($E116-L$6)/($E116-3*cc_D/7))/0.002)))^2)</f>
        <v/>
      </c>
      <c r="M116">
        <f>MAX(-fyd_cc,MIN(fyd_cc,Es_cc*IF($E116&lt;=cc_D,0.0035*($E116-M$6)/$E116,0.002*($E116-M$6)/($E116-3*cc_D/7))))-fcd_cc*(1-(1-MAX(0,MIN(1,IF($E116&lt;=cc_D,0.0035*($E116-M$6)/$E116,0.002*($E116-M$6)/($E116-3*cc_D/7))/0.002)))^2)</f>
        <v/>
      </c>
      <c r="N116">
        <f>MAX(-fyd_cc,MIN(fyd_cc,Es_cc*IF($E116&lt;=cc_D,0.0035*($E116-N$6)/$E116,0.002*($E116-N$6)/($E116-3*cc_D/7))))-fcd_cc*(1-(1-MAX(0,MIN(1,IF($E116&lt;=cc_D,0.0035*($E116-N$6)/$E116,0.002*($E116-N$6)/($E116-3*cc_D/7))/0.002)))^2)</f>
        <v/>
      </c>
      <c r="O116">
        <f>MAX(-fyd_cc,MIN(fyd_cc,Es_cc*IF($E116&lt;=cc_D,0.0035*($E116-O$6)/$E116,0.002*($E116-O$6)/($E116-3*cc_D/7))))-fcd_cc*(1-(1-MAX(0,MIN(1,IF($E116&lt;=cc_D,0.0035*($E116-O$6)/$E116,0.002*($E116-O$6)/($E116-3*cc_D/7))/0.002)))^2)</f>
        <v/>
      </c>
      <c r="P116">
        <f>MAX(-fyd_cc,MIN(fyd_cc,Es_cc*IF($E116&lt;=cc_D,0.0035*($E116-P$6)/$E116,0.002*($E116-P$6)/($E116-3*cc_D/7))))-fcd_cc*(1-(1-MAX(0,MIN(1,IF($E116&lt;=cc_D,0.0035*($E116-P$6)/$E116,0.002*($E116-P$6)/($E116-3*cc_D/7))/0.002)))^2)</f>
        <v/>
      </c>
      <c r="Q116">
        <f>MAX(-fyd_cc,MIN(fyd_cc,Es_cc*IF($E116&lt;=cc_D,0.0035*($E116-Q$6)/$E116,0.002*($E116-Q$6)/($E116-3*cc_D/7))))-fcd_cc*(1-(1-MAX(0,MIN(1,IF($E116&lt;=cc_D,0.0035*($E116-Q$6)/$E116,0.002*($E116-Q$6)/($E116-3*cc_D/7))/0.002)))^2)</f>
        <v/>
      </c>
      <c r="R116">
        <f>MAX(-fyd_cc,MIN(fyd_cc,Es_cc*IF($E116&lt;=cc_D,0.0035*($E116-R$6)/$E116,0.002*($E116-R$6)/($E116-3*cc_D/7))))-fcd_cc*(1-(1-MAX(0,MIN(1,IF($E116&lt;=cc_D,0.0035*($E116-R$6)/$E116,0.002*($E116-R$6)/($E116-3*cc_D/7))/0.002)))^2)</f>
        <v/>
      </c>
      <c r="S116">
        <f>MAX(-fyd_cc,MIN(fyd_cc,Es_cc*IF($E116&lt;=cc_D,0.0035*($E116-S$6)/$E116,0.002*($E116-S$6)/($E116-3*cc_D/7))))-fcd_cc*(1-(1-MAX(0,MIN(1,IF($E116&lt;=cc_D,0.0035*($E116-S$6)/$E116,0.002*($E116-S$6)/($E116-3*cc_D/7))/0.002)))^2)</f>
        <v/>
      </c>
      <c r="T116">
        <f>MAX(-fyd_cc,MIN(fyd_cc,Es_cc*IF($E116&lt;=cc_D,0.0035*($E116-T$6)/$E116,0.002*($E116-T$6)/($E116-3*cc_D/7))))-fcd_cc*(1-(1-MAX(0,MIN(1,IF($E116&lt;=cc_D,0.0035*($E116-T$6)/$E116,0.002*($E116-T$6)/($E116-3*cc_D/7))/0.002)))^2)</f>
        <v/>
      </c>
      <c r="U116">
        <f>MAX(-fyd_cc,MIN(fyd_cc,Es_cc*IF($E116&lt;=cc_D,0.0035*($E116-U$6)/$E116,0.002*($E116-U$6)/($E116-3*cc_D/7))))-fcd_cc*(1-(1-MAX(0,MIN(1,IF($E116&lt;=cc_D,0.0035*($E116-U$6)/$E116,0.002*($E116-U$6)/($E116-3*cc_D/7))/0.002)))^2)</f>
        <v/>
      </c>
      <c r="V116">
        <f>MAX(-fyd_cc,MIN(fyd_cc,Es_cc*IF($E116&lt;=cc_D,0.0035*($E116-V$6)/$E116,0.002*($E116-V$6)/($E116-3*cc_D/7))))-fcd_cc*(1-(1-MAX(0,MIN(1,IF($E116&lt;=cc_D,0.0035*($E116-V$6)/$E116,0.002*($E116-V$6)/($E116-3*cc_D/7))/0.002)))^2)</f>
        <v/>
      </c>
      <c r="W116">
        <f>MAX(-fyd_cc,MIN(fyd_cc,Es_cc*IF($E116&lt;=cc_D,0.0035*($E116-W$6)/$E116,0.002*($E116-W$6)/($E116-3*cc_D/7))))-fcd_cc*(1-(1-MAX(0,MIN(1,IF($E116&lt;=cc_D,0.0035*($E116-W$6)/$E116,0.002*($E116-W$6)/($E116-3*cc_D/7))/0.002)))^2)</f>
        <v/>
      </c>
      <c r="X116">
        <f>MAX(-fyd_cc,MIN(fyd_cc,Es_cc*IF($E116&lt;=cc_D,0.0035*($E116-X$6)/$E116,0.002*($E116-X$6)/($E116-3*cc_D/7))))-fcd_cc*(1-(1-MAX(0,MIN(1,IF($E116&lt;=cc_D,0.0035*($E116-X$6)/$E116,0.002*($E116-X$6)/($E116-3*cc_D/7))/0.002)))^2)</f>
        <v/>
      </c>
      <c r="Y116">
        <f>MAX(-fyd_cc,MIN(fyd_cc,Es_cc*IF($E116&lt;=cc_D,0.0035*($E116-Y$6)/$E116,0.002*($E116-Y$6)/($E116-3*cc_D/7))))-fcd_cc*(1-(1-MAX(0,MIN(1,IF($E116&lt;=cc_D,0.0035*($E116-Y$6)/$E116,0.002*($E116-Y$6)/($E116-3*cc_D/7))/0.002)))^2)</f>
        <v/>
      </c>
      <c r="Z116">
        <f>MAX(-fyd_cc,MIN(fyd_cc,Es_cc*IF($E116&lt;=cc_D,0.0035*($E116-Z$6)/$E116,0.002*($E116-Z$6)/($E116-3*cc_D/7))))-fcd_cc*(1-(1-MAX(0,MIN(1,IF($E116&lt;=cc_D,0.0035*($E116-Z$6)/$E116,0.002*($E116-Z$6)/($E116-3*cc_D/7))/0.002)))^2)</f>
        <v/>
      </c>
      <c r="AA116">
        <f>MAX(-fyd_cc,MIN(fyd_cc,Es_cc*IF($E116&lt;=cc_D,0.0035*($E116-AA$6)/$E116,0.002*($E116-AA$6)/($E116-3*cc_D/7))))-fcd_cc*(1-(1-MAX(0,MIN(1,IF($E116&lt;=cc_D,0.0035*($E116-AA$6)/$E116,0.002*($E116-AA$6)/($E116-3*cc_D/7))/0.002)))^2)</f>
        <v/>
      </c>
      <c r="AB116">
        <f>MAX(-fyd_cc,MIN(fyd_cc,Es_cc*IF($E116&lt;=cc_D,0.0035*($E116-AB$6)/$E116,0.002*($E116-AB$6)/($E116-3*cc_D/7))))-fcd_cc*(1-(1-MAX(0,MIN(1,IF($E116&lt;=cc_D,0.0035*($E116-AB$6)/$E116,0.002*($E116-AB$6)/($E116-3*cc_D/7))/0.002)))^2)</f>
        <v/>
      </c>
      <c r="AC116">
        <f>MAX(-fyd_cc,MIN(fyd_cc,Es_cc*IF($E116&lt;=cc_D,0.0035*($E116-AC$6)/$E116,0.002*($E116-AC$6)/($E116-3*cc_D/7))))-fcd_cc*(1-(1-MAX(0,MIN(1,IF($E116&lt;=cc_D,0.0035*($E116-AC$6)/$E116,0.002*($E116-AC$6)/($E116-3*cc_D/7))/0.002)))^2)</f>
        <v/>
      </c>
      <c r="AD116">
        <f>MAX(-fyd_cc,MIN(fyd_cc,Es_cc*IF($E116&lt;=cc_D,0.0035*($E116-AD$6)/$E116,0.002*($E116-AD$6)/($E116-3*cc_D/7))))-fcd_cc*(1-(1-MAX(0,MIN(1,IF($E116&lt;=cc_D,0.0035*($E116-AD$6)/$E116,0.002*($E116-AD$6)/($E116-3*cc_D/7))/0.002)))^2)</f>
        <v/>
      </c>
      <c r="AE116">
        <f>MAX(-fyd_cc,MIN(fyd_cc,Es_cc*IF($E116&lt;=cc_D,0.0035*($E116-AE$6)/$E116,0.002*($E116-AE$6)/($E116-3*cc_D/7))))-fcd_cc*(1-(1-MAX(0,MIN(1,IF($E116&lt;=cc_D,0.0035*($E116-AE$6)/$E116,0.002*($E116-AE$6)/($E116-3*cc_D/7))/0.002)))^2)</f>
        <v/>
      </c>
      <c r="AF116">
        <f>MAX(-fyd_cc,MIN(fyd_cc,Es_cc*IF($E116&lt;=cc_D,0.0035*($E116-AF$6)/$E116,0.002*($E116-AF$6)/($E116-3*cc_D/7))))-fcd_cc*(1-(1-MAX(0,MIN(1,IF($E116&lt;=cc_D,0.0035*($E116-AF$6)/$E116,0.002*($E116-AF$6)/($E116-3*cc_D/7))/0.002)))^2)</f>
        <v/>
      </c>
      <c r="AG116">
        <f>MAX(-fyd_cc,MIN(fyd_cc,Es_cc*IF($E116&lt;=cc_D,0.0035*($E116-AG$6)/$E116,0.002*($E116-AG$6)/($E116-3*cc_D/7))))-fcd_cc*(1-(1-MAX(0,MIN(1,IF($E116&lt;=cc_D,0.0035*($E116-AG$6)/$E116,0.002*($E116-AG$6)/($E116-3*cc_D/7))/0.002)))^2)</f>
        <v/>
      </c>
      <c r="BF116">
        <f>3*MIN($E116,cc_D)/7</f>
        <v/>
      </c>
      <c r="BG116">
        <f>$E116-$BF116</f>
        <v/>
      </c>
      <c r="BH116">
        <f>ACOS(MAX(-1,MIN(1,1-$BF116/(cc_D/2))))</f>
        <v/>
      </c>
      <c r="BI116">
        <f>ACOS(MAX(-1,MIN(1,1-MIN($E116,cc_D)/(cc_D/2))))</f>
        <v/>
      </c>
      <c r="BJ116">
        <f>((cc_D/2*(1-COS(($BH116+0*($BI116-$BH116)/12)))-$BF116)/$BG116)^2*SIN(($BH116+0*($BI116-$BH116)/12))^2</f>
        <v/>
      </c>
      <c r="BK116">
        <f>((cc_D/2*(1-COS(($BH116+1*($BI116-$BH116)/12)))-$BF116)/$BG116)^2*SIN(($BH116+1*($BI116-$BH116)/12))^2</f>
        <v/>
      </c>
      <c r="BL116">
        <f>((cc_D/2*(1-COS(($BH116+2*($BI116-$BH116)/12)))-$BF116)/$BG116)^2*SIN(($BH116+2*($BI116-$BH116)/12))^2</f>
        <v/>
      </c>
      <c r="BM116">
        <f>((cc_D/2*(1-COS(($BH116+3*($BI116-$BH116)/12)))-$BF116)/$BG116)^2*SIN(($BH116+3*($BI116-$BH116)/12))^2</f>
        <v/>
      </c>
      <c r="BN116">
        <f>((cc_D/2*(1-COS(($BH116+4*($BI116-$BH116)/12)))-$BF116)/$BG116)^2*SIN(($BH116+4*($BI116-$BH116)/12))^2</f>
        <v/>
      </c>
      <c r="BO116">
        <f>((cc_D/2*(1-COS(($BH116+5*($BI116-$BH116)/12)))-$BF116)/$BG116)^2*SIN(($BH116+5*($BI116-$BH116)/12))^2</f>
        <v/>
      </c>
      <c r="BP116">
        <f>((cc_D/2*(1-COS(($BH116+6*($BI116-$BH116)/12)))-$BF116)/$BG116)^2*SIN(($BH116+6*($BI116-$BH116)/12))^2</f>
        <v/>
      </c>
      <c r="BQ116">
        <f>((cc_D/2*(1-COS(($BH116+7*($BI116-$BH116)/12)))-$BF116)/$BG116)^2*SIN(($BH116+7*($BI116-$BH116)/12))^2</f>
        <v/>
      </c>
      <c r="BR116">
        <f>((cc_D/2*(1-COS(($BH116+8*($BI116-$BH116)/12)))-$BF116)/$BG116)^2*SIN(($BH116+8*($BI116-$BH116)/12))^2</f>
        <v/>
      </c>
      <c r="BS116">
        <f>((cc_D/2*(1-COS(($BH116+9*($BI116-$BH116)/12)))-$BF116)/$BG116)^2*SIN(($BH116+9*($BI116-$BH116)/12))^2</f>
        <v/>
      </c>
      <c r="BT116">
        <f>((cc_D/2*(1-COS(($BH116+10*($BI116-$BH116)/12)))-$BF116)/$BG116)^2*SIN(($BH116+10*($BI116-$BH116)/12))^2</f>
        <v/>
      </c>
      <c r="BU116">
        <f>((cc_D/2*(1-COS(($BH116+11*($BI116-$BH116)/12)))-$BF116)/$BG116)^2*SIN(($BH116+11*($BI116-$BH116)/12))^2</f>
        <v/>
      </c>
      <c r="BV116">
        <f>((cc_D/2*(1-COS(($BH116+12*($BI116-$BH116)/12)))-$BF116)/$BG116)^2*SIN(($BH116+12*($BI116-$BH116)/12))^2</f>
        <v/>
      </c>
      <c r="BW116">
        <f>BJ116*COS(($BH116+0*($BI116-$BH116)/12))</f>
        <v/>
      </c>
      <c r="BX116">
        <f>BK116*COS(($BH116+1*($BI116-$BH116)/12))</f>
        <v/>
      </c>
      <c r="BY116">
        <f>BL116*COS(($BH116+2*($BI116-$BH116)/12))</f>
        <v/>
      </c>
      <c r="BZ116">
        <f>BM116*COS(($BH116+3*($BI116-$BH116)/12))</f>
        <v/>
      </c>
      <c r="CA116">
        <f>BN116*COS(($BH116+4*($BI116-$BH116)/12))</f>
        <v/>
      </c>
      <c r="CB116">
        <f>BO116*COS(($BH116+5*($BI116-$BH116)/12))</f>
        <v/>
      </c>
      <c r="CC116">
        <f>BP116*COS(($BH116+6*($BI116-$BH116)/12))</f>
        <v/>
      </c>
      <c r="CD116">
        <f>BQ116*COS(($BH116+7*($BI116-$BH116)/12))</f>
        <v/>
      </c>
      <c r="CE116">
        <f>BR116*COS(($BH116+8*($BI116-$BH116)/12))</f>
        <v/>
      </c>
      <c r="CF116">
        <f>BS116*COS(($BH116+9*($BI116-$BH116)/12))</f>
        <v/>
      </c>
      <c r="CG116">
        <f>BT116*COS(($BH116+10*($BI116-$BH116)/12))</f>
        <v/>
      </c>
      <c r="CH116">
        <f>BU116*COS(($BH116+11*($BI116-$BH116)/12))</f>
        <v/>
      </c>
      <c r="CI116">
        <f>BV116*COS(($BH116+12*($BI116-$BH116)/12))</f>
        <v/>
      </c>
    </row>
    <row r="117">
      <c r="B117" s="65" t="n">
        <v>28</v>
      </c>
      <c r="C117" s="66">
        <f>IF($G116&lt;cc_NEd-1E-9*ABS(cc_NEd),($C116+$D116)/2,$C116)</f>
        <v/>
      </c>
      <c r="D117" s="66">
        <f>IF($G116&lt;cc_NEd-1E-9*ABS(cc_NEd),$D116,($C116+$D116)/2)</f>
        <v/>
      </c>
      <c r="E117" s="67">
        <f>cc_D*(($C117+$D117)/2)/(1-(($C117+$D117)/2))</f>
        <v/>
      </c>
      <c r="F117" s="68">
        <f>IF($E117&lt;=cc_D,3.5,2*$E117/($E117-3*cc_D/7))</f>
        <v/>
      </c>
      <c r="G117" s="67">
        <f>(fcd_cc*((cc_D/2)^2*($BI117-COS($BI117)*SIN($BI117))-2*(cc_D/2)^2*($BI117-$BH117)/12/3*SUMPRODUCT($BJ$4:$BV$4,$BJ117:$BV117))+SUMPRODUCT($J$5:$AG$5,$J117:$AG117))/1000</f>
        <v/>
      </c>
      <c r="H117" s="67">
        <f>(fcd_cc*(2/3*(cc_D/2)^3*SIN($BI117)^3-2*(cc_D/2)^3*($BI117-$BH117)/12/3*SUMPRODUCT($BW$4:$CI$4,$BW117:$CI117))+SUMPRODUCT($J$5:$AG$5,$J117:$AG117,$J$7:$AG$7))/1E6</f>
        <v/>
      </c>
      <c r="I117" s="67">
        <f>SUMPRODUCT($J$5:$AG$5,$J117:$AG117,$J$8:$AG$8)/1E6</f>
        <v/>
      </c>
      <c r="J117">
        <f>MAX(-fyd_cc,MIN(fyd_cc,Es_cc*IF($E117&lt;=cc_D,0.0035*($E117-J$6)/$E117,0.002*($E117-J$6)/($E117-3*cc_D/7))))-fcd_cc*(1-(1-MAX(0,MIN(1,IF($E117&lt;=cc_D,0.0035*($E117-J$6)/$E117,0.002*($E117-J$6)/($E117-3*cc_D/7))/0.002)))^2)</f>
        <v/>
      </c>
      <c r="K117">
        <f>MAX(-fyd_cc,MIN(fyd_cc,Es_cc*IF($E117&lt;=cc_D,0.0035*($E117-K$6)/$E117,0.002*($E117-K$6)/($E117-3*cc_D/7))))-fcd_cc*(1-(1-MAX(0,MIN(1,IF($E117&lt;=cc_D,0.0035*($E117-K$6)/$E117,0.002*($E117-K$6)/($E117-3*cc_D/7))/0.002)))^2)</f>
        <v/>
      </c>
      <c r="L117">
        <f>MAX(-fyd_cc,MIN(fyd_cc,Es_cc*IF($E117&lt;=cc_D,0.0035*($E117-L$6)/$E117,0.002*($E117-L$6)/($E117-3*cc_D/7))))-fcd_cc*(1-(1-MAX(0,MIN(1,IF($E117&lt;=cc_D,0.0035*($E117-L$6)/$E117,0.002*($E117-L$6)/($E117-3*cc_D/7))/0.002)))^2)</f>
        <v/>
      </c>
      <c r="M117">
        <f>MAX(-fyd_cc,MIN(fyd_cc,Es_cc*IF($E117&lt;=cc_D,0.0035*($E117-M$6)/$E117,0.002*($E117-M$6)/($E117-3*cc_D/7))))-fcd_cc*(1-(1-MAX(0,MIN(1,IF($E117&lt;=cc_D,0.0035*($E117-M$6)/$E117,0.002*($E117-M$6)/($E117-3*cc_D/7))/0.002)))^2)</f>
        <v/>
      </c>
      <c r="N117">
        <f>MAX(-fyd_cc,MIN(fyd_cc,Es_cc*IF($E117&lt;=cc_D,0.0035*($E117-N$6)/$E117,0.002*($E117-N$6)/($E117-3*cc_D/7))))-fcd_cc*(1-(1-MAX(0,MIN(1,IF($E117&lt;=cc_D,0.0035*($E117-N$6)/$E117,0.002*($E117-N$6)/($E117-3*cc_D/7))/0.002)))^2)</f>
        <v/>
      </c>
      <c r="O117">
        <f>MAX(-fyd_cc,MIN(fyd_cc,Es_cc*IF($E117&lt;=cc_D,0.0035*($E117-O$6)/$E117,0.002*($E117-O$6)/($E117-3*cc_D/7))))-fcd_cc*(1-(1-MAX(0,MIN(1,IF($E117&lt;=cc_D,0.0035*($E117-O$6)/$E117,0.002*($E117-O$6)/($E117-3*cc_D/7))/0.002)))^2)</f>
        <v/>
      </c>
      <c r="P117">
        <f>MAX(-fyd_cc,MIN(fyd_cc,Es_cc*IF($E117&lt;=cc_D,0.0035*($E117-P$6)/$E117,0.002*($E117-P$6)/($E117-3*cc_D/7))))-fcd_cc*(1-(1-MAX(0,MIN(1,IF($E117&lt;=cc_D,0.0035*($E117-P$6)/$E117,0.002*($E117-P$6)/($E117-3*cc_D/7))/0.002)))^2)</f>
        <v/>
      </c>
      <c r="Q117">
        <f>MAX(-fyd_cc,MIN(fyd_cc,Es_cc*IF($E117&lt;=cc_D,0.0035*($E117-Q$6)/$E117,0.002*($E117-Q$6)/($E117-3*cc_D/7))))-fcd_cc*(1-(1-MAX(0,MIN(1,IF($E117&lt;=cc_D,0.0035*($E117-Q$6)/$E117,0.002*($E117-Q$6)/($E117-3*cc_D/7))/0.002)))^2)</f>
        <v/>
      </c>
      <c r="R117">
        <f>MAX(-fyd_cc,MIN(fyd_cc,Es_cc*IF($E117&lt;=cc_D,0.0035*($E117-R$6)/$E117,0.002*($E117-R$6)/($E117-3*cc_D/7))))-fcd_cc*(1-(1-MAX(0,MIN(1,IF($E117&lt;=cc_D,0.0035*($E117-R$6)/$E117,0.002*($E117-R$6)/($E117-3*cc_D/7))/0.002)))^2)</f>
        <v/>
      </c>
      <c r="S117">
        <f>MAX(-fyd_cc,MIN(fyd_cc,Es_cc*IF($E117&lt;=cc_D,0.0035*($E117-S$6)/$E117,0.002*($E117-S$6)/($E117-3*cc_D/7))))-fcd_cc*(1-(1-MAX(0,MIN(1,IF($E117&lt;=cc_D,0.0035*($E117-S$6)/$E117,0.002*($E117-S$6)/($E117-3*cc_D/7))/0.002)))^2)</f>
        <v/>
      </c>
      <c r="T117">
        <f>MAX(-fyd_cc,MIN(fyd_cc,Es_cc*IF($E117&lt;=cc_D,0.0035*($E117-T$6)/$E117,0.002*($E117-T$6)/($E117-3*cc_D/7))))-fcd_cc*(1-(1-MAX(0,MIN(1,IF($E117&lt;=cc_D,0.0035*($E117-T$6)/$E117,0.002*($E117-T$6)/($E117-3*cc_D/7))/0.002)))^2)</f>
        <v/>
      </c>
      <c r="U117">
        <f>MAX(-fyd_cc,MIN(fyd_cc,Es_cc*IF($E117&lt;=cc_D,0.0035*($E117-U$6)/$E117,0.002*($E117-U$6)/($E117-3*cc_D/7))))-fcd_cc*(1-(1-MAX(0,MIN(1,IF($E117&lt;=cc_D,0.0035*($E117-U$6)/$E117,0.002*($E117-U$6)/($E117-3*cc_D/7))/0.002)))^2)</f>
        <v/>
      </c>
      <c r="V117">
        <f>MAX(-fyd_cc,MIN(fyd_cc,Es_cc*IF($E117&lt;=cc_D,0.0035*($E117-V$6)/$E117,0.002*($E117-V$6)/($E117-3*cc_D/7))))-fcd_cc*(1-(1-MAX(0,MIN(1,IF($E117&lt;=cc_D,0.0035*($E117-V$6)/$E117,0.002*($E117-V$6)/($E117-3*cc_D/7))/0.002)))^2)</f>
        <v/>
      </c>
      <c r="W117">
        <f>MAX(-fyd_cc,MIN(fyd_cc,Es_cc*IF($E117&lt;=cc_D,0.0035*($E117-W$6)/$E117,0.002*($E117-W$6)/($E117-3*cc_D/7))))-fcd_cc*(1-(1-MAX(0,MIN(1,IF($E117&lt;=cc_D,0.0035*($E117-W$6)/$E117,0.002*($E117-W$6)/($E117-3*cc_D/7))/0.002)))^2)</f>
        <v/>
      </c>
      <c r="X117">
        <f>MAX(-fyd_cc,MIN(fyd_cc,Es_cc*IF($E117&lt;=cc_D,0.0035*($E117-X$6)/$E117,0.002*($E117-X$6)/($E117-3*cc_D/7))))-fcd_cc*(1-(1-MAX(0,MIN(1,IF($E117&lt;=cc_D,0.0035*($E117-X$6)/$E117,0.002*($E117-X$6)/($E117-3*cc_D/7))/0.002)))^2)</f>
        <v/>
      </c>
      <c r="Y117">
        <f>MAX(-fyd_cc,MIN(fyd_cc,Es_cc*IF($E117&lt;=cc_D,0.0035*($E117-Y$6)/$E117,0.002*($E117-Y$6)/($E117-3*cc_D/7))))-fcd_cc*(1-(1-MAX(0,MIN(1,IF($E117&lt;=cc_D,0.0035*($E117-Y$6)/$E117,0.002*($E117-Y$6)/($E117-3*cc_D/7))/0.002)))^2)</f>
        <v/>
      </c>
      <c r="Z117">
        <f>MAX(-fyd_cc,MIN(fyd_cc,Es_cc*IF($E117&lt;=cc_D,0.0035*($E117-Z$6)/$E117,0.002*($E117-Z$6)/($E117-3*cc_D/7))))-fcd_cc*(1-(1-MAX(0,MIN(1,IF($E117&lt;=cc_D,0.0035*($E117-Z$6)/$E117,0.002*($E117-Z$6)/($E117-3*cc_D/7))/0.002)))^2)</f>
        <v/>
      </c>
      <c r="AA117">
        <f>MAX(-fyd_cc,MIN(fyd_cc,Es_cc*IF($E117&lt;=cc_D,0.0035*($E117-AA$6)/$E117,0.002*($E117-AA$6)/($E117-3*cc_D/7))))-fcd_cc*(1-(1-MAX(0,MIN(1,IF($E117&lt;=cc_D,0.0035*($E117-AA$6)/$E117,0.002*($E117-AA$6)/($E117-3*cc_D/7))/0.002)))^2)</f>
        <v/>
      </c>
      <c r="AB117">
        <f>MAX(-fyd_cc,MIN(fyd_cc,Es_cc*IF($E117&lt;=cc_D,0.0035*($E117-AB$6)/$E117,0.002*($E117-AB$6)/($E117-3*cc_D/7))))-fcd_cc*(1-(1-MAX(0,MIN(1,IF($E117&lt;=cc_D,0.0035*($E117-AB$6)/$E117,0.002*($E117-AB$6)/($E117-3*cc_D/7))/0.002)))^2)</f>
        <v/>
      </c>
      <c r="AC117">
        <f>MAX(-fyd_cc,MIN(fyd_cc,Es_cc*IF($E117&lt;=cc_D,0.0035*($E117-AC$6)/$E117,0.002*($E117-AC$6)/($E117-3*cc_D/7))))-fcd_cc*(1-(1-MAX(0,MIN(1,IF($E117&lt;=cc_D,0.0035*($E117-AC$6)/$E117,0.002*($E117-AC$6)/($E117-3*cc_D/7))/0.002)))^2)</f>
        <v/>
      </c>
      <c r="AD117">
        <f>MAX(-fyd_cc,MIN(fyd_cc,Es_cc*IF($E117&lt;=cc_D,0.0035*($E117-AD$6)/$E117,0.002*($E117-AD$6)/($E117-3*cc_D/7))))-fcd_cc*(1-(1-MAX(0,MIN(1,IF($E117&lt;=cc_D,0.0035*($E117-AD$6)/$E117,0.002*($E117-AD$6)/($E117-3*cc_D/7))/0.002)))^2)</f>
        <v/>
      </c>
      <c r="AE117">
        <f>MAX(-fyd_cc,MIN(fyd_cc,Es_cc*IF($E117&lt;=cc_D,0.0035*($E117-AE$6)/$E117,0.002*($E117-AE$6)/($E117-3*cc_D/7))))-fcd_cc*(1-(1-MAX(0,MIN(1,IF($E117&lt;=cc_D,0.0035*($E117-AE$6)/$E117,0.002*($E117-AE$6)/($E117-3*cc_D/7))/0.002)))^2)</f>
        <v/>
      </c>
      <c r="AF117">
        <f>MAX(-fyd_cc,MIN(fyd_cc,Es_cc*IF($E117&lt;=cc_D,0.0035*($E117-AF$6)/$E117,0.002*($E117-AF$6)/($E117-3*cc_D/7))))-fcd_cc*(1-(1-MAX(0,MIN(1,IF($E117&lt;=cc_D,0.0035*($E117-AF$6)/$E117,0.002*($E117-AF$6)/($E117-3*cc_D/7))/0.002)))^2)</f>
        <v/>
      </c>
      <c r="AG117">
        <f>MAX(-fyd_cc,MIN(fyd_cc,Es_cc*IF($E117&lt;=cc_D,0.0035*($E117-AG$6)/$E117,0.002*($E117-AG$6)/($E117-3*cc_D/7))))-fcd_cc*(1-(1-MAX(0,MIN(1,IF($E117&lt;=cc_D,0.0035*($E117-AG$6)/$E117,0.002*($E117-AG$6)/($E117-3*cc_D/7))/0.002)))^2)</f>
        <v/>
      </c>
      <c r="BF117">
        <f>3*MIN($E117,cc_D)/7</f>
        <v/>
      </c>
      <c r="BG117">
        <f>$E117-$BF117</f>
        <v/>
      </c>
      <c r="BH117">
        <f>ACOS(MAX(-1,MIN(1,1-$BF117/(cc_D/2))))</f>
        <v/>
      </c>
      <c r="BI117">
        <f>ACOS(MAX(-1,MIN(1,1-MIN($E117,cc_D)/(cc_D/2))))</f>
        <v/>
      </c>
      <c r="BJ117">
        <f>((cc_D/2*(1-COS(($BH117+0*($BI117-$BH117)/12)))-$BF117)/$BG117)^2*SIN(($BH117+0*($BI117-$BH117)/12))^2</f>
        <v/>
      </c>
      <c r="BK117">
        <f>((cc_D/2*(1-COS(($BH117+1*($BI117-$BH117)/12)))-$BF117)/$BG117)^2*SIN(($BH117+1*($BI117-$BH117)/12))^2</f>
        <v/>
      </c>
      <c r="BL117">
        <f>((cc_D/2*(1-COS(($BH117+2*($BI117-$BH117)/12)))-$BF117)/$BG117)^2*SIN(($BH117+2*($BI117-$BH117)/12))^2</f>
        <v/>
      </c>
      <c r="BM117">
        <f>((cc_D/2*(1-COS(($BH117+3*($BI117-$BH117)/12)))-$BF117)/$BG117)^2*SIN(($BH117+3*($BI117-$BH117)/12))^2</f>
        <v/>
      </c>
      <c r="BN117">
        <f>((cc_D/2*(1-COS(($BH117+4*($BI117-$BH117)/12)))-$BF117)/$BG117)^2*SIN(($BH117+4*($BI117-$BH117)/12))^2</f>
        <v/>
      </c>
      <c r="BO117">
        <f>((cc_D/2*(1-COS(($BH117+5*($BI117-$BH117)/12)))-$BF117)/$BG117)^2*SIN(($BH117+5*($BI117-$BH117)/12))^2</f>
        <v/>
      </c>
      <c r="BP117">
        <f>((cc_D/2*(1-COS(($BH117+6*($BI117-$BH117)/12)))-$BF117)/$BG117)^2*SIN(($BH117+6*($BI117-$BH117)/12))^2</f>
        <v/>
      </c>
      <c r="BQ117">
        <f>((cc_D/2*(1-COS(($BH117+7*($BI117-$BH117)/12)))-$BF117)/$BG117)^2*SIN(($BH117+7*($BI117-$BH117)/12))^2</f>
        <v/>
      </c>
      <c r="BR117">
        <f>((cc_D/2*(1-COS(($BH117+8*($BI117-$BH117)/12)))-$BF117)/$BG117)^2*SIN(($BH117+8*($BI117-$BH117)/12))^2</f>
        <v/>
      </c>
      <c r="BS117">
        <f>((cc_D/2*(1-COS(($BH117+9*($BI117-$BH117)/12)))-$BF117)/$BG117)^2*SIN(($BH117+9*($BI117-$BH117)/12))^2</f>
        <v/>
      </c>
      <c r="BT117">
        <f>((cc_D/2*(1-COS(($BH117+10*($BI117-$BH117)/12)))-$BF117)/$BG117)^2*SIN(($BH117+10*($BI117-$BH117)/12))^2</f>
        <v/>
      </c>
      <c r="BU117">
        <f>((cc_D/2*(1-COS(($BH117+11*($BI117-$BH117)/12)))-$BF117)/$BG117)^2*SIN(($BH117+11*($BI117-$BH117)/12))^2</f>
        <v/>
      </c>
      <c r="BV117">
        <f>((cc_D/2*(1-COS(($BH117+12*($BI117-$BH117)/12)))-$BF117)/$BG117)^2*SIN(($BH117+12*($BI117-$BH117)/12))^2</f>
        <v/>
      </c>
      <c r="BW117">
        <f>BJ117*COS(($BH117+0*($BI117-$BH117)/12))</f>
        <v/>
      </c>
      <c r="BX117">
        <f>BK117*COS(($BH117+1*($BI117-$BH117)/12))</f>
        <v/>
      </c>
      <c r="BY117">
        <f>BL117*COS(($BH117+2*($BI117-$BH117)/12))</f>
        <v/>
      </c>
      <c r="BZ117">
        <f>BM117*COS(($BH117+3*($BI117-$BH117)/12))</f>
        <v/>
      </c>
      <c r="CA117">
        <f>BN117*COS(($BH117+4*($BI117-$BH117)/12))</f>
        <v/>
      </c>
      <c r="CB117">
        <f>BO117*COS(($BH117+5*($BI117-$BH117)/12))</f>
        <v/>
      </c>
      <c r="CC117">
        <f>BP117*COS(($BH117+6*($BI117-$BH117)/12))</f>
        <v/>
      </c>
      <c r="CD117">
        <f>BQ117*COS(($BH117+7*($BI117-$BH117)/12))</f>
        <v/>
      </c>
      <c r="CE117">
        <f>BR117*COS(($BH117+8*($BI117-$BH117)/12))</f>
        <v/>
      </c>
      <c r="CF117">
        <f>BS117*COS(($BH117+9*($BI117-$BH117)/12))</f>
        <v/>
      </c>
      <c r="CG117">
        <f>BT117*COS(($BH117+10*($BI117-$BH117)/12))</f>
        <v/>
      </c>
      <c r="CH117">
        <f>BU117*COS(($BH117+11*($BI117-$BH117)/12))</f>
        <v/>
      </c>
      <c r="CI117">
        <f>BV117*COS(($BH117+12*($BI117-$BH117)/12))</f>
        <v/>
      </c>
    </row>
    <row r="118">
      <c r="B118" s="65" t="n">
        <v>29</v>
      </c>
      <c r="C118" s="66">
        <f>IF($G117&lt;cc_NEd-1E-9*ABS(cc_NEd),($C117+$D117)/2,$C117)</f>
        <v/>
      </c>
      <c r="D118" s="66">
        <f>IF($G117&lt;cc_NEd-1E-9*ABS(cc_NEd),$D117,($C117+$D117)/2)</f>
        <v/>
      </c>
      <c r="E118" s="67">
        <f>cc_D*(($C118+$D118)/2)/(1-(($C118+$D118)/2))</f>
        <v/>
      </c>
      <c r="F118" s="68">
        <f>IF($E118&lt;=cc_D,3.5,2*$E118/($E118-3*cc_D/7))</f>
        <v/>
      </c>
      <c r="G118" s="67">
        <f>(fcd_cc*((cc_D/2)^2*($BI118-COS($BI118)*SIN($BI118))-2*(cc_D/2)^2*($BI118-$BH118)/12/3*SUMPRODUCT($BJ$4:$BV$4,$BJ118:$BV118))+SUMPRODUCT($J$5:$AG$5,$J118:$AG118))/1000</f>
        <v/>
      </c>
      <c r="H118" s="67">
        <f>(fcd_cc*(2/3*(cc_D/2)^3*SIN($BI118)^3-2*(cc_D/2)^3*($BI118-$BH118)/12/3*SUMPRODUCT($BW$4:$CI$4,$BW118:$CI118))+SUMPRODUCT($J$5:$AG$5,$J118:$AG118,$J$7:$AG$7))/1E6</f>
        <v/>
      </c>
      <c r="I118" s="67">
        <f>SUMPRODUCT($J$5:$AG$5,$J118:$AG118,$J$8:$AG$8)/1E6</f>
        <v/>
      </c>
      <c r="J118">
        <f>MAX(-fyd_cc,MIN(fyd_cc,Es_cc*IF($E118&lt;=cc_D,0.0035*($E118-J$6)/$E118,0.002*($E118-J$6)/($E118-3*cc_D/7))))-fcd_cc*(1-(1-MAX(0,MIN(1,IF($E118&lt;=cc_D,0.0035*($E118-J$6)/$E118,0.002*($E118-J$6)/($E118-3*cc_D/7))/0.002)))^2)</f>
        <v/>
      </c>
      <c r="K118">
        <f>MAX(-fyd_cc,MIN(fyd_cc,Es_cc*IF($E118&lt;=cc_D,0.0035*($E118-K$6)/$E118,0.002*($E118-K$6)/($E118-3*cc_D/7))))-fcd_cc*(1-(1-MAX(0,MIN(1,IF($E118&lt;=cc_D,0.0035*($E118-K$6)/$E118,0.002*($E118-K$6)/($E118-3*cc_D/7))/0.002)))^2)</f>
        <v/>
      </c>
      <c r="L118">
        <f>MAX(-fyd_cc,MIN(fyd_cc,Es_cc*IF($E118&lt;=cc_D,0.0035*($E118-L$6)/$E118,0.002*($E118-L$6)/($E118-3*cc_D/7))))-fcd_cc*(1-(1-MAX(0,MIN(1,IF($E118&lt;=cc_D,0.0035*($E118-L$6)/$E118,0.002*($E118-L$6)/($E118-3*cc_D/7))/0.002)))^2)</f>
        <v/>
      </c>
      <c r="M118">
        <f>MAX(-fyd_cc,MIN(fyd_cc,Es_cc*IF($E118&lt;=cc_D,0.0035*($E118-M$6)/$E118,0.002*($E118-M$6)/($E118-3*cc_D/7))))-fcd_cc*(1-(1-MAX(0,MIN(1,IF($E118&lt;=cc_D,0.0035*($E118-M$6)/$E118,0.002*($E118-M$6)/($E118-3*cc_D/7))/0.002)))^2)</f>
        <v/>
      </c>
      <c r="N118">
        <f>MAX(-fyd_cc,MIN(fyd_cc,Es_cc*IF($E118&lt;=cc_D,0.0035*($E118-N$6)/$E118,0.002*($E118-N$6)/($E118-3*cc_D/7))))-fcd_cc*(1-(1-MAX(0,MIN(1,IF($E118&lt;=cc_D,0.0035*($E118-N$6)/$E118,0.002*($E118-N$6)/($E118-3*cc_D/7))/0.002)))^2)</f>
        <v/>
      </c>
      <c r="O118">
        <f>MAX(-fyd_cc,MIN(fyd_cc,Es_cc*IF($E118&lt;=cc_D,0.0035*($E118-O$6)/$E118,0.002*($E118-O$6)/($E118-3*cc_D/7))))-fcd_cc*(1-(1-MAX(0,MIN(1,IF($E118&lt;=cc_D,0.0035*($E118-O$6)/$E118,0.002*($E118-O$6)/($E118-3*cc_D/7))/0.002)))^2)</f>
        <v/>
      </c>
      <c r="P118">
        <f>MAX(-fyd_cc,MIN(fyd_cc,Es_cc*IF($E118&lt;=cc_D,0.0035*($E118-P$6)/$E118,0.002*($E118-P$6)/($E118-3*cc_D/7))))-fcd_cc*(1-(1-MAX(0,MIN(1,IF($E118&lt;=cc_D,0.0035*($E118-P$6)/$E118,0.002*($E118-P$6)/($E118-3*cc_D/7))/0.002)))^2)</f>
        <v/>
      </c>
      <c r="Q118">
        <f>MAX(-fyd_cc,MIN(fyd_cc,Es_cc*IF($E118&lt;=cc_D,0.0035*($E118-Q$6)/$E118,0.002*($E118-Q$6)/($E118-3*cc_D/7))))-fcd_cc*(1-(1-MAX(0,MIN(1,IF($E118&lt;=cc_D,0.0035*($E118-Q$6)/$E118,0.002*($E118-Q$6)/($E118-3*cc_D/7))/0.002)))^2)</f>
        <v/>
      </c>
      <c r="R118">
        <f>MAX(-fyd_cc,MIN(fyd_cc,Es_cc*IF($E118&lt;=cc_D,0.0035*($E118-R$6)/$E118,0.002*($E118-R$6)/($E118-3*cc_D/7))))-fcd_cc*(1-(1-MAX(0,MIN(1,IF($E118&lt;=cc_D,0.0035*($E118-R$6)/$E118,0.002*($E118-R$6)/($E118-3*cc_D/7))/0.002)))^2)</f>
        <v/>
      </c>
      <c r="S118">
        <f>MAX(-fyd_cc,MIN(fyd_cc,Es_cc*IF($E118&lt;=cc_D,0.0035*($E118-S$6)/$E118,0.002*($E118-S$6)/($E118-3*cc_D/7))))-fcd_cc*(1-(1-MAX(0,MIN(1,IF($E118&lt;=cc_D,0.0035*($E118-S$6)/$E118,0.002*($E118-S$6)/($E118-3*cc_D/7))/0.002)))^2)</f>
        <v/>
      </c>
      <c r="T118">
        <f>MAX(-fyd_cc,MIN(fyd_cc,Es_cc*IF($E118&lt;=cc_D,0.0035*($E118-T$6)/$E118,0.002*($E118-T$6)/($E118-3*cc_D/7))))-fcd_cc*(1-(1-MAX(0,MIN(1,IF($E118&lt;=cc_D,0.0035*($E118-T$6)/$E118,0.002*($E118-T$6)/($E118-3*cc_D/7))/0.002)))^2)</f>
        <v/>
      </c>
      <c r="U118">
        <f>MAX(-fyd_cc,MIN(fyd_cc,Es_cc*IF($E118&lt;=cc_D,0.0035*($E118-U$6)/$E118,0.002*($E118-U$6)/($E118-3*cc_D/7))))-fcd_cc*(1-(1-MAX(0,MIN(1,IF($E118&lt;=cc_D,0.0035*($E118-U$6)/$E118,0.002*($E118-U$6)/($E118-3*cc_D/7))/0.002)))^2)</f>
        <v/>
      </c>
      <c r="V118">
        <f>MAX(-fyd_cc,MIN(fyd_cc,Es_cc*IF($E118&lt;=cc_D,0.0035*($E118-V$6)/$E118,0.002*($E118-V$6)/($E118-3*cc_D/7))))-fcd_cc*(1-(1-MAX(0,MIN(1,IF($E118&lt;=cc_D,0.0035*($E118-V$6)/$E118,0.002*($E118-V$6)/($E118-3*cc_D/7))/0.002)))^2)</f>
        <v/>
      </c>
      <c r="W118">
        <f>MAX(-fyd_cc,MIN(fyd_cc,Es_cc*IF($E118&lt;=cc_D,0.0035*($E118-W$6)/$E118,0.002*($E118-W$6)/($E118-3*cc_D/7))))-fcd_cc*(1-(1-MAX(0,MIN(1,IF($E118&lt;=cc_D,0.0035*($E118-W$6)/$E118,0.002*($E118-W$6)/($E118-3*cc_D/7))/0.002)))^2)</f>
        <v/>
      </c>
      <c r="X118">
        <f>MAX(-fyd_cc,MIN(fyd_cc,Es_cc*IF($E118&lt;=cc_D,0.0035*($E118-X$6)/$E118,0.002*($E118-X$6)/($E118-3*cc_D/7))))-fcd_cc*(1-(1-MAX(0,MIN(1,IF($E118&lt;=cc_D,0.0035*($E118-X$6)/$E118,0.002*($E118-X$6)/($E118-3*cc_D/7))/0.002)))^2)</f>
        <v/>
      </c>
      <c r="Y118">
        <f>MAX(-fyd_cc,MIN(fyd_cc,Es_cc*IF($E118&lt;=cc_D,0.0035*($E118-Y$6)/$E118,0.002*($E118-Y$6)/($E118-3*cc_D/7))))-fcd_cc*(1-(1-MAX(0,MIN(1,IF($E118&lt;=cc_D,0.0035*($E118-Y$6)/$E118,0.002*($E118-Y$6)/($E118-3*cc_D/7))/0.002)))^2)</f>
        <v/>
      </c>
      <c r="Z118">
        <f>MAX(-fyd_cc,MIN(fyd_cc,Es_cc*IF($E118&lt;=cc_D,0.0035*($E118-Z$6)/$E118,0.002*($E118-Z$6)/($E118-3*cc_D/7))))-fcd_cc*(1-(1-MAX(0,MIN(1,IF($E118&lt;=cc_D,0.0035*($E118-Z$6)/$E118,0.002*($E118-Z$6)/($E118-3*cc_D/7))/0.002)))^2)</f>
        <v/>
      </c>
      <c r="AA118">
        <f>MAX(-fyd_cc,MIN(fyd_cc,Es_cc*IF($E118&lt;=cc_D,0.0035*($E118-AA$6)/$E118,0.002*($E118-AA$6)/($E118-3*cc_D/7))))-fcd_cc*(1-(1-MAX(0,MIN(1,IF($E118&lt;=cc_D,0.0035*($E118-AA$6)/$E118,0.002*($E118-AA$6)/($E118-3*cc_D/7))/0.002)))^2)</f>
        <v/>
      </c>
      <c r="AB118">
        <f>MAX(-fyd_cc,MIN(fyd_cc,Es_cc*IF($E118&lt;=cc_D,0.0035*($E118-AB$6)/$E118,0.002*($E118-AB$6)/($E118-3*cc_D/7))))-fcd_cc*(1-(1-MAX(0,MIN(1,IF($E118&lt;=cc_D,0.0035*($E118-AB$6)/$E118,0.002*($E118-AB$6)/($E118-3*cc_D/7))/0.002)))^2)</f>
        <v/>
      </c>
      <c r="AC118">
        <f>MAX(-fyd_cc,MIN(fyd_cc,Es_cc*IF($E118&lt;=cc_D,0.0035*($E118-AC$6)/$E118,0.002*($E118-AC$6)/($E118-3*cc_D/7))))-fcd_cc*(1-(1-MAX(0,MIN(1,IF($E118&lt;=cc_D,0.0035*($E118-AC$6)/$E118,0.002*($E118-AC$6)/($E118-3*cc_D/7))/0.002)))^2)</f>
        <v/>
      </c>
      <c r="AD118">
        <f>MAX(-fyd_cc,MIN(fyd_cc,Es_cc*IF($E118&lt;=cc_D,0.0035*($E118-AD$6)/$E118,0.002*($E118-AD$6)/($E118-3*cc_D/7))))-fcd_cc*(1-(1-MAX(0,MIN(1,IF($E118&lt;=cc_D,0.0035*($E118-AD$6)/$E118,0.002*($E118-AD$6)/($E118-3*cc_D/7))/0.002)))^2)</f>
        <v/>
      </c>
      <c r="AE118">
        <f>MAX(-fyd_cc,MIN(fyd_cc,Es_cc*IF($E118&lt;=cc_D,0.0035*($E118-AE$6)/$E118,0.002*($E118-AE$6)/($E118-3*cc_D/7))))-fcd_cc*(1-(1-MAX(0,MIN(1,IF($E118&lt;=cc_D,0.0035*($E118-AE$6)/$E118,0.002*($E118-AE$6)/($E118-3*cc_D/7))/0.002)))^2)</f>
        <v/>
      </c>
      <c r="AF118">
        <f>MAX(-fyd_cc,MIN(fyd_cc,Es_cc*IF($E118&lt;=cc_D,0.0035*($E118-AF$6)/$E118,0.002*($E118-AF$6)/($E118-3*cc_D/7))))-fcd_cc*(1-(1-MAX(0,MIN(1,IF($E118&lt;=cc_D,0.0035*($E118-AF$6)/$E118,0.002*($E118-AF$6)/($E118-3*cc_D/7))/0.002)))^2)</f>
        <v/>
      </c>
      <c r="AG118">
        <f>MAX(-fyd_cc,MIN(fyd_cc,Es_cc*IF($E118&lt;=cc_D,0.0035*($E118-AG$6)/$E118,0.002*($E118-AG$6)/($E118-3*cc_D/7))))-fcd_cc*(1-(1-MAX(0,MIN(1,IF($E118&lt;=cc_D,0.0035*($E118-AG$6)/$E118,0.002*($E118-AG$6)/($E118-3*cc_D/7))/0.002)))^2)</f>
        <v/>
      </c>
      <c r="BF118">
        <f>3*MIN($E118,cc_D)/7</f>
        <v/>
      </c>
      <c r="BG118">
        <f>$E118-$BF118</f>
        <v/>
      </c>
      <c r="BH118">
        <f>ACOS(MAX(-1,MIN(1,1-$BF118/(cc_D/2))))</f>
        <v/>
      </c>
      <c r="BI118">
        <f>ACOS(MAX(-1,MIN(1,1-MIN($E118,cc_D)/(cc_D/2))))</f>
        <v/>
      </c>
      <c r="BJ118">
        <f>((cc_D/2*(1-COS(($BH118+0*($BI118-$BH118)/12)))-$BF118)/$BG118)^2*SIN(($BH118+0*($BI118-$BH118)/12))^2</f>
        <v/>
      </c>
      <c r="BK118">
        <f>((cc_D/2*(1-COS(($BH118+1*($BI118-$BH118)/12)))-$BF118)/$BG118)^2*SIN(($BH118+1*($BI118-$BH118)/12))^2</f>
        <v/>
      </c>
      <c r="BL118">
        <f>((cc_D/2*(1-COS(($BH118+2*($BI118-$BH118)/12)))-$BF118)/$BG118)^2*SIN(($BH118+2*($BI118-$BH118)/12))^2</f>
        <v/>
      </c>
      <c r="BM118">
        <f>((cc_D/2*(1-COS(($BH118+3*($BI118-$BH118)/12)))-$BF118)/$BG118)^2*SIN(($BH118+3*($BI118-$BH118)/12))^2</f>
        <v/>
      </c>
      <c r="BN118">
        <f>((cc_D/2*(1-COS(($BH118+4*($BI118-$BH118)/12)))-$BF118)/$BG118)^2*SIN(($BH118+4*($BI118-$BH118)/12))^2</f>
        <v/>
      </c>
      <c r="BO118">
        <f>((cc_D/2*(1-COS(($BH118+5*($BI118-$BH118)/12)))-$BF118)/$BG118)^2*SIN(($BH118+5*($BI118-$BH118)/12))^2</f>
        <v/>
      </c>
      <c r="BP118">
        <f>((cc_D/2*(1-COS(($BH118+6*($BI118-$BH118)/12)))-$BF118)/$BG118)^2*SIN(($BH118+6*($BI118-$BH118)/12))^2</f>
        <v/>
      </c>
      <c r="BQ118">
        <f>((cc_D/2*(1-COS(($BH118+7*($BI118-$BH118)/12)))-$BF118)/$BG118)^2*SIN(($BH118+7*($BI118-$BH118)/12))^2</f>
        <v/>
      </c>
      <c r="BR118">
        <f>((cc_D/2*(1-COS(($BH118+8*($BI118-$BH118)/12)))-$BF118)/$BG118)^2*SIN(($BH118+8*($BI118-$BH118)/12))^2</f>
        <v/>
      </c>
      <c r="BS118">
        <f>((cc_D/2*(1-COS(($BH118+9*($BI118-$BH118)/12)))-$BF118)/$BG118)^2*SIN(($BH118+9*($BI118-$BH118)/12))^2</f>
        <v/>
      </c>
      <c r="BT118">
        <f>((cc_D/2*(1-COS(($BH118+10*($BI118-$BH118)/12)))-$BF118)/$BG118)^2*SIN(($BH118+10*($BI118-$BH118)/12))^2</f>
        <v/>
      </c>
      <c r="BU118">
        <f>((cc_D/2*(1-COS(($BH118+11*($BI118-$BH118)/12)))-$BF118)/$BG118)^2*SIN(($BH118+11*($BI118-$BH118)/12))^2</f>
        <v/>
      </c>
      <c r="BV118">
        <f>((cc_D/2*(1-COS(($BH118+12*($BI118-$BH118)/12)))-$BF118)/$BG118)^2*SIN(($BH118+12*($BI118-$BH118)/12))^2</f>
        <v/>
      </c>
      <c r="BW118">
        <f>BJ118*COS(($BH118+0*($BI118-$BH118)/12))</f>
        <v/>
      </c>
      <c r="BX118">
        <f>BK118*COS(($BH118+1*($BI118-$BH118)/12))</f>
        <v/>
      </c>
      <c r="BY118">
        <f>BL118*COS(($BH118+2*($BI118-$BH118)/12))</f>
        <v/>
      </c>
      <c r="BZ118">
        <f>BM118*COS(($BH118+3*($BI118-$BH118)/12))</f>
        <v/>
      </c>
      <c r="CA118">
        <f>BN118*COS(($BH118+4*($BI118-$BH118)/12))</f>
        <v/>
      </c>
      <c r="CB118">
        <f>BO118*COS(($BH118+5*($BI118-$BH118)/12))</f>
        <v/>
      </c>
      <c r="CC118">
        <f>BP118*COS(($BH118+6*($BI118-$BH118)/12))</f>
        <v/>
      </c>
      <c r="CD118">
        <f>BQ118*COS(($BH118+7*($BI118-$BH118)/12))</f>
        <v/>
      </c>
      <c r="CE118">
        <f>BR118*COS(($BH118+8*($BI118-$BH118)/12))</f>
        <v/>
      </c>
      <c r="CF118">
        <f>BS118*COS(($BH118+9*($BI118-$BH118)/12))</f>
        <v/>
      </c>
      <c r="CG118">
        <f>BT118*COS(($BH118+10*($BI118-$BH118)/12))</f>
        <v/>
      </c>
      <c r="CH118">
        <f>BU118*COS(($BH118+11*($BI118-$BH118)/12))</f>
        <v/>
      </c>
      <c r="CI118">
        <f>BV118*COS(($BH118+12*($BI118-$BH118)/12))</f>
        <v/>
      </c>
    </row>
    <row r="119">
      <c r="B119" s="65" t="n">
        <v>30</v>
      </c>
      <c r="C119" s="66">
        <f>IF($G118&lt;cc_NEd-1E-9*ABS(cc_NEd),($C118+$D118)/2,$C118)</f>
        <v/>
      </c>
      <c r="D119" s="66">
        <f>IF($G118&lt;cc_NEd-1E-9*ABS(cc_NEd),$D118,($C118+$D118)/2)</f>
        <v/>
      </c>
      <c r="E119" s="67">
        <f>cc_D*(($C119+$D119)/2)/(1-(($C119+$D119)/2))</f>
        <v/>
      </c>
      <c r="F119" s="68">
        <f>IF($E119&lt;=cc_D,3.5,2*$E119/($E119-3*cc_D/7))</f>
        <v/>
      </c>
      <c r="G119" s="67">
        <f>(fcd_cc*((cc_D/2)^2*($BI119-COS($BI119)*SIN($BI119))-2*(cc_D/2)^2*($BI119-$BH119)/12/3*SUMPRODUCT($BJ$4:$BV$4,$BJ119:$BV119))+SUMPRODUCT($J$5:$AG$5,$J119:$AG119))/1000</f>
        <v/>
      </c>
      <c r="H119" s="67">
        <f>(fcd_cc*(2/3*(cc_D/2)^3*SIN($BI119)^3-2*(cc_D/2)^3*($BI119-$BH119)/12/3*SUMPRODUCT($BW$4:$CI$4,$BW119:$CI119))+SUMPRODUCT($J$5:$AG$5,$J119:$AG119,$J$7:$AG$7))/1E6</f>
        <v/>
      </c>
      <c r="I119" s="67">
        <f>SUMPRODUCT($J$5:$AG$5,$J119:$AG119,$J$8:$AG$8)/1E6</f>
        <v/>
      </c>
      <c r="J119">
        <f>MAX(-fyd_cc,MIN(fyd_cc,Es_cc*IF($E119&lt;=cc_D,0.0035*($E119-J$6)/$E119,0.002*($E119-J$6)/($E119-3*cc_D/7))))-fcd_cc*(1-(1-MAX(0,MIN(1,IF($E119&lt;=cc_D,0.0035*($E119-J$6)/$E119,0.002*($E119-J$6)/($E119-3*cc_D/7))/0.002)))^2)</f>
        <v/>
      </c>
      <c r="K119">
        <f>MAX(-fyd_cc,MIN(fyd_cc,Es_cc*IF($E119&lt;=cc_D,0.0035*($E119-K$6)/$E119,0.002*($E119-K$6)/($E119-3*cc_D/7))))-fcd_cc*(1-(1-MAX(0,MIN(1,IF($E119&lt;=cc_D,0.0035*($E119-K$6)/$E119,0.002*($E119-K$6)/($E119-3*cc_D/7))/0.002)))^2)</f>
        <v/>
      </c>
      <c r="L119">
        <f>MAX(-fyd_cc,MIN(fyd_cc,Es_cc*IF($E119&lt;=cc_D,0.0035*($E119-L$6)/$E119,0.002*($E119-L$6)/($E119-3*cc_D/7))))-fcd_cc*(1-(1-MAX(0,MIN(1,IF($E119&lt;=cc_D,0.0035*($E119-L$6)/$E119,0.002*($E119-L$6)/($E119-3*cc_D/7))/0.002)))^2)</f>
        <v/>
      </c>
      <c r="M119">
        <f>MAX(-fyd_cc,MIN(fyd_cc,Es_cc*IF($E119&lt;=cc_D,0.0035*($E119-M$6)/$E119,0.002*($E119-M$6)/($E119-3*cc_D/7))))-fcd_cc*(1-(1-MAX(0,MIN(1,IF($E119&lt;=cc_D,0.0035*($E119-M$6)/$E119,0.002*($E119-M$6)/($E119-3*cc_D/7))/0.002)))^2)</f>
        <v/>
      </c>
      <c r="N119">
        <f>MAX(-fyd_cc,MIN(fyd_cc,Es_cc*IF($E119&lt;=cc_D,0.0035*($E119-N$6)/$E119,0.002*($E119-N$6)/($E119-3*cc_D/7))))-fcd_cc*(1-(1-MAX(0,MIN(1,IF($E119&lt;=cc_D,0.0035*($E119-N$6)/$E119,0.002*($E119-N$6)/($E119-3*cc_D/7))/0.002)))^2)</f>
        <v/>
      </c>
      <c r="O119">
        <f>MAX(-fyd_cc,MIN(fyd_cc,Es_cc*IF($E119&lt;=cc_D,0.0035*($E119-O$6)/$E119,0.002*($E119-O$6)/($E119-3*cc_D/7))))-fcd_cc*(1-(1-MAX(0,MIN(1,IF($E119&lt;=cc_D,0.0035*($E119-O$6)/$E119,0.002*($E119-O$6)/($E119-3*cc_D/7))/0.002)))^2)</f>
        <v/>
      </c>
      <c r="P119">
        <f>MAX(-fyd_cc,MIN(fyd_cc,Es_cc*IF($E119&lt;=cc_D,0.0035*($E119-P$6)/$E119,0.002*($E119-P$6)/($E119-3*cc_D/7))))-fcd_cc*(1-(1-MAX(0,MIN(1,IF($E119&lt;=cc_D,0.0035*($E119-P$6)/$E119,0.002*($E119-P$6)/($E119-3*cc_D/7))/0.002)))^2)</f>
        <v/>
      </c>
      <c r="Q119">
        <f>MAX(-fyd_cc,MIN(fyd_cc,Es_cc*IF($E119&lt;=cc_D,0.0035*($E119-Q$6)/$E119,0.002*($E119-Q$6)/($E119-3*cc_D/7))))-fcd_cc*(1-(1-MAX(0,MIN(1,IF($E119&lt;=cc_D,0.0035*($E119-Q$6)/$E119,0.002*($E119-Q$6)/($E119-3*cc_D/7))/0.002)))^2)</f>
        <v/>
      </c>
      <c r="R119">
        <f>MAX(-fyd_cc,MIN(fyd_cc,Es_cc*IF($E119&lt;=cc_D,0.0035*($E119-R$6)/$E119,0.002*($E119-R$6)/($E119-3*cc_D/7))))-fcd_cc*(1-(1-MAX(0,MIN(1,IF($E119&lt;=cc_D,0.0035*($E119-R$6)/$E119,0.002*($E119-R$6)/($E119-3*cc_D/7))/0.002)))^2)</f>
        <v/>
      </c>
      <c r="S119">
        <f>MAX(-fyd_cc,MIN(fyd_cc,Es_cc*IF($E119&lt;=cc_D,0.0035*($E119-S$6)/$E119,0.002*($E119-S$6)/($E119-3*cc_D/7))))-fcd_cc*(1-(1-MAX(0,MIN(1,IF($E119&lt;=cc_D,0.0035*($E119-S$6)/$E119,0.002*($E119-S$6)/($E119-3*cc_D/7))/0.002)))^2)</f>
        <v/>
      </c>
      <c r="T119">
        <f>MAX(-fyd_cc,MIN(fyd_cc,Es_cc*IF($E119&lt;=cc_D,0.0035*($E119-T$6)/$E119,0.002*($E119-T$6)/($E119-3*cc_D/7))))-fcd_cc*(1-(1-MAX(0,MIN(1,IF($E119&lt;=cc_D,0.0035*($E119-T$6)/$E119,0.002*($E119-T$6)/($E119-3*cc_D/7))/0.002)))^2)</f>
        <v/>
      </c>
      <c r="U119">
        <f>MAX(-fyd_cc,MIN(fyd_cc,Es_cc*IF($E119&lt;=cc_D,0.0035*($E119-U$6)/$E119,0.002*($E119-U$6)/($E119-3*cc_D/7))))-fcd_cc*(1-(1-MAX(0,MIN(1,IF($E119&lt;=cc_D,0.0035*($E119-U$6)/$E119,0.002*($E119-U$6)/($E119-3*cc_D/7))/0.002)))^2)</f>
        <v/>
      </c>
      <c r="V119">
        <f>MAX(-fyd_cc,MIN(fyd_cc,Es_cc*IF($E119&lt;=cc_D,0.0035*($E119-V$6)/$E119,0.002*($E119-V$6)/($E119-3*cc_D/7))))-fcd_cc*(1-(1-MAX(0,MIN(1,IF($E119&lt;=cc_D,0.0035*($E119-V$6)/$E119,0.002*($E119-V$6)/($E119-3*cc_D/7))/0.002)))^2)</f>
        <v/>
      </c>
      <c r="W119">
        <f>MAX(-fyd_cc,MIN(fyd_cc,Es_cc*IF($E119&lt;=cc_D,0.0035*($E119-W$6)/$E119,0.002*($E119-W$6)/($E119-3*cc_D/7))))-fcd_cc*(1-(1-MAX(0,MIN(1,IF($E119&lt;=cc_D,0.0035*($E119-W$6)/$E119,0.002*($E119-W$6)/($E119-3*cc_D/7))/0.002)))^2)</f>
        <v/>
      </c>
      <c r="X119">
        <f>MAX(-fyd_cc,MIN(fyd_cc,Es_cc*IF($E119&lt;=cc_D,0.0035*($E119-X$6)/$E119,0.002*($E119-X$6)/($E119-3*cc_D/7))))-fcd_cc*(1-(1-MAX(0,MIN(1,IF($E119&lt;=cc_D,0.0035*($E119-X$6)/$E119,0.002*($E119-X$6)/($E119-3*cc_D/7))/0.002)))^2)</f>
        <v/>
      </c>
      <c r="Y119">
        <f>MAX(-fyd_cc,MIN(fyd_cc,Es_cc*IF($E119&lt;=cc_D,0.0035*($E119-Y$6)/$E119,0.002*($E119-Y$6)/($E119-3*cc_D/7))))-fcd_cc*(1-(1-MAX(0,MIN(1,IF($E119&lt;=cc_D,0.0035*($E119-Y$6)/$E119,0.002*($E119-Y$6)/($E119-3*cc_D/7))/0.002)))^2)</f>
        <v/>
      </c>
      <c r="Z119">
        <f>MAX(-fyd_cc,MIN(fyd_cc,Es_cc*IF($E119&lt;=cc_D,0.0035*($E119-Z$6)/$E119,0.002*($E119-Z$6)/($E119-3*cc_D/7))))-fcd_cc*(1-(1-MAX(0,MIN(1,IF($E119&lt;=cc_D,0.0035*($E119-Z$6)/$E119,0.002*($E119-Z$6)/($E119-3*cc_D/7))/0.002)))^2)</f>
        <v/>
      </c>
      <c r="AA119">
        <f>MAX(-fyd_cc,MIN(fyd_cc,Es_cc*IF($E119&lt;=cc_D,0.0035*($E119-AA$6)/$E119,0.002*($E119-AA$6)/($E119-3*cc_D/7))))-fcd_cc*(1-(1-MAX(0,MIN(1,IF($E119&lt;=cc_D,0.0035*($E119-AA$6)/$E119,0.002*($E119-AA$6)/($E119-3*cc_D/7))/0.002)))^2)</f>
        <v/>
      </c>
      <c r="AB119">
        <f>MAX(-fyd_cc,MIN(fyd_cc,Es_cc*IF($E119&lt;=cc_D,0.0035*($E119-AB$6)/$E119,0.002*($E119-AB$6)/($E119-3*cc_D/7))))-fcd_cc*(1-(1-MAX(0,MIN(1,IF($E119&lt;=cc_D,0.0035*($E119-AB$6)/$E119,0.002*($E119-AB$6)/($E119-3*cc_D/7))/0.002)))^2)</f>
        <v/>
      </c>
      <c r="AC119">
        <f>MAX(-fyd_cc,MIN(fyd_cc,Es_cc*IF($E119&lt;=cc_D,0.0035*($E119-AC$6)/$E119,0.002*($E119-AC$6)/($E119-3*cc_D/7))))-fcd_cc*(1-(1-MAX(0,MIN(1,IF($E119&lt;=cc_D,0.0035*($E119-AC$6)/$E119,0.002*($E119-AC$6)/($E119-3*cc_D/7))/0.002)))^2)</f>
        <v/>
      </c>
      <c r="AD119">
        <f>MAX(-fyd_cc,MIN(fyd_cc,Es_cc*IF($E119&lt;=cc_D,0.0035*($E119-AD$6)/$E119,0.002*($E119-AD$6)/($E119-3*cc_D/7))))-fcd_cc*(1-(1-MAX(0,MIN(1,IF($E119&lt;=cc_D,0.0035*($E119-AD$6)/$E119,0.002*($E119-AD$6)/($E119-3*cc_D/7))/0.002)))^2)</f>
        <v/>
      </c>
      <c r="AE119">
        <f>MAX(-fyd_cc,MIN(fyd_cc,Es_cc*IF($E119&lt;=cc_D,0.0035*($E119-AE$6)/$E119,0.002*($E119-AE$6)/($E119-3*cc_D/7))))-fcd_cc*(1-(1-MAX(0,MIN(1,IF($E119&lt;=cc_D,0.0035*($E119-AE$6)/$E119,0.002*($E119-AE$6)/($E119-3*cc_D/7))/0.002)))^2)</f>
        <v/>
      </c>
      <c r="AF119">
        <f>MAX(-fyd_cc,MIN(fyd_cc,Es_cc*IF($E119&lt;=cc_D,0.0035*($E119-AF$6)/$E119,0.002*($E119-AF$6)/($E119-3*cc_D/7))))-fcd_cc*(1-(1-MAX(0,MIN(1,IF($E119&lt;=cc_D,0.0035*($E119-AF$6)/$E119,0.002*($E119-AF$6)/($E119-3*cc_D/7))/0.002)))^2)</f>
        <v/>
      </c>
      <c r="AG119">
        <f>MAX(-fyd_cc,MIN(fyd_cc,Es_cc*IF($E119&lt;=cc_D,0.0035*($E119-AG$6)/$E119,0.002*($E119-AG$6)/($E119-3*cc_D/7))))-fcd_cc*(1-(1-MAX(0,MIN(1,IF($E119&lt;=cc_D,0.0035*($E119-AG$6)/$E119,0.002*($E119-AG$6)/($E119-3*cc_D/7))/0.002)))^2)</f>
        <v/>
      </c>
      <c r="BF119">
        <f>3*MIN($E119,cc_D)/7</f>
        <v/>
      </c>
      <c r="BG119">
        <f>$E119-$BF119</f>
        <v/>
      </c>
      <c r="BH119">
        <f>ACOS(MAX(-1,MIN(1,1-$BF119/(cc_D/2))))</f>
        <v/>
      </c>
      <c r="BI119">
        <f>ACOS(MAX(-1,MIN(1,1-MIN($E119,cc_D)/(cc_D/2))))</f>
        <v/>
      </c>
      <c r="BJ119">
        <f>((cc_D/2*(1-COS(($BH119+0*($BI119-$BH119)/12)))-$BF119)/$BG119)^2*SIN(($BH119+0*($BI119-$BH119)/12))^2</f>
        <v/>
      </c>
      <c r="BK119">
        <f>((cc_D/2*(1-COS(($BH119+1*($BI119-$BH119)/12)))-$BF119)/$BG119)^2*SIN(($BH119+1*($BI119-$BH119)/12))^2</f>
        <v/>
      </c>
      <c r="BL119">
        <f>((cc_D/2*(1-COS(($BH119+2*($BI119-$BH119)/12)))-$BF119)/$BG119)^2*SIN(($BH119+2*($BI119-$BH119)/12))^2</f>
        <v/>
      </c>
      <c r="BM119">
        <f>((cc_D/2*(1-COS(($BH119+3*($BI119-$BH119)/12)))-$BF119)/$BG119)^2*SIN(($BH119+3*($BI119-$BH119)/12))^2</f>
        <v/>
      </c>
      <c r="BN119">
        <f>((cc_D/2*(1-COS(($BH119+4*($BI119-$BH119)/12)))-$BF119)/$BG119)^2*SIN(($BH119+4*($BI119-$BH119)/12))^2</f>
        <v/>
      </c>
      <c r="BO119">
        <f>((cc_D/2*(1-COS(($BH119+5*($BI119-$BH119)/12)))-$BF119)/$BG119)^2*SIN(($BH119+5*($BI119-$BH119)/12))^2</f>
        <v/>
      </c>
      <c r="BP119">
        <f>((cc_D/2*(1-COS(($BH119+6*($BI119-$BH119)/12)))-$BF119)/$BG119)^2*SIN(($BH119+6*($BI119-$BH119)/12))^2</f>
        <v/>
      </c>
      <c r="BQ119">
        <f>((cc_D/2*(1-COS(($BH119+7*($BI119-$BH119)/12)))-$BF119)/$BG119)^2*SIN(($BH119+7*($BI119-$BH119)/12))^2</f>
        <v/>
      </c>
      <c r="BR119">
        <f>((cc_D/2*(1-COS(($BH119+8*($BI119-$BH119)/12)))-$BF119)/$BG119)^2*SIN(($BH119+8*($BI119-$BH119)/12))^2</f>
        <v/>
      </c>
      <c r="BS119">
        <f>((cc_D/2*(1-COS(($BH119+9*($BI119-$BH119)/12)))-$BF119)/$BG119)^2*SIN(($BH119+9*($BI119-$BH119)/12))^2</f>
        <v/>
      </c>
      <c r="BT119">
        <f>((cc_D/2*(1-COS(($BH119+10*($BI119-$BH119)/12)))-$BF119)/$BG119)^2*SIN(($BH119+10*($BI119-$BH119)/12))^2</f>
        <v/>
      </c>
      <c r="BU119">
        <f>((cc_D/2*(1-COS(($BH119+11*($BI119-$BH119)/12)))-$BF119)/$BG119)^2*SIN(($BH119+11*($BI119-$BH119)/12))^2</f>
        <v/>
      </c>
      <c r="BV119">
        <f>((cc_D/2*(1-COS(($BH119+12*($BI119-$BH119)/12)))-$BF119)/$BG119)^2*SIN(($BH119+12*($BI119-$BH119)/12))^2</f>
        <v/>
      </c>
      <c r="BW119">
        <f>BJ119*COS(($BH119+0*($BI119-$BH119)/12))</f>
        <v/>
      </c>
      <c r="BX119">
        <f>BK119*COS(($BH119+1*($BI119-$BH119)/12))</f>
        <v/>
      </c>
      <c r="BY119">
        <f>BL119*COS(($BH119+2*($BI119-$BH119)/12))</f>
        <v/>
      </c>
      <c r="BZ119">
        <f>BM119*COS(($BH119+3*($BI119-$BH119)/12))</f>
        <v/>
      </c>
      <c r="CA119">
        <f>BN119*COS(($BH119+4*($BI119-$BH119)/12))</f>
        <v/>
      </c>
      <c r="CB119">
        <f>BO119*COS(($BH119+5*($BI119-$BH119)/12))</f>
        <v/>
      </c>
      <c r="CC119">
        <f>BP119*COS(($BH119+6*($BI119-$BH119)/12))</f>
        <v/>
      </c>
      <c r="CD119">
        <f>BQ119*COS(($BH119+7*($BI119-$BH119)/12))</f>
        <v/>
      </c>
      <c r="CE119">
        <f>BR119*COS(($BH119+8*($BI119-$BH119)/12))</f>
        <v/>
      </c>
      <c r="CF119">
        <f>BS119*COS(($BH119+9*($BI119-$BH119)/12))</f>
        <v/>
      </c>
      <c r="CG119">
        <f>BT119*COS(($BH119+10*($BI119-$BH119)/12))</f>
        <v/>
      </c>
      <c r="CH119">
        <f>BU119*COS(($BH119+11*($BI119-$BH119)/12))</f>
        <v/>
      </c>
      <c r="CI119">
        <f>BV119*COS(($BH119+12*($BI119-$BH119)/12))</f>
        <v/>
      </c>
    </row>
    <row r="120">
      <c r="B120" s="65" t="n">
        <v>31</v>
      </c>
      <c r="C120" s="66">
        <f>IF($G119&lt;cc_NEd-1E-9*ABS(cc_NEd),($C119+$D119)/2,$C119)</f>
        <v/>
      </c>
      <c r="D120" s="66">
        <f>IF($G119&lt;cc_NEd-1E-9*ABS(cc_NEd),$D119,($C119+$D119)/2)</f>
        <v/>
      </c>
      <c r="E120" s="67">
        <f>cc_D*(($C120+$D120)/2)/(1-(($C120+$D120)/2))</f>
        <v/>
      </c>
      <c r="F120" s="68">
        <f>IF($E120&lt;=cc_D,3.5,2*$E120/($E120-3*cc_D/7))</f>
        <v/>
      </c>
      <c r="G120" s="67">
        <f>(fcd_cc*((cc_D/2)^2*($BI120-COS($BI120)*SIN($BI120))-2*(cc_D/2)^2*($BI120-$BH120)/12/3*SUMPRODUCT($BJ$4:$BV$4,$BJ120:$BV120))+SUMPRODUCT($J$5:$AG$5,$J120:$AG120))/1000</f>
        <v/>
      </c>
      <c r="H120" s="67">
        <f>(fcd_cc*(2/3*(cc_D/2)^3*SIN($BI120)^3-2*(cc_D/2)^3*($BI120-$BH120)/12/3*SUMPRODUCT($BW$4:$CI$4,$BW120:$CI120))+SUMPRODUCT($J$5:$AG$5,$J120:$AG120,$J$7:$AG$7))/1E6</f>
        <v/>
      </c>
      <c r="I120" s="67">
        <f>SUMPRODUCT($J$5:$AG$5,$J120:$AG120,$J$8:$AG$8)/1E6</f>
        <v/>
      </c>
      <c r="J120">
        <f>MAX(-fyd_cc,MIN(fyd_cc,Es_cc*IF($E120&lt;=cc_D,0.0035*($E120-J$6)/$E120,0.002*($E120-J$6)/($E120-3*cc_D/7))))-fcd_cc*(1-(1-MAX(0,MIN(1,IF($E120&lt;=cc_D,0.0035*($E120-J$6)/$E120,0.002*($E120-J$6)/($E120-3*cc_D/7))/0.002)))^2)</f>
        <v/>
      </c>
      <c r="K120">
        <f>MAX(-fyd_cc,MIN(fyd_cc,Es_cc*IF($E120&lt;=cc_D,0.0035*($E120-K$6)/$E120,0.002*($E120-K$6)/($E120-3*cc_D/7))))-fcd_cc*(1-(1-MAX(0,MIN(1,IF($E120&lt;=cc_D,0.0035*($E120-K$6)/$E120,0.002*($E120-K$6)/($E120-3*cc_D/7))/0.002)))^2)</f>
        <v/>
      </c>
      <c r="L120">
        <f>MAX(-fyd_cc,MIN(fyd_cc,Es_cc*IF($E120&lt;=cc_D,0.0035*($E120-L$6)/$E120,0.002*($E120-L$6)/($E120-3*cc_D/7))))-fcd_cc*(1-(1-MAX(0,MIN(1,IF($E120&lt;=cc_D,0.0035*($E120-L$6)/$E120,0.002*($E120-L$6)/($E120-3*cc_D/7))/0.002)))^2)</f>
        <v/>
      </c>
      <c r="M120">
        <f>MAX(-fyd_cc,MIN(fyd_cc,Es_cc*IF($E120&lt;=cc_D,0.0035*($E120-M$6)/$E120,0.002*($E120-M$6)/($E120-3*cc_D/7))))-fcd_cc*(1-(1-MAX(0,MIN(1,IF($E120&lt;=cc_D,0.0035*($E120-M$6)/$E120,0.002*($E120-M$6)/($E120-3*cc_D/7))/0.002)))^2)</f>
        <v/>
      </c>
      <c r="N120">
        <f>MAX(-fyd_cc,MIN(fyd_cc,Es_cc*IF($E120&lt;=cc_D,0.0035*($E120-N$6)/$E120,0.002*($E120-N$6)/($E120-3*cc_D/7))))-fcd_cc*(1-(1-MAX(0,MIN(1,IF($E120&lt;=cc_D,0.0035*($E120-N$6)/$E120,0.002*($E120-N$6)/($E120-3*cc_D/7))/0.002)))^2)</f>
        <v/>
      </c>
      <c r="O120">
        <f>MAX(-fyd_cc,MIN(fyd_cc,Es_cc*IF($E120&lt;=cc_D,0.0035*($E120-O$6)/$E120,0.002*($E120-O$6)/($E120-3*cc_D/7))))-fcd_cc*(1-(1-MAX(0,MIN(1,IF($E120&lt;=cc_D,0.0035*($E120-O$6)/$E120,0.002*($E120-O$6)/($E120-3*cc_D/7))/0.002)))^2)</f>
        <v/>
      </c>
      <c r="P120">
        <f>MAX(-fyd_cc,MIN(fyd_cc,Es_cc*IF($E120&lt;=cc_D,0.0035*($E120-P$6)/$E120,0.002*($E120-P$6)/($E120-3*cc_D/7))))-fcd_cc*(1-(1-MAX(0,MIN(1,IF($E120&lt;=cc_D,0.0035*($E120-P$6)/$E120,0.002*($E120-P$6)/($E120-3*cc_D/7))/0.002)))^2)</f>
        <v/>
      </c>
      <c r="Q120">
        <f>MAX(-fyd_cc,MIN(fyd_cc,Es_cc*IF($E120&lt;=cc_D,0.0035*($E120-Q$6)/$E120,0.002*($E120-Q$6)/($E120-3*cc_D/7))))-fcd_cc*(1-(1-MAX(0,MIN(1,IF($E120&lt;=cc_D,0.0035*($E120-Q$6)/$E120,0.002*($E120-Q$6)/($E120-3*cc_D/7))/0.002)))^2)</f>
        <v/>
      </c>
      <c r="R120">
        <f>MAX(-fyd_cc,MIN(fyd_cc,Es_cc*IF($E120&lt;=cc_D,0.0035*($E120-R$6)/$E120,0.002*($E120-R$6)/($E120-3*cc_D/7))))-fcd_cc*(1-(1-MAX(0,MIN(1,IF($E120&lt;=cc_D,0.0035*($E120-R$6)/$E120,0.002*($E120-R$6)/($E120-3*cc_D/7))/0.002)))^2)</f>
        <v/>
      </c>
      <c r="S120">
        <f>MAX(-fyd_cc,MIN(fyd_cc,Es_cc*IF($E120&lt;=cc_D,0.0035*($E120-S$6)/$E120,0.002*($E120-S$6)/($E120-3*cc_D/7))))-fcd_cc*(1-(1-MAX(0,MIN(1,IF($E120&lt;=cc_D,0.0035*($E120-S$6)/$E120,0.002*($E120-S$6)/($E120-3*cc_D/7))/0.002)))^2)</f>
        <v/>
      </c>
      <c r="T120">
        <f>MAX(-fyd_cc,MIN(fyd_cc,Es_cc*IF($E120&lt;=cc_D,0.0035*($E120-T$6)/$E120,0.002*($E120-T$6)/($E120-3*cc_D/7))))-fcd_cc*(1-(1-MAX(0,MIN(1,IF($E120&lt;=cc_D,0.0035*($E120-T$6)/$E120,0.002*($E120-T$6)/($E120-3*cc_D/7))/0.002)))^2)</f>
        <v/>
      </c>
      <c r="U120">
        <f>MAX(-fyd_cc,MIN(fyd_cc,Es_cc*IF($E120&lt;=cc_D,0.0035*($E120-U$6)/$E120,0.002*($E120-U$6)/($E120-3*cc_D/7))))-fcd_cc*(1-(1-MAX(0,MIN(1,IF($E120&lt;=cc_D,0.0035*($E120-U$6)/$E120,0.002*($E120-U$6)/($E120-3*cc_D/7))/0.002)))^2)</f>
        <v/>
      </c>
      <c r="V120">
        <f>MAX(-fyd_cc,MIN(fyd_cc,Es_cc*IF($E120&lt;=cc_D,0.0035*($E120-V$6)/$E120,0.002*($E120-V$6)/($E120-3*cc_D/7))))-fcd_cc*(1-(1-MAX(0,MIN(1,IF($E120&lt;=cc_D,0.0035*($E120-V$6)/$E120,0.002*($E120-V$6)/($E120-3*cc_D/7))/0.002)))^2)</f>
        <v/>
      </c>
      <c r="W120">
        <f>MAX(-fyd_cc,MIN(fyd_cc,Es_cc*IF($E120&lt;=cc_D,0.0035*($E120-W$6)/$E120,0.002*($E120-W$6)/($E120-3*cc_D/7))))-fcd_cc*(1-(1-MAX(0,MIN(1,IF($E120&lt;=cc_D,0.0035*($E120-W$6)/$E120,0.002*($E120-W$6)/($E120-3*cc_D/7))/0.002)))^2)</f>
        <v/>
      </c>
      <c r="X120">
        <f>MAX(-fyd_cc,MIN(fyd_cc,Es_cc*IF($E120&lt;=cc_D,0.0035*($E120-X$6)/$E120,0.002*($E120-X$6)/($E120-3*cc_D/7))))-fcd_cc*(1-(1-MAX(0,MIN(1,IF($E120&lt;=cc_D,0.0035*($E120-X$6)/$E120,0.002*($E120-X$6)/($E120-3*cc_D/7))/0.002)))^2)</f>
        <v/>
      </c>
      <c r="Y120">
        <f>MAX(-fyd_cc,MIN(fyd_cc,Es_cc*IF($E120&lt;=cc_D,0.0035*($E120-Y$6)/$E120,0.002*($E120-Y$6)/($E120-3*cc_D/7))))-fcd_cc*(1-(1-MAX(0,MIN(1,IF($E120&lt;=cc_D,0.0035*($E120-Y$6)/$E120,0.002*($E120-Y$6)/($E120-3*cc_D/7))/0.002)))^2)</f>
        <v/>
      </c>
      <c r="Z120">
        <f>MAX(-fyd_cc,MIN(fyd_cc,Es_cc*IF($E120&lt;=cc_D,0.0035*($E120-Z$6)/$E120,0.002*($E120-Z$6)/($E120-3*cc_D/7))))-fcd_cc*(1-(1-MAX(0,MIN(1,IF($E120&lt;=cc_D,0.0035*($E120-Z$6)/$E120,0.002*($E120-Z$6)/($E120-3*cc_D/7))/0.002)))^2)</f>
        <v/>
      </c>
      <c r="AA120">
        <f>MAX(-fyd_cc,MIN(fyd_cc,Es_cc*IF($E120&lt;=cc_D,0.0035*($E120-AA$6)/$E120,0.002*($E120-AA$6)/($E120-3*cc_D/7))))-fcd_cc*(1-(1-MAX(0,MIN(1,IF($E120&lt;=cc_D,0.0035*($E120-AA$6)/$E120,0.002*($E120-AA$6)/($E120-3*cc_D/7))/0.002)))^2)</f>
        <v/>
      </c>
      <c r="AB120">
        <f>MAX(-fyd_cc,MIN(fyd_cc,Es_cc*IF($E120&lt;=cc_D,0.0035*($E120-AB$6)/$E120,0.002*($E120-AB$6)/($E120-3*cc_D/7))))-fcd_cc*(1-(1-MAX(0,MIN(1,IF($E120&lt;=cc_D,0.0035*($E120-AB$6)/$E120,0.002*($E120-AB$6)/($E120-3*cc_D/7))/0.002)))^2)</f>
        <v/>
      </c>
      <c r="AC120">
        <f>MAX(-fyd_cc,MIN(fyd_cc,Es_cc*IF($E120&lt;=cc_D,0.0035*($E120-AC$6)/$E120,0.002*($E120-AC$6)/($E120-3*cc_D/7))))-fcd_cc*(1-(1-MAX(0,MIN(1,IF($E120&lt;=cc_D,0.0035*($E120-AC$6)/$E120,0.002*($E120-AC$6)/($E120-3*cc_D/7))/0.002)))^2)</f>
        <v/>
      </c>
      <c r="AD120">
        <f>MAX(-fyd_cc,MIN(fyd_cc,Es_cc*IF($E120&lt;=cc_D,0.0035*($E120-AD$6)/$E120,0.002*($E120-AD$6)/($E120-3*cc_D/7))))-fcd_cc*(1-(1-MAX(0,MIN(1,IF($E120&lt;=cc_D,0.0035*($E120-AD$6)/$E120,0.002*($E120-AD$6)/($E120-3*cc_D/7))/0.002)))^2)</f>
        <v/>
      </c>
      <c r="AE120">
        <f>MAX(-fyd_cc,MIN(fyd_cc,Es_cc*IF($E120&lt;=cc_D,0.0035*($E120-AE$6)/$E120,0.002*($E120-AE$6)/($E120-3*cc_D/7))))-fcd_cc*(1-(1-MAX(0,MIN(1,IF($E120&lt;=cc_D,0.0035*($E120-AE$6)/$E120,0.002*($E120-AE$6)/($E120-3*cc_D/7))/0.002)))^2)</f>
        <v/>
      </c>
      <c r="AF120">
        <f>MAX(-fyd_cc,MIN(fyd_cc,Es_cc*IF($E120&lt;=cc_D,0.0035*($E120-AF$6)/$E120,0.002*($E120-AF$6)/($E120-3*cc_D/7))))-fcd_cc*(1-(1-MAX(0,MIN(1,IF($E120&lt;=cc_D,0.0035*($E120-AF$6)/$E120,0.002*($E120-AF$6)/($E120-3*cc_D/7))/0.002)))^2)</f>
        <v/>
      </c>
      <c r="AG120">
        <f>MAX(-fyd_cc,MIN(fyd_cc,Es_cc*IF($E120&lt;=cc_D,0.0035*($E120-AG$6)/$E120,0.002*($E120-AG$6)/($E120-3*cc_D/7))))-fcd_cc*(1-(1-MAX(0,MIN(1,IF($E120&lt;=cc_D,0.0035*($E120-AG$6)/$E120,0.002*($E120-AG$6)/($E120-3*cc_D/7))/0.002)))^2)</f>
        <v/>
      </c>
      <c r="BF120">
        <f>3*MIN($E120,cc_D)/7</f>
        <v/>
      </c>
      <c r="BG120">
        <f>$E120-$BF120</f>
        <v/>
      </c>
      <c r="BH120">
        <f>ACOS(MAX(-1,MIN(1,1-$BF120/(cc_D/2))))</f>
        <v/>
      </c>
      <c r="BI120">
        <f>ACOS(MAX(-1,MIN(1,1-MIN($E120,cc_D)/(cc_D/2))))</f>
        <v/>
      </c>
      <c r="BJ120">
        <f>((cc_D/2*(1-COS(($BH120+0*($BI120-$BH120)/12)))-$BF120)/$BG120)^2*SIN(($BH120+0*($BI120-$BH120)/12))^2</f>
        <v/>
      </c>
      <c r="BK120">
        <f>((cc_D/2*(1-COS(($BH120+1*($BI120-$BH120)/12)))-$BF120)/$BG120)^2*SIN(($BH120+1*($BI120-$BH120)/12))^2</f>
        <v/>
      </c>
      <c r="BL120">
        <f>((cc_D/2*(1-COS(($BH120+2*($BI120-$BH120)/12)))-$BF120)/$BG120)^2*SIN(($BH120+2*($BI120-$BH120)/12))^2</f>
        <v/>
      </c>
      <c r="BM120">
        <f>((cc_D/2*(1-COS(($BH120+3*($BI120-$BH120)/12)))-$BF120)/$BG120)^2*SIN(($BH120+3*($BI120-$BH120)/12))^2</f>
        <v/>
      </c>
      <c r="BN120">
        <f>((cc_D/2*(1-COS(($BH120+4*($BI120-$BH120)/12)))-$BF120)/$BG120)^2*SIN(($BH120+4*($BI120-$BH120)/12))^2</f>
        <v/>
      </c>
      <c r="BO120">
        <f>((cc_D/2*(1-COS(($BH120+5*($BI120-$BH120)/12)))-$BF120)/$BG120)^2*SIN(($BH120+5*($BI120-$BH120)/12))^2</f>
        <v/>
      </c>
      <c r="BP120">
        <f>((cc_D/2*(1-COS(($BH120+6*($BI120-$BH120)/12)))-$BF120)/$BG120)^2*SIN(($BH120+6*($BI120-$BH120)/12))^2</f>
        <v/>
      </c>
      <c r="BQ120">
        <f>((cc_D/2*(1-COS(($BH120+7*($BI120-$BH120)/12)))-$BF120)/$BG120)^2*SIN(($BH120+7*($BI120-$BH120)/12))^2</f>
        <v/>
      </c>
      <c r="BR120">
        <f>((cc_D/2*(1-COS(($BH120+8*($BI120-$BH120)/12)))-$BF120)/$BG120)^2*SIN(($BH120+8*($BI120-$BH120)/12))^2</f>
        <v/>
      </c>
      <c r="BS120">
        <f>((cc_D/2*(1-COS(($BH120+9*($BI120-$BH120)/12)))-$BF120)/$BG120)^2*SIN(($BH120+9*($BI120-$BH120)/12))^2</f>
        <v/>
      </c>
      <c r="BT120">
        <f>((cc_D/2*(1-COS(($BH120+10*($BI120-$BH120)/12)))-$BF120)/$BG120)^2*SIN(($BH120+10*($BI120-$BH120)/12))^2</f>
        <v/>
      </c>
      <c r="BU120">
        <f>((cc_D/2*(1-COS(($BH120+11*($BI120-$BH120)/12)))-$BF120)/$BG120)^2*SIN(($BH120+11*($BI120-$BH120)/12))^2</f>
        <v/>
      </c>
      <c r="BV120">
        <f>((cc_D/2*(1-COS(($BH120+12*($BI120-$BH120)/12)))-$BF120)/$BG120)^2*SIN(($BH120+12*($BI120-$BH120)/12))^2</f>
        <v/>
      </c>
      <c r="BW120">
        <f>BJ120*COS(($BH120+0*($BI120-$BH120)/12))</f>
        <v/>
      </c>
      <c r="BX120">
        <f>BK120*COS(($BH120+1*($BI120-$BH120)/12))</f>
        <v/>
      </c>
      <c r="BY120">
        <f>BL120*COS(($BH120+2*($BI120-$BH120)/12))</f>
        <v/>
      </c>
      <c r="BZ120">
        <f>BM120*COS(($BH120+3*($BI120-$BH120)/12))</f>
        <v/>
      </c>
      <c r="CA120">
        <f>BN120*COS(($BH120+4*($BI120-$BH120)/12))</f>
        <v/>
      </c>
      <c r="CB120">
        <f>BO120*COS(($BH120+5*($BI120-$BH120)/12))</f>
        <v/>
      </c>
      <c r="CC120">
        <f>BP120*COS(($BH120+6*($BI120-$BH120)/12))</f>
        <v/>
      </c>
      <c r="CD120">
        <f>BQ120*COS(($BH120+7*($BI120-$BH120)/12))</f>
        <v/>
      </c>
      <c r="CE120">
        <f>BR120*COS(($BH120+8*($BI120-$BH120)/12))</f>
        <v/>
      </c>
      <c r="CF120">
        <f>BS120*COS(($BH120+9*($BI120-$BH120)/12))</f>
        <v/>
      </c>
      <c r="CG120">
        <f>BT120*COS(($BH120+10*($BI120-$BH120)/12))</f>
        <v/>
      </c>
      <c r="CH120">
        <f>BU120*COS(($BH120+11*($BI120-$BH120)/12))</f>
        <v/>
      </c>
      <c r="CI120">
        <f>BV120*COS(($BH120+12*($BI120-$BH120)/12))</f>
        <v/>
      </c>
    </row>
    <row r="121">
      <c r="B121" s="65" t="n">
        <v>32</v>
      </c>
      <c r="C121" s="66">
        <f>IF($G120&lt;cc_NEd-1E-9*ABS(cc_NEd),($C120+$D120)/2,$C120)</f>
        <v/>
      </c>
      <c r="D121" s="66">
        <f>IF($G120&lt;cc_NEd-1E-9*ABS(cc_NEd),$D120,($C120+$D120)/2)</f>
        <v/>
      </c>
      <c r="E121" s="67">
        <f>cc_D*(($C121+$D121)/2)/(1-(($C121+$D121)/2))</f>
        <v/>
      </c>
      <c r="F121" s="68">
        <f>IF($E121&lt;=cc_D,3.5,2*$E121/($E121-3*cc_D/7))</f>
        <v/>
      </c>
      <c r="G121" s="67">
        <f>(fcd_cc*((cc_D/2)^2*($BI121-COS($BI121)*SIN($BI121))-2*(cc_D/2)^2*($BI121-$BH121)/12/3*SUMPRODUCT($BJ$4:$BV$4,$BJ121:$BV121))+SUMPRODUCT($J$5:$AG$5,$J121:$AG121))/1000</f>
        <v/>
      </c>
      <c r="H121" s="67">
        <f>(fcd_cc*(2/3*(cc_D/2)^3*SIN($BI121)^3-2*(cc_D/2)^3*($BI121-$BH121)/12/3*SUMPRODUCT($BW$4:$CI$4,$BW121:$CI121))+SUMPRODUCT($J$5:$AG$5,$J121:$AG121,$J$7:$AG$7))/1E6</f>
        <v/>
      </c>
      <c r="I121" s="67">
        <f>SUMPRODUCT($J$5:$AG$5,$J121:$AG121,$J$8:$AG$8)/1E6</f>
        <v/>
      </c>
      <c r="J121">
        <f>MAX(-fyd_cc,MIN(fyd_cc,Es_cc*IF($E121&lt;=cc_D,0.0035*($E121-J$6)/$E121,0.002*($E121-J$6)/($E121-3*cc_D/7))))-fcd_cc*(1-(1-MAX(0,MIN(1,IF($E121&lt;=cc_D,0.0035*($E121-J$6)/$E121,0.002*($E121-J$6)/($E121-3*cc_D/7))/0.002)))^2)</f>
        <v/>
      </c>
      <c r="K121">
        <f>MAX(-fyd_cc,MIN(fyd_cc,Es_cc*IF($E121&lt;=cc_D,0.0035*($E121-K$6)/$E121,0.002*($E121-K$6)/($E121-3*cc_D/7))))-fcd_cc*(1-(1-MAX(0,MIN(1,IF($E121&lt;=cc_D,0.0035*($E121-K$6)/$E121,0.002*($E121-K$6)/($E121-3*cc_D/7))/0.002)))^2)</f>
        <v/>
      </c>
      <c r="L121">
        <f>MAX(-fyd_cc,MIN(fyd_cc,Es_cc*IF($E121&lt;=cc_D,0.0035*($E121-L$6)/$E121,0.002*($E121-L$6)/($E121-3*cc_D/7))))-fcd_cc*(1-(1-MAX(0,MIN(1,IF($E121&lt;=cc_D,0.0035*($E121-L$6)/$E121,0.002*($E121-L$6)/($E121-3*cc_D/7))/0.002)))^2)</f>
        <v/>
      </c>
      <c r="M121">
        <f>MAX(-fyd_cc,MIN(fyd_cc,Es_cc*IF($E121&lt;=cc_D,0.0035*($E121-M$6)/$E121,0.002*($E121-M$6)/($E121-3*cc_D/7))))-fcd_cc*(1-(1-MAX(0,MIN(1,IF($E121&lt;=cc_D,0.0035*($E121-M$6)/$E121,0.002*($E121-M$6)/($E121-3*cc_D/7))/0.002)))^2)</f>
        <v/>
      </c>
      <c r="N121">
        <f>MAX(-fyd_cc,MIN(fyd_cc,Es_cc*IF($E121&lt;=cc_D,0.0035*($E121-N$6)/$E121,0.002*($E121-N$6)/($E121-3*cc_D/7))))-fcd_cc*(1-(1-MAX(0,MIN(1,IF($E121&lt;=cc_D,0.0035*($E121-N$6)/$E121,0.002*($E121-N$6)/($E121-3*cc_D/7))/0.002)))^2)</f>
        <v/>
      </c>
      <c r="O121">
        <f>MAX(-fyd_cc,MIN(fyd_cc,Es_cc*IF($E121&lt;=cc_D,0.0035*($E121-O$6)/$E121,0.002*($E121-O$6)/($E121-3*cc_D/7))))-fcd_cc*(1-(1-MAX(0,MIN(1,IF($E121&lt;=cc_D,0.0035*($E121-O$6)/$E121,0.002*($E121-O$6)/($E121-3*cc_D/7))/0.002)))^2)</f>
        <v/>
      </c>
      <c r="P121">
        <f>MAX(-fyd_cc,MIN(fyd_cc,Es_cc*IF($E121&lt;=cc_D,0.0035*($E121-P$6)/$E121,0.002*($E121-P$6)/($E121-3*cc_D/7))))-fcd_cc*(1-(1-MAX(0,MIN(1,IF($E121&lt;=cc_D,0.0035*($E121-P$6)/$E121,0.002*($E121-P$6)/($E121-3*cc_D/7))/0.002)))^2)</f>
        <v/>
      </c>
      <c r="Q121">
        <f>MAX(-fyd_cc,MIN(fyd_cc,Es_cc*IF($E121&lt;=cc_D,0.0035*($E121-Q$6)/$E121,0.002*($E121-Q$6)/($E121-3*cc_D/7))))-fcd_cc*(1-(1-MAX(0,MIN(1,IF($E121&lt;=cc_D,0.0035*($E121-Q$6)/$E121,0.002*($E121-Q$6)/($E121-3*cc_D/7))/0.002)))^2)</f>
        <v/>
      </c>
      <c r="R121">
        <f>MAX(-fyd_cc,MIN(fyd_cc,Es_cc*IF($E121&lt;=cc_D,0.0035*($E121-R$6)/$E121,0.002*($E121-R$6)/($E121-3*cc_D/7))))-fcd_cc*(1-(1-MAX(0,MIN(1,IF($E121&lt;=cc_D,0.0035*($E121-R$6)/$E121,0.002*($E121-R$6)/($E121-3*cc_D/7))/0.002)))^2)</f>
        <v/>
      </c>
      <c r="S121">
        <f>MAX(-fyd_cc,MIN(fyd_cc,Es_cc*IF($E121&lt;=cc_D,0.0035*($E121-S$6)/$E121,0.002*($E121-S$6)/($E121-3*cc_D/7))))-fcd_cc*(1-(1-MAX(0,MIN(1,IF($E121&lt;=cc_D,0.0035*($E121-S$6)/$E121,0.002*($E121-S$6)/($E121-3*cc_D/7))/0.002)))^2)</f>
        <v/>
      </c>
      <c r="T121">
        <f>MAX(-fyd_cc,MIN(fyd_cc,Es_cc*IF($E121&lt;=cc_D,0.0035*($E121-T$6)/$E121,0.002*($E121-T$6)/($E121-3*cc_D/7))))-fcd_cc*(1-(1-MAX(0,MIN(1,IF($E121&lt;=cc_D,0.0035*($E121-T$6)/$E121,0.002*($E121-T$6)/($E121-3*cc_D/7))/0.002)))^2)</f>
        <v/>
      </c>
      <c r="U121">
        <f>MAX(-fyd_cc,MIN(fyd_cc,Es_cc*IF($E121&lt;=cc_D,0.0035*($E121-U$6)/$E121,0.002*($E121-U$6)/($E121-3*cc_D/7))))-fcd_cc*(1-(1-MAX(0,MIN(1,IF($E121&lt;=cc_D,0.0035*($E121-U$6)/$E121,0.002*($E121-U$6)/($E121-3*cc_D/7))/0.002)))^2)</f>
        <v/>
      </c>
      <c r="V121">
        <f>MAX(-fyd_cc,MIN(fyd_cc,Es_cc*IF($E121&lt;=cc_D,0.0035*($E121-V$6)/$E121,0.002*($E121-V$6)/($E121-3*cc_D/7))))-fcd_cc*(1-(1-MAX(0,MIN(1,IF($E121&lt;=cc_D,0.0035*($E121-V$6)/$E121,0.002*($E121-V$6)/($E121-3*cc_D/7))/0.002)))^2)</f>
        <v/>
      </c>
      <c r="W121">
        <f>MAX(-fyd_cc,MIN(fyd_cc,Es_cc*IF($E121&lt;=cc_D,0.0035*($E121-W$6)/$E121,0.002*($E121-W$6)/($E121-3*cc_D/7))))-fcd_cc*(1-(1-MAX(0,MIN(1,IF($E121&lt;=cc_D,0.0035*($E121-W$6)/$E121,0.002*($E121-W$6)/($E121-3*cc_D/7))/0.002)))^2)</f>
        <v/>
      </c>
      <c r="X121">
        <f>MAX(-fyd_cc,MIN(fyd_cc,Es_cc*IF($E121&lt;=cc_D,0.0035*($E121-X$6)/$E121,0.002*($E121-X$6)/($E121-3*cc_D/7))))-fcd_cc*(1-(1-MAX(0,MIN(1,IF($E121&lt;=cc_D,0.0035*($E121-X$6)/$E121,0.002*($E121-X$6)/($E121-3*cc_D/7))/0.002)))^2)</f>
        <v/>
      </c>
      <c r="Y121">
        <f>MAX(-fyd_cc,MIN(fyd_cc,Es_cc*IF($E121&lt;=cc_D,0.0035*($E121-Y$6)/$E121,0.002*($E121-Y$6)/($E121-3*cc_D/7))))-fcd_cc*(1-(1-MAX(0,MIN(1,IF($E121&lt;=cc_D,0.0035*($E121-Y$6)/$E121,0.002*($E121-Y$6)/($E121-3*cc_D/7))/0.002)))^2)</f>
        <v/>
      </c>
      <c r="Z121">
        <f>MAX(-fyd_cc,MIN(fyd_cc,Es_cc*IF($E121&lt;=cc_D,0.0035*($E121-Z$6)/$E121,0.002*($E121-Z$6)/($E121-3*cc_D/7))))-fcd_cc*(1-(1-MAX(0,MIN(1,IF($E121&lt;=cc_D,0.0035*($E121-Z$6)/$E121,0.002*($E121-Z$6)/($E121-3*cc_D/7))/0.002)))^2)</f>
        <v/>
      </c>
      <c r="AA121">
        <f>MAX(-fyd_cc,MIN(fyd_cc,Es_cc*IF($E121&lt;=cc_D,0.0035*($E121-AA$6)/$E121,0.002*($E121-AA$6)/($E121-3*cc_D/7))))-fcd_cc*(1-(1-MAX(0,MIN(1,IF($E121&lt;=cc_D,0.0035*($E121-AA$6)/$E121,0.002*($E121-AA$6)/($E121-3*cc_D/7))/0.002)))^2)</f>
        <v/>
      </c>
      <c r="AB121">
        <f>MAX(-fyd_cc,MIN(fyd_cc,Es_cc*IF($E121&lt;=cc_D,0.0035*($E121-AB$6)/$E121,0.002*($E121-AB$6)/($E121-3*cc_D/7))))-fcd_cc*(1-(1-MAX(0,MIN(1,IF($E121&lt;=cc_D,0.0035*($E121-AB$6)/$E121,0.002*($E121-AB$6)/($E121-3*cc_D/7))/0.002)))^2)</f>
        <v/>
      </c>
      <c r="AC121">
        <f>MAX(-fyd_cc,MIN(fyd_cc,Es_cc*IF($E121&lt;=cc_D,0.0035*($E121-AC$6)/$E121,0.002*($E121-AC$6)/($E121-3*cc_D/7))))-fcd_cc*(1-(1-MAX(0,MIN(1,IF($E121&lt;=cc_D,0.0035*($E121-AC$6)/$E121,0.002*($E121-AC$6)/($E121-3*cc_D/7))/0.002)))^2)</f>
        <v/>
      </c>
      <c r="AD121">
        <f>MAX(-fyd_cc,MIN(fyd_cc,Es_cc*IF($E121&lt;=cc_D,0.0035*($E121-AD$6)/$E121,0.002*($E121-AD$6)/($E121-3*cc_D/7))))-fcd_cc*(1-(1-MAX(0,MIN(1,IF($E121&lt;=cc_D,0.0035*($E121-AD$6)/$E121,0.002*($E121-AD$6)/($E121-3*cc_D/7))/0.002)))^2)</f>
        <v/>
      </c>
      <c r="AE121">
        <f>MAX(-fyd_cc,MIN(fyd_cc,Es_cc*IF($E121&lt;=cc_D,0.0035*($E121-AE$6)/$E121,0.002*($E121-AE$6)/($E121-3*cc_D/7))))-fcd_cc*(1-(1-MAX(0,MIN(1,IF($E121&lt;=cc_D,0.0035*($E121-AE$6)/$E121,0.002*($E121-AE$6)/($E121-3*cc_D/7))/0.002)))^2)</f>
        <v/>
      </c>
      <c r="AF121">
        <f>MAX(-fyd_cc,MIN(fyd_cc,Es_cc*IF($E121&lt;=cc_D,0.0035*($E121-AF$6)/$E121,0.002*($E121-AF$6)/($E121-3*cc_D/7))))-fcd_cc*(1-(1-MAX(0,MIN(1,IF($E121&lt;=cc_D,0.0035*($E121-AF$6)/$E121,0.002*($E121-AF$6)/($E121-3*cc_D/7))/0.002)))^2)</f>
        <v/>
      </c>
      <c r="AG121">
        <f>MAX(-fyd_cc,MIN(fyd_cc,Es_cc*IF($E121&lt;=cc_D,0.0035*($E121-AG$6)/$E121,0.002*($E121-AG$6)/($E121-3*cc_D/7))))-fcd_cc*(1-(1-MAX(0,MIN(1,IF($E121&lt;=cc_D,0.0035*($E121-AG$6)/$E121,0.002*($E121-AG$6)/($E121-3*cc_D/7))/0.002)))^2)</f>
        <v/>
      </c>
      <c r="BF121">
        <f>3*MIN($E121,cc_D)/7</f>
        <v/>
      </c>
      <c r="BG121">
        <f>$E121-$BF121</f>
        <v/>
      </c>
      <c r="BH121">
        <f>ACOS(MAX(-1,MIN(1,1-$BF121/(cc_D/2))))</f>
        <v/>
      </c>
      <c r="BI121">
        <f>ACOS(MAX(-1,MIN(1,1-MIN($E121,cc_D)/(cc_D/2))))</f>
        <v/>
      </c>
      <c r="BJ121">
        <f>((cc_D/2*(1-COS(($BH121+0*($BI121-$BH121)/12)))-$BF121)/$BG121)^2*SIN(($BH121+0*($BI121-$BH121)/12))^2</f>
        <v/>
      </c>
      <c r="BK121">
        <f>((cc_D/2*(1-COS(($BH121+1*($BI121-$BH121)/12)))-$BF121)/$BG121)^2*SIN(($BH121+1*($BI121-$BH121)/12))^2</f>
        <v/>
      </c>
      <c r="BL121">
        <f>((cc_D/2*(1-COS(($BH121+2*($BI121-$BH121)/12)))-$BF121)/$BG121)^2*SIN(($BH121+2*($BI121-$BH121)/12))^2</f>
        <v/>
      </c>
      <c r="BM121">
        <f>((cc_D/2*(1-COS(($BH121+3*($BI121-$BH121)/12)))-$BF121)/$BG121)^2*SIN(($BH121+3*($BI121-$BH121)/12))^2</f>
        <v/>
      </c>
      <c r="BN121">
        <f>((cc_D/2*(1-COS(($BH121+4*($BI121-$BH121)/12)))-$BF121)/$BG121)^2*SIN(($BH121+4*($BI121-$BH121)/12))^2</f>
        <v/>
      </c>
      <c r="BO121">
        <f>((cc_D/2*(1-COS(($BH121+5*($BI121-$BH121)/12)))-$BF121)/$BG121)^2*SIN(($BH121+5*($BI121-$BH121)/12))^2</f>
        <v/>
      </c>
      <c r="BP121">
        <f>((cc_D/2*(1-COS(($BH121+6*($BI121-$BH121)/12)))-$BF121)/$BG121)^2*SIN(($BH121+6*($BI121-$BH121)/12))^2</f>
        <v/>
      </c>
      <c r="BQ121">
        <f>((cc_D/2*(1-COS(($BH121+7*($BI121-$BH121)/12)))-$BF121)/$BG121)^2*SIN(($BH121+7*($BI121-$BH121)/12))^2</f>
        <v/>
      </c>
      <c r="BR121">
        <f>((cc_D/2*(1-COS(($BH121+8*($BI121-$BH121)/12)))-$BF121)/$BG121)^2*SIN(($BH121+8*($BI121-$BH121)/12))^2</f>
        <v/>
      </c>
      <c r="BS121">
        <f>((cc_D/2*(1-COS(($BH121+9*($BI121-$BH121)/12)))-$BF121)/$BG121)^2*SIN(($BH121+9*($BI121-$BH121)/12))^2</f>
        <v/>
      </c>
      <c r="BT121">
        <f>((cc_D/2*(1-COS(($BH121+10*($BI121-$BH121)/12)))-$BF121)/$BG121)^2*SIN(($BH121+10*($BI121-$BH121)/12))^2</f>
        <v/>
      </c>
      <c r="BU121">
        <f>((cc_D/2*(1-COS(($BH121+11*($BI121-$BH121)/12)))-$BF121)/$BG121)^2*SIN(($BH121+11*($BI121-$BH121)/12))^2</f>
        <v/>
      </c>
      <c r="BV121">
        <f>((cc_D/2*(1-COS(($BH121+12*($BI121-$BH121)/12)))-$BF121)/$BG121)^2*SIN(($BH121+12*($BI121-$BH121)/12))^2</f>
        <v/>
      </c>
      <c r="BW121">
        <f>BJ121*COS(($BH121+0*($BI121-$BH121)/12))</f>
        <v/>
      </c>
      <c r="BX121">
        <f>BK121*COS(($BH121+1*($BI121-$BH121)/12))</f>
        <v/>
      </c>
      <c r="BY121">
        <f>BL121*COS(($BH121+2*($BI121-$BH121)/12))</f>
        <v/>
      </c>
      <c r="BZ121">
        <f>BM121*COS(($BH121+3*($BI121-$BH121)/12))</f>
        <v/>
      </c>
      <c r="CA121">
        <f>BN121*COS(($BH121+4*($BI121-$BH121)/12))</f>
        <v/>
      </c>
      <c r="CB121">
        <f>BO121*COS(($BH121+5*($BI121-$BH121)/12))</f>
        <v/>
      </c>
      <c r="CC121">
        <f>BP121*COS(($BH121+6*($BI121-$BH121)/12))</f>
        <v/>
      </c>
      <c r="CD121">
        <f>BQ121*COS(($BH121+7*($BI121-$BH121)/12))</f>
        <v/>
      </c>
      <c r="CE121">
        <f>BR121*COS(($BH121+8*($BI121-$BH121)/12))</f>
        <v/>
      </c>
      <c r="CF121">
        <f>BS121*COS(($BH121+9*($BI121-$BH121)/12))</f>
        <v/>
      </c>
      <c r="CG121">
        <f>BT121*COS(($BH121+10*($BI121-$BH121)/12))</f>
        <v/>
      </c>
      <c r="CH121">
        <f>BU121*COS(($BH121+11*($BI121-$BH121)/12))</f>
        <v/>
      </c>
      <c r="CI121">
        <f>BV121*COS(($BH121+12*($BI121-$BH121)/12))</f>
        <v/>
      </c>
    </row>
    <row r="122">
      <c r="B122" s="65" t="n">
        <v>33</v>
      </c>
      <c r="C122" s="66">
        <f>IF($G121&lt;cc_NEd-1E-9*ABS(cc_NEd),($C121+$D121)/2,$C121)</f>
        <v/>
      </c>
      <c r="D122" s="66">
        <f>IF($G121&lt;cc_NEd-1E-9*ABS(cc_NEd),$D121,($C121+$D121)/2)</f>
        <v/>
      </c>
      <c r="E122" s="67">
        <f>cc_D*(($C122+$D122)/2)/(1-(($C122+$D122)/2))</f>
        <v/>
      </c>
      <c r="F122" s="68">
        <f>IF($E122&lt;=cc_D,3.5,2*$E122/($E122-3*cc_D/7))</f>
        <v/>
      </c>
      <c r="G122" s="67">
        <f>(fcd_cc*((cc_D/2)^2*($BI122-COS($BI122)*SIN($BI122))-2*(cc_D/2)^2*($BI122-$BH122)/12/3*SUMPRODUCT($BJ$4:$BV$4,$BJ122:$BV122))+SUMPRODUCT($J$5:$AG$5,$J122:$AG122))/1000</f>
        <v/>
      </c>
      <c r="H122" s="67">
        <f>(fcd_cc*(2/3*(cc_D/2)^3*SIN($BI122)^3-2*(cc_D/2)^3*($BI122-$BH122)/12/3*SUMPRODUCT($BW$4:$CI$4,$BW122:$CI122))+SUMPRODUCT($J$5:$AG$5,$J122:$AG122,$J$7:$AG$7))/1E6</f>
        <v/>
      </c>
      <c r="I122" s="67">
        <f>SUMPRODUCT($J$5:$AG$5,$J122:$AG122,$J$8:$AG$8)/1E6</f>
        <v/>
      </c>
      <c r="J122">
        <f>MAX(-fyd_cc,MIN(fyd_cc,Es_cc*IF($E122&lt;=cc_D,0.0035*($E122-J$6)/$E122,0.002*($E122-J$6)/($E122-3*cc_D/7))))-fcd_cc*(1-(1-MAX(0,MIN(1,IF($E122&lt;=cc_D,0.0035*($E122-J$6)/$E122,0.002*($E122-J$6)/($E122-3*cc_D/7))/0.002)))^2)</f>
        <v/>
      </c>
      <c r="K122">
        <f>MAX(-fyd_cc,MIN(fyd_cc,Es_cc*IF($E122&lt;=cc_D,0.0035*($E122-K$6)/$E122,0.002*($E122-K$6)/($E122-3*cc_D/7))))-fcd_cc*(1-(1-MAX(0,MIN(1,IF($E122&lt;=cc_D,0.0035*($E122-K$6)/$E122,0.002*($E122-K$6)/($E122-3*cc_D/7))/0.002)))^2)</f>
        <v/>
      </c>
      <c r="L122">
        <f>MAX(-fyd_cc,MIN(fyd_cc,Es_cc*IF($E122&lt;=cc_D,0.0035*($E122-L$6)/$E122,0.002*($E122-L$6)/($E122-3*cc_D/7))))-fcd_cc*(1-(1-MAX(0,MIN(1,IF($E122&lt;=cc_D,0.0035*($E122-L$6)/$E122,0.002*($E122-L$6)/($E122-3*cc_D/7))/0.002)))^2)</f>
        <v/>
      </c>
      <c r="M122">
        <f>MAX(-fyd_cc,MIN(fyd_cc,Es_cc*IF($E122&lt;=cc_D,0.0035*($E122-M$6)/$E122,0.002*($E122-M$6)/($E122-3*cc_D/7))))-fcd_cc*(1-(1-MAX(0,MIN(1,IF($E122&lt;=cc_D,0.0035*($E122-M$6)/$E122,0.002*($E122-M$6)/($E122-3*cc_D/7))/0.002)))^2)</f>
        <v/>
      </c>
      <c r="N122">
        <f>MAX(-fyd_cc,MIN(fyd_cc,Es_cc*IF($E122&lt;=cc_D,0.0035*($E122-N$6)/$E122,0.002*($E122-N$6)/($E122-3*cc_D/7))))-fcd_cc*(1-(1-MAX(0,MIN(1,IF($E122&lt;=cc_D,0.0035*($E122-N$6)/$E122,0.002*($E122-N$6)/($E122-3*cc_D/7))/0.002)))^2)</f>
        <v/>
      </c>
      <c r="O122">
        <f>MAX(-fyd_cc,MIN(fyd_cc,Es_cc*IF($E122&lt;=cc_D,0.0035*($E122-O$6)/$E122,0.002*($E122-O$6)/($E122-3*cc_D/7))))-fcd_cc*(1-(1-MAX(0,MIN(1,IF($E122&lt;=cc_D,0.0035*($E122-O$6)/$E122,0.002*($E122-O$6)/($E122-3*cc_D/7))/0.002)))^2)</f>
        <v/>
      </c>
      <c r="P122">
        <f>MAX(-fyd_cc,MIN(fyd_cc,Es_cc*IF($E122&lt;=cc_D,0.0035*($E122-P$6)/$E122,0.002*($E122-P$6)/($E122-3*cc_D/7))))-fcd_cc*(1-(1-MAX(0,MIN(1,IF($E122&lt;=cc_D,0.0035*($E122-P$6)/$E122,0.002*($E122-P$6)/($E122-3*cc_D/7))/0.002)))^2)</f>
        <v/>
      </c>
      <c r="Q122">
        <f>MAX(-fyd_cc,MIN(fyd_cc,Es_cc*IF($E122&lt;=cc_D,0.0035*($E122-Q$6)/$E122,0.002*($E122-Q$6)/($E122-3*cc_D/7))))-fcd_cc*(1-(1-MAX(0,MIN(1,IF($E122&lt;=cc_D,0.0035*($E122-Q$6)/$E122,0.002*($E122-Q$6)/($E122-3*cc_D/7))/0.002)))^2)</f>
        <v/>
      </c>
      <c r="R122">
        <f>MAX(-fyd_cc,MIN(fyd_cc,Es_cc*IF($E122&lt;=cc_D,0.0035*($E122-R$6)/$E122,0.002*($E122-R$6)/($E122-3*cc_D/7))))-fcd_cc*(1-(1-MAX(0,MIN(1,IF($E122&lt;=cc_D,0.0035*($E122-R$6)/$E122,0.002*($E122-R$6)/($E122-3*cc_D/7))/0.002)))^2)</f>
        <v/>
      </c>
      <c r="S122">
        <f>MAX(-fyd_cc,MIN(fyd_cc,Es_cc*IF($E122&lt;=cc_D,0.0035*($E122-S$6)/$E122,0.002*($E122-S$6)/($E122-3*cc_D/7))))-fcd_cc*(1-(1-MAX(0,MIN(1,IF($E122&lt;=cc_D,0.0035*($E122-S$6)/$E122,0.002*($E122-S$6)/($E122-3*cc_D/7))/0.002)))^2)</f>
        <v/>
      </c>
      <c r="T122">
        <f>MAX(-fyd_cc,MIN(fyd_cc,Es_cc*IF($E122&lt;=cc_D,0.0035*($E122-T$6)/$E122,0.002*($E122-T$6)/($E122-3*cc_D/7))))-fcd_cc*(1-(1-MAX(0,MIN(1,IF($E122&lt;=cc_D,0.0035*($E122-T$6)/$E122,0.002*($E122-T$6)/($E122-3*cc_D/7))/0.002)))^2)</f>
        <v/>
      </c>
      <c r="U122">
        <f>MAX(-fyd_cc,MIN(fyd_cc,Es_cc*IF($E122&lt;=cc_D,0.0035*($E122-U$6)/$E122,0.002*($E122-U$6)/($E122-3*cc_D/7))))-fcd_cc*(1-(1-MAX(0,MIN(1,IF($E122&lt;=cc_D,0.0035*($E122-U$6)/$E122,0.002*($E122-U$6)/($E122-3*cc_D/7))/0.002)))^2)</f>
        <v/>
      </c>
      <c r="V122">
        <f>MAX(-fyd_cc,MIN(fyd_cc,Es_cc*IF($E122&lt;=cc_D,0.0035*($E122-V$6)/$E122,0.002*($E122-V$6)/($E122-3*cc_D/7))))-fcd_cc*(1-(1-MAX(0,MIN(1,IF($E122&lt;=cc_D,0.0035*($E122-V$6)/$E122,0.002*($E122-V$6)/($E122-3*cc_D/7))/0.002)))^2)</f>
        <v/>
      </c>
      <c r="W122">
        <f>MAX(-fyd_cc,MIN(fyd_cc,Es_cc*IF($E122&lt;=cc_D,0.0035*($E122-W$6)/$E122,0.002*($E122-W$6)/($E122-3*cc_D/7))))-fcd_cc*(1-(1-MAX(0,MIN(1,IF($E122&lt;=cc_D,0.0035*($E122-W$6)/$E122,0.002*($E122-W$6)/($E122-3*cc_D/7))/0.002)))^2)</f>
        <v/>
      </c>
      <c r="X122">
        <f>MAX(-fyd_cc,MIN(fyd_cc,Es_cc*IF($E122&lt;=cc_D,0.0035*($E122-X$6)/$E122,0.002*($E122-X$6)/($E122-3*cc_D/7))))-fcd_cc*(1-(1-MAX(0,MIN(1,IF($E122&lt;=cc_D,0.0035*($E122-X$6)/$E122,0.002*($E122-X$6)/($E122-3*cc_D/7))/0.002)))^2)</f>
        <v/>
      </c>
      <c r="Y122">
        <f>MAX(-fyd_cc,MIN(fyd_cc,Es_cc*IF($E122&lt;=cc_D,0.0035*($E122-Y$6)/$E122,0.002*($E122-Y$6)/($E122-3*cc_D/7))))-fcd_cc*(1-(1-MAX(0,MIN(1,IF($E122&lt;=cc_D,0.0035*($E122-Y$6)/$E122,0.002*($E122-Y$6)/($E122-3*cc_D/7))/0.002)))^2)</f>
        <v/>
      </c>
      <c r="Z122">
        <f>MAX(-fyd_cc,MIN(fyd_cc,Es_cc*IF($E122&lt;=cc_D,0.0035*($E122-Z$6)/$E122,0.002*($E122-Z$6)/($E122-3*cc_D/7))))-fcd_cc*(1-(1-MAX(0,MIN(1,IF($E122&lt;=cc_D,0.0035*($E122-Z$6)/$E122,0.002*($E122-Z$6)/($E122-3*cc_D/7))/0.002)))^2)</f>
        <v/>
      </c>
      <c r="AA122">
        <f>MAX(-fyd_cc,MIN(fyd_cc,Es_cc*IF($E122&lt;=cc_D,0.0035*($E122-AA$6)/$E122,0.002*($E122-AA$6)/($E122-3*cc_D/7))))-fcd_cc*(1-(1-MAX(0,MIN(1,IF($E122&lt;=cc_D,0.0035*($E122-AA$6)/$E122,0.002*($E122-AA$6)/($E122-3*cc_D/7))/0.002)))^2)</f>
        <v/>
      </c>
      <c r="AB122">
        <f>MAX(-fyd_cc,MIN(fyd_cc,Es_cc*IF($E122&lt;=cc_D,0.0035*($E122-AB$6)/$E122,0.002*($E122-AB$6)/($E122-3*cc_D/7))))-fcd_cc*(1-(1-MAX(0,MIN(1,IF($E122&lt;=cc_D,0.0035*($E122-AB$6)/$E122,0.002*($E122-AB$6)/($E122-3*cc_D/7))/0.002)))^2)</f>
        <v/>
      </c>
      <c r="AC122">
        <f>MAX(-fyd_cc,MIN(fyd_cc,Es_cc*IF($E122&lt;=cc_D,0.0035*($E122-AC$6)/$E122,0.002*($E122-AC$6)/($E122-3*cc_D/7))))-fcd_cc*(1-(1-MAX(0,MIN(1,IF($E122&lt;=cc_D,0.0035*($E122-AC$6)/$E122,0.002*($E122-AC$6)/($E122-3*cc_D/7))/0.002)))^2)</f>
        <v/>
      </c>
      <c r="AD122">
        <f>MAX(-fyd_cc,MIN(fyd_cc,Es_cc*IF($E122&lt;=cc_D,0.0035*($E122-AD$6)/$E122,0.002*($E122-AD$6)/($E122-3*cc_D/7))))-fcd_cc*(1-(1-MAX(0,MIN(1,IF($E122&lt;=cc_D,0.0035*($E122-AD$6)/$E122,0.002*($E122-AD$6)/($E122-3*cc_D/7))/0.002)))^2)</f>
        <v/>
      </c>
      <c r="AE122">
        <f>MAX(-fyd_cc,MIN(fyd_cc,Es_cc*IF($E122&lt;=cc_D,0.0035*($E122-AE$6)/$E122,0.002*($E122-AE$6)/($E122-3*cc_D/7))))-fcd_cc*(1-(1-MAX(0,MIN(1,IF($E122&lt;=cc_D,0.0035*($E122-AE$6)/$E122,0.002*($E122-AE$6)/($E122-3*cc_D/7))/0.002)))^2)</f>
        <v/>
      </c>
      <c r="AF122">
        <f>MAX(-fyd_cc,MIN(fyd_cc,Es_cc*IF($E122&lt;=cc_D,0.0035*($E122-AF$6)/$E122,0.002*($E122-AF$6)/($E122-3*cc_D/7))))-fcd_cc*(1-(1-MAX(0,MIN(1,IF($E122&lt;=cc_D,0.0035*($E122-AF$6)/$E122,0.002*($E122-AF$6)/($E122-3*cc_D/7))/0.002)))^2)</f>
        <v/>
      </c>
      <c r="AG122">
        <f>MAX(-fyd_cc,MIN(fyd_cc,Es_cc*IF($E122&lt;=cc_D,0.0035*($E122-AG$6)/$E122,0.002*($E122-AG$6)/($E122-3*cc_D/7))))-fcd_cc*(1-(1-MAX(0,MIN(1,IF($E122&lt;=cc_D,0.0035*($E122-AG$6)/$E122,0.002*($E122-AG$6)/($E122-3*cc_D/7))/0.002)))^2)</f>
        <v/>
      </c>
      <c r="BF122">
        <f>3*MIN($E122,cc_D)/7</f>
        <v/>
      </c>
      <c r="BG122">
        <f>$E122-$BF122</f>
        <v/>
      </c>
      <c r="BH122">
        <f>ACOS(MAX(-1,MIN(1,1-$BF122/(cc_D/2))))</f>
        <v/>
      </c>
      <c r="BI122">
        <f>ACOS(MAX(-1,MIN(1,1-MIN($E122,cc_D)/(cc_D/2))))</f>
        <v/>
      </c>
      <c r="BJ122">
        <f>((cc_D/2*(1-COS(($BH122+0*($BI122-$BH122)/12)))-$BF122)/$BG122)^2*SIN(($BH122+0*($BI122-$BH122)/12))^2</f>
        <v/>
      </c>
      <c r="BK122">
        <f>((cc_D/2*(1-COS(($BH122+1*($BI122-$BH122)/12)))-$BF122)/$BG122)^2*SIN(($BH122+1*($BI122-$BH122)/12))^2</f>
        <v/>
      </c>
      <c r="BL122">
        <f>((cc_D/2*(1-COS(($BH122+2*($BI122-$BH122)/12)))-$BF122)/$BG122)^2*SIN(($BH122+2*($BI122-$BH122)/12))^2</f>
        <v/>
      </c>
      <c r="BM122">
        <f>((cc_D/2*(1-COS(($BH122+3*($BI122-$BH122)/12)))-$BF122)/$BG122)^2*SIN(($BH122+3*($BI122-$BH122)/12))^2</f>
        <v/>
      </c>
      <c r="BN122">
        <f>((cc_D/2*(1-COS(($BH122+4*($BI122-$BH122)/12)))-$BF122)/$BG122)^2*SIN(($BH122+4*($BI122-$BH122)/12))^2</f>
        <v/>
      </c>
      <c r="BO122">
        <f>((cc_D/2*(1-COS(($BH122+5*($BI122-$BH122)/12)))-$BF122)/$BG122)^2*SIN(($BH122+5*($BI122-$BH122)/12))^2</f>
        <v/>
      </c>
      <c r="BP122">
        <f>((cc_D/2*(1-COS(($BH122+6*($BI122-$BH122)/12)))-$BF122)/$BG122)^2*SIN(($BH122+6*($BI122-$BH122)/12))^2</f>
        <v/>
      </c>
      <c r="BQ122">
        <f>((cc_D/2*(1-COS(($BH122+7*($BI122-$BH122)/12)))-$BF122)/$BG122)^2*SIN(($BH122+7*($BI122-$BH122)/12))^2</f>
        <v/>
      </c>
      <c r="BR122">
        <f>((cc_D/2*(1-COS(($BH122+8*($BI122-$BH122)/12)))-$BF122)/$BG122)^2*SIN(($BH122+8*($BI122-$BH122)/12))^2</f>
        <v/>
      </c>
      <c r="BS122">
        <f>((cc_D/2*(1-COS(($BH122+9*($BI122-$BH122)/12)))-$BF122)/$BG122)^2*SIN(($BH122+9*($BI122-$BH122)/12))^2</f>
        <v/>
      </c>
      <c r="BT122">
        <f>((cc_D/2*(1-COS(($BH122+10*($BI122-$BH122)/12)))-$BF122)/$BG122)^2*SIN(($BH122+10*($BI122-$BH122)/12))^2</f>
        <v/>
      </c>
      <c r="BU122">
        <f>((cc_D/2*(1-COS(($BH122+11*($BI122-$BH122)/12)))-$BF122)/$BG122)^2*SIN(($BH122+11*($BI122-$BH122)/12))^2</f>
        <v/>
      </c>
      <c r="BV122">
        <f>((cc_D/2*(1-COS(($BH122+12*($BI122-$BH122)/12)))-$BF122)/$BG122)^2*SIN(($BH122+12*($BI122-$BH122)/12))^2</f>
        <v/>
      </c>
      <c r="BW122">
        <f>BJ122*COS(($BH122+0*($BI122-$BH122)/12))</f>
        <v/>
      </c>
      <c r="BX122">
        <f>BK122*COS(($BH122+1*($BI122-$BH122)/12))</f>
        <v/>
      </c>
      <c r="BY122">
        <f>BL122*COS(($BH122+2*($BI122-$BH122)/12))</f>
        <v/>
      </c>
      <c r="BZ122">
        <f>BM122*COS(($BH122+3*($BI122-$BH122)/12))</f>
        <v/>
      </c>
      <c r="CA122">
        <f>BN122*COS(($BH122+4*($BI122-$BH122)/12))</f>
        <v/>
      </c>
      <c r="CB122">
        <f>BO122*COS(($BH122+5*($BI122-$BH122)/12))</f>
        <v/>
      </c>
      <c r="CC122">
        <f>BP122*COS(($BH122+6*($BI122-$BH122)/12))</f>
        <v/>
      </c>
      <c r="CD122">
        <f>BQ122*COS(($BH122+7*($BI122-$BH122)/12))</f>
        <v/>
      </c>
      <c r="CE122">
        <f>BR122*COS(($BH122+8*($BI122-$BH122)/12))</f>
        <v/>
      </c>
      <c r="CF122">
        <f>BS122*COS(($BH122+9*($BI122-$BH122)/12))</f>
        <v/>
      </c>
      <c r="CG122">
        <f>BT122*COS(($BH122+10*($BI122-$BH122)/12))</f>
        <v/>
      </c>
      <c r="CH122">
        <f>BU122*COS(($BH122+11*($BI122-$BH122)/12))</f>
        <v/>
      </c>
      <c r="CI122">
        <f>BV122*COS(($BH122+12*($BI122-$BH122)/12))</f>
        <v/>
      </c>
    </row>
    <row r="123">
      <c r="B123" s="65" t="n">
        <v>34</v>
      </c>
      <c r="C123" s="66">
        <f>IF($G122&lt;cc_NEd-1E-9*ABS(cc_NEd),($C122+$D122)/2,$C122)</f>
        <v/>
      </c>
      <c r="D123" s="66">
        <f>IF($G122&lt;cc_NEd-1E-9*ABS(cc_NEd),$D122,($C122+$D122)/2)</f>
        <v/>
      </c>
      <c r="E123" s="67">
        <f>cc_D*(($C123+$D123)/2)/(1-(($C123+$D123)/2))</f>
        <v/>
      </c>
      <c r="F123" s="68">
        <f>IF($E123&lt;=cc_D,3.5,2*$E123/($E123-3*cc_D/7))</f>
        <v/>
      </c>
      <c r="G123" s="67">
        <f>(fcd_cc*((cc_D/2)^2*($BI123-COS($BI123)*SIN($BI123))-2*(cc_D/2)^2*($BI123-$BH123)/12/3*SUMPRODUCT($BJ$4:$BV$4,$BJ123:$BV123))+SUMPRODUCT($J$5:$AG$5,$J123:$AG123))/1000</f>
        <v/>
      </c>
      <c r="H123" s="67">
        <f>(fcd_cc*(2/3*(cc_D/2)^3*SIN($BI123)^3-2*(cc_D/2)^3*($BI123-$BH123)/12/3*SUMPRODUCT($BW$4:$CI$4,$BW123:$CI123))+SUMPRODUCT($J$5:$AG$5,$J123:$AG123,$J$7:$AG$7))/1E6</f>
        <v/>
      </c>
      <c r="I123" s="67">
        <f>SUMPRODUCT($J$5:$AG$5,$J123:$AG123,$J$8:$AG$8)/1E6</f>
        <v/>
      </c>
      <c r="J123">
        <f>MAX(-fyd_cc,MIN(fyd_cc,Es_cc*IF($E123&lt;=cc_D,0.0035*($E123-J$6)/$E123,0.002*($E123-J$6)/($E123-3*cc_D/7))))-fcd_cc*(1-(1-MAX(0,MIN(1,IF($E123&lt;=cc_D,0.0035*($E123-J$6)/$E123,0.002*($E123-J$6)/($E123-3*cc_D/7))/0.002)))^2)</f>
        <v/>
      </c>
      <c r="K123">
        <f>MAX(-fyd_cc,MIN(fyd_cc,Es_cc*IF($E123&lt;=cc_D,0.0035*($E123-K$6)/$E123,0.002*($E123-K$6)/($E123-3*cc_D/7))))-fcd_cc*(1-(1-MAX(0,MIN(1,IF($E123&lt;=cc_D,0.0035*($E123-K$6)/$E123,0.002*($E123-K$6)/($E123-3*cc_D/7))/0.002)))^2)</f>
        <v/>
      </c>
      <c r="L123">
        <f>MAX(-fyd_cc,MIN(fyd_cc,Es_cc*IF($E123&lt;=cc_D,0.0035*($E123-L$6)/$E123,0.002*($E123-L$6)/($E123-3*cc_D/7))))-fcd_cc*(1-(1-MAX(0,MIN(1,IF($E123&lt;=cc_D,0.0035*($E123-L$6)/$E123,0.002*($E123-L$6)/($E123-3*cc_D/7))/0.002)))^2)</f>
        <v/>
      </c>
      <c r="M123">
        <f>MAX(-fyd_cc,MIN(fyd_cc,Es_cc*IF($E123&lt;=cc_D,0.0035*($E123-M$6)/$E123,0.002*($E123-M$6)/($E123-3*cc_D/7))))-fcd_cc*(1-(1-MAX(0,MIN(1,IF($E123&lt;=cc_D,0.0035*($E123-M$6)/$E123,0.002*($E123-M$6)/($E123-3*cc_D/7))/0.002)))^2)</f>
        <v/>
      </c>
      <c r="N123">
        <f>MAX(-fyd_cc,MIN(fyd_cc,Es_cc*IF($E123&lt;=cc_D,0.0035*($E123-N$6)/$E123,0.002*($E123-N$6)/($E123-3*cc_D/7))))-fcd_cc*(1-(1-MAX(0,MIN(1,IF($E123&lt;=cc_D,0.0035*($E123-N$6)/$E123,0.002*($E123-N$6)/($E123-3*cc_D/7))/0.002)))^2)</f>
        <v/>
      </c>
      <c r="O123">
        <f>MAX(-fyd_cc,MIN(fyd_cc,Es_cc*IF($E123&lt;=cc_D,0.0035*($E123-O$6)/$E123,0.002*($E123-O$6)/($E123-3*cc_D/7))))-fcd_cc*(1-(1-MAX(0,MIN(1,IF($E123&lt;=cc_D,0.0035*($E123-O$6)/$E123,0.002*($E123-O$6)/($E123-3*cc_D/7))/0.002)))^2)</f>
        <v/>
      </c>
      <c r="P123">
        <f>MAX(-fyd_cc,MIN(fyd_cc,Es_cc*IF($E123&lt;=cc_D,0.0035*($E123-P$6)/$E123,0.002*($E123-P$6)/($E123-3*cc_D/7))))-fcd_cc*(1-(1-MAX(0,MIN(1,IF($E123&lt;=cc_D,0.0035*($E123-P$6)/$E123,0.002*($E123-P$6)/($E123-3*cc_D/7))/0.002)))^2)</f>
        <v/>
      </c>
      <c r="Q123">
        <f>MAX(-fyd_cc,MIN(fyd_cc,Es_cc*IF($E123&lt;=cc_D,0.0035*($E123-Q$6)/$E123,0.002*($E123-Q$6)/($E123-3*cc_D/7))))-fcd_cc*(1-(1-MAX(0,MIN(1,IF($E123&lt;=cc_D,0.0035*($E123-Q$6)/$E123,0.002*($E123-Q$6)/($E123-3*cc_D/7))/0.002)))^2)</f>
        <v/>
      </c>
      <c r="R123">
        <f>MAX(-fyd_cc,MIN(fyd_cc,Es_cc*IF($E123&lt;=cc_D,0.0035*($E123-R$6)/$E123,0.002*($E123-R$6)/($E123-3*cc_D/7))))-fcd_cc*(1-(1-MAX(0,MIN(1,IF($E123&lt;=cc_D,0.0035*($E123-R$6)/$E123,0.002*($E123-R$6)/($E123-3*cc_D/7))/0.002)))^2)</f>
        <v/>
      </c>
      <c r="S123">
        <f>MAX(-fyd_cc,MIN(fyd_cc,Es_cc*IF($E123&lt;=cc_D,0.0035*($E123-S$6)/$E123,0.002*($E123-S$6)/($E123-3*cc_D/7))))-fcd_cc*(1-(1-MAX(0,MIN(1,IF($E123&lt;=cc_D,0.0035*($E123-S$6)/$E123,0.002*($E123-S$6)/($E123-3*cc_D/7))/0.002)))^2)</f>
        <v/>
      </c>
      <c r="T123">
        <f>MAX(-fyd_cc,MIN(fyd_cc,Es_cc*IF($E123&lt;=cc_D,0.0035*($E123-T$6)/$E123,0.002*($E123-T$6)/($E123-3*cc_D/7))))-fcd_cc*(1-(1-MAX(0,MIN(1,IF($E123&lt;=cc_D,0.0035*($E123-T$6)/$E123,0.002*($E123-T$6)/($E123-3*cc_D/7))/0.002)))^2)</f>
        <v/>
      </c>
      <c r="U123">
        <f>MAX(-fyd_cc,MIN(fyd_cc,Es_cc*IF($E123&lt;=cc_D,0.0035*($E123-U$6)/$E123,0.002*($E123-U$6)/($E123-3*cc_D/7))))-fcd_cc*(1-(1-MAX(0,MIN(1,IF($E123&lt;=cc_D,0.0035*($E123-U$6)/$E123,0.002*($E123-U$6)/($E123-3*cc_D/7))/0.002)))^2)</f>
        <v/>
      </c>
      <c r="V123">
        <f>MAX(-fyd_cc,MIN(fyd_cc,Es_cc*IF($E123&lt;=cc_D,0.0035*($E123-V$6)/$E123,0.002*($E123-V$6)/($E123-3*cc_D/7))))-fcd_cc*(1-(1-MAX(0,MIN(1,IF($E123&lt;=cc_D,0.0035*($E123-V$6)/$E123,0.002*($E123-V$6)/($E123-3*cc_D/7))/0.002)))^2)</f>
        <v/>
      </c>
      <c r="W123">
        <f>MAX(-fyd_cc,MIN(fyd_cc,Es_cc*IF($E123&lt;=cc_D,0.0035*($E123-W$6)/$E123,0.002*($E123-W$6)/($E123-3*cc_D/7))))-fcd_cc*(1-(1-MAX(0,MIN(1,IF($E123&lt;=cc_D,0.0035*($E123-W$6)/$E123,0.002*($E123-W$6)/($E123-3*cc_D/7))/0.002)))^2)</f>
        <v/>
      </c>
      <c r="X123">
        <f>MAX(-fyd_cc,MIN(fyd_cc,Es_cc*IF($E123&lt;=cc_D,0.0035*($E123-X$6)/$E123,0.002*($E123-X$6)/($E123-3*cc_D/7))))-fcd_cc*(1-(1-MAX(0,MIN(1,IF($E123&lt;=cc_D,0.0035*($E123-X$6)/$E123,0.002*($E123-X$6)/($E123-3*cc_D/7))/0.002)))^2)</f>
        <v/>
      </c>
      <c r="Y123">
        <f>MAX(-fyd_cc,MIN(fyd_cc,Es_cc*IF($E123&lt;=cc_D,0.0035*($E123-Y$6)/$E123,0.002*($E123-Y$6)/($E123-3*cc_D/7))))-fcd_cc*(1-(1-MAX(0,MIN(1,IF($E123&lt;=cc_D,0.0035*($E123-Y$6)/$E123,0.002*($E123-Y$6)/($E123-3*cc_D/7))/0.002)))^2)</f>
        <v/>
      </c>
      <c r="Z123">
        <f>MAX(-fyd_cc,MIN(fyd_cc,Es_cc*IF($E123&lt;=cc_D,0.0035*($E123-Z$6)/$E123,0.002*($E123-Z$6)/($E123-3*cc_D/7))))-fcd_cc*(1-(1-MAX(0,MIN(1,IF($E123&lt;=cc_D,0.0035*($E123-Z$6)/$E123,0.002*($E123-Z$6)/($E123-3*cc_D/7))/0.002)))^2)</f>
        <v/>
      </c>
      <c r="AA123">
        <f>MAX(-fyd_cc,MIN(fyd_cc,Es_cc*IF($E123&lt;=cc_D,0.0035*($E123-AA$6)/$E123,0.002*($E123-AA$6)/($E123-3*cc_D/7))))-fcd_cc*(1-(1-MAX(0,MIN(1,IF($E123&lt;=cc_D,0.0035*($E123-AA$6)/$E123,0.002*($E123-AA$6)/($E123-3*cc_D/7))/0.002)))^2)</f>
        <v/>
      </c>
      <c r="AB123">
        <f>MAX(-fyd_cc,MIN(fyd_cc,Es_cc*IF($E123&lt;=cc_D,0.0035*($E123-AB$6)/$E123,0.002*($E123-AB$6)/($E123-3*cc_D/7))))-fcd_cc*(1-(1-MAX(0,MIN(1,IF($E123&lt;=cc_D,0.0035*($E123-AB$6)/$E123,0.002*($E123-AB$6)/($E123-3*cc_D/7))/0.002)))^2)</f>
        <v/>
      </c>
      <c r="AC123">
        <f>MAX(-fyd_cc,MIN(fyd_cc,Es_cc*IF($E123&lt;=cc_D,0.0035*($E123-AC$6)/$E123,0.002*($E123-AC$6)/($E123-3*cc_D/7))))-fcd_cc*(1-(1-MAX(0,MIN(1,IF($E123&lt;=cc_D,0.0035*($E123-AC$6)/$E123,0.002*($E123-AC$6)/($E123-3*cc_D/7))/0.002)))^2)</f>
        <v/>
      </c>
      <c r="AD123">
        <f>MAX(-fyd_cc,MIN(fyd_cc,Es_cc*IF($E123&lt;=cc_D,0.0035*($E123-AD$6)/$E123,0.002*($E123-AD$6)/($E123-3*cc_D/7))))-fcd_cc*(1-(1-MAX(0,MIN(1,IF($E123&lt;=cc_D,0.0035*($E123-AD$6)/$E123,0.002*($E123-AD$6)/($E123-3*cc_D/7))/0.002)))^2)</f>
        <v/>
      </c>
      <c r="AE123">
        <f>MAX(-fyd_cc,MIN(fyd_cc,Es_cc*IF($E123&lt;=cc_D,0.0035*($E123-AE$6)/$E123,0.002*($E123-AE$6)/($E123-3*cc_D/7))))-fcd_cc*(1-(1-MAX(0,MIN(1,IF($E123&lt;=cc_D,0.0035*($E123-AE$6)/$E123,0.002*($E123-AE$6)/($E123-3*cc_D/7))/0.002)))^2)</f>
        <v/>
      </c>
      <c r="AF123">
        <f>MAX(-fyd_cc,MIN(fyd_cc,Es_cc*IF($E123&lt;=cc_D,0.0035*($E123-AF$6)/$E123,0.002*($E123-AF$6)/($E123-3*cc_D/7))))-fcd_cc*(1-(1-MAX(0,MIN(1,IF($E123&lt;=cc_D,0.0035*($E123-AF$6)/$E123,0.002*($E123-AF$6)/($E123-3*cc_D/7))/0.002)))^2)</f>
        <v/>
      </c>
      <c r="AG123">
        <f>MAX(-fyd_cc,MIN(fyd_cc,Es_cc*IF($E123&lt;=cc_D,0.0035*($E123-AG$6)/$E123,0.002*($E123-AG$6)/($E123-3*cc_D/7))))-fcd_cc*(1-(1-MAX(0,MIN(1,IF($E123&lt;=cc_D,0.0035*($E123-AG$6)/$E123,0.002*($E123-AG$6)/($E123-3*cc_D/7))/0.002)))^2)</f>
        <v/>
      </c>
      <c r="BF123">
        <f>3*MIN($E123,cc_D)/7</f>
        <v/>
      </c>
      <c r="BG123">
        <f>$E123-$BF123</f>
        <v/>
      </c>
      <c r="BH123">
        <f>ACOS(MAX(-1,MIN(1,1-$BF123/(cc_D/2))))</f>
        <v/>
      </c>
      <c r="BI123">
        <f>ACOS(MAX(-1,MIN(1,1-MIN($E123,cc_D)/(cc_D/2))))</f>
        <v/>
      </c>
      <c r="BJ123">
        <f>((cc_D/2*(1-COS(($BH123+0*($BI123-$BH123)/12)))-$BF123)/$BG123)^2*SIN(($BH123+0*($BI123-$BH123)/12))^2</f>
        <v/>
      </c>
      <c r="BK123">
        <f>((cc_D/2*(1-COS(($BH123+1*($BI123-$BH123)/12)))-$BF123)/$BG123)^2*SIN(($BH123+1*($BI123-$BH123)/12))^2</f>
        <v/>
      </c>
      <c r="BL123">
        <f>((cc_D/2*(1-COS(($BH123+2*($BI123-$BH123)/12)))-$BF123)/$BG123)^2*SIN(($BH123+2*($BI123-$BH123)/12))^2</f>
        <v/>
      </c>
      <c r="BM123">
        <f>((cc_D/2*(1-COS(($BH123+3*($BI123-$BH123)/12)))-$BF123)/$BG123)^2*SIN(($BH123+3*($BI123-$BH123)/12))^2</f>
        <v/>
      </c>
      <c r="BN123">
        <f>((cc_D/2*(1-COS(($BH123+4*($BI123-$BH123)/12)))-$BF123)/$BG123)^2*SIN(($BH123+4*($BI123-$BH123)/12))^2</f>
        <v/>
      </c>
      <c r="BO123">
        <f>((cc_D/2*(1-COS(($BH123+5*($BI123-$BH123)/12)))-$BF123)/$BG123)^2*SIN(($BH123+5*($BI123-$BH123)/12))^2</f>
        <v/>
      </c>
      <c r="BP123">
        <f>((cc_D/2*(1-COS(($BH123+6*($BI123-$BH123)/12)))-$BF123)/$BG123)^2*SIN(($BH123+6*($BI123-$BH123)/12))^2</f>
        <v/>
      </c>
      <c r="BQ123">
        <f>((cc_D/2*(1-COS(($BH123+7*($BI123-$BH123)/12)))-$BF123)/$BG123)^2*SIN(($BH123+7*($BI123-$BH123)/12))^2</f>
        <v/>
      </c>
      <c r="BR123">
        <f>((cc_D/2*(1-COS(($BH123+8*($BI123-$BH123)/12)))-$BF123)/$BG123)^2*SIN(($BH123+8*($BI123-$BH123)/12))^2</f>
        <v/>
      </c>
      <c r="BS123">
        <f>((cc_D/2*(1-COS(($BH123+9*($BI123-$BH123)/12)))-$BF123)/$BG123)^2*SIN(($BH123+9*($BI123-$BH123)/12))^2</f>
        <v/>
      </c>
      <c r="BT123">
        <f>((cc_D/2*(1-COS(($BH123+10*($BI123-$BH123)/12)))-$BF123)/$BG123)^2*SIN(($BH123+10*($BI123-$BH123)/12))^2</f>
        <v/>
      </c>
      <c r="BU123">
        <f>((cc_D/2*(1-COS(($BH123+11*($BI123-$BH123)/12)))-$BF123)/$BG123)^2*SIN(($BH123+11*($BI123-$BH123)/12))^2</f>
        <v/>
      </c>
      <c r="BV123">
        <f>((cc_D/2*(1-COS(($BH123+12*($BI123-$BH123)/12)))-$BF123)/$BG123)^2*SIN(($BH123+12*($BI123-$BH123)/12))^2</f>
        <v/>
      </c>
      <c r="BW123">
        <f>BJ123*COS(($BH123+0*($BI123-$BH123)/12))</f>
        <v/>
      </c>
      <c r="BX123">
        <f>BK123*COS(($BH123+1*($BI123-$BH123)/12))</f>
        <v/>
      </c>
      <c r="BY123">
        <f>BL123*COS(($BH123+2*($BI123-$BH123)/12))</f>
        <v/>
      </c>
      <c r="BZ123">
        <f>BM123*COS(($BH123+3*($BI123-$BH123)/12))</f>
        <v/>
      </c>
      <c r="CA123">
        <f>BN123*COS(($BH123+4*($BI123-$BH123)/12))</f>
        <v/>
      </c>
      <c r="CB123">
        <f>BO123*COS(($BH123+5*($BI123-$BH123)/12))</f>
        <v/>
      </c>
      <c r="CC123">
        <f>BP123*COS(($BH123+6*($BI123-$BH123)/12))</f>
        <v/>
      </c>
      <c r="CD123">
        <f>BQ123*COS(($BH123+7*($BI123-$BH123)/12))</f>
        <v/>
      </c>
      <c r="CE123">
        <f>BR123*COS(($BH123+8*($BI123-$BH123)/12))</f>
        <v/>
      </c>
      <c r="CF123">
        <f>BS123*COS(($BH123+9*($BI123-$BH123)/12))</f>
        <v/>
      </c>
      <c r="CG123">
        <f>BT123*COS(($BH123+10*($BI123-$BH123)/12))</f>
        <v/>
      </c>
      <c r="CH123">
        <f>BU123*COS(($BH123+11*($BI123-$BH123)/12))</f>
        <v/>
      </c>
      <c r="CI123">
        <f>BV123*COS(($BH123+12*($BI123-$BH123)/12))</f>
        <v/>
      </c>
    </row>
    <row r="124">
      <c r="B124" s="65" t="n">
        <v>35</v>
      </c>
      <c r="C124" s="66">
        <f>IF($G123&lt;cc_NEd-1E-9*ABS(cc_NEd),($C123+$D123)/2,$C123)</f>
        <v/>
      </c>
      <c r="D124" s="66">
        <f>IF($G123&lt;cc_NEd-1E-9*ABS(cc_NEd),$D123,($C123+$D123)/2)</f>
        <v/>
      </c>
      <c r="E124" s="67">
        <f>cc_D*(($C124+$D124)/2)/(1-(($C124+$D124)/2))</f>
        <v/>
      </c>
      <c r="F124" s="68">
        <f>IF($E124&lt;=cc_D,3.5,2*$E124/($E124-3*cc_D/7))</f>
        <v/>
      </c>
      <c r="G124" s="67">
        <f>(fcd_cc*((cc_D/2)^2*($BI124-COS($BI124)*SIN($BI124))-2*(cc_D/2)^2*($BI124-$BH124)/12/3*SUMPRODUCT($BJ$4:$BV$4,$BJ124:$BV124))+SUMPRODUCT($J$5:$AG$5,$J124:$AG124))/1000</f>
        <v/>
      </c>
      <c r="H124" s="67">
        <f>(fcd_cc*(2/3*(cc_D/2)^3*SIN($BI124)^3-2*(cc_D/2)^3*($BI124-$BH124)/12/3*SUMPRODUCT($BW$4:$CI$4,$BW124:$CI124))+SUMPRODUCT($J$5:$AG$5,$J124:$AG124,$J$7:$AG$7))/1E6</f>
        <v/>
      </c>
      <c r="I124" s="67">
        <f>SUMPRODUCT($J$5:$AG$5,$J124:$AG124,$J$8:$AG$8)/1E6</f>
        <v/>
      </c>
      <c r="J124">
        <f>MAX(-fyd_cc,MIN(fyd_cc,Es_cc*IF($E124&lt;=cc_D,0.0035*($E124-J$6)/$E124,0.002*($E124-J$6)/($E124-3*cc_D/7))))-fcd_cc*(1-(1-MAX(0,MIN(1,IF($E124&lt;=cc_D,0.0035*($E124-J$6)/$E124,0.002*($E124-J$6)/($E124-3*cc_D/7))/0.002)))^2)</f>
        <v/>
      </c>
      <c r="K124">
        <f>MAX(-fyd_cc,MIN(fyd_cc,Es_cc*IF($E124&lt;=cc_D,0.0035*($E124-K$6)/$E124,0.002*($E124-K$6)/($E124-3*cc_D/7))))-fcd_cc*(1-(1-MAX(0,MIN(1,IF($E124&lt;=cc_D,0.0035*($E124-K$6)/$E124,0.002*($E124-K$6)/($E124-3*cc_D/7))/0.002)))^2)</f>
        <v/>
      </c>
      <c r="L124">
        <f>MAX(-fyd_cc,MIN(fyd_cc,Es_cc*IF($E124&lt;=cc_D,0.0035*($E124-L$6)/$E124,0.002*($E124-L$6)/($E124-3*cc_D/7))))-fcd_cc*(1-(1-MAX(0,MIN(1,IF($E124&lt;=cc_D,0.0035*($E124-L$6)/$E124,0.002*($E124-L$6)/($E124-3*cc_D/7))/0.002)))^2)</f>
        <v/>
      </c>
      <c r="M124">
        <f>MAX(-fyd_cc,MIN(fyd_cc,Es_cc*IF($E124&lt;=cc_D,0.0035*($E124-M$6)/$E124,0.002*($E124-M$6)/($E124-3*cc_D/7))))-fcd_cc*(1-(1-MAX(0,MIN(1,IF($E124&lt;=cc_D,0.0035*($E124-M$6)/$E124,0.002*($E124-M$6)/($E124-3*cc_D/7))/0.002)))^2)</f>
        <v/>
      </c>
      <c r="N124">
        <f>MAX(-fyd_cc,MIN(fyd_cc,Es_cc*IF($E124&lt;=cc_D,0.0035*($E124-N$6)/$E124,0.002*($E124-N$6)/($E124-3*cc_D/7))))-fcd_cc*(1-(1-MAX(0,MIN(1,IF($E124&lt;=cc_D,0.0035*($E124-N$6)/$E124,0.002*($E124-N$6)/($E124-3*cc_D/7))/0.002)))^2)</f>
        <v/>
      </c>
      <c r="O124">
        <f>MAX(-fyd_cc,MIN(fyd_cc,Es_cc*IF($E124&lt;=cc_D,0.0035*($E124-O$6)/$E124,0.002*($E124-O$6)/($E124-3*cc_D/7))))-fcd_cc*(1-(1-MAX(0,MIN(1,IF($E124&lt;=cc_D,0.0035*($E124-O$6)/$E124,0.002*($E124-O$6)/($E124-3*cc_D/7))/0.002)))^2)</f>
        <v/>
      </c>
      <c r="P124">
        <f>MAX(-fyd_cc,MIN(fyd_cc,Es_cc*IF($E124&lt;=cc_D,0.0035*($E124-P$6)/$E124,0.002*($E124-P$6)/($E124-3*cc_D/7))))-fcd_cc*(1-(1-MAX(0,MIN(1,IF($E124&lt;=cc_D,0.0035*($E124-P$6)/$E124,0.002*($E124-P$6)/($E124-3*cc_D/7))/0.002)))^2)</f>
        <v/>
      </c>
      <c r="Q124">
        <f>MAX(-fyd_cc,MIN(fyd_cc,Es_cc*IF($E124&lt;=cc_D,0.0035*($E124-Q$6)/$E124,0.002*($E124-Q$6)/($E124-3*cc_D/7))))-fcd_cc*(1-(1-MAX(0,MIN(1,IF($E124&lt;=cc_D,0.0035*($E124-Q$6)/$E124,0.002*($E124-Q$6)/($E124-3*cc_D/7))/0.002)))^2)</f>
        <v/>
      </c>
      <c r="R124">
        <f>MAX(-fyd_cc,MIN(fyd_cc,Es_cc*IF($E124&lt;=cc_D,0.0035*($E124-R$6)/$E124,0.002*($E124-R$6)/($E124-3*cc_D/7))))-fcd_cc*(1-(1-MAX(0,MIN(1,IF($E124&lt;=cc_D,0.0035*($E124-R$6)/$E124,0.002*($E124-R$6)/($E124-3*cc_D/7))/0.002)))^2)</f>
        <v/>
      </c>
      <c r="S124">
        <f>MAX(-fyd_cc,MIN(fyd_cc,Es_cc*IF($E124&lt;=cc_D,0.0035*($E124-S$6)/$E124,0.002*($E124-S$6)/($E124-3*cc_D/7))))-fcd_cc*(1-(1-MAX(0,MIN(1,IF($E124&lt;=cc_D,0.0035*($E124-S$6)/$E124,0.002*($E124-S$6)/($E124-3*cc_D/7))/0.002)))^2)</f>
        <v/>
      </c>
      <c r="T124">
        <f>MAX(-fyd_cc,MIN(fyd_cc,Es_cc*IF($E124&lt;=cc_D,0.0035*($E124-T$6)/$E124,0.002*($E124-T$6)/($E124-3*cc_D/7))))-fcd_cc*(1-(1-MAX(0,MIN(1,IF($E124&lt;=cc_D,0.0035*($E124-T$6)/$E124,0.002*($E124-T$6)/($E124-3*cc_D/7))/0.002)))^2)</f>
        <v/>
      </c>
      <c r="U124">
        <f>MAX(-fyd_cc,MIN(fyd_cc,Es_cc*IF($E124&lt;=cc_D,0.0035*($E124-U$6)/$E124,0.002*($E124-U$6)/($E124-3*cc_D/7))))-fcd_cc*(1-(1-MAX(0,MIN(1,IF($E124&lt;=cc_D,0.0035*($E124-U$6)/$E124,0.002*($E124-U$6)/($E124-3*cc_D/7))/0.002)))^2)</f>
        <v/>
      </c>
      <c r="V124">
        <f>MAX(-fyd_cc,MIN(fyd_cc,Es_cc*IF($E124&lt;=cc_D,0.0035*($E124-V$6)/$E124,0.002*($E124-V$6)/($E124-3*cc_D/7))))-fcd_cc*(1-(1-MAX(0,MIN(1,IF($E124&lt;=cc_D,0.0035*($E124-V$6)/$E124,0.002*($E124-V$6)/($E124-3*cc_D/7))/0.002)))^2)</f>
        <v/>
      </c>
      <c r="W124">
        <f>MAX(-fyd_cc,MIN(fyd_cc,Es_cc*IF($E124&lt;=cc_D,0.0035*($E124-W$6)/$E124,0.002*($E124-W$6)/($E124-3*cc_D/7))))-fcd_cc*(1-(1-MAX(0,MIN(1,IF($E124&lt;=cc_D,0.0035*($E124-W$6)/$E124,0.002*($E124-W$6)/($E124-3*cc_D/7))/0.002)))^2)</f>
        <v/>
      </c>
      <c r="X124">
        <f>MAX(-fyd_cc,MIN(fyd_cc,Es_cc*IF($E124&lt;=cc_D,0.0035*($E124-X$6)/$E124,0.002*($E124-X$6)/($E124-3*cc_D/7))))-fcd_cc*(1-(1-MAX(0,MIN(1,IF($E124&lt;=cc_D,0.0035*($E124-X$6)/$E124,0.002*($E124-X$6)/($E124-3*cc_D/7))/0.002)))^2)</f>
        <v/>
      </c>
      <c r="Y124">
        <f>MAX(-fyd_cc,MIN(fyd_cc,Es_cc*IF($E124&lt;=cc_D,0.0035*($E124-Y$6)/$E124,0.002*($E124-Y$6)/($E124-3*cc_D/7))))-fcd_cc*(1-(1-MAX(0,MIN(1,IF($E124&lt;=cc_D,0.0035*($E124-Y$6)/$E124,0.002*($E124-Y$6)/($E124-3*cc_D/7))/0.002)))^2)</f>
        <v/>
      </c>
      <c r="Z124">
        <f>MAX(-fyd_cc,MIN(fyd_cc,Es_cc*IF($E124&lt;=cc_D,0.0035*($E124-Z$6)/$E124,0.002*($E124-Z$6)/($E124-3*cc_D/7))))-fcd_cc*(1-(1-MAX(0,MIN(1,IF($E124&lt;=cc_D,0.0035*($E124-Z$6)/$E124,0.002*($E124-Z$6)/($E124-3*cc_D/7))/0.002)))^2)</f>
        <v/>
      </c>
      <c r="AA124">
        <f>MAX(-fyd_cc,MIN(fyd_cc,Es_cc*IF($E124&lt;=cc_D,0.0035*($E124-AA$6)/$E124,0.002*($E124-AA$6)/($E124-3*cc_D/7))))-fcd_cc*(1-(1-MAX(0,MIN(1,IF($E124&lt;=cc_D,0.0035*($E124-AA$6)/$E124,0.002*($E124-AA$6)/($E124-3*cc_D/7))/0.002)))^2)</f>
        <v/>
      </c>
      <c r="AB124">
        <f>MAX(-fyd_cc,MIN(fyd_cc,Es_cc*IF($E124&lt;=cc_D,0.0035*($E124-AB$6)/$E124,0.002*($E124-AB$6)/($E124-3*cc_D/7))))-fcd_cc*(1-(1-MAX(0,MIN(1,IF($E124&lt;=cc_D,0.0035*($E124-AB$6)/$E124,0.002*($E124-AB$6)/($E124-3*cc_D/7))/0.002)))^2)</f>
        <v/>
      </c>
      <c r="AC124">
        <f>MAX(-fyd_cc,MIN(fyd_cc,Es_cc*IF($E124&lt;=cc_D,0.0035*($E124-AC$6)/$E124,0.002*($E124-AC$6)/($E124-3*cc_D/7))))-fcd_cc*(1-(1-MAX(0,MIN(1,IF($E124&lt;=cc_D,0.0035*($E124-AC$6)/$E124,0.002*($E124-AC$6)/($E124-3*cc_D/7))/0.002)))^2)</f>
        <v/>
      </c>
      <c r="AD124">
        <f>MAX(-fyd_cc,MIN(fyd_cc,Es_cc*IF($E124&lt;=cc_D,0.0035*($E124-AD$6)/$E124,0.002*($E124-AD$6)/($E124-3*cc_D/7))))-fcd_cc*(1-(1-MAX(0,MIN(1,IF($E124&lt;=cc_D,0.0035*($E124-AD$6)/$E124,0.002*($E124-AD$6)/($E124-3*cc_D/7))/0.002)))^2)</f>
        <v/>
      </c>
      <c r="AE124">
        <f>MAX(-fyd_cc,MIN(fyd_cc,Es_cc*IF($E124&lt;=cc_D,0.0035*($E124-AE$6)/$E124,0.002*($E124-AE$6)/($E124-3*cc_D/7))))-fcd_cc*(1-(1-MAX(0,MIN(1,IF($E124&lt;=cc_D,0.0035*($E124-AE$6)/$E124,0.002*($E124-AE$6)/($E124-3*cc_D/7))/0.002)))^2)</f>
        <v/>
      </c>
      <c r="AF124">
        <f>MAX(-fyd_cc,MIN(fyd_cc,Es_cc*IF($E124&lt;=cc_D,0.0035*($E124-AF$6)/$E124,0.002*($E124-AF$6)/($E124-3*cc_D/7))))-fcd_cc*(1-(1-MAX(0,MIN(1,IF($E124&lt;=cc_D,0.0035*($E124-AF$6)/$E124,0.002*($E124-AF$6)/($E124-3*cc_D/7))/0.002)))^2)</f>
        <v/>
      </c>
      <c r="AG124">
        <f>MAX(-fyd_cc,MIN(fyd_cc,Es_cc*IF($E124&lt;=cc_D,0.0035*($E124-AG$6)/$E124,0.002*($E124-AG$6)/($E124-3*cc_D/7))))-fcd_cc*(1-(1-MAX(0,MIN(1,IF($E124&lt;=cc_D,0.0035*($E124-AG$6)/$E124,0.002*($E124-AG$6)/($E124-3*cc_D/7))/0.002)))^2)</f>
        <v/>
      </c>
      <c r="BF124">
        <f>3*MIN($E124,cc_D)/7</f>
        <v/>
      </c>
      <c r="BG124">
        <f>$E124-$BF124</f>
        <v/>
      </c>
      <c r="BH124">
        <f>ACOS(MAX(-1,MIN(1,1-$BF124/(cc_D/2))))</f>
        <v/>
      </c>
      <c r="BI124">
        <f>ACOS(MAX(-1,MIN(1,1-MIN($E124,cc_D)/(cc_D/2))))</f>
        <v/>
      </c>
      <c r="BJ124">
        <f>((cc_D/2*(1-COS(($BH124+0*($BI124-$BH124)/12)))-$BF124)/$BG124)^2*SIN(($BH124+0*($BI124-$BH124)/12))^2</f>
        <v/>
      </c>
      <c r="BK124">
        <f>((cc_D/2*(1-COS(($BH124+1*($BI124-$BH124)/12)))-$BF124)/$BG124)^2*SIN(($BH124+1*($BI124-$BH124)/12))^2</f>
        <v/>
      </c>
      <c r="BL124">
        <f>((cc_D/2*(1-COS(($BH124+2*($BI124-$BH124)/12)))-$BF124)/$BG124)^2*SIN(($BH124+2*($BI124-$BH124)/12))^2</f>
        <v/>
      </c>
      <c r="BM124">
        <f>((cc_D/2*(1-COS(($BH124+3*($BI124-$BH124)/12)))-$BF124)/$BG124)^2*SIN(($BH124+3*($BI124-$BH124)/12))^2</f>
        <v/>
      </c>
      <c r="BN124">
        <f>((cc_D/2*(1-COS(($BH124+4*($BI124-$BH124)/12)))-$BF124)/$BG124)^2*SIN(($BH124+4*($BI124-$BH124)/12))^2</f>
        <v/>
      </c>
      <c r="BO124">
        <f>((cc_D/2*(1-COS(($BH124+5*($BI124-$BH124)/12)))-$BF124)/$BG124)^2*SIN(($BH124+5*($BI124-$BH124)/12))^2</f>
        <v/>
      </c>
      <c r="BP124">
        <f>((cc_D/2*(1-COS(($BH124+6*($BI124-$BH124)/12)))-$BF124)/$BG124)^2*SIN(($BH124+6*($BI124-$BH124)/12))^2</f>
        <v/>
      </c>
      <c r="BQ124">
        <f>((cc_D/2*(1-COS(($BH124+7*($BI124-$BH124)/12)))-$BF124)/$BG124)^2*SIN(($BH124+7*($BI124-$BH124)/12))^2</f>
        <v/>
      </c>
      <c r="BR124">
        <f>((cc_D/2*(1-COS(($BH124+8*($BI124-$BH124)/12)))-$BF124)/$BG124)^2*SIN(($BH124+8*($BI124-$BH124)/12))^2</f>
        <v/>
      </c>
      <c r="BS124">
        <f>((cc_D/2*(1-COS(($BH124+9*($BI124-$BH124)/12)))-$BF124)/$BG124)^2*SIN(($BH124+9*($BI124-$BH124)/12))^2</f>
        <v/>
      </c>
      <c r="BT124">
        <f>((cc_D/2*(1-COS(($BH124+10*($BI124-$BH124)/12)))-$BF124)/$BG124)^2*SIN(($BH124+10*($BI124-$BH124)/12))^2</f>
        <v/>
      </c>
      <c r="BU124">
        <f>((cc_D/2*(1-COS(($BH124+11*($BI124-$BH124)/12)))-$BF124)/$BG124)^2*SIN(($BH124+11*($BI124-$BH124)/12))^2</f>
        <v/>
      </c>
      <c r="BV124">
        <f>((cc_D/2*(1-COS(($BH124+12*($BI124-$BH124)/12)))-$BF124)/$BG124)^2*SIN(($BH124+12*($BI124-$BH124)/12))^2</f>
        <v/>
      </c>
      <c r="BW124">
        <f>BJ124*COS(($BH124+0*($BI124-$BH124)/12))</f>
        <v/>
      </c>
      <c r="BX124">
        <f>BK124*COS(($BH124+1*($BI124-$BH124)/12))</f>
        <v/>
      </c>
      <c r="BY124">
        <f>BL124*COS(($BH124+2*($BI124-$BH124)/12))</f>
        <v/>
      </c>
      <c r="BZ124">
        <f>BM124*COS(($BH124+3*($BI124-$BH124)/12))</f>
        <v/>
      </c>
      <c r="CA124">
        <f>BN124*COS(($BH124+4*($BI124-$BH124)/12))</f>
        <v/>
      </c>
      <c r="CB124">
        <f>BO124*COS(($BH124+5*($BI124-$BH124)/12))</f>
        <v/>
      </c>
      <c r="CC124">
        <f>BP124*COS(($BH124+6*($BI124-$BH124)/12))</f>
        <v/>
      </c>
      <c r="CD124">
        <f>BQ124*COS(($BH124+7*($BI124-$BH124)/12))</f>
        <v/>
      </c>
      <c r="CE124">
        <f>BR124*COS(($BH124+8*($BI124-$BH124)/12))</f>
        <v/>
      </c>
      <c r="CF124">
        <f>BS124*COS(($BH124+9*($BI124-$BH124)/12))</f>
        <v/>
      </c>
      <c r="CG124">
        <f>BT124*COS(($BH124+10*($BI124-$BH124)/12))</f>
        <v/>
      </c>
      <c r="CH124">
        <f>BU124*COS(($BH124+11*($BI124-$BH124)/12))</f>
        <v/>
      </c>
      <c r="CI124">
        <f>BV124*COS(($BH124+12*($BI124-$BH124)/12))</f>
        <v/>
      </c>
    </row>
    <row r="125">
      <c r="B125" s="65" t="n">
        <v>36</v>
      </c>
      <c r="C125" s="66">
        <f>IF($G124&lt;cc_NEd-1E-9*ABS(cc_NEd),($C124+$D124)/2,$C124)</f>
        <v/>
      </c>
      <c r="D125" s="66">
        <f>IF($G124&lt;cc_NEd-1E-9*ABS(cc_NEd),$D124,($C124+$D124)/2)</f>
        <v/>
      </c>
      <c r="E125" s="67">
        <f>cc_D*(($C125+$D125)/2)/(1-(($C125+$D125)/2))</f>
        <v/>
      </c>
      <c r="F125" s="68">
        <f>IF($E125&lt;=cc_D,3.5,2*$E125/($E125-3*cc_D/7))</f>
        <v/>
      </c>
      <c r="G125" s="67">
        <f>(fcd_cc*((cc_D/2)^2*($BI125-COS($BI125)*SIN($BI125))-2*(cc_D/2)^2*($BI125-$BH125)/12/3*SUMPRODUCT($BJ$4:$BV$4,$BJ125:$BV125))+SUMPRODUCT($J$5:$AG$5,$J125:$AG125))/1000</f>
        <v/>
      </c>
      <c r="H125" s="67">
        <f>(fcd_cc*(2/3*(cc_D/2)^3*SIN($BI125)^3-2*(cc_D/2)^3*($BI125-$BH125)/12/3*SUMPRODUCT($BW$4:$CI$4,$BW125:$CI125))+SUMPRODUCT($J$5:$AG$5,$J125:$AG125,$J$7:$AG$7))/1E6</f>
        <v/>
      </c>
      <c r="I125" s="67">
        <f>SUMPRODUCT($J$5:$AG$5,$J125:$AG125,$J$8:$AG$8)/1E6</f>
        <v/>
      </c>
      <c r="J125">
        <f>MAX(-fyd_cc,MIN(fyd_cc,Es_cc*IF($E125&lt;=cc_D,0.0035*($E125-J$6)/$E125,0.002*($E125-J$6)/($E125-3*cc_D/7))))-fcd_cc*(1-(1-MAX(0,MIN(1,IF($E125&lt;=cc_D,0.0035*($E125-J$6)/$E125,0.002*($E125-J$6)/($E125-3*cc_D/7))/0.002)))^2)</f>
        <v/>
      </c>
      <c r="K125">
        <f>MAX(-fyd_cc,MIN(fyd_cc,Es_cc*IF($E125&lt;=cc_D,0.0035*($E125-K$6)/$E125,0.002*($E125-K$6)/($E125-3*cc_D/7))))-fcd_cc*(1-(1-MAX(0,MIN(1,IF($E125&lt;=cc_D,0.0035*($E125-K$6)/$E125,0.002*($E125-K$6)/($E125-3*cc_D/7))/0.002)))^2)</f>
        <v/>
      </c>
      <c r="L125">
        <f>MAX(-fyd_cc,MIN(fyd_cc,Es_cc*IF($E125&lt;=cc_D,0.0035*($E125-L$6)/$E125,0.002*($E125-L$6)/($E125-3*cc_D/7))))-fcd_cc*(1-(1-MAX(0,MIN(1,IF($E125&lt;=cc_D,0.0035*($E125-L$6)/$E125,0.002*($E125-L$6)/($E125-3*cc_D/7))/0.002)))^2)</f>
        <v/>
      </c>
      <c r="M125">
        <f>MAX(-fyd_cc,MIN(fyd_cc,Es_cc*IF($E125&lt;=cc_D,0.0035*($E125-M$6)/$E125,0.002*($E125-M$6)/($E125-3*cc_D/7))))-fcd_cc*(1-(1-MAX(0,MIN(1,IF($E125&lt;=cc_D,0.0035*($E125-M$6)/$E125,0.002*($E125-M$6)/($E125-3*cc_D/7))/0.002)))^2)</f>
        <v/>
      </c>
      <c r="N125">
        <f>MAX(-fyd_cc,MIN(fyd_cc,Es_cc*IF($E125&lt;=cc_D,0.0035*($E125-N$6)/$E125,0.002*($E125-N$6)/($E125-3*cc_D/7))))-fcd_cc*(1-(1-MAX(0,MIN(1,IF($E125&lt;=cc_D,0.0035*($E125-N$6)/$E125,0.002*($E125-N$6)/($E125-3*cc_D/7))/0.002)))^2)</f>
        <v/>
      </c>
      <c r="O125">
        <f>MAX(-fyd_cc,MIN(fyd_cc,Es_cc*IF($E125&lt;=cc_D,0.0035*($E125-O$6)/$E125,0.002*($E125-O$6)/($E125-3*cc_D/7))))-fcd_cc*(1-(1-MAX(0,MIN(1,IF($E125&lt;=cc_D,0.0035*($E125-O$6)/$E125,0.002*($E125-O$6)/($E125-3*cc_D/7))/0.002)))^2)</f>
        <v/>
      </c>
      <c r="P125">
        <f>MAX(-fyd_cc,MIN(fyd_cc,Es_cc*IF($E125&lt;=cc_D,0.0035*($E125-P$6)/$E125,0.002*($E125-P$6)/($E125-3*cc_D/7))))-fcd_cc*(1-(1-MAX(0,MIN(1,IF($E125&lt;=cc_D,0.0035*($E125-P$6)/$E125,0.002*($E125-P$6)/($E125-3*cc_D/7))/0.002)))^2)</f>
        <v/>
      </c>
      <c r="Q125">
        <f>MAX(-fyd_cc,MIN(fyd_cc,Es_cc*IF($E125&lt;=cc_D,0.0035*($E125-Q$6)/$E125,0.002*($E125-Q$6)/($E125-3*cc_D/7))))-fcd_cc*(1-(1-MAX(0,MIN(1,IF($E125&lt;=cc_D,0.0035*($E125-Q$6)/$E125,0.002*($E125-Q$6)/($E125-3*cc_D/7))/0.002)))^2)</f>
        <v/>
      </c>
      <c r="R125">
        <f>MAX(-fyd_cc,MIN(fyd_cc,Es_cc*IF($E125&lt;=cc_D,0.0035*($E125-R$6)/$E125,0.002*($E125-R$6)/($E125-3*cc_D/7))))-fcd_cc*(1-(1-MAX(0,MIN(1,IF($E125&lt;=cc_D,0.0035*($E125-R$6)/$E125,0.002*($E125-R$6)/($E125-3*cc_D/7))/0.002)))^2)</f>
        <v/>
      </c>
      <c r="S125">
        <f>MAX(-fyd_cc,MIN(fyd_cc,Es_cc*IF($E125&lt;=cc_D,0.0035*($E125-S$6)/$E125,0.002*($E125-S$6)/($E125-3*cc_D/7))))-fcd_cc*(1-(1-MAX(0,MIN(1,IF($E125&lt;=cc_D,0.0035*($E125-S$6)/$E125,0.002*($E125-S$6)/($E125-3*cc_D/7))/0.002)))^2)</f>
        <v/>
      </c>
      <c r="T125">
        <f>MAX(-fyd_cc,MIN(fyd_cc,Es_cc*IF($E125&lt;=cc_D,0.0035*($E125-T$6)/$E125,0.002*($E125-T$6)/($E125-3*cc_D/7))))-fcd_cc*(1-(1-MAX(0,MIN(1,IF($E125&lt;=cc_D,0.0035*($E125-T$6)/$E125,0.002*($E125-T$6)/($E125-3*cc_D/7))/0.002)))^2)</f>
        <v/>
      </c>
      <c r="U125">
        <f>MAX(-fyd_cc,MIN(fyd_cc,Es_cc*IF($E125&lt;=cc_D,0.0035*($E125-U$6)/$E125,0.002*($E125-U$6)/($E125-3*cc_D/7))))-fcd_cc*(1-(1-MAX(0,MIN(1,IF($E125&lt;=cc_D,0.0035*($E125-U$6)/$E125,0.002*($E125-U$6)/($E125-3*cc_D/7))/0.002)))^2)</f>
        <v/>
      </c>
      <c r="V125">
        <f>MAX(-fyd_cc,MIN(fyd_cc,Es_cc*IF($E125&lt;=cc_D,0.0035*($E125-V$6)/$E125,0.002*($E125-V$6)/($E125-3*cc_D/7))))-fcd_cc*(1-(1-MAX(0,MIN(1,IF($E125&lt;=cc_D,0.0035*($E125-V$6)/$E125,0.002*($E125-V$6)/($E125-3*cc_D/7))/0.002)))^2)</f>
        <v/>
      </c>
      <c r="W125">
        <f>MAX(-fyd_cc,MIN(fyd_cc,Es_cc*IF($E125&lt;=cc_D,0.0035*($E125-W$6)/$E125,0.002*($E125-W$6)/($E125-3*cc_D/7))))-fcd_cc*(1-(1-MAX(0,MIN(1,IF($E125&lt;=cc_D,0.0035*($E125-W$6)/$E125,0.002*($E125-W$6)/($E125-3*cc_D/7))/0.002)))^2)</f>
        <v/>
      </c>
      <c r="X125">
        <f>MAX(-fyd_cc,MIN(fyd_cc,Es_cc*IF($E125&lt;=cc_D,0.0035*($E125-X$6)/$E125,0.002*($E125-X$6)/($E125-3*cc_D/7))))-fcd_cc*(1-(1-MAX(0,MIN(1,IF($E125&lt;=cc_D,0.0035*($E125-X$6)/$E125,0.002*($E125-X$6)/($E125-3*cc_D/7))/0.002)))^2)</f>
        <v/>
      </c>
      <c r="Y125">
        <f>MAX(-fyd_cc,MIN(fyd_cc,Es_cc*IF($E125&lt;=cc_D,0.0035*($E125-Y$6)/$E125,0.002*($E125-Y$6)/($E125-3*cc_D/7))))-fcd_cc*(1-(1-MAX(0,MIN(1,IF($E125&lt;=cc_D,0.0035*($E125-Y$6)/$E125,0.002*($E125-Y$6)/($E125-3*cc_D/7))/0.002)))^2)</f>
        <v/>
      </c>
      <c r="Z125">
        <f>MAX(-fyd_cc,MIN(fyd_cc,Es_cc*IF($E125&lt;=cc_D,0.0035*($E125-Z$6)/$E125,0.002*($E125-Z$6)/($E125-3*cc_D/7))))-fcd_cc*(1-(1-MAX(0,MIN(1,IF($E125&lt;=cc_D,0.0035*($E125-Z$6)/$E125,0.002*($E125-Z$6)/($E125-3*cc_D/7))/0.002)))^2)</f>
        <v/>
      </c>
      <c r="AA125">
        <f>MAX(-fyd_cc,MIN(fyd_cc,Es_cc*IF($E125&lt;=cc_D,0.0035*($E125-AA$6)/$E125,0.002*($E125-AA$6)/($E125-3*cc_D/7))))-fcd_cc*(1-(1-MAX(0,MIN(1,IF($E125&lt;=cc_D,0.0035*($E125-AA$6)/$E125,0.002*($E125-AA$6)/($E125-3*cc_D/7))/0.002)))^2)</f>
        <v/>
      </c>
      <c r="AB125">
        <f>MAX(-fyd_cc,MIN(fyd_cc,Es_cc*IF($E125&lt;=cc_D,0.0035*($E125-AB$6)/$E125,0.002*($E125-AB$6)/($E125-3*cc_D/7))))-fcd_cc*(1-(1-MAX(0,MIN(1,IF($E125&lt;=cc_D,0.0035*($E125-AB$6)/$E125,0.002*($E125-AB$6)/($E125-3*cc_D/7))/0.002)))^2)</f>
        <v/>
      </c>
      <c r="AC125">
        <f>MAX(-fyd_cc,MIN(fyd_cc,Es_cc*IF($E125&lt;=cc_D,0.0035*($E125-AC$6)/$E125,0.002*($E125-AC$6)/($E125-3*cc_D/7))))-fcd_cc*(1-(1-MAX(0,MIN(1,IF($E125&lt;=cc_D,0.0035*($E125-AC$6)/$E125,0.002*($E125-AC$6)/($E125-3*cc_D/7))/0.002)))^2)</f>
        <v/>
      </c>
      <c r="AD125">
        <f>MAX(-fyd_cc,MIN(fyd_cc,Es_cc*IF($E125&lt;=cc_D,0.0035*($E125-AD$6)/$E125,0.002*($E125-AD$6)/($E125-3*cc_D/7))))-fcd_cc*(1-(1-MAX(0,MIN(1,IF($E125&lt;=cc_D,0.0035*($E125-AD$6)/$E125,0.002*($E125-AD$6)/($E125-3*cc_D/7))/0.002)))^2)</f>
        <v/>
      </c>
      <c r="AE125">
        <f>MAX(-fyd_cc,MIN(fyd_cc,Es_cc*IF($E125&lt;=cc_D,0.0035*($E125-AE$6)/$E125,0.002*($E125-AE$6)/($E125-3*cc_D/7))))-fcd_cc*(1-(1-MAX(0,MIN(1,IF($E125&lt;=cc_D,0.0035*($E125-AE$6)/$E125,0.002*($E125-AE$6)/($E125-3*cc_D/7))/0.002)))^2)</f>
        <v/>
      </c>
      <c r="AF125">
        <f>MAX(-fyd_cc,MIN(fyd_cc,Es_cc*IF($E125&lt;=cc_D,0.0035*($E125-AF$6)/$E125,0.002*($E125-AF$6)/($E125-3*cc_D/7))))-fcd_cc*(1-(1-MAX(0,MIN(1,IF($E125&lt;=cc_D,0.0035*($E125-AF$6)/$E125,0.002*($E125-AF$6)/($E125-3*cc_D/7))/0.002)))^2)</f>
        <v/>
      </c>
      <c r="AG125">
        <f>MAX(-fyd_cc,MIN(fyd_cc,Es_cc*IF($E125&lt;=cc_D,0.0035*($E125-AG$6)/$E125,0.002*($E125-AG$6)/($E125-3*cc_D/7))))-fcd_cc*(1-(1-MAX(0,MIN(1,IF($E125&lt;=cc_D,0.0035*($E125-AG$6)/$E125,0.002*($E125-AG$6)/($E125-3*cc_D/7))/0.002)))^2)</f>
        <v/>
      </c>
      <c r="BF125">
        <f>3*MIN($E125,cc_D)/7</f>
        <v/>
      </c>
      <c r="BG125">
        <f>$E125-$BF125</f>
        <v/>
      </c>
      <c r="BH125">
        <f>ACOS(MAX(-1,MIN(1,1-$BF125/(cc_D/2))))</f>
        <v/>
      </c>
      <c r="BI125">
        <f>ACOS(MAX(-1,MIN(1,1-MIN($E125,cc_D)/(cc_D/2))))</f>
        <v/>
      </c>
      <c r="BJ125">
        <f>((cc_D/2*(1-COS(($BH125+0*($BI125-$BH125)/12)))-$BF125)/$BG125)^2*SIN(($BH125+0*($BI125-$BH125)/12))^2</f>
        <v/>
      </c>
      <c r="BK125">
        <f>((cc_D/2*(1-COS(($BH125+1*($BI125-$BH125)/12)))-$BF125)/$BG125)^2*SIN(($BH125+1*($BI125-$BH125)/12))^2</f>
        <v/>
      </c>
      <c r="BL125">
        <f>((cc_D/2*(1-COS(($BH125+2*($BI125-$BH125)/12)))-$BF125)/$BG125)^2*SIN(($BH125+2*($BI125-$BH125)/12))^2</f>
        <v/>
      </c>
      <c r="BM125">
        <f>((cc_D/2*(1-COS(($BH125+3*($BI125-$BH125)/12)))-$BF125)/$BG125)^2*SIN(($BH125+3*($BI125-$BH125)/12))^2</f>
        <v/>
      </c>
      <c r="BN125">
        <f>((cc_D/2*(1-COS(($BH125+4*($BI125-$BH125)/12)))-$BF125)/$BG125)^2*SIN(($BH125+4*($BI125-$BH125)/12))^2</f>
        <v/>
      </c>
      <c r="BO125">
        <f>((cc_D/2*(1-COS(($BH125+5*($BI125-$BH125)/12)))-$BF125)/$BG125)^2*SIN(($BH125+5*($BI125-$BH125)/12))^2</f>
        <v/>
      </c>
      <c r="BP125">
        <f>((cc_D/2*(1-COS(($BH125+6*($BI125-$BH125)/12)))-$BF125)/$BG125)^2*SIN(($BH125+6*($BI125-$BH125)/12))^2</f>
        <v/>
      </c>
      <c r="BQ125">
        <f>((cc_D/2*(1-COS(($BH125+7*($BI125-$BH125)/12)))-$BF125)/$BG125)^2*SIN(($BH125+7*($BI125-$BH125)/12))^2</f>
        <v/>
      </c>
      <c r="BR125">
        <f>((cc_D/2*(1-COS(($BH125+8*($BI125-$BH125)/12)))-$BF125)/$BG125)^2*SIN(($BH125+8*($BI125-$BH125)/12))^2</f>
        <v/>
      </c>
      <c r="BS125">
        <f>((cc_D/2*(1-COS(($BH125+9*($BI125-$BH125)/12)))-$BF125)/$BG125)^2*SIN(($BH125+9*($BI125-$BH125)/12))^2</f>
        <v/>
      </c>
      <c r="BT125">
        <f>((cc_D/2*(1-COS(($BH125+10*($BI125-$BH125)/12)))-$BF125)/$BG125)^2*SIN(($BH125+10*($BI125-$BH125)/12))^2</f>
        <v/>
      </c>
      <c r="BU125">
        <f>((cc_D/2*(1-COS(($BH125+11*($BI125-$BH125)/12)))-$BF125)/$BG125)^2*SIN(($BH125+11*($BI125-$BH125)/12))^2</f>
        <v/>
      </c>
      <c r="BV125">
        <f>((cc_D/2*(1-COS(($BH125+12*($BI125-$BH125)/12)))-$BF125)/$BG125)^2*SIN(($BH125+12*($BI125-$BH125)/12))^2</f>
        <v/>
      </c>
      <c r="BW125">
        <f>BJ125*COS(($BH125+0*($BI125-$BH125)/12))</f>
        <v/>
      </c>
      <c r="BX125">
        <f>BK125*COS(($BH125+1*($BI125-$BH125)/12))</f>
        <v/>
      </c>
      <c r="BY125">
        <f>BL125*COS(($BH125+2*($BI125-$BH125)/12))</f>
        <v/>
      </c>
      <c r="BZ125">
        <f>BM125*COS(($BH125+3*($BI125-$BH125)/12))</f>
        <v/>
      </c>
      <c r="CA125">
        <f>BN125*COS(($BH125+4*($BI125-$BH125)/12))</f>
        <v/>
      </c>
      <c r="CB125">
        <f>BO125*COS(($BH125+5*($BI125-$BH125)/12))</f>
        <v/>
      </c>
      <c r="CC125">
        <f>BP125*COS(($BH125+6*($BI125-$BH125)/12))</f>
        <v/>
      </c>
      <c r="CD125">
        <f>BQ125*COS(($BH125+7*($BI125-$BH125)/12))</f>
        <v/>
      </c>
      <c r="CE125">
        <f>BR125*COS(($BH125+8*($BI125-$BH125)/12))</f>
        <v/>
      </c>
      <c r="CF125">
        <f>BS125*COS(($BH125+9*($BI125-$BH125)/12))</f>
        <v/>
      </c>
      <c r="CG125">
        <f>BT125*COS(($BH125+10*($BI125-$BH125)/12))</f>
        <v/>
      </c>
      <c r="CH125">
        <f>BU125*COS(($BH125+11*($BI125-$BH125)/12))</f>
        <v/>
      </c>
      <c r="CI125">
        <f>BV125*COS(($BH125+12*($BI125-$BH125)/12))</f>
        <v/>
      </c>
    </row>
    <row r="126">
      <c r="B126" s="65" t="n">
        <v>37</v>
      </c>
      <c r="C126" s="66">
        <f>IF($G125&lt;cc_NEd-1E-9*ABS(cc_NEd),($C125+$D125)/2,$C125)</f>
        <v/>
      </c>
      <c r="D126" s="66">
        <f>IF($G125&lt;cc_NEd-1E-9*ABS(cc_NEd),$D125,($C125+$D125)/2)</f>
        <v/>
      </c>
      <c r="E126" s="67">
        <f>cc_D*(($C126+$D126)/2)/(1-(($C126+$D126)/2))</f>
        <v/>
      </c>
      <c r="F126" s="68">
        <f>IF($E126&lt;=cc_D,3.5,2*$E126/($E126-3*cc_D/7))</f>
        <v/>
      </c>
      <c r="G126" s="67">
        <f>(fcd_cc*((cc_D/2)^2*($BI126-COS($BI126)*SIN($BI126))-2*(cc_D/2)^2*($BI126-$BH126)/12/3*SUMPRODUCT($BJ$4:$BV$4,$BJ126:$BV126))+SUMPRODUCT($J$5:$AG$5,$J126:$AG126))/1000</f>
        <v/>
      </c>
      <c r="H126" s="67">
        <f>(fcd_cc*(2/3*(cc_D/2)^3*SIN($BI126)^3-2*(cc_D/2)^3*($BI126-$BH126)/12/3*SUMPRODUCT($BW$4:$CI$4,$BW126:$CI126))+SUMPRODUCT($J$5:$AG$5,$J126:$AG126,$J$7:$AG$7))/1E6</f>
        <v/>
      </c>
      <c r="I126" s="67">
        <f>SUMPRODUCT($J$5:$AG$5,$J126:$AG126,$J$8:$AG$8)/1E6</f>
        <v/>
      </c>
      <c r="J126">
        <f>MAX(-fyd_cc,MIN(fyd_cc,Es_cc*IF($E126&lt;=cc_D,0.0035*($E126-J$6)/$E126,0.002*($E126-J$6)/($E126-3*cc_D/7))))-fcd_cc*(1-(1-MAX(0,MIN(1,IF($E126&lt;=cc_D,0.0035*($E126-J$6)/$E126,0.002*($E126-J$6)/($E126-3*cc_D/7))/0.002)))^2)</f>
        <v/>
      </c>
      <c r="K126">
        <f>MAX(-fyd_cc,MIN(fyd_cc,Es_cc*IF($E126&lt;=cc_D,0.0035*($E126-K$6)/$E126,0.002*($E126-K$6)/($E126-3*cc_D/7))))-fcd_cc*(1-(1-MAX(0,MIN(1,IF($E126&lt;=cc_D,0.0035*($E126-K$6)/$E126,0.002*($E126-K$6)/($E126-3*cc_D/7))/0.002)))^2)</f>
        <v/>
      </c>
      <c r="L126">
        <f>MAX(-fyd_cc,MIN(fyd_cc,Es_cc*IF($E126&lt;=cc_D,0.0035*($E126-L$6)/$E126,0.002*($E126-L$6)/($E126-3*cc_D/7))))-fcd_cc*(1-(1-MAX(0,MIN(1,IF($E126&lt;=cc_D,0.0035*($E126-L$6)/$E126,0.002*($E126-L$6)/($E126-3*cc_D/7))/0.002)))^2)</f>
        <v/>
      </c>
      <c r="M126">
        <f>MAX(-fyd_cc,MIN(fyd_cc,Es_cc*IF($E126&lt;=cc_D,0.0035*($E126-M$6)/$E126,0.002*($E126-M$6)/($E126-3*cc_D/7))))-fcd_cc*(1-(1-MAX(0,MIN(1,IF($E126&lt;=cc_D,0.0035*($E126-M$6)/$E126,0.002*($E126-M$6)/($E126-3*cc_D/7))/0.002)))^2)</f>
        <v/>
      </c>
      <c r="N126">
        <f>MAX(-fyd_cc,MIN(fyd_cc,Es_cc*IF($E126&lt;=cc_D,0.0035*($E126-N$6)/$E126,0.002*($E126-N$6)/($E126-3*cc_D/7))))-fcd_cc*(1-(1-MAX(0,MIN(1,IF($E126&lt;=cc_D,0.0035*($E126-N$6)/$E126,0.002*($E126-N$6)/($E126-3*cc_D/7))/0.002)))^2)</f>
        <v/>
      </c>
      <c r="O126">
        <f>MAX(-fyd_cc,MIN(fyd_cc,Es_cc*IF($E126&lt;=cc_D,0.0035*($E126-O$6)/$E126,0.002*($E126-O$6)/($E126-3*cc_D/7))))-fcd_cc*(1-(1-MAX(0,MIN(1,IF($E126&lt;=cc_D,0.0035*($E126-O$6)/$E126,0.002*($E126-O$6)/($E126-3*cc_D/7))/0.002)))^2)</f>
        <v/>
      </c>
      <c r="P126">
        <f>MAX(-fyd_cc,MIN(fyd_cc,Es_cc*IF($E126&lt;=cc_D,0.0035*($E126-P$6)/$E126,0.002*($E126-P$6)/($E126-3*cc_D/7))))-fcd_cc*(1-(1-MAX(0,MIN(1,IF($E126&lt;=cc_D,0.0035*($E126-P$6)/$E126,0.002*($E126-P$6)/($E126-3*cc_D/7))/0.002)))^2)</f>
        <v/>
      </c>
      <c r="Q126">
        <f>MAX(-fyd_cc,MIN(fyd_cc,Es_cc*IF($E126&lt;=cc_D,0.0035*($E126-Q$6)/$E126,0.002*($E126-Q$6)/($E126-3*cc_D/7))))-fcd_cc*(1-(1-MAX(0,MIN(1,IF($E126&lt;=cc_D,0.0035*($E126-Q$6)/$E126,0.002*($E126-Q$6)/($E126-3*cc_D/7))/0.002)))^2)</f>
        <v/>
      </c>
      <c r="R126">
        <f>MAX(-fyd_cc,MIN(fyd_cc,Es_cc*IF($E126&lt;=cc_D,0.0035*($E126-R$6)/$E126,0.002*($E126-R$6)/($E126-3*cc_D/7))))-fcd_cc*(1-(1-MAX(0,MIN(1,IF($E126&lt;=cc_D,0.0035*($E126-R$6)/$E126,0.002*($E126-R$6)/($E126-3*cc_D/7))/0.002)))^2)</f>
        <v/>
      </c>
      <c r="S126">
        <f>MAX(-fyd_cc,MIN(fyd_cc,Es_cc*IF($E126&lt;=cc_D,0.0035*($E126-S$6)/$E126,0.002*($E126-S$6)/($E126-3*cc_D/7))))-fcd_cc*(1-(1-MAX(0,MIN(1,IF($E126&lt;=cc_D,0.0035*($E126-S$6)/$E126,0.002*($E126-S$6)/($E126-3*cc_D/7))/0.002)))^2)</f>
        <v/>
      </c>
      <c r="T126">
        <f>MAX(-fyd_cc,MIN(fyd_cc,Es_cc*IF($E126&lt;=cc_D,0.0035*($E126-T$6)/$E126,0.002*($E126-T$6)/($E126-3*cc_D/7))))-fcd_cc*(1-(1-MAX(0,MIN(1,IF($E126&lt;=cc_D,0.0035*($E126-T$6)/$E126,0.002*($E126-T$6)/($E126-3*cc_D/7))/0.002)))^2)</f>
        <v/>
      </c>
      <c r="U126">
        <f>MAX(-fyd_cc,MIN(fyd_cc,Es_cc*IF($E126&lt;=cc_D,0.0035*($E126-U$6)/$E126,0.002*($E126-U$6)/($E126-3*cc_D/7))))-fcd_cc*(1-(1-MAX(0,MIN(1,IF($E126&lt;=cc_D,0.0035*($E126-U$6)/$E126,0.002*($E126-U$6)/($E126-3*cc_D/7))/0.002)))^2)</f>
        <v/>
      </c>
      <c r="V126">
        <f>MAX(-fyd_cc,MIN(fyd_cc,Es_cc*IF($E126&lt;=cc_D,0.0035*($E126-V$6)/$E126,0.002*($E126-V$6)/($E126-3*cc_D/7))))-fcd_cc*(1-(1-MAX(0,MIN(1,IF($E126&lt;=cc_D,0.0035*($E126-V$6)/$E126,0.002*($E126-V$6)/($E126-3*cc_D/7))/0.002)))^2)</f>
        <v/>
      </c>
      <c r="W126">
        <f>MAX(-fyd_cc,MIN(fyd_cc,Es_cc*IF($E126&lt;=cc_D,0.0035*($E126-W$6)/$E126,0.002*($E126-W$6)/($E126-3*cc_D/7))))-fcd_cc*(1-(1-MAX(0,MIN(1,IF($E126&lt;=cc_D,0.0035*($E126-W$6)/$E126,0.002*($E126-W$6)/($E126-3*cc_D/7))/0.002)))^2)</f>
        <v/>
      </c>
      <c r="X126">
        <f>MAX(-fyd_cc,MIN(fyd_cc,Es_cc*IF($E126&lt;=cc_D,0.0035*($E126-X$6)/$E126,0.002*($E126-X$6)/($E126-3*cc_D/7))))-fcd_cc*(1-(1-MAX(0,MIN(1,IF($E126&lt;=cc_D,0.0035*($E126-X$6)/$E126,0.002*($E126-X$6)/($E126-3*cc_D/7))/0.002)))^2)</f>
        <v/>
      </c>
      <c r="Y126">
        <f>MAX(-fyd_cc,MIN(fyd_cc,Es_cc*IF($E126&lt;=cc_D,0.0035*($E126-Y$6)/$E126,0.002*($E126-Y$6)/($E126-3*cc_D/7))))-fcd_cc*(1-(1-MAX(0,MIN(1,IF($E126&lt;=cc_D,0.0035*($E126-Y$6)/$E126,0.002*($E126-Y$6)/($E126-3*cc_D/7))/0.002)))^2)</f>
        <v/>
      </c>
      <c r="Z126">
        <f>MAX(-fyd_cc,MIN(fyd_cc,Es_cc*IF($E126&lt;=cc_D,0.0035*($E126-Z$6)/$E126,0.002*($E126-Z$6)/($E126-3*cc_D/7))))-fcd_cc*(1-(1-MAX(0,MIN(1,IF($E126&lt;=cc_D,0.0035*($E126-Z$6)/$E126,0.002*($E126-Z$6)/($E126-3*cc_D/7))/0.002)))^2)</f>
        <v/>
      </c>
      <c r="AA126">
        <f>MAX(-fyd_cc,MIN(fyd_cc,Es_cc*IF($E126&lt;=cc_D,0.0035*($E126-AA$6)/$E126,0.002*($E126-AA$6)/($E126-3*cc_D/7))))-fcd_cc*(1-(1-MAX(0,MIN(1,IF($E126&lt;=cc_D,0.0035*($E126-AA$6)/$E126,0.002*($E126-AA$6)/($E126-3*cc_D/7))/0.002)))^2)</f>
        <v/>
      </c>
      <c r="AB126">
        <f>MAX(-fyd_cc,MIN(fyd_cc,Es_cc*IF($E126&lt;=cc_D,0.0035*($E126-AB$6)/$E126,0.002*($E126-AB$6)/($E126-3*cc_D/7))))-fcd_cc*(1-(1-MAX(0,MIN(1,IF($E126&lt;=cc_D,0.0035*($E126-AB$6)/$E126,0.002*($E126-AB$6)/($E126-3*cc_D/7))/0.002)))^2)</f>
        <v/>
      </c>
      <c r="AC126">
        <f>MAX(-fyd_cc,MIN(fyd_cc,Es_cc*IF($E126&lt;=cc_D,0.0035*($E126-AC$6)/$E126,0.002*($E126-AC$6)/($E126-3*cc_D/7))))-fcd_cc*(1-(1-MAX(0,MIN(1,IF($E126&lt;=cc_D,0.0035*($E126-AC$6)/$E126,0.002*($E126-AC$6)/($E126-3*cc_D/7))/0.002)))^2)</f>
        <v/>
      </c>
      <c r="AD126">
        <f>MAX(-fyd_cc,MIN(fyd_cc,Es_cc*IF($E126&lt;=cc_D,0.0035*($E126-AD$6)/$E126,0.002*($E126-AD$6)/($E126-3*cc_D/7))))-fcd_cc*(1-(1-MAX(0,MIN(1,IF($E126&lt;=cc_D,0.0035*($E126-AD$6)/$E126,0.002*($E126-AD$6)/($E126-3*cc_D/7))/0.002)))^2)</f>
        <v/>
      </c>
      <c r="AE126">
        <f>MAX(-fyd_cc,MIN(fyd_cc,Es_cc*IF($E126&lt;=cc_D,0.0035*($E126-AE$6)/$E126,0.002*($E126-AE$6)/($E126-3*cc_D/7))))-fcd_cc*(1-(1-MAX(0,MIN(1,IF($E126&lt;=cc_D,0.0035*($E126-AE$6)/$E126,0.002*($E126-AE$6)/($E126-3*cc_D/7))/0.002)))^2)</f>
        <v/>
      </c>
      <c r="AF126">
        <f>MAX(-fyd_cc,MIN(fyd_cc,Es_cc*IF($E126&lt;=cc_D,0.0035*($E126-AF$6)/$E126,0.002*($E126-AF$6)/($E126-3*cc_D/7))))-fcd_cc*(1-(1-MAX(0,MIN(1,IF($E126&lt;=cc_D,0.0035*($E126-AF$6)/$E126,0.002*($E126-AF$6)/($E126-3*cc_D/7))/0.002)))^2)</f>
        <v/>
      </c>
      <c r="AG126">
        <f>MAX(-fyd_cc,MIN(fyd_cc,Es_cc*IF($E126&lt;=cc_D,0.0035*($E126-AG$6)/$E126,0.002*($E126-AG$6)/($E126-3*cc_D/7))))-fcd_cc*(1-(1-MAX(0,MIN(1,IF($E126&lt;=cc_D,0.0035*($E126-AG$6)/$E126,0.002*($E126-AG$6)/($E126-3*cc_D/7))/0.002)))^2)</f>
        <v/>
      </c>
      <c r="BF126">
        <f>3*MIN($E126,cc_D)/7</f>
        <v/>
      </c>
      <c r="BG126">
        <f>$E126-$BF126</f>
        <v/>
      </c>
      <c r="BH126">
        <f>ACOS(MAX(-1,MIN(1,1-$BF126/(cc_D/2))))</f>
        <v/>
      </c>
      <c r="BI126">
        <f>ACOS(MAX(-1,MIN(1,1-MIN($E126,cc_D)/(cc_D/2))))</f>
        <v/>
      </c>
      <c r="BJ126">
        <f>((cc_D/2*(1-COS(($BH126+0*($BI126-$BH126)/12)))-$BF126)/$BG126)^2*SIN(($BH126+0*($BI126-$BH126)/12))^2</f>
        <v/>
      </c>
      <c r="BK126">
        <f>((cc_D/2*(1-COS(($BH126+1*($BI126-$BH126)/12)))-$BF126)/$BG126)^2*SIN(($BH126+1*($BI126-$BH126)/12))^2</f>
        <v/>
      </c>
      <c r="BL126">
        <f>((cc_D/2*(1-COS(($BH126+2*($BI126-$BH126)/12)))-$BF126)/$BG126)^2*SIN(($BH126+2*($BI126-$BH126)/12))^2</f>
        <v/>
      </c>
      <c r="BM126">
        <f>((cc_D/2*(1-COS(($BH126+3*($BI126-$BH126)/12)))-$BF126)/$BG126)^2*SIN(($BH126+3*($BI126-$BH126)/12))^2</f>
        <v/>
      </c>
      <c r="BN126">
        <f>((cc_D/2*(1-COS(($BH126+4*($BI126-$BH126)/12)))-$BF126)/$BG126)^2*SIN(($BH126+4*($BI126-$BH126)/12))^2</f>
        <v/>
      </c>
      <c r="BO126">
        <f>((cc_D/2*(1-COS(($BH126+5*($BI126-$BH126)/12)))-$BF126)/$BG126)^2*SIN(($BH126+5*($BI126-$BH126)/12))^2</f>
        <v/>
      </c>
      <c r="BP126">
        <f>((cc_D/2*(1-COS(($BH126+6*($BI126-$BH126)/12)))-$BF126)/$BG126)^2*SIN(($BH126+6*($BI126-$BH126)/12))^2</f>
        <v/>
      </c>
      <c r="BQ126">
        <f>((cc_D/2*(1-COS(($BH126+7*($BI126-$BH126)/12)))-$BF126)/$BG126)^2*SIN(($BH126+7*($BI126-$BH126)/12))^2</f>
        <v/>
      </c>
      <c r="BR126">
        <f>((cc_D/2*(1-COS(($BH126+8*($BI126-$BH126)/12)))-$BF126)/$BG126)^2*SIN(($BH126+8*($BI126-$BH126)/12))^2</f>
        <v/>
      </c>
      <c r="BS126">
        <f>((cc_D/2*(1-COS(($BH126+9*($BI126-$BH126)/12)))-$BF126)/$BG126)^2*SIN(($BH126+9*($BI126-$BH126)/12))^2</f>
        <v/>
      </c>
      <c r="BT126">
        <f>((cc_D/2*(1-COS(($BH126+10*($BI126-$BH126)/12)))-$BF126)/$BG126)^2*SIN(($BH126+10*($BI126-$BH126)/12))^2</f>
        <v/>
      </c>
      <c r="BU126">
        <f>((cc_D/2*(1-COS(($BH126+11*($BI126-$BH126)/12)))-$BF126)/$BG126)^2*SIN(($BH126+11*($BI126-$BH126)/12))^2</f>
        <v/>
      </c>
      <c r="BV126">
        <f>((cc_D/2*(1-COS(($BH126+12*($BI126-$BH126)/12)))-$BF126)/$BG126)^2*SIN(($BH126+12*($BI126-$BH126)/12))^2</f>
        <v/>
      </c>
      <c r="BW126">
        <f>BJ126*COS(($BH126+0*($BI126-$BH126)/12))</f>
        <v/>
      </c>
      <c r="BX126">
        <f>BK126*COS(($BH126+1*($BI126-$BH126)/12))</f>
        <v/>
      </c>
      <c r="BY126">
        <f>BL126*COS(($BH126+2*($BI126-$BH126)/12))</f>
        <v/>
      </c>
      <c r="BZ126">
        <f>BM126*COS(($BH126+3*($BI126-$BH126)/12))</f>
        <v/>
      </c>
      <c r="CA126">
        <f>BN126*COS(($BH126+4*($BI126-$BH126)/12))</f>
        <v/>
      </c>
      <c r="CB126">
        <f>BO126*COS(($BH126+5*($BI126-$BH126)/12))</f>
        <v/>
      </c>
      <c r="CC126">
        <f>BP126*COS(($BH126+6*($BI126-$BH126)/12))</f>
        <v/>
      </c>
      <c r="CD126">
        <f>BQ126*COS(($BH126+7*($BI126-$BH126)/12))</f>
        <v/>
      </c>
      <c r="CE126">
        <f>BR126*COS(($BH126+8*($BI126-$BH126)/12))</f>
        <v/>
      </c>
      <c r="CF126">
        <f>BS126*COS(($BH126+9*($BI126-$BH126)/12))</f>
        <v/>
      </c>
      <c r="CG126">
        <f>BT126*COS(($BH126+10*($BI126-$BH126)/12))</f>
        <v/>
      </c>
      <c r="CH126">
        <f>BU126*COS(($BH126+11*($BI126-$BH126)/12))</f>
        <v/>
      </c>
      <c r="CI126">
        <f>BV126*COS(($BH126+12*($BI126-$BH126)/12))</f>
        <v/>
      </c>
    </row>
    <row r="127">
      <c r="B127" s="65" t="n">
        <v>38</v>
      </c>
      <c r="C127" s="66">
        <f>IF($G126&lt;cc_NEd-1E-9*ABS(cc_NEd),($C126+$D126)/2,$C126)</f>
        <v/>
      </c>
      <c r="D127" s="66">
        <f>IF($G126&lt;cc_NEd-1E-9*ABS(cc_NEd),$D126,($C126+$D126)/2)</f>
        <v/>
      </c>
      <c r="E127" s="67">
        <f>cc_D*(($C127+$D127)/2)/(1-(($C127+$D127)/2))</f>
        <v/>
      </c>
      <c r="F127" s="68">
        <f>IF($E127&lt;=cc_D,3.5,2*$E127/($E127-3*cc_D/7))</f>
        <v/>
      </c>
      <c r="G127" s="67">
        <f>(fcd_cc*((cc_D/2)^2*($BI127-COS($BI127)*SIN($BI127))-2*(cc_D/2)^2*($BI127-$BH127)/12/3*SUMPRODUCT($BJ$4:$BV$4,$BJ127:$BV127))+SUMPRODUCT($J$5:$AG$5,$J127:$AG127))/1000</f>
        <v/>
      </c>
      <c r="H127" s="67">
        <f>(fcd_cc*(2/3*(cc_D/2)^3*SIN($BI127)^3-2*(cc_D/2)^3*($BI127-$BH127)/12/3*SUMPRODUCT($BW$4:$CI$4,$BW127:$CI127))+SUMPRODUCT($J$5:$AG$5,$J127:$AG127,$J$7:$AG$7))/1E6</f>
        <v/>
      </c>
      <c r="I127" s="67">
        <f>SUMPRODUCT($J$5:$AG$5,$J127:$AG127,$J$8:$AG$8)/1E6</f>
        <v/>
      </c>
      <c r="J127">
        <f>MAX(-fyd_cc,MIN(fyd_cc,Es_cc*IF($E127&lt;=cc_D,0.0035*($E127-J$6)/$E127,0.002*($E127-J$6)/($E127-3*cc_D/7))))-fcd_cc*(1-(1-MAX(0,MIN(1,IF($E127&lt;=cc_D,0.0035*($E127-J$6)/$E127,0.002*($E127-J$6)/($E127-3*cc_D/7))/0.002)))^2)</f>
        <v/>
      </c>
      <c r="K127">
        <f>MAX(-fyd_cc,MIN(fyd_cc,Es_cc*IF($E127&lt;=cc_D,0.0035*($E127-K$6)/$E127,0.002*($E127-K$6)/($E127-3*cc_D/7))))-fcd_cc*(1-(1-MAX(0,MIN(1,IF($E127&lt;=cc_D,0.0035*($E127-K$6)/$E127,0.002*($E127-K$6)/($E127-3*cc_D/7))/0.002)))^2)</f>
        <v/>
      </c>
      <c r="L127">
        <f>MAX(-fyd_cc,MIN(fyd_cc,Es_cc*IF($E127&lt;=cc_D,0.0035*($E127-L$6)/$E127,0.002*($E127-L$6)/($E127-3*cc_D/7))))-fcd_cc*(1-(1-MAX(0,MIN(1,IF($E127&lt;=cc_D,0.0035*($E127-L$6)/$E127,0.002*($E127-L$6)/($E127-3*cc_D/7))/0.002)))^2)</f>
        <v/>
      </c>
      <c r="M127">
        <f>MAX(-fyd_cc,MIN(fyd_cc,Es_cc*IF($E127&lt;=cc_D,0.0035*($E127-M$6)/$E127,0.002*($E127-M$6)/($E127-3*cc_D/7))))-fcd_cc*(1-(1-MAX(0,MIN(1,IF($E127&lt;=cc_D,0.0035*($E127-M$6)/$E127,0.002*($E127-M$6)/($E127-3*cc_D/7))/0.002)))^2)</f>
        <v/>
      </c>
      <c r="N127">
        <f>MAX(-fyd_cc,MIN(fyd_cc,Es_cc*IF($E127&lt;=cc_D,0.0035*($E127-N$6)/$E127,0.002*($E127-N$6)/($E127-3*cc_D/7))))-fcd_cc*(1-(1-MAX(0,MIN(1,IF($E127&lt;=cc_D,0.0035*($E127-N$6)/$E127,0.002*($E127-N$6)/($E127-3*cc_D/7))/0.002)))^2)</f>
        <v/>
      </c>
      <c r="O127">
        <f>MAX(-fyd_cc,MIN(fyd_cc,Es_cc*IF($E127&lt;=cc_D,0.0035*($E127-O$6)/$E127,0.002*($E127-O$6)/($E127-3*cc_D/7))))-fcd_cc*(1-(1-MAX(0,MIN(1,IF($E127&lt;=cc_D,0.0035*($E127-O$6)/$E127,0.002*($E127-O$6)/($E127-3*cc_D/7))/0.002)))^2)</f>
        <v/>
      </c>
      <c r="P127">
        <f>MAX(-fyd_cc,MIN(fyd_cc,Es_cc*IF($E127&lt;=cc_D,0.0035*($E127-P$6)/$E127,0.002*($E127-P$6)/($E127-3*cc_D/7))))-fcd_cc*(1-(1-MAX(0,MIN(1,IF($E127&lt;=cc_D,0.0035*($E127-P$6)/$E127,0.002*($E127-P$6)/($E127-3*cc_D/7))/0.002)))^2)</f>
        <v/>
      </c>
      <c r="Q127">
        <f>MAX(-fyd_cc,MIN(fyd_cc,Es_cc*IF($E127&lt;=cc_D,0.0035*($E127-Q$6)/$E127,0.002*($E127-Q$6)/($E127-3*cc_D/7))))-fcd_cc*(1-(1-MAX(0,MIN(1,IF($E127&lt;=cc_D,0.0035*($E127-Q$6)/$E127,0.002*($E127-Q$6)/($E127-3*cc_D/7))/0.002)))^2)</f>
        <v/>
      </c>
      <c r="R127">
        <f>MAX(-fyd_cc,MIN(fyd_cc,Es_cc*IF($E127&lt;=cc_D,0.0035*($E127-R$6)/$E127,0.002*($E127-R$6)/($E127-3*cc_D/7))))-fcd_cc*(1-(1-MAX(0,MIN(1,IF($E127&lt;=cc_D,0.0035*($E127-R$6)/$E127,0.002*($E127-R$6)/($E127-3*cc_D/7))/0.002)))^2)</f>
        <v/>
      </c>
      <c r="S127">
        <f>MAX(-fyd_cc,MIN(fyd_cc,Es_cc*IF($E127&lt;=cc_D,0.0035*($E127-S$6)/$E127,0.002*($E127-S$6)/($E127-3*cc_D/7))))-fcd_cc*(1-(1-MAX(0,MIN(1,IF($E127&lt;=cc_D,0.0035*($E127-S$6)/$E127,0.002*($E127-S$6)/($E127-3*cc_D/7))/0.002)))^2)</f>
        <v/>
      </c>
      <c r="T127">
        <f>MAX(-fyd_cc,MIN(fyd_cc,Es_cc*IF($E127&lt;=cc_D,0.0035*($E127-T$6)/$E127,0.002*($E127-T$6)/($E127-3*cc_D/7))))-fcd_cc*(1-(1-MAX(0,MIN(1,IF($E127&lt;=cc_D,0.0035*($E127-T$6)/$E127,0.002*($E127-T$6)/($E127-3*cc_D/7))/0.002)))^2)</f>
        <v/>
      </c>
      <c r="U127">
        <f>MAX(-fyd_cc,MIN(fyd_cc,Es_cc*IF($E127&lt;=cc_D,0.0035*($E127-U$6)/$E127,0.002*($E127-U$6)/($E127-3*cc_D/7))))-fcd_cc*(1-(1-MAX(0,MIN(1,IF($E127&lt;=cc_D,0.0035*($E127-U$6)/$E127,0.002*($E127-U$6)/($E127-3*cc_D/7))/0.002)))^2)</f>
        <v/>
      </c>
      <c r="V127">
        <f>MAX(-fyd_cc,MIN(fyd_cc,Es_cc*IF($E127&lt;=cc_D,0.0035*($E127-V$6)/$E127,0.002*($E127-V$6)/($E127-3*cc_D/7))))-fcd_cc*(1-(1-MAX(0,MIN(1,IF($E127&lt;=cc_D,0.0035*($E127-V$6)/$E127,0.002*($E127-V$6)/($E127-3*cc_D/7))/0.002)))^2)</f>
        <v/>
      </c>
      <c r="W127">
        <f>MAX(-fyd_cc,MIN(fyd_cc,Es_cc*IF($E127&lt;=cc_D,0.0035*($E127-W$6)/$E127,0.002*($E127-W$6)/($E127-3*cc_D/7))))-fcd_cc*(1-(1-MAX(0,MIN(1,IF($E127&lt;=cc_D,0.0035*($E127-W$6)/$E127,0.002*($E127-W$6)/($E127-3*cc_D/7))/0.002)))^2)</f>
        <v/>
      </c>
      <c r="X127">
        <f>MAX(-fyd_cc,MIN(fyd_cc,Es_cc*IF($E127&lt;=cc_D,0.0035*($E127-X$6)/$E127,0.002*($E127-X$6)/($E127-3*cc_D/7))))-fcd_cc*(1-(1-MAX(0,MIN(1,IF($E127&lt;=cc_D,0.0035*($E127-X$6)/$E127,0.002*($E127-X$6)/($E127-3*cc_D/7))/0.002)))^2)</f>
        <v/>
      </c>
      <c r="Y127">
        <f>MAX(-fyd_cc,MIN(fyd_cc,Es_cc*IF($E127&lt;=cc_D,0.0035*($E127-Y$6)/$E127,0.002*($E127-Y$6)/($E127-3*cc_D/7))))-fcd_cc*(1-(1-MAX(0,MIN(1,IF($E127&lt;=cc_D,0.0035*($E127-Y$6)/$E127,0.002*($E127-Y$6)/($E127-3*cc_D/7))/0.002)))^2)</f>
        <v/>
      </c>
      <c r="Z127">
        <f>MAX(-fyd_cc,MIN(fyd_cc,Es_cc*IF($E127&lt;=cc_D,0.0035*($E127-Z$6)/$E127,0.002*($E127-Z$6)/($E127-3*cc_D/7))))-fcd_cc*(1-(1-MAX(0,MIN(1,IF($E127&lt;=cc_D,0.0035*($E127-Z$6)/$E127,0.002*($E127-Z$6)/($E127-3*cc_D/7))/0.002)))^2)</f>
        <v/>
      </c>
      <c r="AA127">
        <f>MAX(-fyd_cc,MIN(fyd_cc,Es_cc*IF($E127&lt;=cc_D,0.0035*($E127-AA$6)/$E127,0.002*($E127-AA$6)/($E127-3*cc_D/7))))-fcd_cc*(1-(1-MAX(0,MIN(1,IF($E127&lt;=cc_D,0.0035*($E127-AA$6)/$E127,0.002*($E127-AA$6)/($E127-3*cc_D/7))/0.002)))^2)</f>
        <v/>
      </c>
      <c r="AB127">
        <f>MAX(-fyd_cc,MIN(fyd_cc,Es_cc*IF($E127&lt;=cc_D,0.0035*($E127-AB$6)/$E127,0.002*($E127-AB$6)/($E127-3*cc_D/7))))-fcd_cc*(1-(1-MAX(0,MIN(1,IF($E127&lt;=cc_D,0.0035*($E127-AB$6)/$E127,0.002*($E127-AB$6)/($E127-3*cc_D/7))/0.002)))^2)</f>
        <v/>
      </c>
      <c r="AC127">
        <f>MAX(-fyd_cc,MIN(fyd_cc,Es_cc*IF($E127&lt;=cc_D,0.0035*($E127-AC$6)/$E127,0.002*($E127-AC$6)/($E127-3*cc_D/7))))-fcd_cc*(1-(1-MAX(0,MIN(1,IF($E127&lt;=cc_D,0.0035*($E127-AC$6)/$E127,0.002*($E127-AC$6)/($E127-3*cc_D/7))/0.002)))^2)</f>
        <v/>
      </c>
      <c r="AD127">
        <f>MAX(-fyd_cc,MIN(fyd_cc,Es_cc*IF($E127&lt;=cc_D,0.0035*($E127-AD$6)/$E127,0.002*($E127-AD$6)/($E127-3*cc_D/7))))-fcd_cc*(1-(1-MAX(0,MIN(1,IF($E127&lt;=cc_D,0.0035*($E127-AD$6)/$E127,0.002*($E127-AD$6)/($E127-3*cc_D/7))/0.002)))^2)</f>
        <v/>
      </c>
      <c r="AE127">
        <f>MAX(-fyd_cc,MIN(fyd_cc,Es_cc*IF($E127&lt;=cc_D,0.0035*($E127-AE$6)/$E127,0.002*($E127-AE$6)/($E127-3*cc_D/7))))-fcd_cc*(1-(1-MAX(0,MIN(1,IF($E127&lt;=cc_D,0.0035*($E127-AE$6)/$E127,0.002*($E127-AE$6)/($E127-3*cc_D/7))/0.002)))^2)</f>
        <v/>
      </c>
      <c r="AF127">
        <f>MAX(-fyd_cc,MIN(fyd_cc,Es_cc*IF($E127&lt;=cc_D,0.0035*($E127-AF$6)/$E127,0.002*($E127-AF$6)/($E127-3*cc_D/7))))-fcd_cc*(1-(1-MAX(0,MIN(1,IF($E127&lt;=cc_D,0.0035*($E127-AF$6)/$E127,0.002*($E127-AF$6)/($E127-3*cc_D/7))/0.002)))^2)</f>
        <v/>
      </c>
      <c r="AG127">
        <f>MAX(-fyd_cc,MIN(fyd_cc,Es_cc*IF($E127&lt;=cc_D,0.0035*($E127-AG$6)/$E127,0.002*($E127-AG$6)/($E127-3*cc_D/7))))-fcd_cc*(1-(1-MAX(0,MIN(1,IF($E127&lt;=cc_D,0.0035*($E127-AG$6)/$E127,0.002*($E127-AG$6)/($E127-3*cc_D/7))/0.002)))^2)</f>
        <v/>
      </c>
      <c r="BF127">
        <f>3*MIN($E127,cc_D)/7</f>
        <v/>
      </c>
      <c r="BG127">
        <f>$E127-$BF127</f>
        <v/>
      </c>
      <c r="BH127">
        <f>ACOS(MAX(-1,MIN(1,1-$BF127/(cc_D/2))))</f>
        <v/>
      </c>
      <c r="BI127">
        <f>ACOS(MAX(-1,MIN(1,1-MIN($E127,cc_D)/(cc_D/2))))</f>
        <v/>
      </c>
      <c r="BJ127">
        <f>((cc_D/2*(1-COS(($BH127+0*($BI127-$BH127)/12)))-$BF127)/$BG127)^2*SIN(($BH127+0*($BI127-$BH127)/12))^2</f>
        <v/>
      </c>
      <c r="BK127">
        <f>((cc_D/2*(1-COS(($BH127+1*($BI127-$BH127)/12)))-$BF127)/$BG127)^2*SIN(($BH127+1*($BI127-$BH127)/12))^2</f>
        <v/>
      </c>
      <c r="BL127">
        <f>((cc_D/2*(1-COS(($BH127+2*($BI127-$BH127)/12)))-$BF127)/$BG127)^2*SIN(($BH127+2*($BI127-$BH127)/12))^2</f>
        <v/>
      </c>
      <c r="BM127">
        <f>((cc_D/2*(1-COS(($BH127+3*($BI127-$BH127)/12)))-$BF127)/$BG127)^2*SIN(($BH127+3*($BI127-$BH127)/12))^2</f>
        <v/>
      </c>
      <c r="BN127">
        <f>((cc_D/2*(1-COS(($BH127+4*($BI127-$BH127)/12)))-$BF127)/$BG127)^2*SIN(($BH127+4*($BI127-$BH127)/12))^2</f>
        <v/>
      </c>
      <c r="BO127">
        <f>((cc_D/2*(1-COS(($BH127+5*($BI127-$BH127)/12)))-$BF127)/$BG127)^2*SIN(($BH127+5*($BI127-$BH127)/12))^2</f>
        <v/>
      </c>
      <c r="BP127">
        <f>((cc_D/2*(1-COS(($BH127+6*($BI127-$BH127)/12)))-$BF127)/$BG127)^2*SIN(($BH127+6*($BI127-$BH127)/12))^2</f>
        <v/>
      </c>
      <c r="BQ127">
        <f>((cc_D/2*(1-COS(($BH127+7*($BI127-$BH127)/12)))-$BF127)/$BG127)^2*SIN(($BH127+7*($BI127-$BH127)/12))^2</f>
        <v/>
      </c>
      <c r="BR127">
        <f>((cc_D/2*(1-COS(($BH127+8*($BI127-$BH127)/12)))-$BF127)/$BG127)^2*SIN(($BH127+8*($BI127-$BH127)/12))^2</f>
        <v/>
      </c>
      <c r="BS127">
        <f>((cc_D/2*(1-COS(($BH127+9*($BI127-$BH127)/12)))-$BF127)/$BG127)^2*SIN(($BH127+9*($BI127-$BH127)/12))^2</f>
        <v/>
      </c>
      <c r="BT127">
        <f>((cc_D/2*(1-COS(($BH127+10*($BI127-$BH127)/12)))-$BF127)/$BG127)^2*SIN(($BH127+10*($BI127-$BH127)/12))^2</f>
        <v/>
      </c>
      <c r="BU127">
        <f>((cc_D/2*(1-COS(($BH127+11*($BI127-$BH127)/12)))-$BF127)/$BG127)^2*SIN(($BH127+11*($BI127-$BH127)/12))^2</f>
        <v/>
      </c>
      <c r="BV127">
        <f>((cc_D/2*(1-COS(($BH127+12*($BI127-$BH127)/12)))-$BF127)/$BG127)^2*SIN(($BH127+12*($BI127-$BH127)/12))^2</f>
        <v/>
      </c>
      <c r="BW127">
        <f>BJ127*COS(($BH127+0*($BI127-$BH127)/12))</f>
        <v/>
      </c>
      <c r="BX127">
        <f>BK127*COS(($BH127+1*($BI127-$BH127)/12))</f>
        <v/>
      </c>
      <c r="BY127">
        <f>BL127*COS(($BH127+2*($BI127-$BH127)/12))</f>
        <v/>
      </c>
      <c r="BZ127">
        <f>BM127*COS(($BH127+3*($BI127-$BH127)/12))</f>
        <v/>
      </c>
      <c r="CA127">
        <f>BN127*COS(($BH127+4*($BI127-$BH127)/12))</f>
        <v/>
      </c>
      <c r="CB127">
        <f>BO127*COS(($BH127+5*($BI127-$BH127)/12))</f>
        <v/>
      </c>
      <c r="CC127">
        <f>BP127*COS(($BH127+6*($BI127-$BH127)/12))</f>
        <v/>
      </c>
      <c r="CD127">
        <f>BQ127*COS(($BH127+7*($BI127-$BH127)/12))</f>
        <v/>
      </c>
      <c r="CE127">
        <f>BR127*COS(($BH127+8*($BI127-$BH127)/12))</f>
        <v/>
      </c>
      <c r="CF127">
        <f>BS127*COS(($BH127+9*($BI127-$BH127)/12))</f>
        <v/>
      </c>
      <c r="CG127">
        <f>BT127*COS(($BH127+10*($BI127-$BH127)/12))</f>
        <v/>
      </c>
      <c r="CH127">
        <f>BU127*COS(($BH127+11*($BI127-$BH127)/12))</f>
        <v/>
      </c>
      <c r="CI127">
        <f>BV127*COS(($BH127+12*($BI127-$BH127)/12))</f>
        <v/>
      </c>
    </row>
    <row r="128">
      <c r="B128" s="65" t="n">
        <v>39</v>
      </c>
      <c r="C128" s="66">
        <f>IF($G127&lt;cc_NEd-1E-9*ABS(cc_NEd),($C127+$D127)/2,$C127)</f>
        <v/>
      </c>
      <c r="D128" s="66">
        <f>IF($G127&lt;cc_NEd-1E-9*ABS(cc_NEd),$D127,($C127+$D127)/2)</f>
        <v/>
      </c>
      <c r="E128" s="67">
        <f>cc_D*(($C128+$D128)/2)/(1-(($C128+$D128)/2))</f>
        <v/>
      </c>
      <c r="F128" s="68">
        <f>IF($E128&lt;=cc_D,3.5,2*$E128/($E128-3*cc_D/7))</f>
        <v/>
      </c>
      <c r="G128" s="67">
        <f>(fcd_cc*((cc_D/2)^2*($BI128-COS($BI128)*SIN($BI128))-2*(cc_D/2)^2*($BI128-$BH128)/12/3*SUMPRODUCT($BJ$4:$BV$4,$BJ128:$BV128))+SUMPRODUCT($J$5:$AG$5,$J128:$AG128))/1000</f>
        <v/>
      </c>
      <c r="H128" s="67">
        <f>(fcd_cc*(2/3*(cc_D/2)^3*SIN($BI128)^3-2*(cc_D/2)^3*($BI128-$BH128)/12/3*SUMPRODUCT($BW$4:$CI$4,$BW128:$CI128))+SUMPRODUCT($J$5:$AG$5,$J128:$AG128,$J$7:$AG$7))/1E6</f>
        <v/>
      </c>
      <c r="I128" s="67">
        <f>SUMPRODUCT($J$5:$AG$5,$J128:$AG128,$J$8:$AG$8)/1E6</f>
        <v/>
      </c>
      <c r="J128">
        <f>MAX(-fyd_cc,MIN(fyd_cc,Es_cc*IF($E128&lt;=cc_D,0.0035*($E128-J$6)/$E128,0.002*($E128-J$6)/($E128-3*cc_D/7))))-fcd_cc*(1-(1-MAX(0,MIN(1,IF($E128&lt;=cc_D,0.0035*($E128-J$6)/$E128,0.002*($E128-J$6)/($E128-3*cc_D/7))/0.002)))^2)</f>
        <v/>
      </c>
      <c r="K128">
        <f>MAX(-fyd_cc,MIN(fyd_cc,Es_cc*IF($E128&lt;=cc_D,0.0035*($E128-K$6)/$E128,0.002*($E128-K$6)/($E128-3*cc_D/7))))-fcd_cc*(1-(1-MAX(0,MIN(1,IF($E128&lt;=cc_D,0.0035*($E128-K$6)/$E128,0.002*($E128-K$6)/($E128-3*cc_D/7))/0.002)))^2)</f>
        <v/>
      </c>
      <c r="L128">
        <f>MAX(-fyd_cc,MIN(fyd_cc,Es_cc*IF($E128&lt;=cc_D,0.0035*($E128-L$6)/$E128,0.002*($E128-L$6)/($E128-3*cc_D/7))))-fcd_cc*(1-(1-MAX(0,MIN(1,IF($E128&lt;=cc_D,0.0035*($E128-L$6)/$E128,0.002*($E128-L$6)/($E128-3*cc_D/7))/0.002)))^2)</f>
        <v/>
      </c>
      <c r="M128">
        <f>MAX(-fyd_cc,MIN(fyd_cc,Es_cc*IF($E128&lt;=cc_D,0.0035*($E128-M$6)/$E128,0.002*($E128-M$6)/($E128-3*cc_D/7))))-fcd_cc*(1-(1-MAX(0,MIN(1,IF($E128&lt;=cc_D,0.0035*($E128-M$6)/$E128,0.002*($E128-M$6)/($E128-3*cc_D/7))/0.002)))^2)</f>
        <v/>
      </c>
      <c r="N128">
        <f>MAX(-fyd_cc,MIN(fyd_cc,Es_cc*IF($E128&lt;=cc_D,0.0035*($E128-N$6)/$E128,0.002*($E128-N$6)/($E128-3*cc_D/7))))-fcd_cc*(1-(1-MAX(0,MIN(1,IF($E128&lt;=cc_D,0.0035*($E128-N$6)/$E128,0.002*($E128-N$6)/($E128-3*cc_D/7))/0.002)))^2)</f>
        <v/>
      </c>
      <c r="O128">
        <f>MAX(-fyd_cc,MIN(fyd_cc,Es_cc*IF($E128&lt;=cc_D,0.0035*($E128-O$6)/$E128,0.002*($E128-O$6)/($E128-3*cc_D/7))))-fcd_cc*(1-(1-MAX(0,MIN(1,IF($E128&lt;=cc_D,0.0035*($E128-O$6)/$E128,0.002*($E128-O$6)/($E128-3*cc_D/7))/0.002)))^2)</f>
        <v/>
      </c>
      <c r="P128">
        <f>MAX(-fyd_cc,MIN(fyd_cc,Es_cc*IF($E128&lt;=cc_D,0.0035*($E128-P$6)/$E128,0.002*($E128-P$6)/($E128-3*cc_D/7))))-fcd_cc*(1-(1-MAX(0,MIN(1,IF($E128&lt;=cc_D,0.0035*($E128-P$6)/$E128,0.002*($E128-P$6)/($E128-3*cc_D/7))/0.002)))^2)</f>
        <v/>
      </c>
      <c r="Q128">
        <f>MAX(-fyd_cc,MIN(fyd_cc,Es_cc*IF($E128&lt;=cc_D,0.0035*($E128-Q$6)/$E128,0.002*($E128-Q$6)/($E128-3*cc_D/7))))-fcd_cc*(1-(1-MAX(0,MIN(1,IF($E128&lt;=cc_D,0.0035*($E128-Q$6)/$E128,0.002*($E128-Q$6)/($E128-3*cc_D/7))/0.002)))^2)</f>
        <v/>
      </c>
      <c r="R128">
        <f>MAX(-fyd_cc,MIN(fyd_cc,Es_cc*IF($E128&lt;=cc_D,0.0035*($E128-R$6)/$E128,0.002*($E128-R$6)/($E128-3*cc_D/7))))-fcd_cc*(1-(1-MAX(0,MIN(1,IF($E128&lt;=cc_D,0.0035*($E128-R$6)/$E128,0.002*($E128-R$6)/($E128-3*cc_D/7))/0.002)))^2)</f>
        <v/>
      </c>
      <c r="S128">
        <f>MAX(-fyd_cc,MIN(fyd_cc,Es_cc*IF($E128&lt;=cc_D,0.0035*($E128-S$6)/$E128,0.002*($E128-S$6)/($E128-3*cc_D/7))))-fcd_cc*(1-(1-MAX(0,MIN(1,IF($E128&lt;=cc_D,0.0035*($E128-S$6)/$E128,0.002*($E128-S$6)/($E128-3*cc_D/7))/0.002)))^2)</f>
        <v/>
      </c>
      <c r="T128">
        <f>MAX(-fyd_cc,MIN(fyd_cc,Es_cc*IF($E128&lt;=cc_D,0.0035*($E128-T$6)/$E128,0.002*($E128-T$6)/($E128-3*cc_D/7))))-fcd_cc*(1-(1-MAX(0,MIN(1,IF($E128&lt;=cc_D,0.0035*($E128-T$6)/$E128,0.002*($E128-T$6)/($E128-3*cc_D/7))/0.002)))^2)</f>
        <v/>
      </c>
      <c r="U128">
        <f>MAX(-fyd_cc,MIN(fyd_cc,Es_cc*IF($E128&lt;=cc_D,0.0035*($E128-U$6)/$E128,0.002*($E128-U$6)/($E128-3*cc_D/7))))-fcd_cc*(1-(1-MAX(0,MIN(1,IF($E128&lt;=cc_D,0.0035*($E128-U$6)/$E128,0.002*($E128-U$6)/($E128-3*cc_D/7))/0.002)))^2)</f>
        <v/>
      </c>
      <c r="V128">
        <f>MAX(-fyd_cc,MIN(fyd_cc,Es_cc*IF($E128&lt;=cc_D,0.0035*($E128-V$6)/$E128,0.002*($E128-V$6)/($E128-3*cc_D/7))))-fcd_cc*(1-(1-MAX(0,MIN(1,IF($E128&lt;=cc_D,0.0035*($E128-V$6)/$E128,0.002*($E128-V$6)/($E128-3*cc_D/7))/0.002)))^2)</f>
        <v/>
      </c>
      <c r="W128">
        <f>MAX(-fyd_cc,MIN(fyd_cc,Es_cc*IF($E128&lt;=cc_D,0.0035*($E128-W$6)/$E128,0.002*($E128-W$6)/($E128-3*cc_D/7))))-fcd_cc*(1-(1-MAX(0,MIN(1,IF($E128&lt;=cc_D,0.0035*($E128-W$6)/$E128,0.002*($E128-W$6)/($E128-3*cc_D/7))/0.002)))^2)</f>
        <v/>
      </c>
      <c r="X128">
        <f>MAX(-fyd_cc,MIN(fyd_cc,Es_cc*IF($E128&lt;=cc_D,0.0035*($E128-X$6)/$E128,0.002*($E128-X$6)/($E128-3*cc_D/7))))-fcd_cc*(1-(1-MAX(0,MIN(1,IF($E128&lt;=cc_D,0.0035*($E128-X$6)/$E128,0.002*($E128-X$6)/($E128-3*cc_D/7))/0.002)))^2)</f>
        <v/>
      </c>
      <c r="Y128">
        <f>MAX(-fyd_cc,MIN(fyd_cc,Es_cc*IF($E128&lt;=cc_D,0.0035*($E128-Y$6)/$E128,0.002*($E128-Y$6)/($E128-3*cc_D/7))))-fcd_cc*(1-(1-MAX(0,MIN(1,IF($E128&lt;=cc_D,0.0035*($E128-Y$6)/$E128,0.002*($E128-Y$6)/($E128-3*cc_D/7))/0.002)))^2)</f>
        <v/>
      </c>
      <c r="Z128">
        <f>MAX(-fyd_cc,MIN(fyd_cc,Es_cc*IF($E128&lt;=cc_D,0.0035*($E128-Z$6)/$E128,0.002*($E128-Z$6)/($E128-3*cc_D/7))))-fcd_cc*(1-(1-MAX(0,MIN(1,IF($E128&lt;=cc_D,0.0035*($E128-Z$6)/$E128,0.002*($E128-Z$6)/($E128-3*cc_D/7))/0.002)))^2)</f>
        <v/>
      </c>
      <c r="AA128">
        <f>MAX(-fyd_cc,MIN(fyd_cc,Es_cc*IF($E128&lt;=cc_D,0.0035*($E128-AA$6)/$E128,0.002*($E128-AA$6)/($E128-3*cc_D/7))))-fcd_cc*(1-(1-MAX(0,MIN(1,IF($E128&lt;=cc_D,0.0035*($E128-AA$6)/$E128,0.002*($E128-AA$6)/($E128-3*cc_D/7))/0.002)))^2)</f>
        <v/>
      </c>
      <c r="AB128">
        <f>MAX(-fyd_cc,MIN(fyd_cc,Es_cc*IF($E128&lt;=cc_D,0.0035*($E128-AB$6)/$E128,0.002*($E128-AB$6)/($E128-3*cc_D/7))))-fcd_cc*(1-(1-MAX(0,MIN(1,IF($E128&lt;=cc_D,0.0035*($E128-AB$6)/$E128,0.002*($E128-AB$6)/($E128-3*cc_D/7))/0.002)))^2)</f>
        <v/>
      </c>
      <c r="AC128">
        <f>MAX(-fyd_cc,MIN(fyd_cc,Es_cc*IF($E128&lt;=cc_D,0.0035*($E128-AC$6)/$E128,0.002*($E128-AC$6)/($E128-3*cc_D/7))))-fcd_cc*(1-(1-MAX(0,MIN(1,IF($E128&lt;=cc_D,0.0035*($E128-AC$6)/$E128,0.002*($E128-AC$6)/($E128-3*cc_D/7))/0.002)))^2)</f>
        <v/>
      </c>
      <c r="AD128">
        <f>MAX(-fyd_cc,MIN(fyd_cc,Es_cc*IF($E128&lt;=cc_D,0.0035*($E128-AD$6)/$E128,0.002*($E128-AD$6)/($E128-3*cc_D/7))))-fcd_cc*(1-(1-MAX(0,MIN(1,IF($E128&lt;=cc_D,0.0035*($E128-AD$6)/$E128,0.002*($E128-AD$6)/($E128-3*cc_D/7))/0.002)))^2)</f>
        <v/>
      </c>
      <c r="AE128">
        <f>MAX(-fyd_cc,MIN(fyd_cc,Es_cc*IF($E128&lt;=cc_D,0.0035*($E128-AE$6)/$E128,0.002*($E128-AE$6)/($E128-3*cc_D/7))))-fcd_cc*(1-(1-MAX(0,MIN(1,IF($E128&lt;=cc_D,0.0035*($E128-AE$6)/$E128,0.002*($E128-AE$6)/($E128-3*cc_D/7))/0.002)))^2)</f>
        <v/>
      </c>
      <c r="AF128">
        <f>MAX(-fyd_cc,MIN(fyd_cc,Es_cc*IF($E128&lt;=cc_D,0.0035*($E128-AF$6)/$E128,0.002*($E128-AF$6)/($E128-3*cc_D/7))))-fcd_cc*(1-(1-MAX(0,MIN(1,IF($E128&lt;=cc_D,0.0035*($E128-AF$6)/$E128,0.002*($E128-AF$6)/($E128-3*cc_D/7))/0.002)))^2)</f>
        <v/>
      </c>
      <c r="AG128">
        <f>MAX(-fyd_cc,MIN(fyd_cc,Es_cc*IF($E128&lt;=cc_D,0.0035*($E128-AG$6)/$E128,0.002*($E128-AG$6)/($E128-3*cc_D/7))))-fcd_cc*(1-(1-MAX(0,MIN(1,IF($E128&lt;=cc_D,0.0035*($E128-AG$6)/$E128,0.002*($E128-AG$6)/($E128-3*cc_D/7))/0.002)))^2)</f>
        <v/>
      </c>
      <c r="BF128">
        <f>3*MIN($E128,cc_D)/7</f>
        <v/>
      </c>
      <c r="BG128">
        <f>$E128-$BF128</f>
        <v/>
      </c>
      <c r="BH128">
        <f>ACOS(MAX(-1,MIN(1,1-$BF128/(cc_D/2))))</f>
        <v/>
      </c>
      <c r="BI128">
        <f>ACOS(MAX(-1,MIN(1,1-MIN($E128,cc_D)/(cc_D/2))))</f>
        <v/>
      </c>
      <c r="BJ128">
        <f>((cc_D/2*(1-COS(($BH128+0*($BI128-$BH128)/12)))-$BF128)/$BG128)^2*SIN(($BH128+0*($BI128-$BH128)/12))^2</f>
        <v/>
      </c>
      <c r="BK128">
        <f>((cc_D/2*(1-COS(($BH128+1*($BI128-$BH128)/12)))-$BF128)/$BG128)^2*SIN(($BH128+1*($BI128-$BH128)/12))^2</f>
        <v/>
      </c>
      <c r="BL128">
        <f>((cc_D/2*(1-COS(($BH128+2*($BI128-$BH128)/12)))-$BF128)/$BG128)^2*SIN(($BH128+2*($BI128-$BH128)/12))^2</f>
        <v/>
      </c>
      <c r="BM128">
        <f>((cc_D/2*(1-COS(($BH128+3*($BI128-$BH128)/12)))-$BF128)/$BG128)^2*SIN(($BH128+3*($BI128-$BH128)/12))^2</f>
        <v/>
      </c>
      <c r="BN128">
        <f>((cc_D/2*(1-COS(($BH128+4*($BI128-$BH128)/12)))-$BF128)/$BG128)^2*SIN(($BH128+4*($BI128-$BH128)/12))^2</f>
        <v/>
      </c>
      <c r="BO128">
        <f>((cc_D/2*(1-COS(($BH128+5*($BI128-$BH128)/12)))-$BF128)/$BG128)^2*SIN(($BH128+5*($BI128-$BH128)/12))^2</f>
        <v/>
      </c>
      <c r="BP128">
        <f>((cc_D/2*(1-COS(($BH128+6*($BI128-$BH128)/12)))-$BF128)/$BG128)^2*SIN(($BH128+6*($BI128-$BH128)/12))^2</f>
        <v/>
      </c>
      <c r="BQ128">
        <f>((cc_D/2*(1-COS(($BH128+7*($BI128-$BH128)/12)))-$BF128)/$BG128)^2*SIN(($BH128+7*($BI128-$BH128)/12))^2</f>
        <v/>
      </c>
      <c r="BR128">
        <f>((cc_D/2*(1-COS(($BH128+8*($BI128-$BH128)/12)))-$BF128)/$BG128)^2*SIN(($BH128+8*($BI128-$BH128)/12))^2</f>
        <v/>
      </c>
      <c r="BS128">
        <f>((cc_D/2*(1-COS(($BH128+9*($BI128-$BH128)/12)))-$BF128)/$BG128)^2*SIN(($BH128+9*($BI128-$BH128)/12))^2</f>
        <v/>
      </c>
      <c r="BT128">
        <f>((cc_D/2*(1-COS(($BH128+10*($BI128-$BH128)/12)))-$BF128)/$BG128)^2*SIN(($BH128+10*($BI128-$BH128)/12))^2</f>
        <v/>
      </c>
      <c r="BU128">
        <f>((cc_D/2*(1-COS(($BH128+11*($BI128-$BH128)/12)))-$BF128)/$BG128)^2*SIN(($BH128+11*($BI128-$BH128)/12))^2</f>
        <v/>
      </c>
      <c r="BV128">
        <f>((cc_D/2*(1-COS(($BH128+12*($BI128-$BH128)/12)))-$BF128)/$BG128)^2*SIN(($BH128+12*($BI128-$BH128)/12))^2</f>
        <v/>
      </c>
      <c r="BW128">
        <f>BJ128*COS(($BH128+0*($BI128-$BH128)/12))</f>
        <v/>
      </c>
      <c r="BX128">
        <f>BK128*COS(($BH128+1*($BI128-$BH128)/12))</f>
        <v/>
      </c>
      <c r="BY128">
        <f>BL128*COS(($BH128+2*($BI128-$BH128)/12))</f>
        <v/>
      </c>
      <c r="BZ128">
        <f>BM128*COS(($BH128+3*($BI128-$BH128)/12))</f>
        <v/>
      </c>
      <c r="CA128">
        <f>BN128*COS(($BH128+4*($BI128-$BH128)/12))</f>
        <v/>
      </c>
      <c r="CB128">
        <f>BO128*COS(($BH128+5*($BI128-$BH128)/12))</f>
        <v/>
      </c>
      <c r="CC128">
        <f>BP128*COS(($BH128+6*($BI128-$BH128)/12))</f>
        <v/>
      </c>
      <c r="CD128">
        <f>BQ128*COS(($BH128+7*($BI128-$BH128)/12))</f>
        <v/>
      </c>
      <c r="CE128">
        <f>BR128*COS(($BH128+8*($BI128-$BH128)/12))</f>
        <v/>
      </c>
      <c r="CF128">
        <f>BS128*COS(($BH128+9*($BI128-$BH128)/12))</f>
        <v/>
      </c>
      <c r="CG128">
        <f>BT128*COS(($BH128+10*($BI128-$BH128)/12))</f>
        <v/>
      </c>
      <c r="CH128">
        <f>BU128*COS(($BH128+11*($BI128-$BH128)/12))</f>
        <v/>
      </c>
      <c r="CI128">
        <f>BV128*COS(($BH128+12*($BI128-$BH128)/12))</f>
        <v/>
      </c>
    </row>
    <row r="129">
      <c r="B129" s="65" t="n">
        <v>40</v>
      </c>
      <c r="C129" s="66">
        <f>IF($G128&lt;cc_NEd-1E-9*ABS(cc_NEd),($C128+$D128)/2,$C128)</f>
        <v/>
      </c>
      <c r="D129" s="66">
        <f>IF($G128&lt;cc_NEd-1E-9*ABS(cc_NEd),$D128,($C128+$D128)/2)</f>
        <v/>
      </c>
      <c r="E129" s="67">
        <f>cc_D*(($C129+$D129)/2)/(1-(($C129+$D129)/2))</f>
        <v/>
      </c>
      <c r="F129" s="68">
        <f>IF($E129&lt;=cc_D,3.5,2*$E129/($E129-3*cc_D/7))</f>
        <v/>
      </c>
      <c r="G129" s="67">
        <f>(fcd_cc*((cc_D/2)^2*($BI129-COS($BI129)*SIN($BI129))-2*(cc_D/2)^2*($BI129-$BH129)/12/3*SUMPRODUCT($BJ$4:$BV$4,$BJ129:$BV129))+SUMPRODUCT($J$5:$AG$5,$J129:$AG129))/1000</f>
        <v/>
      </c>
      <c r="H129" s="67">
        <f>(fcd_cc*(2/3*(cc_D/2)^3*SIN($BI129)^3-2*(cc_D/2)^3*($BI129-$BH129)/12/3*SUMPRODUCT($BW$4:$CI$4,$BW129:$CI129))+SUMPRODUCT($J$5:$AG$5,$J129:$AG129,$J$7:$AG$7))/1E6</f>
        <v/>
      </c>
      <c r="I129" s="67">
        <f>SUMPRODUCT($J$5:$AG$5,$J129:$AG129,$J$8:$AG$8)/1E6</f>
        <v/>
      </c>
      <c r="J129">
        <f>MAX(-fyd_cc,MIN(fyd_cc,Es_cc*IF($E129&lt;=cc_D,0.0035*($E129-J$6)/$E129,0.002*($E129-J$6)/($E129-3*cc_D/7))))-fcd_cc*(1-(1-MAX(0,MIN(1,IF($E129&lt;=cc_D,0.0035*($E129-J$6)/$E129,0.002*($E129-J$6)/($E129-3*cc_D/7))/0.002)))^2)</f>
        <v/>
      </c>
      <c r="K129">
        <f>MAX(-fyd_cc,MIN(fyd_cc,Es_cc*IF($E129&lt;=cc_D,0.0035*($E129-K$6)/$E129,0.002*($E129-K$6)/($E129-3*cc_D/7))))-fcd_cc*(1-(1-MAX(0,MIN(1,IF($E129&lt;=cc_D,0.0035*($E129-K$6)/$E129,0.002*($E129-K$6)/($E129-3*cc_D/7))/0.002)))^2)</f>
        <v/>
      </c>
      <c r="L129">
        <f>MAX(-fyd_cc,MIN(fyd_cc,Es_cc*IF($E129&lt;=cc_D,0.0035*($E129-L$6)/$E129,0.002*($E129-L$6)/($E129-3*cc_D/7))))-fcd_cc*(1-(1-MAX(0,MIN(1,IF($E129&lt;=cc_D,0.0035*($E129-L$6)/$E129,0.002*($E129-L$6)/($E129-3*cc_D/7))/0.002)))^2)</f>
        <v/>
      </c>
      <c r="M129">
        <f>MAX(-fyd_cc,MIN(fyd_cc,Es_cc*IF($E129&lt;=cc_D,0.0035*($E129-M$6)/$E129,0.002*($E129-M$6)/($E129-3*cc_D/7))))-fcd_cc*(1-(1-MAX(0,MIN(1,IF($E129&lt;=cc_D,0.0035*($E129-M$6)/$E129,0.002*($E129-M$6)/($E129-3*cc_D/7))/0.002)))^2)</f>
        <v/>
      </c>
      <c r="N129">
        <f>MAX(-fyd_cc,MIN(fyd_cc,Es_cc*IF($E129&lt;=cc_D,0.0035*($E129-N$6)/$E129,0.002*($E129-N$6)/($E129-3*cc_D/7))))-fcd_cc*(1-(1-MAX(0,MIN(1,IF($E129&lt;=cc_D,0.0035*($E129-N$6)/$E129,0.002*($E129-N$6)/($E129-3*cc_D/7))/0.002)))^2)</f>
        <v/>
      </c>
      <c r="O129">
        <f>MAX(-fyd_cc,MIN(fyd_cc,Es_cc*IF($E129&lt;=cc_D,0.0035*($E129-O$6)/$E129,0.002*($E129-O$6)/($E129-3*cc_D/7))))-fcd_cc*(1-(1-MAX(0,MIN(1,IF($E129&lt;=cc_D,0.0035*($E129-O$6)/$E129,0.002*($E129-O$6)/($E129-3*cc_D/7))/0.002)))^2)</f>
        <v/>
      </c>
      <c r="P129">
        <f>MAX(-fyd_cc,MIN(fyd_cc,Es_cc*IF($E129&lt;=cc_D,0.0035*($E129-P$6)/$E129,0.002*($E129-P$6)/($E129-3*cc_D/7))))-fcd_cc*(1-(1-MAX(0,MIN(1,IF($E129&lt;=cc_D,0.0035*($E129-P$6)/$E129,0.002*($E129-P$6)/($E129-3*cc_D/7))/0.002)))^2)</f>
        <v/>
      </c>
      <c r="Q129">
        <f>MAX(-fyd_cc,MIN(fyd_cc,Es_cc*IF($E129&lt;=cc_D,0.0035*($E129-Q$6)/$E129,0.002*($E129-Q$6)/($E129-3*cc_D/7))))-fcd_cc*(1-(1-MAX(0,MIN(1,IF($E129&lt;=cc_D,0.0035*($E129-Q$6)/$E129,0.002*($E129-Q$6)/($E129-3*cc_D/7))/0.002)))^2)</f>
        <v/>
      </c>
      <c r="R129">
        <f>MAX(-fyd_cc,MIN(fyd_cc,Es_cc*IF($E129&lt;=cc_D,0.0035*($E129-R$6)/$E129,0.002*($E129-R$6)/($E129-3*cc_D/7))))-fcd_cc*(1-(1-MAX(0,MIN(1,IF($E129&lt;=cc_D,0.0035*($E129-R$6)/$E129,0.002*($E129-R$6)/($E129-3*cc_D/7))/0.002)))^2)</f>
        <v/>
      </c>
      <c r="S129">
        <f>MAX(-fyd_cc,MIN(fyd_cc,Es_cc*IF($E129&lt;=cc_D,0.0035*($E129-S$6)/$E129,0.002*($E129-S$6)/($E129-3*cc_D/7))))-fcd_cc*(1-(1-MAX(0,MIN(1,IF($E129&lt;=cc_D,0.0035*($E129-S$6)/$E129,0.002*($E129-S$6)/($E129-3*cc_D/7))/0.002)))^2)</f>
        <v/>
      </c>
      <c r="T129">
        <f>MAX(-fyd_cc,MIN(fyd_cc,Es_cc*IF($E129&lt;=cc_D,0.0035*($E129-T$6)/$E129,0.002*($E129-T$6)/($E129-3*cc_D/7))))-fcd_cc*(1-(1-MAX(0,MIN(1,IF($E129&lt;=cc_D,0.0035*($E129-T$6)/$E129,0.002*($E129-T$6)/($E129-3*cc_D/7))/0.002)))^2)</f>
        <v/>
      </c>
      <c r="U129">
        <f>MAX(-fyd_cc,MIN(fyd_cc,Es_cc*IF($E129&lt;=cc_D,0.0035*($E129-U$6)/$E129,0.002*($E129-U$6)/($E129-3*cc_D/7))))-fcd_cc*(1-(1-MAX(0,MIN(1,IF($E129&lt;=cc_D,0.0035*($E129-U$6)/$E129,0.002*($E129-U$6)/($E129-3*cc_D/7))/0.002)))^2)</f>
        <v/>
      </c>
      <c r="V129">
        <f>MAX(-fyd_cc,MIN(fyd_cc,Es_cc*IF($E129&lt;=cc_D,0.0035*($E129-V$6)/$E129,0.002*($E129-V$6)/($E129-3*cc_D/7))))-fcd_cc*(1-(1-MAX(0,MIN(1,IF($E129&lt;=cc_D,0.0035*($E129-V$6)/$E129,0.002*($E129-V$6)/($E129-3*cc_D/7))/0.002)))^2)</f>
        <v/>
      </c>
      <c r="W129">
        <f>MAX(-fyd_cc,MIN(fyd_cc,Es_cc*IF($E129&lt;=cc_D,0.0035*($E129-W$6)/$E129,0.002*($E129-W$6)/($E129-3*cc_D/7))))-fcd_cc*(1-(1-MAX(0,MIN(1,IF($E129&lt;=cc_D,0.0035*($E129-W$6)/$E129,0.002*($E129-W$6)/($E129-3*cc_D/7))/0.002)))^2)</f>
        <v/>
      </c>
      <c r="X129">
        <f>MAX(-fyd_cc,MIN(fyd_cc,Es_cc*IF($E129&lt;=cc_D,0.0035*($E129-X$6)/$E129,0.002*($E129-X$6)/($E129-3*cc_D/7))))-fcd_cc*(1-(1-MAX(0,MIN(1,IF($E129&lt;=cc_D,0.0035*($E129-X$6)/$E129,0.002*($E129-X$6)/($E129-3*cc_D/7))/0.002)))^2)</f>
        <v/>
      </c>
      <c r="Y129">
        <f>MAX(-fyd_cc,MIN(fyd_cc,Es_cc*IF($E129&lt;=cc_D,0.0035*($E129-Y$6)/$E129,0.002*($E129-Y$6)/($E129-3*cc_D/7))))-fcd_cc*(1-(1-MAX(0,MIN(1,IF($E129&lt;=cc_D,0.0035*($E129-Y$6)/$E129,0.002*($E129-Y$6)/($E129-3*cc_D/7))/0.002)))^2)</f>
        <v/>
      </c>
      <c r="Z129">
        <f>MAX(-fyd_cc,MIN(fyd_cc,Es_cc*IF($E129&lt;=cc_D,0.0035*($E129-Z$6)/$E129,0.002*($E129-Z$6)/($E129-3*cc_D/7))))-fcd_cc*(1-(1-MAX(0,MIN(1,IF($E129&lt;=cc_D,0.0035*($E129-Z$6)/$E129,0.002*($E129-Z$6)/($E129-3*cc_D/7))/0.002)))^2)</f>
        <v/>
      </c>
      <c r="AA129">
        <f>MAX(-fyd_cc,MIN(fyd_cc,Es_cc*IF($E129&lt;=cc_D,0.0035*($E129-AA$6)/$E129,0.002*($E129-AA$6)/($E129-3*cc_D/7))))-fcd_cc*(1-(1-MAX(0,MIN(1,IF($E129&lt;=cc_D,0.0035*($E129-AA$6)/$E129,0.002*($E129-AA$6)/($E129-3*cc_D/7))/0.002)))^2)</f>
        <v/>
      </c>
      <c r="AB129">
        <f>MAX(-fyd_cc,MIN(fyd_cc,Es_cc*IF($E129&lt;=cc_D,0.0035*($E129-AB$6)/$E129,0.002*($E129-AB$6)/($E129-3*cc_D/7))))-fcd_cc*(1-(1-MAX(0,MIN(1,IF($E129&lt;=cc_D,0.0035*($E129-AB$6)/$E129,0.002*($E129-AB$6)/($E129-3*cc_D/7))/0.002)))^2)</f>
        <v/>
      </c>
      <c r="AC129">
        <f>MAX(-fyd_cc,MIN(fyd_cc,Es_cc*IF($E129&lt;=cc_D,0.0035*($E129-AC$6)/$E129,0.002*($E129-AC$6)/($E129-3*cc_D/7))))-fcd_cc*(1-(1-MAX(0,MIN(1,IF($E129&lt;=cc_D,0.0035*($E129-AC$6)/$E129,0.002*($E129-AC$6)/($E129-3*cc_D/7))/0.002)))^2)</f>
        <v/>
      </c>
      <c r="AD129">
        <f>MAX(-fyd_cc,MIN(fyd_cc,Es_cc*IF($E129&lt;=cc_D,0.0035*($E129-AD$6)/$E129,0.002*($E129-AD$6)/($E129-3*cc_D/7))))-fcd_cc*(1-(1-MAX(0,MIN(1,IF($E129&lt;=cc_D,0.0035*($E129-AD$6)/$E129,0.002*($E129-AD$6)/($E129-3*cc_D/7))/0.002)))^2)</f>
        <v/>
      </c>
      <c r="AE129">
        <f>MAX(-fyd_cc,MIN(fyd_cc,Es_cc*IF($E129&lt;=cc_D,0.0035*($E129-AE$6)/$E129,0.002*($E129-AE$6)/($E129-3*cc_D/7))))-fcd_cc*(1-(1-MAX(0,MIN(1,IF($E129&lt;=cc_D,0.0035*($E129-AE$6)/$E129,0.002*($E129-AE$6)/($E129-3*cc_D/7))/0.002)))^2)</f>
        <v/>
      </c>
      <c r="AF129">
        <f>MAX(-fyd_cc,MIN(fyd_cc,Es_cc*IF($E129&lt;=cc_D,0.0035*($E129-AF$6)/$E129,0.002*($E129-AF$6)/($E129-3*cc_D/7))))-fcd_cc*(1-(1-MAX(0,MIN(1,IF($E129&lt;=cc_D,0.0035*($E129-AF$6)/$E129,0.002*($E129-AF$6)/($E129-3*cc_D/7))/0.002)))^2)</f>
        <v/>
      </c>
      <c r="AG129">
        <f>MAX(-fyd_cc,MIN(fyd_cc,Es_cc*IF($E129&lt;=cc_D,0.0035*($E129-AG$6)/$E129,0.002*($E129-AG$6)/($E129-3*cc_D/7))))-fcd_cc*(1-(1-MAX(0,MIN(1,IF($E129&lt;=cc_D,0.0035*($E129-AG$6)/$E129,0.002*($E129-AG$6)/($E129-3*cc_D/7))/0.002)))^2)</f>
        <v/>
      </c>
      <c r="BF129">
        <f>3*MIN($E129,cc_D)/7</f>
        <v/>
      </c>
      <c r="BG129">
        <f>$E129-$BF129</f>
        <v/>
      </c>
      <c r="BH129">
        <f>ACOS(MAX(-1,MIN(1,1-$BF129/(cc_D/2))))</f>
        <v/>
      </c>
      <c r="BI129">
        <f>ACOS(MAX(-1,MIN(1,1-MIN($E129,cc_D)/(cc_D/2))))</f>
        <v/>
      </c>
      <c r="BJ129">
        <f>((cc_D/2*(1-COS(($BH129+0*($BI129-$BH129)/12)))-$BF129)/$BG129)^2*SIN(($BH129+0*($BI129-$BH129)/12))^2</f>
        <v/>
      </c>
      <c r="BK129">
        <f>((cc_D/2*(1-COS(($BH129+1*($BI129-$BH129)/12)))-$BF129)/$BG129)^2*SIN(($BH129+1*($BI129-$BH129)/12))^2</f>
        <v/>
      </c>
      <c r="BL129">
        <f>((cc_D/2*(1-COS(($BH129+2*($BI129-$BH129)/12)))-$BF129)/$BG129)^2*SIN(($BH129+2*($BI129-$BH129)/12))^2</f>
        <v/>
      </c>
      <c r="BM129">
        <f>((cc_D/2*(1-COS(($BH129+3*($BI129-$BH129)/12)))-$BF129)/$BG129)^2*SIN(($BH129+3*($BI129-$BH129)/12))^2</f>
        <v/>
      </c>
      <c r="BN129">
        <f>((cc_D/2*(1-COS(($BH129+4*($BI129-$BH129)/12)))-$BF129)/$BG129)^2*SIN(($BH129+4*($BI129-$BH129)/12))^2</f>
        <v/>
      </c>
      <c r="BO129">
        <f>((cc_D/2*(1-COS(($BH129+5*($BI129-$BH129)/12)))-$BF129)/$BG129)^2*SIN(($BH129+5*($BI129-$BH129)/12))^2</f>
        <v/>
      </c>
      <c r="BP129">
        <f>((cc_D/2*(1-COS(($BH129+6*($BI129-$BH129)/12)))-$BF129)/$BG129)^2*SIN(($BH129+6*($BI129-$BH129)/12))^2</f>
        <v/>
      </c>
      <c r="BQ129">
        <f>((cc_D/2*(1-COS(($BH129+7*($BI129-$BH129)/12)))-$BF129)/$BG129)^2*SIN(($BH129+7*($BI129-$BH129)/12))^2</f>
        <v/>
      </c>
      <c r="BR129">
        <f>((cc_D/2*(1-COS(($BH129+8*($BI129-$BH129)/12)))-$BF129)/$BG129)^2*SIN(($BH129+8*($BI129-$BH129)/12))^2</f>
        <v/>
      </c>
      <c r="BS129">
        <f>((cc_D/2*(1-COS(($BH129+9*($BI129-$BH129)/12)))-$BF129)/$BG129)^2*SIN(($BH129+9*($BI129-$BH129)/12))^2</f>
        <v/>
      </c>
      <c r="BT129">
        <f>((cc_D/2*(1-COS(($BH129+10*($BI129-$BH129)/12)))-$BF129)/$BG129)^2*SIN(($BH129+10*($BI129-$BH129)/12))^2</f>
        <v/>
      </c>
      <c r="BU129">
        <f>((cc_D/2*(1-COS(($BH129+11*($BI129-$BH129)/12)))-$BF129)/$BG129)^2*SIN(($BH129+11*($BI129-$BH129)/12))^2</f>
        <v/>
      </c>
      <c r="BV129">
        <f>((cc_D/2*(1-COS(($BH129+12*($BI129-$BH129)/12)))-$BF129)/$BG129)^2*SIN(($BH129+12*($BI129-$BH129)/12))^2</f>
        <v/>
      </c>
      <c r="BW129">
        <f>BJ129*COS(($BH129+0*($BI129-$BH129)/12))</f>
        <v/>
      </c>
      <c r="BX129">
        <f>BK129*COS(($BH129+1*($BI129-$BH129)/12))</f>
        <v/>
      </c>
      <c r="BY129">
        <f>BL129*COS(($BH129+2*($BI129-$BH129)/12))</f>
        <v/>
      </c>
      <c r="BZ129">
        <f>BM129*COS(($BH129+3*($BI129-$BH129)/12))</f>
        <v/>
      </c>
      <c r="CA129">
        <f>BN129*COS(($BH129+4*($BI129-$BH129)/12))</f>
        <v/>
      </c>
      <c r="CB129">
        <f>BO129*COS(($BH129+5*($BI129-$BH129)/12))</f>
        <v/>
      </c>
      <c r="CC129">
        <f>BP129*COS(($BH129+6*($BI129-$BH129)/12))</f>
        <v/>
      </c>
      <c r="CD129">
        <f>BQ129*COS(($BH129+7*($BI129-$BH129)/12))</f>
        <v/>
      </c>
      <c r="CE129">
        <f>BR129*COS(($BH129+8*($BI129-$BH129)/12))</f>
        <v/>
      </c>
      <c r="CF129">
        <f>BS129*COS(($BH129+9*($BI129-$BH129)/12))</f>
        <v/>
      </c>
      <c r="CG129">
        <f>BT129*COS(($BH129+10*($BI129-$BH129)/12))</f>
        <v/>
      </c>
      <c r="CH129">
        <f>BU129*COS(($BH129+11*($BI129-$BH129)/12))</f>
        <v/>
      </c>
      <c r="CI129">
        <f>BV129*COS(($BH129+12*($BI129-$BH129)/12))</f>
        <v/>
      </c>
    </row>
    <row r="130">
      <c r="B130" s="65" t="n">
        <v>41</v>
      </c>
      <c r="C130" s="66">
        <f>IF($G129&lt;cc_NEd-1E-9*ABS(cc_NEd),($C129+$D129)/2,$C129)</f>
        <v/>
      </c>
      <c r="D130" s="66">
        <f>IF($G129&lt;cc_NEd-1E-9*ABS(cc_NEd),$D129,($C129+$D129)/2)</f>
        <v/>
      </c>
      <c r="E130" s="67">
        <f>cc_D*(($C130+$D130)/2)/(1-(($C130+$D130)/2))</f>
        <v/>
      </c>
      <c r="F130" s="68">
        <f>IF($E130&lt;=cc_D,3.5,2*$E130/($E130-3*cc_D/7))</f>
        <v/>
      </c>
      <c r="G130" s="67">
        <f>(fcd_cc*((cc_D/2)^2*($BI130-COS($BI130)*SIN($BI130))-2*(cc_D/2)^2*($BI130-$BH130)/12/3*SUMPRODUCT($BJ$4:$BV$4,$BJ130:$BV130))+SUMPRODUCT($J$5:$AG$5,$J130:$AG130))/1000</f>
        <v/>
      </c>
      <c r="H130" s="67">
        <f>(fcd_cc*(2/3*(cc_D/2)^3*SIN($BI130)^3-2*(cc_D/2)^3*($BI130-$BH130)/12/3*SUMPRODUCT($BW$4:$CI$4,$BW130:$CI130))+SUMPRODUCT($J$5:$AG$5,$J130:$AG130,$J$7:$AG$7))/1E6</f>
        <v/>
      </c>
      <c r="I130" s="67">
        <f>SUMPRODUCT($J$5:$AG$5,$J130:$AG130,$J$8:$AG$8)/1E6</f>
        <v/>
      </c>
      <c r="J130">
        <f>MAX(-fyd_cc,MIN(fyd_cc,Es_cc*IF($E130&lt;=cc_D,0.0035*($E130-J$6)/$E130,0.002*($E130-J$6)/($E130-3*cc_D/7))))-fcd_cc*(1-(1-MAX(0,MIN(1,IF($E130&lt;=cc_D,0.0035*($E130-J$6)/$E130,0.002*($E130-J$6)/($E130-3*cc_D/7))/0.002)))^2)</f>
        <v/>
      </c>
      <c r="K130">
        <f>MAX(-fyd_cc,MIN(fyd_cc,Es_cc*IF($E130&lt;=cc_D,0.0035*($E130-K$6)/$E130,0.002*($E130-K$6)/($E130-3*cc_D/7))))-fcd_cc*(1-(1-MAX(0,MIN(1,IF($E130&lt;=cc_D,0.0035*($E130-K$6)/$E130,0.002*($E130-K$6)/($E130-3*cc_D/7))/0.002)))^2)</f>
        <v/>
      </c>
      <c r="L130">
        <f>MAX(-fyd_cc,MIN(fyd_cc,Es_cc*IF($E130&lt;=cc_D,0.0035*($E130-L$6)/$E130,0.002*($E130-L$6)/($E130-3*cc_D/7))))-fcd_cc*(1-(1-MAX(0,MIN(1,IF($E130&lt;=cc_D,0.0035*($E130-L$6)/$E130,0.002*($E130-L$6)/($E130-3*cc_D/7))/0.002)))^2)</f>
        <v/>
      </c>
      <c r="M130">
        <f>MAX(-fyd_cc,MIN(fyd_cc,Es_cc*IF($E130&lt;=cc_D,0.0035*($E130-M$6)/$E130,0.002*($E130-M$6)/($E130-3*cc_D/7))))-fcd_cc*(1-(1-MAX(0,MIN(1,IF($E130&lt;=cc_D,0.0035*($E130-M$6)/$E130,0.002*($E130-M$6)/($E130-3*cc_D/7))/0.002)))^2)</f>
        <v/>
      </c>
      <c r="N130">
        <f>MAX(-fyd_cc,MIN(fyd_cc,Es_cc*IF($E130&lt;=cc_D,0.0035*($E130-N$6)/$E130,0.002*($E130-N$6)/($E130-3*cc_D/7))))-fcd_cc*(1-(1-MAX(0,MIN(1,IF($E130&lt;=cc_D,0.0035*($E130-N$6)/$E130,0.002*($E130-N$6)/($E130-3*cc_D/7))/0.002)))^2)</f>
        <v/>
      </c>
      <c r="O130">
        <f>MAX(-fyd_cc,MIN(fyd_cc,Es_cc*IF($E130&lt;=cc_D,0.0035*($E130-O$6)/$E130,0.002*($E130-O$6)/($E130-3*cc_D/7))))-fcd_cc*(1-(1-MAX(0,MIN(1,IF($E130&lt;=cc_D,0.0035*($E130-O$6)/$E130,0.002*($E130-O$6)/($E130-3*cc_D/7))/0.002)))^2)</f>
        <v/>
      </c>
      <c r="P130">
        <f>MAX(-fyd_cc,MIN(fyd_cc,Es_cc*IF($E130&lt;=cc_D,0.0035*($E130-P$6)/$E130,0.002*($E130-P$6)/($E130-3*cc_D/7))))-fcd_cc*(1-(1-MAX(0,MIN(1,IF($E130&lt;=cc_D,0.0035*($E130-P$6)/$E130,0.002*($E130-P$6)/($E130-3*cc_D/7))/0.002)))^2)</f>
        <v/>
      </c>
      <c r="Q130">
        <f>MAX(-fyd_cc,MIN(fyd_cc,Es_cc*IF($E130&lt;=cc_D,0.0035*($E130-Q$6)/$E130,0.002*($E130-Q$6)/($E130-3*cc_D/7))))-fcd_cc*(1-(1-MAX(0,MIN(1,IF($E130&lt;=cc_D,0.0035*($E130-Q$6)/$E130,0.002*($E130-Q$6)/($E130-3*cc_D/7))/0.002)))^2)</f>
        <v/>
      </c>
      <c r="R130">
        <f>MAX(-fyd_cc,MIN(fyd_cc,Es_cc*IF($E130&lt;=cc_D,0.0035*($E130-R$6)/$E130,0.002*($E130-R$6)/($E130-3*cc_D/7))))-fcd_cc*(1-(1-MAX(0,MIN(1,IF($E130&lt;=cc_D,0.0035*($E130-R$6)/$E130,0.002*($E130-R$6)/($E130-3*cc_D/7))/0.002)))^2)</f>
        <v/>
      </c>
      <c r="S130">
        <f>MAX(-fyd_cc,MIN(fyd_cc,Es_cc*IF($E130&lt;=cc_D,0.0035*($E130-S$6)/$E130,0.002*($E130-S$6)/($E130-3*cc_D/7))))-fcd_cc*(1-(1-MAX(0,MIN(1,IF($E130&lt;=cc_D,0.0035*($E130-S$6)/$E130,0.002*($E130-S$6)/($E130-3*cc_D/7))/0.002)))^2)</f>
        <v/>
      </c>
      <c r="T130">
        <f>MAX(-fyd_cc,MIN(fyd_cc,Es_cc*IF($E130&lt;=cc_D,0.0035*($E130-T$6)/$E130,0.002*($E130-T$6)/($E130-3*cc_D/7))))-fcd_cc*(1-(1-MAX(0,MIN(1,IF($E130&lt;=cc_D,0.0035*($E130-T$6)/$E130,0.002*($E130-T$6)/($E130-3*cc_D/7))/0.002)))^2)</f>
        <v/>
      </c>
      <c r="U130">
        <f>MAX(-fyd_cc,MIN(fyd_cc,Es_cc*IF($E130&lt;=cc_D,0.0035*($E130-U$6)/$E130,0.002*($E130-U$6)/($E130-3*cc_D/7))))-fcd_cc*(1-(1-MAX(0,MIN(1,IF($E130&lt;=cc_D,0.0035*($E130-U$6)/$E130,0.002*($E130-U$6)/($E130-3*cc_D/7))/0.002)))^2)</f>
        <v/>
      </c>
      <c r="V130">
        <f>MAX(-fyd_cc,MIN(fyd_cc,Es_cc*IF($E130&lt;=cc_D,0.0035*($E130-V$6)/$E130,0.002*($E130-V$6)/($E130-3*cc_D/7))))-fcd_cc*(1-(1-MAX(0,MIN(1,IF($E130&lt;=cc_D,0.0035*($E130-V$6)/$E130,0.002*($E130-V$6)/($E130-3*cc_D/7))/0.002)))^2)</f>
        <v/>
      </c>
      <c r="W130">
        <f>MAX(-fyd_cc,MIN(fyd_cc,Es_cc*IF($E130&lt;=cc_D,0.0035*($E130-W$6)/$E130,0.002*($E130-W$6)/($E130-3*cc_D/7))))-fcd_cc*(1-(1-MAX(0,MIN(1,IF($E130&lt;=cc_D,0.0035*($E130-W$6)/$E130,0.002*($E130-W$6)/($E130-3*cc_D/7))/0.002)))^2)</f>
        <v/>
      </c>
      <c r="X130">
        <f>MAX(-fyd_cc,MIN(fyd_cc,Es_cc*IF($E130&lt;=cc_D,0.0035*($E130-X$6)/$E130,0.002*($E130-X$6)/($E130-3*cc_D/7))))-fcd_cc*(1-(1-MAX(0,MIN(1,IF($E130&lt;=cc_D,0.0035*($E130-X$6)/$E130,0.002*($E130-X$6)/($E130-3*cc_D/7))/0.002)))^2)</f>
        <v/>
      </c>
      <c r="Y130">
        <f>MAX(-fyd_cc,MIN(fyd_cc,Es_cc*IF($E130&lt;=cc_D,0.0035*($E130-Y$6)/$E130,0.002*($E130-Y$6)/($E130-3*cc_D/7))))-fcd_cc*(1-(1-MAX(0,MIN(1,IF($E130&lt;=cc_D,0.0035*($E130-Y$6)/$E130,0.002*($E130-Y$6)/($E130-3*cc_D/7))/0.002)))^2)</f>
        <v/>
      </c>
      <c r="Z130">
        <f>MAX(-fyd_cc,MIN(fyd_cc,Es_cc*IF($E130&lt;=cc_D,0.0035*($E130-Z$6)/$E130,0.002*($E130-Z$6)/($E130-3*cc_D/7))))-fcd_cc*(1-(1-MAX(0,MIN(1,IF($E130&lt;=cc_D,0.0035*($E130-Z$6)/$E130,0.002*($E130-Z$6)/($E130-3*cc_D/7))/0.002)))^2)</f>
        <v/>
      </c>
      <c r="AA130">
        <f>MAX(-fyd_cc,MIN(fyd_cc,Es_cc*IF($E130&lt;=cc_D,0.0035*($E130-AA$6)/$E130,0.002*($E130-AA$6)/($E130-3*cc_D/7))))-fcd_cc*(1-(1-MAX(0,MIN(1,IF($E130&lt;=cc_D,0.0035*($E130-AA$6)/$E130,0.002*($E130-AA$6)/($E130-3*cc_D/7))/0.002)))^2)</f>
        <v/>
      </c>
      <c r="AB130">
        <f>MAX(-fyd_cc,MIN(fyd_cc,Es_cc*IF($E130&lt;=cc_D,0.0035*($E130-AB$6)/$E130,0.002*($E130-AB$6)/($E130-3*cc_D/7))))-fcd_cc*(1-(1-MAX(0,MIN(1,IF($E130&lt;=cc_D,0.0035*($E130-AB$6)/$E130,0.002*($E130-AB$6)/($E130-3*cc_D/7))/0.002)))^2)</f>
        <v/>
      </c>
      <c r="AC130">
        <f>MAX(-fyd_cc,MIN(fyd_cc,Es_cc*IF($E130&lt;=cc_D,0.0035*($E130-AC$6)/$E130,0.002*($E130-AC$6)/($E130-3*cc_D/7))))-fcd_cc*(1-(1-MAX(0,MIN(1,IF($E130&lt;=cc_D,0.0035*($E130-AC$6)/$E130,0.002*($E130-AC$6)/($E130-3*cc_D/7))/0.002)))^2)</f>
        <v/>
      </c>
      <c r="AD130">
        <f>MAX(-fyd_cc,MIN(fyd_cc,Es_cc*IF($E130&lt;=cc_D,0.0035*($E130-AD$6)/$E130,0.002*($E130-AD$6)/($E130-3*cc_D/7))))-fcd_cc*(1-(1-MAX(0,MIN(1,IF($E130&lt;=cc_D,0.0035*($E130-AD$6)/$E130,0.002*($E130-AD$6)/($E130-3*cc_D/7))/0.002)))^2)</f>
        <v/>
      </c>
      <c r="AE130">
        <f>MAX(-fyd_cc,MIN(fyd_cc,Es_cc*IF($E130&lt;=cc_D,0.0035*($E130-AE$6)/$E130,0.002*($E130-AE$6)/($E130-3*cc_D/7))))-fcd_cc*(1-(1-MAX(0,MIN(1,IF($E130&lt;=cc_D,0.0035*($E130-AE$6)/$E130,0.002*($E130-AE$6)/($E130-3*cc_D/7))/0.002)))^2)</f>
        <v/>
      </c>
      <c r="AF130">
        <f>MAX(-fyd_cc,MIN(fyd_cc,Es_cc*IF($E130&lt;=cc_D,0.0035*($E130-AF$6)/$E130,0.002*($E130-AF$6)/($E130-3*cc_D/7))))-fcd_cc*(1-(1-MAX(0,MIN(1,IF($E130&lt;=cc_D,0.0035*($E130-AF$6)/$E130,0.002*($E130-AF$6)/($E130-3*cc_D/7))/0.002)))^2)</f>
        <v/>
      </c>
      <c r="AG130">
        <f>MAX(-fyd_cc,MIN(fyd_cc,Es_cc*IF($E130&lt;=cc_D,0.0035*($E130-AG$6)/$E130,0.002*($E130-AG$6)/($E130-3*cc_D/7))))-fcd_cc*(1-(1-MAX(0,MIN(1,IF($E130&lt;=cc_D,0.0035*($E130-AG$6)/$E130,0.002*($E130-AG$6)/($E130-3*cc_D/7))/0.002)))^2)</f>
        <v/>
      </c>
      <c r="BF130">
        <f>3*MIN($E130,cc_D)/7</f>
        <v/>
      </c>
      <c r="BG130">
        <f>$E130-$BF130</f>
        <v/>
      </c>
      <c r="BH130">
        <f>ACOS(MAX(-1,MIN(1,1-$BF130/(cc_D/2))))</f>
        <v/>
      </c>
      <c r="BI130">
        <f>ACOS(MAX(-1,MIN(1,1-MIN($E130,cc_D)/(cc_D/2))))</f>
        <v/>
      </c>
      <c r="BJ130">
        <f>((cc_D/2*(1-COS(($BH130+0*($BI130-$BH130)/12)))-$BF130)/$BG130)^2*SIN(($BH130+0*($BI130-$BH130)/12))^2</f>
        <v/>
      </c>
      <c r="BK130">
        <f>((cc_D/2*(1-COS(($BH130+1*($BI130-$BH130)/12)))-$BF130)/$BG130)^2*SIN(($BH130+1*($BI130-$BH130)/12))^2</f>
        <v/>
      </c>
      <c r="BL130">
        <f>((cc_D/2*(1-COS(($BH130+2*($BI130-$BH130)/12)))-$BF130)/$BG130)^2*SIN(($BH130+2*($BI130-$BH130)/12))^2</f>
        <v/>
      </c>
      <c r="BM130">
        <f>((cc_D/2*(1-COS(($BH130+3*($BI130-$BH130)/12)))-$BF130)/$BG130)^2*SIN(($BH130+3*($BI130-$BH130)/12))^2</f>
        <v/>
      </c>
      <c r="BN130">
        <f>((cc_D/2*(1-COS(($BH130+4*($BI130-$BH130)/12)))-$BF130)/$BG130)^2*SIN(($BH130+4*($BI130-$BH130)/12))^2</f>
        <v/>
      </c>
      <c r="BO130">
        <f>((cc_D/2*(1-COS(($BH130+5*($BI130-$BH130)/12)))-$BF130)/$BG130)^2*SIN(($BH130+5*($BI130-$BH130)/12))^2</f>
        <v/>
      </c>
      <c r="BP130">
        <f>((cc_D/2*(1-COS(($BH130+6*($BI130-$BH130)/12)))-$BF130)/$BG130)^2*SIN(($BH130+6*($BI130-$BH130)/12))^2</f>
        <v/>
      </c>
      <c r="BQ130">
        <f>((cc_D/2*(1-COS(($BH130+7*($BI130-$BH130)/12)))-$BF130)/$BG130)^2*SIN(($BH130+7*($BI130-$BH130)/12))^2</f>
        <v/>
      </c>
      <c r="BR130">
        <f>((cc_D/2*(1-COS(($BH130+8*($BI130-$BH130)/12)))-$BF130)/$BG130)^2*SIN(($BH130+8*($BI130-$BH130)/12))^2</f>
        <v/>
      </c>
      <c r="BS130">
        <f>((cc_D/2*(1-COS(($BH130+9*($BI130-$BH130)/12)))-$BF130)/$BG130)^2*SIN(($BH130+9*($BI130-$BH130)/12))^2</f>
        <v/>
      </c>
      <c r="BT130">
        <f>((cc_D/2*(1-COS(($BH130+10*($BI130-$BH130)/12)))-$BF130)/$BG130)^2*SIN(($BH130+10*($BI130-$BH130)/12))^2</f>
        <v/>
      </c>
      <c r="BU130">
        <f>((cc_D/2*(1-COS(($BH130+11*($BI130-$BH130)/12)))-$BF130)/$BG130)^2*SIN(($BH130+11*($BI130-$BH130)/12))^2</f>
        <v/>
      </c>
      <c r="BV130">
        <f>((cc_D/2*(1-COS(($BH130+12*($BI130-$BH130)/12)))-$BF130)/$BG130)^2*SIN(($BH130+12*($BI130-$BH130)/12))^2</f>
        <v/>
      </c>
      <c r="BW130">
        <f>BJ130*COS(($BH130+0*($BI130-$BH130)/12))</f>
        <v/>
      </c>
      <c r="BX130">
        <f>BK130*COS(($BH130+1*($BI130-$BH130)/12))</f>
        <v/>
      </c>
      <c r="BY130">
        <f>BL130*COS(($BH130+2*($BI130-$BH130)/12))</f>
        <v/>
      </c>
      <c r="BZ130">
        <f>BM130*COS(($BH130+3*($BI130-$BH130)/12))</f>
        <v/>
      </c>
      <c r="CA130">
        <f>BN130*COS(($BH130+4*($BI130-$BH130)/12))</f>
        <v/>
      </c>
      <c r="CB130">
        <f>BO130*COS(($BH130+5*($BI130-$BH130)/12))</f>
        <v/>
      </c>
      <c r="CC130">
        <f>BP130*COS(($BH130+6*($BI130-$BH130)/12))</f>
        <v/>
      </c>
      <c r="CD130">
        <f>BQ130*COS(($BH130+7*($BI130-$BH130)/12))</f>
        <v/>
      </c>
      <c r="CE130">
        <f>BR130*COS(($BH130+8*($BI130-$BH130)/12))</f>
        <v/>
      </c>
      <c r="CF130">
        <f>BS130*COS(($BH130+9*($BI130-$BH130)/12))</f>
        <v/>
      </c>
      <c r="CG130">
        <f>BT130*COS(($BH130+10*($BI130-$BH130)/12))</f>
        <v/>
      </c>
      <c r="CH130">
        <f>BU130*COS(($BH130+11*($BI130-$BH130)/12))</f>
        <v/>
      </c>
      <c r="CI130">
        <f>BV130*COS(($BH130+12*($BI130-$BH130)/12))</f>
        <v/>
      </c>
    </row>
    <row r="131">
      <c r="B131" s="65" t="n">
        <v>42</v>
      </c>
      <c r="C131" s="66">
        <f>IF($G130&lt;cc_NEd-1E-9*ABS(cc_NEd),($C130+$D130)/2,$C130)</f>
        <v/>
      </c>
      <c r="D131" s="66">
        <f>IF($G130&lt;cc_NEd-1E-9*ABS(cc_NEd),$D130,($C130+$D130)/2)</f>
        <v/>
      </c>
      <c r="E131" s="67">
        <f>cc_D*(($C131+$D131)/2)/(1-(($C131+$D131)/2))</f>
        <v/>
      </c>
      <c r="F131" s="68">
        <f>IF($E131&lt;=cc_D,3.5,2*$E131/($E131-3*cc_D/7))</f>
        <v/>
      </c>
      <c r="G131" s="67">
        <f>(fcd_cc*((cc_D/2)^2*($BI131-COS($BI131)*SIN($BI131))-2*(cc_D/2)^2*($BI131-$BH131)/12/3*SUMPRODUCT($BJ$4:$BV$4,$BJ131:$BV131))+SUMPRODUCT($J$5:$AG$5,$J131:$AG131))/1000</f>
        <v/>
      </c>
      <c r="H131" s="67">
        <f>(fcd_cc*(2/3*(cc_D/2)^3*SIN($BI131)^3-2*(cc_D/2)^3*($BI131-$BH131)/12/3*SUMPRODUCT($BW$4:$CI$4,$BW131:$CI131))+SUMPRODUCT($J$5:$AG$5,$J131:$AG131,$J$7:$AG$7))/1E6</f>
        <v/>
      </c>
      <c r="I131" s="67">
        <f>SUMPRODUCT($J$5:$AG$5,$J131:$AG131,$J$8:$AG$8)/1E6</f>
        <v/>
      </c>
      <c r="J131">
        <f>MAX(-fyd_cc,MIN(fyd_cc,Es_cc*IF($E131&lt;=cc_D,0.0035*($E131-J$6)/$E131,0.002*($E131-J$6)/($E131-3*cc_D/7))))-fcd_cc*(1-(1-MAX(0,MIN(1,IF($E131&lt;=cc_D,0.0035*($E131-J$6)/$E131,0.002*($E131-J$6)/($E131-3*cc_D/7))/0.002)))^2)</f>
        <v/>
      </c>
      <c r="K131">
        <f>MAX(-fyd_cc,MIN(fyd_cc,Es_cc*IF($E131&lt;=cc_D,0.0035*($E131-K$6)/$E131,0.002*($E131-K$6)/($E131-3*cc_D/7))))-fcd_cc*(1-(1-MAX(0,MIN(1,IF($E131&lt;=cc_D,0.0035*($E131-K$6)/$E131,0.002*($E131-K$6)/($E131-3*cc_D/7))/0.002)))^2)</f>
        <v/>
      </c>
      <c r="L131">
        <f>MAX(-fyd_cc,MIN(fyd_cc,Es_cc*IF($E131&lt;=cc_D,0.0035*($E131-L$6)/$E131,0.002*($E131-L$6)/($E131-3*cc_D/7))))-fcd_cc*(1-(1-MAX(0,MIN(1,IF($E131&lt;=cc_D,0.0035*($E131-L$6)/$E131,0.002*($E131-L$6)/($E131-3*cc_D/7))/0.002)))^2)</f>
        <v/>
      </c>
      <c r="M131">
        <f>MAX(-fyd_cc,MIN(fyd_cc,Es_cc*IF($E131&lt;=cc_D,0.0035*($E131-M$6)/$E131,0.002*($E131-M$6)/($E131-3*cc_D/7))))-fcd_cc*(1-(1-MAX(0,MIN(1,IF($E131&lt;=cc_D,0.0035*($E131-M$6)/$E131,0.002*($E131-M$6)/($E131-3*cc_D/7))/0.002)))^2)</f>
        <v/>
      </c>
      <c r="N131">
        <f>MAX(-fyd_cc,MIN(fyd_cc,Es_cc*IF($E131&lt;=cc_D,0.0035*($E131-N$6)/$E131,0.002*($E131-N$6)/($E131-3*cc_D/7))))-fcd_cc*(1-(1-MAX(0,MIN(1,IF($E131&lt;=cc_D,0.0035*($E131-N$6)/$E131,0.002*($E131-N$6)/($E131-3*cc_D/7))/0.002)))^2)</f>
        <v/>
      </c>
      <c r="O131">
        <f>MAX(-fyd_cc,MIN(fyd_cc,Es_cc*IF($E131&lt;=cc_D,0.0035*($E131-O$6)/$E131,0.002*($E131-O$6)/($E131-3*cc_D/7))))-fcd_cc*(1-(1-MAX(0,MIN(1,IF($E131&lt;=cc_D,0.0035*($E131-O$6)/$E131,0.002*($E131-O$6)/($E131-3*cc_D/7))/0.002)))^2)</f>
        <v/>
      </c>
      <c r="P131">
        <f>MAX(-fyd_cc,MIN(fyd_cc,Es_cc*IF($E131&lt;=cc_D,0.0035*($E131-P$6)/$E131,0.002*($E131-P$6)/($E131-3*cc_D/7))))-fcd_cc*(1-(1-MAX(0,MIN(1,IF($E131&lt;=cc_D,0.0035*($E131-P$6)/$E131,0.002*($E131-P$6)/($E131-3*cc_D/7))/0.002)))^2)</f>
        <v/>
      </c>
      <c r="Q131">
        <f>MAX(-fyd_cc,MIN(fyd_cc,Es_cc*IF($E131&lt;=cc_D,0.0035*($E131-Q$6)/$E131,0.002*($E131-Q$6)/($E131-3*cc_D/7))))-fcd_cc*(1-(1-MAX(0,MIN(1,IF($E131&lt;=cc_D,0.0035*($E131-Q$6)/$E131,0.002*($E131-Q$6)/($E131-3*cc_D/7))/0.002)))^2)</f>
        <v/>
      </c>
      <c r="R131">
        <f>MAX(-fyd_cc,MIN(fyd_cc,Es_cc*IF($E131&lt;=cc_D,0.0035*($E131-R$6)/$E131,0.002*($E131-R$6)/($E131-3*cc_D/7))))-fcd_cc*(1-(1-MAX(0,MIN(1,IF($E131&lt;=cc_D,0.0035*($E131-R$6)/$E131,0.002*($E131-R$6)/($E131-3*cc_D/7))/0.002)))^2)</f>
        <v/>
      </c>
      <c r="S131">
        <f>MAX(-fyd_cc,MIN(fyd_cc,Es_cc*IF($E131&lt;=cc_D,0.0035*($E131-S$6)/$E131,0.002*($E131-S$6)/($E131-3*cc_D/7))))-fcd_cc*(1-(1-MAX(0,MIN(1,IF($E131&lt;=cc_D,0.0035*($E131-S$6)/$E131,0.002*($E131-S$6)/($E131-3*cc_D/7))/0.002)))^2)</f>
        <v/>
      </c>
      <c r="T131">
        <f>MAX(-fyd_cc,MIN(fyd_cc,Es_cc*IF($E131&lt;=cc_D,0.0035*($E131-T$6)/$E131,0.002*($E131-T$6)/($E131-3*cc_D/7))))-fcd_cc*(1-(1-MAX(0,MIN(1,IF($E131&lt;=cc_D,0.0035*($E131-T$6)/$E131,0.002*($E131-T$6)/($E131-3*cc_D/7))/0.002)))^2)</f>
        <v/>
      </c>
      <c r="U131">
        <f>MAX(-fyd_cc,MIN(fyd_cc,Es_cc*IF($E131&lt;=cc_D,0.0035*($E131-U$6)/$E131,0.002*($E131-U$6)/($E131-3*cc_D/7))))-fcd_cc*(1-(1-MAX(0,MIN(1,IF($E131&lt;=cc_D,0.0035*($E131-U$6)/$E131,0.002*($E131-U$6)/($E131-3*cc_D/7))/0.002)))^2)</f>
        <v/>
      </c>
      <c r="V131">
        <f>MAX(-fyd_cc,MIN(fyd_cc,Es_cc*IF($E131&lt;=cc_D,0.0035*($E131-V$6)/$E131,0.002*($E131-V$6)/($E131-3*cc_D/7))))-fcd_cc*(1-(1-MAX(0,MIN(1,IF($E131&lt;=cc_D,0.0035*($E131-V$6)/$E131,0.002*($E131-V$6)/($E131-3*cc_D/7))/0.002)))^2)</f>
        <v/>
      </c>
      <c r="W131">
        <f>MAX(-fyd_cc,MIN(fyd_cc,Es_cc*IF($E131&lt;=cc_D,0.0035*($E131-W$6)/$E131,0.002*($E131-W$6)/($E131-3*cc_D/7))))-fcd_cc*(1-(1-MAX(0,MIN(1,IF($E131&lt;=cc_D,0.0035*($E131-W$6)/$E131,0.002*($E131-W$6)/($E131-3*cc_D/7))/0.002)))^2)</f>
        <v/>
      </c>
      <c r="X131">
        <f>MAX(-fyd_cc,MIN(fyd_cc,Es_cc*IF($E131&lt;=cc_D,0.0035*($E131-X$6)/$E131,0.002*($E131-X$6)/($E131-3*cc_D/7))))-fcd_cc*(1-(1-MAX(0,MIN(1,IF($E131&lt;=cc_D,0.0035*($E131-X$6)/$E131,0.002*($E131-X$6)/($E131-3*cc_D/7))/0.002)))^2)</f>
        <v/>
      </c>
      <c r="Y131">
        <f>MAX(-fyd_cc,MIN(fyd_cc,Es_cc*IF($E131&lt;=cc_D,0.0035*($E131-Y$6)/$E131,0.002*($E131-Y$6)/($E131-3*cc_D/7))))-fcd_cc*(1-(1-MAX(0,MIN(1,IF($E131&lt;=cc_D,0.0035*($E131-Y$6)/$E131,0.002*($E131-Y$6)/($E131-3*cc_D/7))/0.002)))^2)</f>
        <v/>
      </c>
      <c r="Z131">
        <f>MAX(-fyd_cc,MIN(fyd_cc,Es_cc*IF($E131&lt;=cc_D,0.0035*($E131-Z$6)/$E131,0.002*($E131-Z$6)/($E131-3*cc_D/7))))-fcd_cc*(1-(1-MAX(0,MIN(1,IF($E131&lt;=cc_D,0.0035*($E131-Z$6)/$E131,0.002*($E131-Z$6)/($E131-3*cc_D/7))/0.002)))^2)</f>
        <v/>
      </c>
      <c r="AA131">
        <f>MAX(-fyd_cc,MIN(fyd_cc,Es_cc*IF($E131&lt;=cc_D,0.0035*($E131-AA$6)/$E131,0.002*($E131-AA$6)/($E131-3*cc_D/7))))-fcd_cc*(1-(1-MAX(0,MIN(1,IF($E131&lt;=cc_D,0.0035*($E131-AA$6)/$E131,0.002*($E131-AA$6)/($E131-3*cc_D/7))/0.002)))^2)</f>
        <v/>
      </c>
      <c r="AB131">
        <f>MAX(-fyd_cc,MIN(fyd_cc,Es_cc*IF($E131&lt;=cc_D,0.0035*($E131-AB$6)/$E131,0.002*($E131-AB$6)/($E131-3*cc_D/7))))-fcd_cc*(1-(1-MAX(0,MIN(1,IF($E131&lt;=cc_D,0.0035*($E131-AB$6)/$E131,0.002*($E131-AB$6)/($E131-3*cc_D/7))/0.002)))^2)</f>
        <v/>
      </c>
      <c r="AC131">
        <f>MAX(-fyd_cc,MIN(fyd_cc,Es_cc*IF($E131&lt;=cc_D,0.0035*($E131-AC$6)/$E131,0.002*($E131-AC$6)/($E131-3*cc_D/7))))-fcd_cc*(1-(1-MAX(0,MIN(1,IF($E131&lt;=cc_D,0.0035*($E131-AC$6)/$E131,0.002*($E131-AC$6)/($E131-3*cc_D/7))/0.002)))^2)</f>
        <v/>
      </c>
      <c r="AD131">
        <f>MAX(-fyd_cc,MIN(fyd_cc,Es_cc*IF($E131&lt;=cc_D,0.0035*($E131-AD$6)/$E131,0.002*($E131-AD$6)/($E131-3*cc_D/7))))-fcd_cc*(1-(1-MAX(0,MIN(1,IF($E131&lt;=cc_D,0.0035*($E131-AD$6)/$E131,0.002*($E131-AD$6)/($E131-3*cc_D/7))/0.002)))^2)</f>
        <v/>
      </c>
      <c r="AE131">
        <f>MAX(-fyd_cc,MIN(fyd_cc,Es_cc*IF($E131&lt;=cc_D,0.0035*($E131-AE$6)/$E131,0.002*($E131-AE$6)/($E131-3*cc_D/7))))-fcd_cc*(1-(1-MAX(0,MIN(1,IF($E131&lt;=cc_D,0.0035*($E131-AE$6)/$E131,0.002*($E131-AE$6)/($E131-3*cc_D/7))/0.002)))^2)</f>
        <v/>
      </c>
      <c r="AF131">
        <f>MAX(-fyd_cc,MIN(fyd_cc,Es_cc*IF($E131&lt;=cc_D,0.0035*($E131-AF$6)/$E131,0.002*($E131-AF$6)/($E131-3*cc_D/7))))-fcd_cc*(1-(1-MAX(0,MIN(1,IF($E131&lt;=cc_D,0.0035*($E131-AF$6)/$E131,0.002*($E131-AF$6)/($E131-3*cc_D/7))/0.002)))^2)</f>
        <v/>
      </c>
      <c r="AG131">
        <f>MAX(-fyd_cc,MIN(fyd_cc,Es_cc*IF($E131&lt;=cc_D,0.0035*($E131-AG$6)/$E131,0.002*($E131-AG$6)/($E131-3*cc_D/7))))-fcd_cc*(1-(1-MAX(0,MIN(1,IF($E131&lt;=cc_D,0.0035*($E131-AG$6)/$E131,0.002*($E131-AG$6)/($E131-3*cc_D/7))/0.002)))^2)</f>
        <v/>
      </c>
      <c r="BF131">
        <f>3*MIN($E131,cc_D)/7</f>
        <v/>
      </c>
      <c r="BG131">
        <f>$E131-$BF131</f>
        <v/>
      </c>
      <c r="BH131">
        <f>ACOS(MAX(-1,MIN(1,1-$BF131/(cc_D/2))))</f>
        <v/>
      </c>
      <c r="BI131">
        <f>ACOS(MAX(-1,MIN(1,1-MIN($E131,cc_D)/(cc_D/2))))</f>
        <v/>
      </c>
      <c r="BJ131">
        <f>((cc_D/2*(1-COS(($BH131+0*($BI131-$BH131)/12)))-$BF131)/$BG131)^2*SIN(($BH131+0*($BI131-$BH131)/12))^2</f>
        <v/>
      </c>
      <c r="BK131">
        <f>((cc_D/2*(1-COS(($BH131+1*($BI131-$BH131)/12)))-$BF131)/$BG131)^2*SIN(($BH131+1*($BI131-$BH131)/12))^2</f>
        <v/>
      </c>
      <c r="BL131">
        <f>((cc_D/2*(1-COS(($BH131+2*($BI131-$BH131)/12)))-$BF131)/$BG131)^2*SIN(($BH131+2*($BI131-$BH131)/12))^2</f>
        <v/>
      </c>
      <c r="BM131">
        <f>((cc_D/2*(1-COS(($BH131+3*($BI131-$BH131)/12)))-$BF131)/$BG131)^2*SIN(($BH131+3*($BI131-$BH131)/12))^2</f>
        <v/>
      </c>
      <c r="BN131">
        <f>((cc_D/2*(1-COS(($BH131+4*($BI131-$BH131)/12)))-$BF131)/$BG131)^2*SIN(($BH131+4*($BI131-$BH131)/12))^2</f>
        <v/>
      </c>
      <c r="BO131">
        <f>((cc_D/2*(1-COS(($BH131+5*($BI131-$BH131)/12)))-$BF131)/$BG131)^2*SIN(($BH131+5*($BI131-$BH131)/12))^2</f>
        <v/>
      </c>
      <c r="BP131">
        <f>((cc_D/2*(1-COS(($BH131+6*($BI131-$BH131)/12)))-$BF131)/$BG131)^2*SIN(($BH131+6*($BI131-$BH131)/12))^2</f>
        <v/>
      </c>
      <c r="BQ131">
        <f>((cc_D/2*(1-COS(($BH131+7*($BI131-$BH131)/12)))-$BF131)/$BG131)^2*SIN(($BH131+7*($BI131-$BH131)/12))^2</f>
        <v/>
      </c>
      <c r="BR131">
        <f>((cc_D/2*(1-COS(($BH131+8*($BI131-$BH131)/12)))-$BF131)/$BG131)^2*SIN(($BH131+8*($BI131-$BH131)/12))^2</f>
        <v/>
      </c>
      <c r="BS131">
        <f>((cc_D/2*(1-COS(($BH131+9*($BI131-$BH131)/12)))-$BF131)/$BG131)^2*SIN(($BH131+9*($BI131-$BH131)/12))^2</f>
        <v/>
      </c>
      <c r="BT131">
        <f>((cc_D/2*(1-COS(($BH131+10*($BI131-$BH131)/12)))-$BF131)/$BG131)^2*SIN(($BH131+10*($BI131-$BH131)/12))^2</f>
        <v/>
      </c>
      <c r="BU131">
        <f>((cc_D/2*(1-COS(($BH131+11*($BI131-$BH131)/12)))-$BF131)/$BG131)^2*SIN(($BH131+11*($BI131-$BH131)/12))^2</f>
        <v/>
      </c>
      <c r="BV131">
        <f>((cc_D/2*(1-COS(($BH131+12*($BI131-$BH131)/12)))-$BF131)/$BG131)^2*SIN(($BH131+12*($BI131-$BH131)/12))^2</f>
        <v/>
      </c>
      <c r="BW131">
        <f>BJ131*COS(($BH131+0*($BI131-$BH131)/12))</f>
        <v/>
      </c>
      <c r="BX131">
        <f>BK131*COS(($BH131+1*($BI131-$BH131)/12))</f>
        <v/>
      </c>
      <c r="BY131">
        <f>BL131*COS(($BH131+2*($BI131-$BH131)/12))</f>
        <v/>
      </c>
      <c r="BZ131">
        <f>BM131*COS(($BH131+3*($BI131-$BH131)/12))</f>
        <v/>
      </c>
      <c r="CA131">
        <f>BN131*COS(($BH131+4*($BI131-$BH131)/12))</f>
        <v/>
      </c>
      <c r="CB131">
        <f>BO131*COS(($BH131+5*($BI131-$BH131)/12))</f>
        <v/>
      </c>
      <c r="CC131">
        <f>BP131*COS(($BH131+6*($BI131-$BH131)/12))</f>
        <v/>
      </c>
      <c r="CD131">
        <f>BQ131*COS(($BH131+7*($BI131-$BH131)/12))</f>
        <v/>
      </c>
      <c r="CE131">
        <f>BR131*COS(($BH131+8*($BI131-$BH131)/12))</f>
        <v/>
      </c>
      <c r="CF131">
        <f>BS131*COS(($BH131+9*($BI131-$BH131)/12))</f>
        <v/>
      </c>
      <c r="CG131">
        <f>BT131*COS(($BH131+10*($BI131-$BH131)/12))</f>
        <v/>
      </c>
      <c r="CH131">
        <f>BU131*COS(($BH131+11*($BI131-$BH131)/12))</f>
        <v/>
      </c>
      <c r="CI131">
        <f>BV131*COS(($BH131+12*($BI131-$BH131)/12))</f>
        <v/>
      </c>
    </row>
    <row r="132">
      <c r="B132" s="65" t="n">
        <v>43</v>
      </c>
      <c r="C132" s="66">
        <f>IF($G131&lt;cc_NEd-1E-9*ABS(cc_NEd),($C131+$D131)/2,$C131)</f>
        <v/>
      </c>
      <c r="D132" s="66">
        <f>IF($G131&lt;cc_NEd-1E-9*ABS(cc_NEd),$D131,($C131+$D131)/2)</f>
        <v/>
      </c>
      <c r="E132" s="67">
        <f>cc_D*(($C132+$D132)/2)/(1-(($C132+$D132)/2))</f>
        <v/>
      </c>
      <c r="F132" s="68">
        <f>IF($E132&lt;=cc_D,3.5,2*$E132/($E132-3*cc_D/7))</f>
        <v/>
      </c>
      <c r="G132" s="67">
        <f>(fcd_cc*((cc_D/2)^2*($BI132-COS($BI132)*SIN($BI132))-2*(cc_D/2)^2*($BI132-$BH132)/12/3*SUMPRODUCT($BJ$4:$BV$4,$BJ132:$BV132))+SUMPRODUCT($J$5:$AG$5,$J132:$AG132))/1000</f>
        <v/>
      </c>
      <c r="H132" s="67">
        <f>(fcd_cc*(2/3*(cc_D/2)^3*SIN($BI132)^3-2*(cc_D/2)^3*($BI132-$BH132)/12/3*SUMPRODUCT($BW$4:$CI$4,$BW132:$CI132))+SUMPRODUCT($J$5:$AG$5,$J132:$AG132,$J$7:$AG$7))/1E6</f>
        <v/>
      </c>
      <c r="I132" s="67">
        <f>SUMPRODUCT($J$5:$AG$5,$J132:$AG132,$J$8:$AG$8)/1E6</f>
        <v/>
      </c>
      <c r="J132">
        <f>MAX(-fyd_cc,MIN(fyd_cc,Es_cc*IF($E132&lt;=cc_D,0.0035*($E132-J$6)/$E132,0.002*($E132-J$6)/($E132-3*cc_D/7))))-fcd_cc*(1-(1-MAX(0,MIN(1,IF($E132&lt;=cc_D,0.0035*($E132-J$6)/$E132,0.002*($E132-J$6)/($E132-3*cc_D/7))/0.002)))^2)</f>
        <v/>
      </c>
      <c r="K132">
        <f>MAX(-fyd_cc,MIN(fyd_cc,Es_cc*IF($E132&lt;=cc_D,0.0035*($E132-K$6)/$E132,0.002*($E132-K$6)/($E132-3*cc_D/7))))-fcd_cc*(1-(1-MAX(0,MIN(1,IF($E132&lt;=cc_D,0.0035*($E132-K$6)/$E132,0.002*($E132-K$6)/($E132-3*cc_D/7))/0.002)))^2)</f>
        <v/>
      </c>
      <c r="L132">
        <f>MAX(-fyd_cc,MIN(fyd_cc,Es_cc*IF($E132&lt;=cc_D,0.0035*($E132-L$6)/$E132,0.002*($E132-L$6)/($E132-3*cc_D/7))))-fcd_cc*(1-(1-MAX(0,MIN(1,IF($E132&lt;=cc_D,0.0035*($E132-L$6)/$E132,0.002*($E132-L$6)/($E132-3*cc_D/7))/0.002)))^2)</f>
        <v/>
      </c>
      <c r="M132">
        <f>MAX(-fyd_cc,MIN(fyd_cc,Es_cc*IF($E132&lt;=cc_D,0.0035*($E132-M$6)/$E132,0.002*($E132-M$6)/($E132-3*cc_D/7))))-fcd_cc*(1-(1-MAX(0,MIN(1,IF($E132&lt;=cc_D,0.0035*($E132-M$6)/$E132,0.002*($E132-M$6)/($E132-3*cc_D/7))/0.002)))^2)</f>
        <v/>
      </c>
      <c r="N132">
        <f>MAX(-fyd_cc,MIN(fyd_cc,Es_cc*IF($E132&lt;=cc_D,0.0035*($E132-N$6)/$E132,0.002*($E132-N$6)/($E132-3*cc_D/7))))-fcd_cc*(1-(1-MAX(0,MIN(1,IF($E132&lt;=cc_D,0.0035*($E132-N$6)/$E132,0.002*($E132-N$6)/($E132-3*cc_D/7))/0.002)))^2)</f>
        <v/>
      </c>
      <c r="O132">
        <f>MAX(-fyd_cc,MIN(fyd_cc,Es_cc*IF($E132&lt;=cc_D,0.0035*($E132-O$6)/$E132,0.002*($E132-O$6)/($E132-3*cc_D/7))))-fcd_cc*(1-(1-MAX(0,MIN(1,IF($E132&lt;=cc_D,0.0035*($E132-O$6)/$E132,0.002*($E132-O$6)/($E132-3*cc_D/7))/0.002)))^2)</f>
        <v/>
      </c>
      <c r="P132">
        <f>MAX(-fyd_cc,MIN(fyd_cc,Es_cc*IF($E132&lt;=cc_D,0.0035*($E132-P$6)/$E132,0.002*($E132-P$6)/($E132-3*cc_D/7))))-fcd_cc*(1-(1-MAX(0,MIN(1,IF($E132&lt;=cc_D,0.0035*($E132-P$6)/$E132,0.002*($E132-P$6)/($E132-3*cc_D/7))/0.002)))^2)</f>
        <v/>
      </c>
      <c r="Q132">
        <f>MAX(-fyd_cc,MIN(fyd_cc,Es_cc*IF($E132&lt;=cc_D,0.0035*($E132-Q$6)/$E132,0.002*($E132-Q$6)/($E132-3*cc_D/7))))-fcd_cc*(1-(1-MAX(0,MIN(1,IF($E132&lt;=cc_D,0.0035*($E132-Q$6)/$E132,0.002*($E132-Q$6)/($E132-3*cc_D/7))/0.002)))^2)</f>
        <v/>
      </c>
      <c r="R132">
        <f>MAX(-fyd_cc,MIN(fyd_cc,Es_cc*IF($E132&lt;=cc_D,0.0035*($E132-R$6)/$E132,0.002*($E132-R$6)/($E132-3*cc_D/7))))-fcd_cc*(1-(1-MAX(0,MIN(1,IF($E132&lt;=cc_D,0.0035*($E132-R$6)/$E132,0.002*($E132-R$6)/($E132-3*cc_D/7))/0.002)))^2)</f>
        <v/>
      </c>
      <c r="S132">
        <f>MAX(-fyd_cc,MIN(fyd_cc,Es_cc*IF($E132&lt;=cc_D,0.0035*($E132-S$6)/$E132,0.002*($E132-S$6)/($E132-3*cc_D/7))))-fcd_cc*(1-(1-MAX(0,MIN(1,IF($E132&lt;=cc_D,0.0035*($E132-S$6)/$E132,0.002*($E132-S$6)/($E132-3*cc_D/7))/0.002)))^2)</f>
        <v/>
      </c>
      <c r="T132">
        <f>MAX(-fyd_cc,MIN(fyd_cc,Es_cc*IF($E132&lt;=cc_D,0.0035*($E132-T$6)/$E132,0.002*($E132-T$6)/($E132-3*cc_D/7))))-fcd_cc*(1-(1-MAX(0,MIN(1,IF($E132&lt;=cc_D,0.0035*($E132-T$6)/$E132,0.002*($E132-T$6)/($E132-3*cc_D/7))/0.002)))^2)</f>
        <v/>
      </c>
      <c r="U132">
        <f>MAX(-fyd_cc,MIN(fyd_cc,Es_cc*IF($E132&lt;=cc_D,0.0035*($E132-U$6)/$E132,0.002*($E132-U$6)/($E132-3*cc_D/7))))-fcd_cc*(1-(1-MAX(0,MIN(1,IF($E132&lt;=cc_D,0.0035*($E132-U$6)/$E132,0.002*($E132-U$6)/($E132-3*cc_D/7))/0.002)))^2)</f>
        <v/>
      </c>
      <c r="V132">
        <f>MAX(-fyd_cc,MIN(fyd_cc,Es_cc*IF($E132&lt;=cc_D,0.0035*($E132-V$6)/$E132,0.002*($E132-V$6)/($E132-3*cc_D/7))))-fcd_cc*(1-(1-MAX(0,MIN(1,IF($E132&lt;=cc_D,0.0035*($E132-V$6)/$E132,0.002*($E132-V$6)/($E132-3*cc_D/7))/0.002)))^2)</f>
        <v/>
      </c>
      <c r="W132">
        <f>MAX(-fyd_cc,MIN(fyd_cc,Es_cc*IF($E132&lt;=cc_D,0.0035*($E132-W$6)/$E132,0.002*($E132-W$6)/($E132-3*cc_D/7))))-fcd_cc*(1-(1-MAX(0,MIN(1,IF($E132&lt;=cc_D,0.0035*($E132-W$6)/$E132,0.002*($E132-W$6)/($E132-3*cc_D/7))/0.002)))^2)</f>
        <v/>
      </c>
      <c r="X132">
        <f>MAX(-fyd_cc,MIN(fyd_cc,Es_cc*IF($E132&lt;=cc_D,0.0035*($E132-X$6)/$E132,0.002*($E132-X$6)/($E132-3*cc_D/7))))-fcd_cc*(1-(1-MAX(0,MIN(1,IF($E132&lt;=cc_D,0.0035*($E132-X$6)/$E132,0.002*($E132-X$6)/($E132-3*cc_D/7))/0.002)))^2)</f>
        <v/>
      </c>
      <c r="Y132">
        <f>MAX(-fyd_cc,MIN(fyd_cc,Es_cc*IF($E132&lt;=cc_D,0.0035*($E132-Y$6)/$E132,0.002*($E132-Y$6)/($E132-3*cc_D/7))))-fcd_cc*(1-(1-MAX(0,MIN(1,IF($E132&lt;=cc_D,0.0035*($E132-Y$6)/$E132,0.002*($E132-Y$6)/($E132-3*cc_D/7))/0.002)))^2)</f>
        <v/>
      </c>
      <c r="Z132">
        <f>MAX(-fyd_cc,MIN(fyd_cc,Es_cc*IF($E132&lt;=cc_D,0.0035*($E132-Z$6)/$E132,0.002*($E132-Z$6)/($E132-3*cc_D/7))))-fcd_cc*(1-(1-MAX(0,MIN(1,IF($E132&lt;=cc_D,0.0035*($E132-Z$6)/$E132,0.002*($E132-Z$6)/($E132-3*cc_D/7))/0.002)))^2)</f>
        <v/>
      </c>
      <c r="AA132">
        <f>MAX(-fyd_cc,MIN(fyd_cc,Es_cc*IF($E132&lt;=cc_D,0.0035*($E132-AA$6)/$E132,0.002*($E132-AA$6)/($E132-3*cc_D/7))))-fcd_cc*(1-(1-MAX(0,MIN(1,IF($E132&lt;=cc_D,0.0035*($E132-AA$6)/$E132,0.002*($E132-AA$6)/($E132-3*cc_D/7))/0.002)))^2)</f>
        <v/>
      </c>
      <c r="AB132">
        <f>MAX(-fyd_cc,MIN(fyd_cc,Es_cc*IF($E132&lt;=cc_D,0.0035*($E132-AB$6)/$E132,0.002*($E132-AB$6)/($E132-3*cc_D/7))))-fcd_cc*(1-(1-MAX(0,MIN(1,IF($E132&lt;=cc_D,0.0035*($E132-AB$6)/$E132,0.002*($E132-AB$6)/($E132-3*cc_D/7))/0.002)))^2)</f>
        <v/>
      </c>
      <c r="AC132">
        <f>MAX(-fyd_cc,MIN(fyd_cc,Es_cc*IF($E132&lt;=cc_D,0.0035*($E132-AC$6)/$E132,0.002*($E132-AC$6)/($E132-3*cc_D/7))))-fcd_cc*(1-(1-MAX(0,MIN(1,IF($E132&lt;=cc_D,0.0035*($E132-AC$6)/$E132,0.002*($E132-AC$6)/($E132-3*cc_D/7))/0.002)))^2)</f>
        <v/>
      </c>
      <c r="AD132">
        <f>MAX(-fyd_cc,MIN(fyd_cc,Es_cc*IF($E132&lt;=cc_D,0.0035*($E132-AD$6)/$E132,0.002*($E132-AD$6)/($E132-3*cc_D/7))))-fcd_cc*(1-(1-MAX(0,MIN(1,IF($E132&lt;=cc_D,0.0035*($E132-AD$6)/$E132,0.002*($E132-AD$6)/($E132-3*cc_D/7))/0.002)))^2)</f>
        <v/>
      </c>
      <c r="AE132">
        <f>MAX(-fyd_cc,MIN(fyd_cc,Es_cc*IF($E132&lt;=cc_D,0.0035*($E132-AE$6)/$E132,0.002*($E132-AE$6)/($E132-3*cc_D/7))))-fcd_cc*(1-(1-MAX(0,MIN(1,IF($E132&lt;=cc_D,0.0035*($E132-AE$6)/$E132,0.002*($E132-AE$6)/($E132-3*cc_D/7))/0.002)))^2)</f>
        <v/>
      </c>
      <c r="AF132">
        <f>MAX(-fyd_cc,MIN(fyd_cc,Es_cc*IF($E132&lt;=cc_D,0.0035*($E132-AF$6)/$E132,0.002*($E132-AF$6)/($E132-3*cc_D/7))))-fcd_cc*(1-(1-MAX(0,MIN(1,IF($E132&lt;=cc_D,0.0035*($E132-AF$6)/$E132,0.002*($E132-AF$6)/($E132-3*cc_D/7))/0.002)))^2)</f>
        <v/>
      </c>
      <c r="AG132">
        <f>MAX(-fyd_cc,MIN(fyd_cc,Es_cc*IF($E132&lt;=cc_D,0.0035*($E132-AG$6)/$E132,0.002*($E132-AG$6)/($E132-3*cc_D/7))))-fcd_cc*(1-(1-MAX(0,MIN(1,IF($E132&lt;=cc_D,0.0035*($E132-AG$6)/$E132,0.002*($E132-AG$6)/($E132-3*cc_D/7))/0.002)))^2)</f>
        <v/>
      </c>
      <c r="BF132">
        <f>3*MIN($E132,cc_D)/7</f>
        <v/>
      </c>
      <c r="BG132">
        <f>$E132-$BF132</f>
        <v/>
      </c>
      <c r="BH132">
        <f>ACOS(MAX(-1,MIN(1,1-$BF132/(cc_D/2))))</f>
        <v/>
      </c>
      <c r="BI132">
        <f>ACOS(MAX(-1,MIN(1,1-MIN($E132,cc_D)/(cc_D/2))))</f>
        <v/>
      </c>
      <c r="BJ132">
        <f>((cc_D/2*(1-COS(($BH132+0*($BI132-$BH132)/12)))-$BF132)/$BG132)^2*SIN(($BH132+0*($BI132-$BH132)/12))^2</f>
        <v/>
      </c>
      <c r="BK132">
        <f>((cc_D/2*(1-COS(($BH132+1*($BI132-$BH132)/12)))-$BF132)/$BG132)^2*SIN(($BH132+1*($BI132-$BH132)/12))^2</f>
        <v/>
      </c>
      <c r="BL132">
        <f>((cc_D/2*(1-COS(($BH132+2*($BI132-$BH132)/12)))-$BF132)/$BG132)^2*SIN(($BH132+2*($BI132-$BH132)/12))^2</f>
        <v/>
      </c>
      <c r="BM132">
        <f>((cc_D/2*(1-COS(($BH132+3*($BI132-$BH132)/12)))-$BF132)/$BG132)^2*SIN(($BH132+3*($BI132-$BH132)/12))^2</f>
        <v/>
      </c>
      <c r="BN132">
        <f>((cc_D/2*(1-COS(($BH132+4*($BI132-$BH132)/12)))-$BF132)/$BG132)^2*SIN(($BH132+4*($BI132-$BH132)/12))^2</f>
        <v/>
      </c>
      <c r="BO132">
        <f>((cc_D/2*(1-COS(($BH132+5*($BI132-$BH132)/12)))-$BF132)/$BG132)^2*SIN(($BH132+5*($BI132-$BH132)/12))^2</f>
        <v/>
      </c>
      <c r="BP132">
        <f>((cc_D/2*(1-COS(($BH132+6*($BI132-$BH132)/12)))-$BF132)/$BG132)^2*SIN(($BH132+6*($BI132-$BH132)/12))^2</f>
        <v/>
      </c>
      <c r="BQ132">
        <f>((cc_D/2*(1-COS(($BH132+7*($BI132-$BH132)/12)))-$BF132)/$BG132)^2*SIN(($BH132+7*($BI132-$BH132)/12))^2</f>
        <v/>
      </c>
      <c r="BR132">
        <f>((cc_D/2*(1-COS(($BH132+8*($BI132-$BH132)/12)))-$BF132)/$BG132)^2*SIN(($BH132+8*($BI132-$BH132)/12))^2</f>
        <v/>
      </c>
      <c r="BS132">
        <f>((cc_D/2*(1-COS(($BH132+9*($BI132-$BH132)/12)))-$BF132)/$BG132)^2*SIN(($BH132+9*($BI132-$BH132)/12))^2</f>
        <v/>
      </c>
      <c r="BT132">
        <f>((cc_D/2*(1-COS(($BH132+10*($BI132-$BH132)/12)))-$BF132)/$BG132)^2*SIN(($BH132+10*($BI132-$BH132)/12))^2</f>
        <v/>
      </c>
      <c r="BU132">
        <f>((cc_D/2*(1-COS(($BH132+11*($BI132-$BH132)/12)))-$BF132)/$BG132)^2*SIN(($BH132+11*($BI132-$BH132)/12))^2</f>
        <v/>
      </c>
      <c r="BV132">
        <f>((cc_D/2*(1-COS(($BH132+12*($BI132-$BH132)/12)))-$BF132)/$BG132)^2*SIN(($BH132+12*($BI132-$BH132)/12))^2</f>
        <v/>
      </c>
      <c r="BW132">
        <f>BJ132*COS(($BH132+0*($BI132-$BH132)/12))</f>
        <v/>
      </c>
      <c r="BX132">
        <f>BK132*COS(($BH132+1*($BI132-$BH132)/12))</f>
        <v/>
      </c>
      <c r="BY132">
        <f>BL132*COS(($BH132+2*($BI132-$BH132)/12))</f>
        <v/>
      </c>
      <c r="BZ132">
        <f>BM132*COS(($BH132+3*($BI132-$BH132)/12))</f>
        <v/>
      </c>
      <c r="CA132">
        <f>BN132*COS(($BH132+4*($BI132-$BH132)/12))</f>
        <v/>
      </c>
      <c r="CB132">
        <f>BO132*COS(($BH132+5*($BI132-$BH132)/12))</f>
        <v/>
      </c>
      <c r="CC132">
        <f>BP132*COS(($BH132+6*($BI132-$BH132)/12))</f>
        <v/>
      </c>
      <c r="CD132">
        <f>BQ132*COS(($BH132+7*($BI132-$BH132)/12))</f>
        <v/>
      </c>
      <c r="CE132">
        <f>BR132*COS(($BH132+8*($BI132-$BH132)/12))</f>
        <v/>
      </c>
      <c r="CF132">
        <f>BS132*COS(($BH132+9*($BI132-$BH132)/12))</f>
        <v/>
      </c>
      <c r="CG132">
        <f>BT132*COS(($BH132+10*($BI132-$BH132)/12))</f>
        <v/>
      </c>
      <c r="CH132">
        <f>BU132*COS(($BH132+11*($BI132-$BH132)/12))</f>
        <v/>
      </c>
      <c r="CI132">
        <f>BV132*COS(($BH132+12*($BI132-$BH132)/12))</f>
        <v/>
      </c>
    </row>
    <row r="133">
      <c r="B133" s="65" t="n">
        <v>44</v>
      </c>
      <c r="C133" s="66">
        <f>IF($G132&lt;cc_NEd-1E-9*ABS(cc_NEd),($C132+$D132)/2,$C132)</f>
        <v/>
      </c>
      <c r="D133" s="66">
        <f>IF($G132&lt;cc_NEd-1E-9*ABS(cc_NEd),$D132,($C132+$D132)/2)</f>
        <v/>
      </c>
      <c r="E133" s="67">
        <f>cc_D*(($C133+$D133)/2)/(1-(($C133+$D133)/2))</f>
        <v/>
      </c>
      <c r="F133" s="68">
        <f>IF($E133&lt;=cc_D,3.5,2*$E133/($E133-3*cc_D/7))</f>
        <v/>
      </c>
      <c r="G133" s="67">
        <f>(fcd_cc*((cc_D/2)^2*($BI133-COS($BI133)*SIN($BI133))-2*(cc_D/2)^2*($BI133-$BH133)/12/3*SUMPRODUCT($BJ$4:$BV$4,$BJ133:$BV133))+SUMPRODUCT($J$5:$AG$5,$J133:$AG133))/1000</f>
        <v/>
      </c>
      <c r="H133" s="67">
        <f>(fcd_cc*(2/3*(cc_D/2)^3*SIN($BI133)^3-2*(cc_D/2)^3*($BI133-$BH133)/12/3*SUMPRODUCT($BW$4:$CI$4,$BW133:$CI133))+SUMPRODUCT($J$5:$AG$5,$J133:$AG133,$J$7:$AG$7))/1E6</f>
        <v/>
      </c>
      <c r="I133" s="67">
        <f>SUMPRODUCT($J$5:$AG$5,$J133:$AG133,$J$8:$AG$8)/1E6</f>
        <v/>
      </c>
      <c r="J133">
        <f>MAX(-fyd_cc,MIN(fyd_cc,Es_cc*IF($E133&lt;=cc_D,0.0035*($E133-J$6)/$E133,0.002*($E133-J$6)/($E133-3*cc_D/7))))-fcd_cc*(1-(1-MAX(0,MIN(1,IF($E133&lt;=cc_D,0.0035*($E133-J$6)/$E133,0.002*($E133-J$6)/($E133-3*cc_D/7))/0.002)))^2)</f>
        <v/>
      </c>
      <c r="K133">
        <f>MAX(-fyd_cc,MIN(fyd_cc,Es_cc*IF($E133&lt;=cc_D,0.0035*($E133-K$6)/$E133,0.002*($E133-K$6)/($E133-3*cc_D/7))))-fcd_cc*(1-(1-MAX(0,MIN(1,IF($E133&lt;=cc_D,0.0035*($E133-K$6)/$E133,0.002*($E133-K$6)/($E133-3*cc_D/7))/0.002)))^2)</f>
        <v/>
      </c>
      <c r="L133">
        <f>MAX(-fyd_cc,MIN(fyd_cc,Es_cc*IF($E133&lt;=cc_D,0.0035*($E133-L$6)/$E133,0.002*($E133-L$6)/($E133-3*cc_D/7))))-fcd_cc*(1-(1-MAX(0,MIN(1,IF($E133&lt;=cc_D,0.0035*($E133-L$6)/$E133,0.002*($E133-L$6)/($E133-3*cc_D/7))/0.002)))^2)</f>
        <v/>
      </c>
      <c r="M133">
        <f>MAX(-fyd_cc,MIN(fyd_cc,Es_cc*IF($E133&lt;=cc_D,0.0035*($E133-M$6)/$E133,0.002*($E133-M$6)/($E133-3*cc_D/7))))-fcd_cc*(1-(1-MAX(0,MIN(1,IF($E133&lt;=cc_D,0.0035*($E133-M$6)/$E133,0.002*($E133-M$6)/($E133-3*cc_D/7))/0.002)))^2)</f>
        <v/>
      </c>
      <c r="N133">
        <f>MAX(-fyd_cc,MIN(fyd_cc,Es_cc*IF($E133&lt;=cc_D,0.0035*($E133-N$6)/$E133,0.002*($E133-N$6)/($E133-3*cc_D/7))))-fcd_cc*(1-(1-MAX(0,MIN(1,IF($E133&lt;=cc_D,0.0035*($E133-N$6)/$E133,0.002*($E133-N$6)/($E133-3*cc_D/7))/0.002)))^2)</f>
        <v/>
      </c>
      <c r="O133">
        <f>MAX(-fyd_cc,MIN(fyd_cc,Es_cc*IF($E133&lt;=cc_D,0.0035*($E133-O$6)/$E133,0.002*($E133-O$6)/($E133-3*cc_D/7))))-fcd_cc*(1-(1-MAX(0,MIN(1,IF($E133&lt;=cc_D,0.0035*($E133-O$6)/$E133,0.002*($E133-O$6)/($E133-3*cc_D/7))/0.002)))^2)</f>
        <v/>
      </c>
      <c r="P133">
        <f>MAX(-fyd_cc,MIN(fyd_cc,Es_cc*IF($E133&lt;=cc_D,0.0035*($E133-P$6)/$E133,0.002*($E133-P$6)/($E133-3*cc_D/7))))-fcd_cc*(1-(1-MAX(0,MIN(1,IF($E133&lt;=cc_D,0.0035*($E133-P$6)/$E133,0.002*($E133-P$6)/($E133-3*cc_D/7))/0.002)))^2)</f>
        <v/>
      </c>
      <c r="Q133">
        <f>MAX(-fyd_cc,MIN(fyd_cc,Es_cc*IF($E133&lt;=cc_D,0.0035*($E133-Q$6)/$E133,0.002*($E133-Q$6)/($E133-3*cc_D/7))))-fcd_cc*(1-(1-MAX(0,MIN(1,IF($E133&lt;=cc_D,0.0035*($E133-Q$6)/$E133,0.002*($E133-Q$6)/($E133-3*cc_D/7))/0.002)))^2)</f>
        <v/>
      </c>
      <c r="R133">
        <f>MAX(-fyd_cc,MIN(fyd_cc,Es_cc*IF($E133&lt;=cc_D,0.0035*($E133-R$6)/$E133,0.002*($E133-R$6)/($E133-3*cc_D/7))))-fcd_cc*(1-(1-MAX(0,MIN(1,IF($E133&lt;=cc_D,0.0035*($E133-R$6)/$E133,0.002*($E133-R$6)/($E133-3*cc_D/7))/0.002)))^2)</f>
        <v/>
      </c>
      <c r="S133">
        <f>MAX(-fyd_cc,MIN(fyd_cc,Es_cc*IF($E133&lt;=cc_D,0.0035*($E133-S$6)/$E133,0.002*($E133-S$6)/($E133-3*cc_D/7))))-fcd_cc*(1-(1-MAX(0,MIN(1,IF($E133&lt;=cc_D,0.0035*($E133-S$6)/$E133,0.002*($E133-S$6)/($E133-3*cc_D/7))/0.002)))^2)</f>
        <v/>
      </c>
      <c r="T133">
        <f>MAX(-fyd_cc,MIN(fyd_cc,Es_cc*IF($E133&lt;=cc_D,0.0035*($E133-T$6)/$E133,0.002*($E133-T$6)/($E133-3*cc_D/7))))-fcd_cc*(1-(1-MAX(0,MIN(1,IF($E133&lt;=cc_D,0.0035*($E133-T$6)/$E133,0.002*($E133-T$6)/($E133-3*cc_D/7))/0.002)))^2)</f>
        <v/>
      </c>
      <c r="U133">
        <f>MAX(-fyd_cc,MIN(fyd_cc,Es_cc*IF($E133&lt;=cc_D,0.0035*($E133-U$6)/$E133,0.002*($E133-U$6)/($E133-3*cc_D/7))))-fcd_cc*(1-(1-MAX(0,MIN(1,IF($E133&lt;=cc_D,0.0035*($E133-U$6)/$E133,0.002*($E133-U$6)/($E133-3*cc_D/7))/0.002)))^2)</f>
        <v/>
      </c>
      <c r="V133">
        <f>MAX(-fyd_cc,MIN(fyd_cc,Es_cc*IF($E133&lt;=cc_D,0.0035*($E133-V$6)/$E133,0.002*($E133-V$6)/($E133-3*cc_D/7))))-fcd_cc*(1-(1-MAX(0,MIN(1,IF($E133&lt;=cc_D,0.0035*($E133-V$6)/$E133,0.002*($E133-V$6)/($E133-3*cc_D/7))/0.002)))^2)</f>
        <v/>
      </c>
      <c r="W133">
        <f>MAX(-fyd_cc,MIN(fyd_cc,Es_cc*IF($E133&lt;=cc_D,0.0035*($E133-W$6)/$E133,0.002*($E133-W$6)/($E133-3*cc_D/7))))-fcd_cc*(1-(1-MAX(0,MIN(1,IF($E133&lt;=cc_D,0.0035*($E133-W$6)/$E133,0.002*($E133-W$6)/($E133-3*cc_D/7))/0.002)))^2)</f>
        <v/>
      </c>
      <c r="X133">
        <f>MAX(-fyd_cc,MIN(fyd_cc,Es_cc*IF($E133&lt;=cc_D,0.0035*($E133-X$6)/$E133,0.002*($E133-X$6)/($E133-3*cc_D/7))))-fcd_cc*(1-(1-MAX(0,MIN(1,IF($E133&lt;=cc_D,0.0035*($E133-X$6)/$E133,0.002*($E133-X$6)/($E133-3*cc_D/7))/0.002)))^2)</f>
        <v/>
      </c>
      <c r="Y133">
        <f>MAX(-fyd_cc,MIN(fyd_cc,Es_cc*IF($E133&lt;=cc_D,0.0035*($E133-Y$6)/$E133,0.002*($E133-Y$6)/($E133-3*cc_D/7))))-fcd_cc*(1-(1-MAX(0,MIN(1,IF($E133&lt;=cc_D,0.0035*($E133-Y$6)/$E133,0.002*($E133-Y$6)/($E133-3*cc_D/7))/0.002)))^2)</f>
        <v/>
      </c>
      <c r="Z133">
        <f>MAX(-fyd_cc,MIN(fyd_cc,Es_cc*IF($E133&lt;=cc_D,0.0035*($E133-Z$6)/$E133,0.002*($E133-Z$6)/($E133-3*cc_D/7))))-fcd_cc*(1-(1-MAX(0,MIN(1,IF($E133&lt;=cc_D,0.0035*($E133-Z$6)/$E133,0.002*($E133-Z$6)/($E133-3*cc_D/7))/0.002)))^2)</f>
        <v/>
      </c>
      <c r="AA133">
        <f>MAX(-fyd_cc,MIN(fyd_cc,Es_cc*IF($E133&lt;=cc_D,0.0035*($E133-AA$6)/$E133,0.002*($E133-AA$6)/($E133-3*cc_D/7))))-fcd_cc*(1-(1-MAX(0,MIN(1,IF($E133&lt;=cc_D,0.0035*($E133-AA$6)/$E133,0.002*($E133-AA$6)/($E133-3*cc_D/7))/0.002)))^2)</f>
        <v/>
      </c>
      <c r="AB133">
        <f>MAX(-fyd_cc,MIN(fyd_cc,Es_cc*IF($E133&lt;=cc_D,0.0035*($E133-AB$6)/$E133,0.002*($E133-AB$6)/($E133-3*cc_D/7))))-fcd_cc*(1-(1-MAX(0,MIN(1,IF($E133&lt;=cc_D,0.0035*($E133-AB$6)/$E133,0.002*($E133-AB$6)/($E133-3*cc_D/7))/0.002)))^2)</f>
        <v/>
      </c>
      <c r="AC133">
        <f>MAX(-fyd_cc,MIN(fyd_cc,Es_cc*IF($E133&lt;=cc_D,0.0035*($E133-AC$6)/$E133,0.002*($E133-AC$6)/($E133-3*cc_D/7))))-fcd_cc*(1-(1-MAX(0,MIN(1,IF($E133&lt;=cc_D,0.0035*($E133-AC$6)/$E133,0.002*($E133-AC$6)/($E133-3*cc_D/7))/0.002)))^2)</f>
        <v/>
      </c>
      <c r="AD133">
        <f>MAX(-fyd_cc,MIN(fyd_cc,Es_cc*IF($E133&lt;=cc_D,0.0035*($E133-AD$6)/$E133,0.002*($E133-AD$6)/($E133-3*cc_D/7))))-fcd_cc*(1-(1-MAX(0,MIN(1,IF($E133&lt;=cc_D,0.0035*($E133-AD$6)/$E133,0.002*($E133-AD$6)/($E133-3*cc_D/7))/0.002)))^2)</f>
        <v/>
      </c>
      <c r="AE133">
        <f>MAX(-fyd_cc,MIN(fyd_cc,Es_cc*IF($E133&lt;=cc_D,0.0035*($E133-AE$6)/$E133,0.002*($E133-AE$6)/($E133-3*cc_D/7))))-fcd_cc*(1-(1-MAX(0,MIN(1,IF($E133&lt;=cc_D,0.0035*($E133-AE$6)/$E133,0.002*($E133-AE$6)/($E133-3*cc_D/7))/0.002)))^2)</f>
        <v/>
      </c>
      <c r="AF133">
        <f>MAX(-fyd_cc,MIN(fyd_cc,Es_cc*IF($E133&lt;=cc_D,0.0035*($E133-AF$6)/$E133,0.002*($E133-AF$6)/($E133-3*cc_D/7))))-fcd_cc*(1-(1-MAX(0,MIN(1,IF($E133&lt;=cc_D,0.0035*($E133-AF$6)/$E133,0.002*($E133-AF$6)/($E133-3*cc_D/7))/0.002)))^2)</f>
        <v/>
      </c>
      <c r="AG133">
        <f>MAX(-fyd_cc,MIN(fyd_cc,Es_cc*IF($E133&lt;=cc_D,0.0035*($E133-AG$6)/$E133,0.002*($E133-AG$6)/($E133-3*cc_D/7))))-fcd_cc*(1-(1-MAX(0,MIN(1,IF($E133&lt;=cc_D,0.0035*($E133-AG$6)/$E133,0.002*($E133-AG$6)/($E133-3*cc_D/7))/0.002)))^2)</f>
        <v/>
      </c>
      <c r="BF133">
        <f>3*MIN($E133,cc_D)/7</f>
        <v/>
      </c>
      <c r="BG133">
        <f>$E133-$BF133</f>
        <v/>
      </c>
      <c r="BH133">
        <f>ACOS(MAX(-1,MIN(1,1-$BF133/(cc_D/2))))</f>
        <v/>
      </c>
      <c r="BI133">
        <f>ACOS(MAX(-1,MIN(1,1-MIN($E133,cc_D)/(cc_D/2))))</f>
        <v/>
      </c>
      <c r="BJ133">
        <f>((cc_D/2*(1-COS(($BH133+0*($BI133-$BH133)/12)))-$BF133)/$BG133)^2*SIN(($BH133+0*($BI133-$BH133)/12))^2</f>
        <v/>
      </c>
      <c r="BK133">
        <f>((cc_D/2*(1-COS(($BH133+1*($BI133-$BH133)/12)))-$BF133)/$BG133)^2*SIN(($BH133+1*($BI133-$BH133)/12))^2</f>
        <v/>
      </c>
      <c r="BL133">
        <f>((cc_D/2*(1-COS(($BH133+2*($BI133-$BH133)/12)))-$BF133)/$BG133)^2*SIN(($BH133+2*($BI133-$BH133)/12))^2</f>
        <v/>
      </c>
      <c r="BM133">
        <f>((cc_D/2*(1-COS(($BH133+3*($BI133-$BH133)/12)))-$BF133)/$BG133)^2*SIN(($BH133+3*($BI133-$BH133)/12))^2</f>
        <v/>
      </c>
      <c r="BN133">
        <f>((cc_D/2*(1-COS(($BH133+4*($BI133-$BH133)/12)))-$BF133)/$BG133)^2*SIN(($BH133+4*($BI133-$BH133)/12))^2</f>
        <v/>
      </c>
      <c r="BO133">
        <f>((cc_D/2*(1-COS(($BH133+5*($BI133-$BH133)/12)))-$BF133)/$BG133)^2*SIN(($BH133+5*($BI133-$BH133)/12))^2</f>
        <v/>
      </c>
      <c r="BP133">
        <f>((cc_D/2*(1-COS(($BH133+6*($BI133-$BH133)/12)))-$BF133)/$BG133)^2*SIN(($BH133+6*($BI133-$BH133)/12))^2</f>
        <v/>
      </c>
      <c r="BQ133">
        <f>((cc_D/2*(1-COS(($BH133+7*($BI133-$BH133)/12)))-$BF133)/$BG133)^2*SIN(($BH133+7*($BI133-$BH133)/12))^2</f>
        <v/>
      </c>
      <c r="BR133">
        <f>((cc_D/2*(1-COS(($BH133+8*($BI133-$BH133)/12)))-$BF133)/$BG133)^2*SIN(($BH133+8*($BI133-$BH133)/12))^2</f>
        <v/>
      </c>
      <c r="BS133">
        <f>((cc_D/2*(1-COS(($BH133+9*($BI133-$BH133)/12)))-$BF133)/$BG133)^2*SIN(($BH133+9*($BI133-$BH133)/12))^2</f>
        <v/>
      </c>
      <c r="BT133">
        <f>((cc_D/2*(1-COS(($BH133+10*($BI133-$BH133)/12)))-$BF133)/$BG133)^2*SIN(($BH133+10*($BI133-$BH133)/12))^2</f>
        <v/>
      </c>
      <c r="BU133">
        <f>((cc_D/2*(1-COS(($BH133+11*($BI133-$BH133)/12)))-$BF133)/$BG133)^2*SIN(($BH133+11*($BI133-$BH133)/12))^2</f>
        <v/>
      </c>
      <c r="BV133">
        <f>((cc_D/2*(1-COS(($BH133+12*($BI133-$BH133)/12)))-$BF133)/$BG133)^2*SIN(($BH133+12*($BI133-$BH133)/12))^2</f>
        <v/>
      </c>
      <c r="BW133">
        <f>BJ133*COS(($BH133+0*($BI133-$BH133)/12))</f>
        <v/>
      </c>
      <c r="BX133">
        <f>BK133*COS(($BH133+1*($BI133-$BH133)/12))</f>
        <v/>
      </c>
      <c r="BY133">
        <f>BL133*COS(($BH133+2*($BI133-$BH133)/12))</f>
        <v/>
      </c>
      <c r="BZ133">
        <f>BM133*COS(($BH133+3*($BI133-$BH133)/12))</f>
        <v/>
      </c>
      <c r="CA133">
        <f>BN133*COS(($BH133+4*($BI133-$BH133)/12))</f>
        <v/>
      </c>
      <c r="CB133">
        <f>BO133*COS(($BH133+5*($BI133-$BH133)/12))</f>
        <v/>
      </c>
      <c r="CC133">
        <f>BP133*COS(($BH133+6*($BI133-$BH133)/12))</f>
        <v/>
      </c>
      <c r="CD133">
        <f>BQ133*COS(($BH133+7*($BI133-$BH133)/12))</f>
        <v/>
      </c>
      <c r="CE133">
        <f>BR133*COS(($BH133+8*($BI133-$BH133)/12))</f>
        <v/>
      </c>
      <c r="CF133">
        <f>BS133*COS(($BH133+9*($BI133-$BH133)/12))</f>
        <v/>
      </c>
      <c r="CG133">
        <f>BT133*COS(($BH133+10*($BI133-$BH133)/12))</f>
        <v/>
      </c>
      <c r="CH133">
        <f>BU133*COS(($BH133+11*($BI133-$BH133)/12))</f>
        <v/>
      </c>
      <c r="CI133">
        <f>BV133*COS(($BH133+12*($BI133-$BH133)/12))</f>
        <v/>
      </c>
    </row>
    <row r="134">
      <c r="B134" s="65" t="n">
        <v>45</v>
      </c>
      <c r="C134" s="66">
        <f>IF($G133&lt;cc_NEd-1E-9*ABS(cc_NEd),($C133+$D133)/2,$C133)</f>
        <v/>
      </c>
      <c r="D134" s="66">
        <f>IF($G133&lt;cc_NEd-1E-9*ABS(cc_NEd),$D133,($C133+$D133)/2)</f>
        <v/>
      </c>
      <c r="E134" s="67">
        <f>cc_D*(($C134+$D134)/2)/(1-(($C134+$D134)/2))</f>
        <v/>
      </c>
      <c r="F134" s="68">
        <f>IF($E134&lt;=cc_D,3.5,2*$E134/($E134-3*cc_D/7))</f>
        <v/>
      </c>
      <c r="G134" s="67">
        <f>(fcd_cc*((cc_D/2)^2*($BI134-COS($BI134)*SIN($BI134))-2*(cc_D/2)^2*($BI134-$BH134)/12/3*SUMPRODUCT($BJ$4:$BV$4,$BJ134:$BV134))+SUMPRODUCT($J$5:$AG$5,$J134:$AG134))/1000</f>
        <v/>
      </c>
      <c r="H134" s="67">
        <f>(fcd_cc*(2/3*(cc_D/2)^3*SIN($BI134)^3-2*(cc_D/2)^3*($BI134-$BH134)/12/3*SUMPRODUCT($BW$4:$CI$4,$BW134:$CI134))+SUMPRODUCT($J$5:$AG$5,$J134:$AG134,$J$7:$AG$7))/1E6</f>
        <v/>
      </c>
      <c r="I134" s="67">
        <f>SUMPRODUCT($J$5:$AG$5,$J134:$AG134,$J$8:$AG$8)/1E6</f>
        <v/>
      </c>
      <c r="J134">
        <f>MAX(-fyd_cc,MIN(fyd_cc,Es_cc*IF($E134&lt;=cc_D,0.0035*($E134-J$6)/$E134,0.002*($E134-J$6)/($E134-3*cc_D/7))))-fcd_cc*(1-(1-MAX(0,MIN(1,IF($E134&lt;=cc_D,0.0035*($E134-J$6)/$E134,0.002*($E134-J$6)/($E134-3*cc_D/7))/0.002)))^2)</f>
        <v/>
      </c>
      <c r="K134">
        <f>MAX(-fyd_cc,MIN(fyd_cc,Es_cc*IF($E134&lt;=cc_D,0.0035*($E134-K$6)/$E134,0.002*($E134-K$6)/($E134-3*cc_D/7))))-fcd_cc*(1-(1-MAX(0,MIN(1,IF($E134&lt;=cc_D,0.0035*($E134-K$6)/$E134,0.002*($E134-K$6)/($E134-3*cc_D/7))/0.002)))^2)</f>
        <v/>
      </c>
      <c r="L134">
        <f>MAX(-fyd_cc,MIN(fyd_cc,Es_cc*IF($E134&lt;=cc_D,0.0035*($E134-L$6)/$E134,0.002*($E134-L$6)/($E134-3*cc_D/7))))-fcd_cc*(1-(1-MAX(0,MIN(1,IF($E134&lt;=cc_D,0.0035*($E134-L$6)/$E134,0.002*($E134-L$6)/($E134-3*cc_D/7))/0.002)))^2)</f>
        <v/>
      </c>
      <c r="M134">
        <f>MAX(-fyd_cc,MIN(fyd_cc,Es_cc*IF($E134&lt;=cc_D,0.0035*($E134-M$6)/$E134,0.002*($E134-M$6)/($E134-3*cc_D/7))))-fcd_cc*(1-(1-MAX(0,MIN(1,IF($E134&lt;=cc_D,0.0035*($E134-M$6)/$E134,0.002*($E134-M$6)/($E134-3*cc_D/7))/0.002)))^2)</f>
        <v/>
      </c>
      <c r="N134">
        <f>MAX(-fyd_cc,MIN(fyd_cc,Es_cc*IF($E134&lt;=cc_D,0.0035*($E134-N$6)/$E134,0.002*($E134-N$6)/($E134-3*cc_D/7))))-fcd_cc*(1-(1-MAX(0,MIN(1,IF($E134&lt;=cc_D,0.0035*($E134-N$6)/$E134,0.002*($E134-N$6)/($E134-3*cc_D/7))/0.002)))^2)</f>
        <v/>
      </c>
      <c r="O134">
        <f>MAX(-fyd_cc,MIN(fyd_cc,Es_cc*IF($E134&lt;=cc_D,0.0035*($E134-O$6)/$E134,0.002*($E134-O$6)/($E134-3*cc_D/7))))-fcd_cc*(1-(1-MAX(0,MIN(1,IF($E134&lt;=cc_D,0.0035*($E134-O$6)/$E134,0.002*($E134-O$6)/($E134-3*cc_D/7))/0.002)))^2)</f>
        <v/>
      </c>
      <c r="P134">
        <f>MAX(-fyd_cc,MIN(fyd_cc,Es_cc*IF($E134&lt;=cc_D,0.0035*($E134-P$6)/$E134,0.002*($E134-P$6)/($E134-3*cc_D/7))))-fcd_cc*(1-(1-MAX(0,MIN(1,IF($E134&lt;=cc_D,0.0035*($E134-P$6)/$E134,0.002*($E134-P$6)/($E134-3*cc_D/7))/0.002)))^2)</f>
        <v/>
      </c>
      <c r="Q134">
        <f>MAX(-fyd_cc,MIN(fyd_cc,Es_cc*IF($E134&lt;=cc_D,0.0035*($E134-Q$6)/$E134,0.002*($E134-Q$6)/($E134-3*cc_D/7))))-fcd_cc*(1-(1-MAX(0,MIN(1,IF($E134&lt;=cc_D,0.0035*($E134-Q$6)/$E134,0.002*($E134-Q$6)/($E134-3*cc_D/7))/0.002)))^2)</f>
        <v/>
      </c>
      <c r="R134">
        <f>MAX(-fyd_cc,MIN(fyd_cc,Es_cc*IF($E134&lt;=cc_D,0.0035*($E134-R$6)/$E134,0.002*($E134-R$6)/($E134-3*cc_D/7))))-fcd_cc*(1-(1-MAX(0,MIN(1,IF($E134&lt;=cc_D,0.0035*($E134-R$6)/$E134,0.002*($E134-R$6)/($E134-3*cc_D/7))/0.002)))^2)</f>
        <v/>
      </c>
      <c r="S134">
        <f>MAX(-fyd_cc,MIN(fyd_cc,Es_cc*IF($E134&lt;=cc_D,0.0035*($E134-S$6)/$E134,0.002*($E134-S$6)/($E134-3*cc_D/7))))-fcd_cc*(1-(1-MAX(0,MIN(1,IF($E134&lt;=cc_D,0.0035*($E134-S$6)/$E134,0.002*($E134-S$6)/($E134-3*cc_D/7))/0.002)))^2)</f>
        <v/>
      </c>
      <c r="T134">
        <f>MAX(-fyd_cc,MIN(fyd_cc,Es_cc*IF($E134&lt;=cc_D,0.0035*($E134-T$6)/$E134,0.002*($E134-T$6)/($E134-3*cc_D/7))))-fcd_cc*(1-(1-MAX(0,MIN(1,IF($E134&lt;=cc_D,0.0035*($E134-T$6)/$E134,0.002*($E134-T$6)/($E134-3*cc_D/7))/0.002)))^2)</f>
        <v/>
      </c>
      <c r="U134">
        <f>MAX(-fyd_cc,MIN(fyd_cc,Es_cc*IF($E134&lt;=cc_D,0.0035*($E134-U$6)/$E134,0.002*($E134-U$6)/($E134-3*cc_D/7))))-fcd_cc*(1-(1-MAX(0,MIN(1,IF($E134&lt;=cc_D,0.0035*($E134-U$6)/$E134,0.002*($E134-U$6)/($E134-3*cc_D/7))/0.002)))^2)</f>
        <v/>
      </c>
      <c r="V134">
        <f>MAX(-fyd_cc,MIN(fyd_cc,Es_cc*IF($E134&lt;=cc_D,0.0035*($E134-V$6)/$E134,0.002*($E134-V$6)/($E134-3*cc_D/7))))-fcd_cc*(1-(1-MAX(0,MIN(1,IF($E134&lt;=cc_D,0.0035*($E134-V$6)/$E134,0.002*($E134-V$6)/($E134-3*cc_D/7))/0.002)))^2)</f>
        <v/>
      </c>
      <c r="W134">
        <f>MAX(-fyd_cc,MIN(fyd_cc,Es_cc*IF($E134&lt;=cc_D,0.0035*($E134-W$6)/$E134,0.002*($E134-W$6)/($E134-3*cc_D/7))))-fcd_cc*(1-(1-MAX(0,MIN(1,IF($E134&lt;=cc_D,0.0035*($E134-W$6)/$E134,0.002*($E134-W$6)/($E134-3*cc_D/7))/0.002)))^2)</f>
        <v/>
      </c>
      <c r="X134">
        <f>MAX(-fyd_cc,MIN(fyd_cc,Es_cc*IF($E134&lt;=cc_D,0.0035*($E134-X$6)/$E134,0.002*($E134-X$6)/($E134-3*cc_D/7))))-fcd_cc*(1-(1-MAX(0,MIN(1,IF($E134&lt;=cc_D,0.0035*($E134-X$6)/$E134,0.002*($E134-X$6)/($E134-3*cc_D/7))/0.002)))^2)</f>
        <v/>
      </c>
      <c r="Y134">
        <f>MAX(-fyd_cc,MIN(fyd_cc,Es_cc*IF($E134&lt;=cc_D,0.0035*($E134-Y$6)/$E134,0.002*($E134-Y$6)/($E134-3*cc_D/7))))-fcd_cc*(1-(1-MAX(0,MIN(1,IF($E134&lt;=cc_D,0.0035*($E134-Y$6)/$E134,0.002*($E134-Y$6)/($E134-3*cc_D/7))/0.002)))^2)</f>
        <v/>
      </c>
      <c r="Z134">
        <f>MAX(-fyd_cc,MIN(fyd_cc,Es_cc*IF($E134&lt;=cc_D,0.0035*($E134-Z$6)/$E134,0.002*($E134-Z$6)/($E134-3*cc_D/7))))-fcd_cc*(1-(1-MAX(0,MIN(1,IF($E134&lt;=cc_D,0.0035*($E134-Z$6)/$E134,0.002*($E134-Z$6)/($E134-3*cc_D/7))/0.002)))^2)</f>
        <v/>
      </c>
      <c r="AA134">
        <f>MAX(-fyd_cc,MIN(fyd_cc,Es_cc*IF($E134&lt;=cc_D,0.0035*($E134-AA$6)/$E134,0.002*($E134-AA$6)/($E134-3*cc_D/7))))-fcd_cc*(1-(1-MAX(0,MIN(1,IF($E134&lt;=cc_D,0.0035*($E134-AA$6)/$E134,0.002*($E134-AA$6)/($E134-3*cc_D/7))/0.002)))^2)</f>
        <v/>
      </c>
      <c r="AB134">
        <f>MAX(-fyd_cc,MIN(fyd_cc,Es_cc*IF($E134&lt;=cc_D,0.0035*($E134-AB$6)/$E134,0.002*($E134-AB$6)/($E134-3*cc_D/7))))-fcd_cc*(1-(1-MAX(0,MIN(1,IF($E134&lt;=cc_D,0.0035*($E134-AB$6)/$E134,0.002*($E134-AB$6)/($E134-3*cc_D/7))/0.002)))^2)</f>
        <v/>
      </c>
      <c r="AC134">
        <f>MAX(-fyd_cc,MIN(fyd_cc,Es_cc*IF($E134&lt;=cc_D,0.0035*($E134-AC$6)/$E134,0.002*($E134-AC$6)/($E134-3*cc_D/7))))-fcd_cc*(1-(1-MAX(0,MIN(1,IF($E134&lt;=cc_D,0.0035*($E134-AC$6)/$E134,0.002*($E134-AC$6)/($E134-3*cc_D/7))/0.002)))^2)</f>
        <v/>
      </c>
      <c r="AD134">
        <f>MAX(-fyd_cc,MIN(fyd_cc,Es_cc*IF($E134&lt;=cc_D,0.0035*($E134-AD$6)/$E134,0.002*($E134-AD$6)/($E134-3*cc_D/7))))-fcd_cc*(1-(1-MAX(0,MIN(1,IF($E134&lt;=cc_D,0.0035*($E134-AD$6)/$E134,0.002*($E134-AD$6)/($E134-3*cc_D/7))/0.002)))^2)</f>
        <v/>
      </c>
      <c r="AE134">
        <f>MAX(-fyd_cc,MIN(fyd_cc,Es_cc*IF($E134&lt;=cc_D,0.0035*($E134-AE$6)/$E134,0.002*($E134-AE$6)/($E134-3*cc_D/7))))-fcd_cc*(1-(1-MAX(0,MIN(1,IF($E134&lt;=cc_D,0.0035*($E134-AE$6)/$E134,0.002*($E134-AE$6)/($E134-3*cc_D/7))/0.002)))^2)</f>
        <v/>
      </c>
      <c r="AF134">
        <f>MAX(-fyd_cc,MIN(fyd_cc,Es_cc*IF($E134&lt;=cc_D,0.0035*($E134-AF$6)/$E134,0.002*($E134-AF$6)/($E134-3*cc_D/7))))-fcd_cc*(1-(1-MAX(0,MIN(1,IF($E134&lt;=cc_D,0.0035*($E134-AF$6)/$E134,0.002*($E134-AF$6)/($E134-3*cc_D/7))/0.002)))^2)</f>
        <v/>
      </c>
      <c r="AG134">
        <f>MAX(-fyd_cc,MIN(fyd_cc,Es_cc*IF($E134&lt;=cc_D,0.0035*($E134-AG$6)/$E134,0.002*($E134-AG$6)/($E134-3*cc_D/7))))-fcd_cc*(1-(1-MAX(0,MIN(1,IF($E134&lt;=cc_D,0.0035*($E134-AG$6)/$E134,0.002*($E134-AG$6)/($E134-3*cc_D/7))/0.002)))^2)</f>
        <v/>
      </c>
      <c r="BF134">
        <f>3*MIN($E134,cc_D)/7</f>
        <v/>
      </c>
      <c r="BG134">
        <f>$E134-$BF134</f>
        <v/>
      </c>
      <c r="BH134">
        <f>ACOS(MAX(-1,MIN(1,1-$BF134/(cc_D/2))))</f>
        <v/>
      </c>
      <c r="BI134">
        <f>ACOS(MAX(-1,MIN(1,1-MIN($E134,cc_D)/(cc_D/2))))</f>
        <v/>
      </c>
      <c r="BJ134">
        <f>((cc_D/2*(1-COS(($BH134+0*($BI134-$BH134)/12)))-$BF134)/$BG134)^2*SIN(($BH134+0*($BI134-$BH134)/12))^2</f>
        <v/>
      </c>
      <c r="BK134">
        <f>((cc_D/2*(1-COS(($BH134+1*($BI134-$BH134)/12)))-$BF134)/$BG134)^2*SIN(($BH134+1*($BI134-$BH134)/12))^2</f>
        <v/>
      </c>
      <c r="BL134">
        <f>((cc_D/2*(1-COS(($BH134+2*($BI134-$BH134)/12)))-$BF134)/$BG134)^2*SIN(($BH134+2*($BI134-$BH134)/12))^2</f>
        <v/>
      </c>
      <c r="BM134">
        <f>((cc_D/2*(1-COS(($BH134+3*($BI134-$BH134)/12)))-$BF134)/$BG134)^2*SIN(($BH134+3*($BI134-$BH134)/12))^2</f>
        <v/>
      </c>
      <c r="BN134">
        <f>((cc_D/2*(1-COS(($BH134+4*($BI134-$BH134)/12)))-$BF134)/$BG134)^2*SIN(($BH134+4*($BI134-$BH134)/12))^2</f>
        <v/>
      </c>
      <c r="BO134">
        <f>((cc_D/2*(1-COS(($BH134+5*($BI134-$BH134)/12)))-$BF134)/$BG134)^2*SIN(($BH134+5*($BI134-$BH134)/12))^2</f>
        <v/>
      </c>
      <c r="BP134">
        <f>((cc_D/2*(1-COS(($BH134+6*($BI134-$BH134)/12)))-$BF134)/$BG134)^2*SIN(($BH134+6*($BI134-$BH134)/12))^2</f>
        <v/>
      </c>
      <c r="BQ134">
        <f>((cc_D/2*(1-COS(($BH134+7*($BI134-$BH134)/12)))-$BF134)/$BG134)^2*SIN(($BH134+7*($BI134-$BH134)/12))^2</f>
        <v/>
      </c>
      <c r="BR134">
        <f>((cc_D/2*(1-COS(($BH134+8*($BI134-$BH134)/12)))-$BF134)/$BG134)^2*SIN(($BH134+8*($BI134-$BH134)/12))^2</f>
        <v/>
      </c>
      <c r="BS134">
        <f>((cc_D/2*(1-COS(($BH134+9*($BI134-$BH134)/12)))-$BF134)/$BG134)^2*SIN(($BH134+9*($BI134-$BH134)/12))^2</f>
        <v/>
      </c>
      <c r="BT134">
        <f>((cc_D/2*(1-COS(($BH134+10*($BI134-$BH134)/12)))-$BF134)/$BG134)^2*SIN(($BH134+10*($BI134-$BH134)/12))^2</f>
        <v/>
      </c>
      <c r="BU134">
        <f>((cc_D/2*(1-COS(($BH134+11*($BI134-$BH134)/12)))-$BF134)/$BG134)^2*SIN(($BH134+11*($BI134-$BH134)/12))^2</f>
        <v/>
      </c>
      <c r="BV134">
        <f>((cc_D/2*(1-COS(($BH134+12*($BI134-$BH134)/12)))-$BF134)/$BG134)^2*SIN(($BH134+12*($BI134-$BH134)/12))^2</f>
        <v/>
      </c>
      <c r="BW134">
        <f>BJ134*COS(($BH134+0*($BI134-$BH134)/12))</f>
        <v/>
      </c>
      <c r="BX134">
        <f>BK134*COS(($BH134+1*($BI134-$BH134)/12))</f>
        <v/>
      </c>
      <c r="BY134">
        <f>BL134*COS(($BH134+2*($BI134-$BH134)/12))</f>
        <v/>
      </c>
      <c r="BZ134">
        <f>BM134*COS(($BH134+3*($BI134-$BH134)/12))</f>
        <v/>
      </c>
      <c r="CA134">
        <f>BN134*COS(($BH134+4*($BI134-$BH134)/12))</f>
        <v/>
      </c>
      <c r="CB134">
        <f>BO134*COS(($BH134+5*($BI134-$BH134)/12))</f>
        <v/>
      </c>
      <c r="CC134">
        <f>BP134*COS(($BH134+6*($BI134-$BH134)/12))</f>
        <v/>
      </c>
      <c r="CD134">
        <f>BQ134*COS(($BH134+7*($BI134-$BH134)/12))</f>
        <v/>
      </c>
      <c r="CE134">
        <f>BR134*COS(($BH134+8*($BI134-$BH134)/12))</f>
        <v/>
      </c>
      <c r="CF134">
        <f>BS134*COS(($BH134+9*($BI134-$BH134)/12))</f>
        <v/>
      </c>
      <c r="CG134">
        <f>BT134*COS(($BH134+10*($BI134-$BH134)/12))</f>
        <v/>
      </c>
      <c r="CH134">
        <f>BU134*COS(($BH134+11*($BI134-$BH134)/12))</f>
        <v/>
      </c>
      <c r="CI134">
        <f>BV134*COS(($BH134+12*($BI134-$BH134)/12))</f>
        <v/>
      </c>
    </row>
    <row r="135">
      <c r="B135" s="65" t="n">
        <v>46</v>
      </c>
      <c r="C135" s="66">
        <f>IF($G134&lt;cc_NEd-1E-9*ABS(cc_NEd),($C134+$D134)/2,$C134)</f>
        <v/>
      </c>
      <c r="D135" s="66">
        <f>IF($G134&lt;cc_NEd-1E-9*ABS(cc_NEd),$D134,($C134+$D134)/2)</f>
        <v/>
      </c>
      <c r="E135" s="67">
        <f>cc_D*(($C135+$D135)/2)/(1-(($C135+$D135)/2))</f>
        <v/>
      </c>
      <c r="F135" s="68">
        <f>IF($E135&lt;=cc_D,3.5,2*$E135/($E135-3*cc_D/7))</f>
        <v/>
      </c>
      <c r="G135" s="67">
        <f>(fcd_cc*((cc_D/2)^2*($BI135-COS($BI135)*SIN($BI135))-2*(cc_D/2)^2*($BI135-$BH135)/12/3*SUMPRODUCT($BJ$4:$BV$4,$BJ135:$BV135))+SUMPRODUCT($J$5:$AG$5,$J135:$AG135))/1000</f>
        <v/>
      </c>
      <c r="H135" s="67">
        <f>(fcd_cc*(2/3*(cc_D/2)^3*SIN($BI135)^3-2*(cc_D/2)^3*($BI135-$BH135)/12/3*SUMPRODUCT($BW$4:$CI$4,$BW135:$CI135))+SUMPRODUCT($J$5:$AG$5,$J135:$AG135,$J$7:$AG$7))/1E6</f>
        <v/>
      </c>
      <c r="I135" s="67">
        <f>SUMPRODUCT($J$5:$AG$5,$J135:$AG135,$J$8:$AG$8)/1E6</f>
        <v/>
      </c>
      <c r="J135">
        <f>MAX(-fyd_cc,MIN(fyd_cc,Es_cc*IF($E135&lt;=cc_D,0.0035*($E135-J$6)/$E135,0.002*($E135-J$6)/($E135-3*cc_D/7))))-fcd_cc*(1-(1-MAX(0,MIN(1,IF($E135&lt;=cc_D,0.0035*($E135-J$6)/$E135,0.002*($E135-J$6)/($E135-3*cc_D/7))/0.002)))^2)</f>
        <v/>
      </c>
      <c r="K135">
        <f>MAX(-fyd_cc,MIN(fyd_cc,Es_cc*IF($E135&lt;=cc_D,0.0035*($E135-K$6)/$E135,0.002*($E135-K$6)/($E135-3*cc_D/7))))-fcd_cc*(1-(1-MAX(0,MIN(1,IF($E135&lt;=cc_D,0.0035*($E135-K$6)/$E135,0.002*($E135-K$6)/($E135-3*cc_D/7))/0.002)))^2)</f>
        <v/>
      </c>
      <c r="L135">
        <f>MAX(-fyd_cc,MIN(fyd_cc,Es_cc*IF($E135&lt;=cc_D,0.0035*($E135-L$6)/$E135,0.002*($E135-L$6)/($E135-3*cc_D/7))))-fcd_cc*(1-(1-MAX(0,MIN(1,IF($E135&lt;=cc_D,0.0035*($E135-L$6)/$E135,0.002*($E135-L$6)/($E135-3*cc_D/7))/0.002)))^2)</f>
        <v/>
      </c>
      <c r="M135">
        <f>MAX(-fyd_cc,MIN(fyd_cc,Es_cc*IF($E135&lt;=cc_D,0.0035*($E135-M$6)/$E135,0.002*($E135-M$6)/($E135-3*cc_D/7))))-fcd_cc*(1-(1-MAX(0,MIN(1,IF($E135&lt;=cc_D,0.0035*($E135-M$6)/$E135,0.002*($E135-M$6)/($E135-3*cc_D/7))/0.002)))^2)</f>
        <v/>
      </c>
      <c r="N135">
        <f>MAX(-fyd_cc,MIN(fyd_cc,Es_cc*IF($E135&lt;=cc_D,0.0035*($E135-N$6)/$E135,0.002*($E135-N$6)/($E135-3*cc_D/7))))-fcd_cc*(1-(1-MAX(0,MIN(1,IF($E135&lt;=cc_D,0.0035*($E135-N$6)/$E135,0.002*($E135-N$6)/($E135-3*cc_D/7))/0.002)))^2)</f>
        <v/>
      </c>
      <c r="O135">
        <f>MAX(-fyd_cc,MIN(fyd_cc,Es_cc*IF($E135&lt;=cc_D,0.0035*($E135-O$6)/$E135,0.002*($E135-O$6)/($E135-3*cc_D/7))))-fcd_cc*(1-(1-MAX(0,MIN(1,IF($E135&lt;=cc_D,0.0035*($E135-O$6)/$E135,0.002*($E135-O$6)/($E135-3*cc_D/7))/0.002)))^2)</f>
        <v/>
      </c>
      <c r="P135">
        <f>MAX(-fyd_cc,MIN(fyd_cc,Es_cc*IF($E135&lt;=cc_D,0.0035*($E135-P$6)/$E135,0.002*($E135-P$6)/($E135-3*cc_D/7))))-fcd_cc*(1-(1-MAX(0,MIN(1,IF($E135&lt;=cc_D,0.0035*($E135-P$6)/$E135,0.002*($E135-P$6)/($E135-3*cc_D/7))/0.002)))^2)</f>
        <v/>
      </c>
      <c r="Q135">
        <f>MAX(-fyd_cc,MIN(fyd_cc,Es_cc*IF($E135&lt;=cc_D,0.0035*($E135-Q$6)/$E135,0.002*($E135-Q$6)/($E135-3*cc_D/7))))-fcd_cc*(1-(1-MAX(0,MIN(1,IF($E135&lt;=cc_D,0.0035*($E135-Q$6)/$E135,0.002*($E135-Q$6)/($E135-3*cc_D/7))/0.002)))^2)</f>
        <v/>
      </c>
      <c r="R135">
        <f>MAX(-fyd_cc,MIN(fyd_cc,Es_cc*IF($E135&lt;=cc_D,0.0035*($E135-R$6)/$E135,0.002*($E135-R$6)/($E135-3*cc_D/7))))-fcd_cc*(1-(1-MAX(0,MIN(1,IF($E135&lt;=cc_D,0.0035*($E135-R$6)/$E135,0.002*($E135-R$6)/($E135-3*cc_D/7))/0.002)))^2)</f>
        <v/>
      </c>
      <c r="S135">
        <f>MAX(-fyd_cc,MIN(fyd_cc,Es_cc*IF($E135&lt;=cc_D,0.0035*($E135-S$6)/$E135,0.002*($E135-S$6)/($E135-3*cc_D/7))))-fcd_cc*(1-(1-MAX(0,MIN(1,IF($E135&lt;=cc_D,0.0035*($E135-S$6)/$E135,0.002*($E135-S$6)/($E135-3*cc_D/7))/0.002)))^2)</f>
        <v/>
      </c>
      <c r="T135">
        <f>MAX(-fyd_cc,MIN(fyd_cc,Es_cc*IF($E135&lt;=cc_D,0.0035*($E135-T$6)/$E135,0.002*($E135-T$6)/($E135-3*cc_D/7))))-fcd_cc*(1-(1-MAX(0,MIN(1,IF($E135&lt;=cc_D,0.0035*($E135-T$6)/$E135,0.002*($E135-T$6)/($E135-3*cc_D/7))/0.002)))^2)</f>
        <v/>
      </c>
      <c r="U135">
        <f>MAX(-fyd_cc,MIN(fyd_cc,Es_cc*IF($E135&lt;=cc_D,0.0035*($E135-U$6)/$E135,0.002*($E135-U$6)/($E135-3*cc_D/7))))-fcd_cc*(1-(1-MAX(0,MIN(1,IF($E135&lt;=cc_D,0.0035*($E135-U$6)/$E135,0.002*($E135-U$6)/($E135-3*cc_D/7))/0.002)))^2)</f>
        <v/>
      </c>
      <c r="V135">
        <f>MAX(-fyd_cc,MIN(fyd_cc,Es_cc*IF($E135&lt;=cc_D,0.0035*($E135-V$6)/$E135,0.002*($E135-V$6)/($E135-3*cc_D/7))))-fcd_cc*(1-(1-MAX(0,MIN(1,IF($E135&lt;=cc_D,0.0035*($E135-V$6)/$E135,0.002*($E135-V$6)/($E135-3*cc_D/7))/0.002)))^2)</f>
        <v/>
      </c>
      <c r="W135">
        <f>MAX(-fyd_cc,MIN(fyd_cc,Es_cc*IF($E135&lt;=cc_D,0.0035*($E135-W$6)/$E135,0.002*($E135-W$6)/($E135-3*cc_D/7))))-fcd_cc*(1-(1-MAX(0,MIN(1,IF($E135&lt;=cc_D,0.0035*($E135-W$6)/$E135,0.002*($E135-W$6)/($E135-3*cc_D/7))/0.002)))^2)</f>
        <v/>
      </c>
      <c r="X135">
        <f>MAX(-fyd_cc,MIN(fyd_cc,Es_cc*IF($E135&lt;=cc_D,0.0035*($E135-X$6)/$E135,0.002*($E135-X$6)/($E135-3*cc_D/7))))-fcd_cc*(1-(1-MAX(0,MIN(1,IF($E135&lt;=cc_D,0.0035*($E135-X$6)/$E135,0.002*($E135-X$6)/($E135-3*cc_D/7))/0.002)))^2)</f>
        <v/>
      </c>
      <c r="Y135">
        <f>MAX(-fyd_cc,MIN(fyd_cc,Es_cc*IF($E135&lt;=cc_D,0.0035*($E135-Y$6)/$E135,0.002*($E135-Y$6)/($E135-3*cc_D/7))))-fcd_cc*(1-(1-MAX(0,MIN(1,IF($E135&lt;=cc_D,0.0035*($E135-Y$6)/$E135,0.002*($E135-Y$6)/($E135-3*cc_D/7))/0.002)))^2)</f>
        <v/>
      </c>
      <c r="Z135">
        <f>MAX(-fyd_cc,MIN(fyd_cc,Es_cc*IF($E135&lt;=cc_D,0.0035*($E135-Z$6)/$E135,0.002*($E135-Z$6)/($E135-3*cc_D/7))))-fcd_cc*(1-(1-MAX(0,MIN(1,IF($E135&lt;=cc_D,0.0035*($E135-Z$6)/$E135,0.002*($E135-Z$6)/($E135-3*cc_D/7))/0.002)))^2)</f>
        <v/>
      </c>
      <c r="AA135">
        <f>MAX(-fyd_cc,MIN(fyd_cc,Es_cc*IF($E135&lt;=cc_D,0.0035*($E135-AA$6)/$E135,0.002*($E135-AA$6)/($E135-3*cc_D/7))))-fcd_cc*(1-(1-MAX(0,MIN(1,IF($E135&lt;=cc_D,0.0035*($E135-AA$6)/$E135,0.002*($E135-AA$6)/($E135-3*cc_D/7))/0.002)))^2)</f>
        <v/>
      </c>
      <c r="AB135">
        <f>MAX(-fyd_cc,MIN(fyd_cc,Es_cc*IF($E135&lt;=cc_D,0.0035*($E135-AB$6)/$E135,0.002*($E135-AB$6)/($E135-3*cc_D/7))))-fcd_cc*(1-(1-MAX(0,MIN(1,IF($E135&lt;=cc_D,0.0035*($E135-AB$6)/$E135,0.002*($E135-AB$6)/($E135-3*cc_D/7))/0.002)))^2)</f>
        <v/>
      </c>
      <c r="AC135">
        <f>MAX(-fyd_cc,MIN(fyd_cc,Es_cc*IF($E135&lt;=cc_D,0.0035*($E135-AC$6)/$E135,0.002*($E135-AC$6)/($E135-3*cc_D/7))))-fcd_cc*(1-(1-MAX(0,MIN(1,IF($E135&lt;=cc_D,0.0035*($E135-AC$6)/$E135,0.002*($E135-AC$6)/($E135-3*cc_D/7))/0.002)))^2)</f>
        <v/>
      </c>
      <c r="AD135">
        <f>MAX(-fyd_cc,MIN(fyd_cc,Es_cc*IF($E135&lt;=cc_D,0.0035*($E135-AD$6)/$E135,0.002*($E135-AD$6)/($E135-3*cc_D/7))))-fcd_cc*(1-(1-MAX(0,MIN(1,IF($E135&lt;=cc_D,0.0035*($E135-AD$6)/$E135,0.002*($E135-AD$6)/($E135-3*cc_D/7))/0.002)))^2)</f>
        <v/>
      </c>
      <c r="AE135">
        <f>MAX(-fyd_cc,MIN(fyd_cc,Es_cc*IF($E135&lt;=cc_D,0.0035*($E135-AE$6)/$E135,0.002*($E135-AE$6)/($E135-3*cc_D/7))))-fcd_cc*(1-(1-MAX(0,MIN(1,IF($E135&lt;=cc_D,0.0035*($E135-AE$6)/$E135,0.002*($E135-AE$6)/($E135-3*cc_D/7))/0.002)))^2)</f>
        <v/>
      </c>
      <c r="AF135">
        <f>MAX(-fyd_cc,MIN(fyd_cc,Es_cc*IF($E135&lt;=cc_D,0.0035*($E135-AF$6)/$E135,0.002*($E135-AF$6)/($E135-3*cc_D/7))))-fcd_cc*(1-(1-MAX(0,MIN(1,IF($E135&lt;=cc_D,0.0035*($E135-AF$6)/$E135,0.002*($E135-AF$6)/($E135-3*cc_D/7))/0.002)))^2)</f>
        <v/>
      </c>
      <c r="AG135">
        <f>MAX(-fyd_cc,MIN(fyd_cc,Es_cc*IF($E135&lt;=cc_D,0.0035*($E135-AG$6)/$E135,0.002*($E135-AG$6)/($E135-3*cc_D/7))))-fcd_cc*(1-(1-MAX(0,MIN(1,IF($E135&lt;=cc_D,0.0035*($E135-AG$6)/$E135,0.002*($E135-AG$6)/($E135-3*cc_D/7))/0.002)))^2)</f>
        <v/>
      </c>
      <c r="BF135">
        <f>3*MIN($E135,cc_D)/7</f>
        <v/>
      </c>
      <c r="BG135">
        <f>$E135-$BF135</f>
        <v/>
      </c>
      <c r="BH135">
        <f>ACOS(MAX(-1,MIN(1,1-$BF135/(cc_D/2))))</f>
        <v/>
      </c>
      <c r="BI135">
        <f>ACOS(MAX(-1,MIN(1,1-MIN($E135,cc_D)/(cc_D/2))))</f>
        <v/>
      </c>
      <c r="BJ135">
        <f>((cc_D/2*(1-COS(($BH135+0*($BI135-$BH135)/12)))-$BF135)/$BG135)^2*SIN(($BH135+0*($BI135-$BH135)/12))^2</f>
        <v/>
      </c>
      <c r="BK135">
        <f>((cc_D/2*(1-COS(($BH135+1*($BI135-$BH135)/12)))-$BF135)/$BG135)^2*SIN(($BH135+1*($BI135-$BH135)/12))^2</f>
        <v/>
      </c>
      <c r="BL135">
        <f>((cc_D/2*(1-COS(($BH135+2*($BI135-$BH135)/12)))-$BF135)/$BG135)^2*SIN(($BH135+2*($BI135-$BH135)/12))^2</f>
        <v/>
      </c>
      <c r="BM135">
        <f>((cc_D/2*(1-COS(($BH135+3*($BI135-$BH135)/12)))-$BF135)/$BG135)^2*SIN(($BH135+3*($BI135-$BH135)/12))^2</f>
        <v/>
      </c>
      <c r="BN135">
        <f>((cc_D/2*(1-COS(($BH135+4*($BI135-$BH135)/12)))-$BF135)/$BG135)^2*SIN(($BH135+4*($BI135-$BH135)/12))^2</f>
        <v/>
      </c>
      <c r="BO135">
        <f>((cc_D/2*(1-COS(($BH135+5*($BI135-$BH135)/12)))-$BF135)/$BG135)^2*SIN(($BH135+5*($BI135-$BH135)/12))^2</f>
        <v/>
      </c>
      <c r="BP135">
        <f>((cc_D/2*(1-COS(($BH135+6*($BI135-$BH135)/12)))-$BF135)/$BG135)^2*SIN(($BH135+6*($BI135-$BH135)/12))^2</f>
        <v/>
      </c>
      <c r="BQ135">
        <f>((cc_D/2*(1-COS(($BH135+7*($BI135-$BH135)/12)))-$BF135)/$BG135)^2*SIN(($BH135+7*($BI135-$BH135)/12))^2</f>
        <v/>
      </c>
      <c r="BR135">
        <f>((cc_D/2*(1-COS(($BH135+8*($BI135-$BH135)/12)))-$BF135)/$BG135)^2*SIN(($BH135+8*($BI135-$BH135)/12))^2</f>
        <v/>
      </c>
      <c r="BS135">
        <f>((cc_D/2*(1-COS(($BH135+9*($BI135-$BH135)/12)))-$BF135)/$BG135)^2*SIN(($BH135+9*($BI135-$BH135)/12))^2</f>
        <v/>
      </c>
      <c r="BT135">
        <f>((cc_D/2*(1-COS(($BH135+10*($BI135-$BH135)/12)))-$BF135)/$BG135)^2*SIN(($BH135+10*($BI135-$BH135)/12))^2</f>
        <v/>
      </c>
      <c r="BU135">
        <f>((cc_D/2*(1-COS(($BH135+11*($BI135-$BH135)/12)))-$BF135)/$BG135)^2*SIN(($BH135+11*($BI135-$BH135)/12))^2</f>
        <v/>
      </c>
      <c r="BV135">
        <f>((cc_D/2*(1-COS(($BH135+12*($BI135-$BH135)/12)))-$BF135)/$BG135)^2*SIN(($BH135+12*($BI135-$BH135)/12))^2</f>
        <v/>
      </c>
      <c r="BW135">
        <f>BJ135*COS(($BH135+0*($BI135-$BH135)/12))</f>
        <v/>
      </c>
      <c r="BX135">
        <f>BK135*COS(($BH135+1*($BI135-$BH135)/12))</f>
        <v/>
      </c>
      <c r="BY135">
        <f>BL135*COS(($BH135+2*($BI135-$BH135)/12))</f>
        <v/>
      </c>
      <c r="BZ135">
        <f>BM135*COS(($BH135+3*($BI135-$BH135)/12))</f>
        <v/>
      </c>
      <c r="CA135">
        <f>BN135*COS(($BH135+4*($BI135-$BH135)/12))</f>
        <v/>
      </c>
      <c r="CB135">
        <f>BO135*COS(($BH135+5*($BI135-$BH135)/12))</f>
        <v/>
      </c>
      <c r="CC135">
        <f>BP135*COS(($BH135+6*($BI135-$BH135)/12))</f>
        <v/>
      </c>
      <c r="CD135">
        <f>BQ135*COS(($BH135+7*($BI135-$BH135)/12))</f>
        <v/>
      </c>
      <c r="CE135">
        <f>BR135*COS(($BH135+8*($BI135-$BH135)/12))</f>
        <v/>
      </c>
      <c r="CF135">
        <f>BS135*COS(($BH135+9*($BI135-$BH135)/12))</f>
        <v/>
      </c>
      <c r="CG135">
        <f>BT135*COS(($BH135+10*($BI135-$BH135)/12))</f>
        <v/>
      </c>
      <c r="CH135">
        <f>BU135*COS(($BH135+11*($BI135-$BH135)/12))</f>
        <v/>
      </c>
      <c r="CI135">
        <f>BV135*COS(($BH135+12*($BI135-$BH135)/12))</f>
        <v/>
      </c>
    </row>
    <row r="136">
      <c r="B136" s="65" t="n">
        <v>47</v>
      </c>
      <c r="C136" s="66">
        <f>IF($G135&lt;cc_NEd-1E-9*ABS(cc_NEd),($C135+$D135)/2,$C135)</f>
        <v/>
      </c>
      <c r="D136" s="66">
        <f>IF($G135&lt;cc_NEd-1E-9*ABS(cc_NEd),$D135,($C135+$D135)/2)</f>
        <v/>
      </c>
      <c r="E136" s="67">
        <f>cc_D*(($C136+$D136)/2)/(1-(($C136+$D136)/2))</f>
        <v/>
      </c>
      <c r="F136" s="68">
        <f>IF($E136&lt;=cc_D,3.5,2*$E136/($E136-3*cc_D/7))</f>
        <v/>
      </c>
      <c r="G136" s="67">
        <f>(fcd_cc*((cc_D/2)^2*($BI136-COS($BI136)*SIN($BI136))-2*(cc_D/2)^2*($BI136-$BH136)/12/3*SUMPRODUCT($BJ$4:$BV$4,$BJ136:$BV136))+SUMPRODUCT($J$5:$AG$5,$J136:$AG136))/1000</f>
        <v/>
      </c>
      <c r="H136" s="67">
        <f>(fcd_cc*(2/3*(cc_D/2)^3*SIN($BI136)^3-2*(cc_D/2)^3*($BI136-$BH136)/12/3*SUMPRODUCT($BW$4:$CI$4,$BW136:$CI136))+SUMPRODUCT($J$5:$AG$5,$J136:$AG136,$J$7:$AG$7))/1E6</f>
        <v/>
      </c>
      <c r="I136" s="67">
        <f>SUMPRODUCT($J$5:$AG$5,$J136:$AG136,$J$8:$AG$8)/1E6</f>
        <v/>
      </c>
      <c r="J136">
        <f>MAX(-fyd_cc,MIN(fyd_cc,Es_cc*IF($E136&lt;=cc_D,0.0035*($E136-J$6)/$E136,0.002*($E136-J$6)/($E136-3*cc_D/7))))-fcd_cc*(1-(1-MAX(0,MIN(1,IF($E136&lt;=cc_D,0.0035*($E136-J$6)/$E136,0.002*($E136-J$6)/($E136-3*cc_D/7))/0.002)))^2)</f>
        <v/>
      </c>
      <c r="K136">
        <f>MAX(-fyd_cc,MIN(fyd_cc,Es_cc*IF($E136&lt;=cc_D,0.0035*($E136-K$6)/$E136,0.002*($E136-K$6)/($E136-3*cc_D/7))))-fcd_cc*(1-(1-MAX(0,MIN(1,IF($E136&lt;=cc_D,0.0035*($E136-K$6)/$E136,0.002*($E136-K$6)/($E136-3*cc_D/7))/0.002)))^2)</f>
        <v/>
      </c>
      <c r="L136">
        <f>MAX(-fyd_cc,MIN(fyd_cc,Es_cc*IF($E136&lt;=cc_D,0.0035*($E136-L$6)/$E136,0.002*($E136-L$6)/($E136-3*cc_D/7))))-fcd_cc*(1-(1-MAX(0,MIN(1,IF($E136&lt;=cc_D,0.0035*($E136-L$6)/$E136,0.002*($E136-L$6)/($E136-3*cc_D/7))/0.002)))^2)</f>
        <v/>
      </c>
      <c r="M136">
        <f>MAX(-fyd_cc,MIN(fyd_cc,Es_cc*IF($E136&lt;=cc_D,0.0035*($E136-M$6)/$E136,0.002*($E136-M$6)/($E136-3*cc_D/7))))-fcd_cc*(1-(1-MAX(0,MIN(1,IF($E136&lt;=cc_D,0.0035*($E136-M$6)/$E136,0.002*($E136-M$6)/($E136-3*cc_D/7))/0.002)))^2)</f>
        <v/>
      </c>
      <c r="N136">
        <f>MAX(-fyd_cc,MIN(fyd_cc,Es_cc*IF($E136&lt;=cc_D,0.0035*($E136-N$6)/$E136,0.002*($E136-N$6)/($E136-3*cc_D/7))))-fcd_cc*(1-(1-MAX(0,MIN(1,IF($E136&lt;=cc_D,0.0035*($E136-N$6)/$E136,0.002*($E136-N$6)/($E136-3*cc_D/7))/0.002)))^2)</f>
        <v/>
      </c>
      <c r="O136">
        <f>MAX(-fyd_cc,MIN(fyd_cc,Es_cc*IF($E136&lt;=cc_D,0.0035*($E136-O$6)/$E136,0.002*($E136-O$6)/($E136-3*cc_D/7))))-fcd_cc*(1-(1-MAX(0,MIN(1,IF($E136&lt;=cc_D,0.0035*($E136-O$6)/$E136,0.002*($E136-O$6)/($E136-3*cc_D/7))/0.002)))^2)</f>
        <v/>
      </c>
      <c r="P136">
        <f>MAX(-fyd_cc,MIN(fyd_cc,Es_cc*IF($E136&lt;=cc_D,0.0035*($E136-P$6)/$E136,0.002*($E136-P$6)/($E136-3*cc_D/7))))-fcd_cc*(1-(1-MAX(0,MIN(1,IF($E136&lt;=cc_D,0.0035*($E136-P$6)/$E136,0.002*($E136-P$6)/($E136-3*cc_D/7))/0.002)))^2)</f>
        <v/>
      </c>
      <c r="Q136">
        <f>MAX(-fyd_cc,MIN(fyd_cc,Es_cc*IF($E136&lt;=cc_D,0.0035*($E136-Q$6)/$E136,0.002*($E136-Q$6)/($E136-3*cc_D/7))))-fcd_cc*(1-(1-MAX(0,MIN(1,IF($E136&lt;=cc_D,0.0035*($E136-Q$6)/$E136,0.002*($E136-Q$6)/($E136-3*cc_D/7))/0.002)))^2)</f>
        <v/>
      </c>
      <c r="R136">
        <f>MAX(-fyd_cc,MIN(fyd_cc,Es_cc*IF($E136&lt;=cc_D,0.0035*($E136-R$6)/$E136,0.002*($E136-R$6)/($E136-3*cc_D/7))))-fcd_cc*(1-(1-MAX(0,MIN(1,IF($E136&lt;=cc_D,0.0035*($E136-R$6)/$E136,0.002*($E136-R$6)/($E136-3*cc_D/7))/0.002)))^2)</f>
        <v/>
      </c>
      <c r="S136">
        <f>MAX(-fyd_cc,MIN(fyd_cc,Es_cc*IF($E136&lt;=cc_D,0.0035*($E136-S$6)/$E136,0.002*($E136-S$6)/($E136-3*cc_D/7))))-fcd_cc*(1-(1-MAX(0,MIN(1,IF($E136&lt;=cc_D,0.0035*($E136-S$6)/$E136,0.002*($E136-S$6)/($E136-3*cc_D/7))/0.002)))^2)</f>
        <v/>
      </c>
      <c r="T136">
        <f>MAX(-fyd_cc,MIN(fyd_cc,Es_cc*IF($E136&lt;=cc_D,0.0035*($E136-T$6)/$E136,0.002*($E136-T$6)/($E136-3*cc_D/7))))-fcd_cc*(1-(1-MAX(0,MIN(1,IF($E136&lt;=cc_D,0.0035*($E136-T$6)/$E136,0.002*($E136-T$6)/($E136-3*cc_D/7))/0.002)))^2)</f>
        <v/>
      </c>
      <c r="U136">
        <f>MAX(-fyd_cc,MIN(fyd_cc,Es_cc*IF($E136&lt;=cc_D,0.0035*($E136-U$6)/$E136,0.002*($E136-U$6)/($E136-3*cc_D/7))))-fcd_cc*(1-(1-MAX(0,MIN(1,IF($E136&lt;=cc_D,0.0035*($E136-U$6)/$E136,0.002*($E136-U$6)/($E136-3*cc_D/7))/0.002)))^2)</f>
        <v/>
      </c>
      <c r="V136">
        <f>MAX(-fyd_cc,MIN(fyd_cc,Es_cc*IF($E136&lt;=cc_D,0.0035*($E136-V$6)/$E136,0.002*($E136-V$6)/($E136-3*cc_D/7))))-fcd_cc*(1-(1-MAX(0,MIN(1,IF($E136&lt;=cc_D,0.0035*($E136-V$6)/$E136,0.002*($E136-V$6)/($E136-3*cc_D/7))/0.002)))^2)</f>
        <v/>
      </c>
      <c r="W136">
        <f>MAX(-fyd_cc,MIN(fyd_cc,Es_cc*IF($E136&lt;=cc_D,0.0035*($E136-W$6)/$E136,0.002*($E136-W$6)/($E136-3*cc_D/7))))-fcd_cc*(1-(1-MAX(0,MIN(1,IF($E136&lt;=cc_D,0.0035*($E136-W$6)/$E136,0.002*($E136-W$6)/($E136-3*cc_D/7))/0.002)))^2)</f>
        <v/>
      </c>
      <c r="X136">
        <f>MAX(-fyd_cc,MIN(fyd_cc,Es_cc*IF($E136&lt;=cc_D,0.0035*($E136-X$6)/$E136,0.002*($E136-X$6)/($E136-3*cc_D/7))))-fcd_cc*(1-(1-MAX(0,MIN(1,IF($E136&lt;=cc_D,0.0035*($E136-X$6)/$E136,0.002*($E136-X$6)/($E136-3*cc_D/7))/0.002)))^2)</f>
        <v/>
      </c>
      <c r="Y136">
        <f>MAX(-fyd_cc,MIN(fyd_cc,Es_cc*IF($E136&lt;=cc_D,0.0035*($E136-Y$6)/$E136,0.002*($E136-Y$6)/($E136-3*cc_D/7))))-fcd_cc*(1-(1-MAX(0,MIN(1,IF($E136&lt;=cc_D,0.0035*($E136-Y$6)/$E136,0.002*($E136-Y$6)/($E136-3*cc_D/7))/0.002)))^2)</f>
        <v/>
      </c>
      <c r="Z136">
        <f>MAX(-fyd_cc,MIN(fyd_cc,Es_cc*IF($E136&lt;=cc_D,0.0035*($E136-Z$6)/$E136,0.002*($E136-Z$6)/($E136-3*cc_D/7))))-fcd_cc*(1-(1-MAX(0,MIN(1,IF($E136&lt;=cc_D,0.0035*($E136-Z$6)/$E136,0.002*($E136-Z$6)/($E136-3*cc_D/7))/0.002)))^2)</f>
        <v/>
      </c>
      <c r="AA136">
        <f>MAX(-fyd_cc,MIN(fyd_cc,Es_cc*IF($E136&lt;=cc_D,0.0035*($E136-AA$6)/$E136,0.002*($E136-AA$6)/($E136-3*cc_D/7))))-fcd_cc*(1-(1-MAX(0,MIN(1,IF($E136&lt;=cc_D,0.0035*($E136-AA$6)/$E136,0.002*($E136-AA$6)/($E136-3*cc_D/7))/0.002)))^2)</f>
        <v/>
      </c>
      <c r="AB136">
        <f>MAX(-fyd_cc,MIN(fyd_cc,Es_cc*IF($E136&lt;=cc_D,0.0035*($E136-AB$6)/$E136,0.002*($E136-AB$6)/($E136-3*cc_D/7))))-fcd_cc*(1-(1-MAX(0,MIN(1,IF($E136&lt;=cc_D,0.0035*($E136-AB$6)/$E136,0.002*($E136-AB$6)/($E136-3*cc_D/7))/0.002)))^2)</f>
        <v/>
      </c>
      <c r="AC136">
        <f>MAX(-fyd_cc,MIN(fyd_cc,Es_cc*IF($E136&lt;=cc_D,0.0035*($E136-AC$6)/$E136,0.002*($E136-AC$6)/($E136-3*cc_D/7))))-fcd_cc*(1-(1-MAX(0,MIN(1,IF($E136&lt;=cc_D,0.0035*($E136-AC$6)/$E136,0.002*($E136-AC$6)/($E136-3*cc_D/7))/0.002)))^2)</f>
        <v/>
      </c>
      <c r="AD136">
        <f>MAX(-fyd_cc,MIN(fyd_cc,Es_cc*IF($E136&lt;=cc_D,0.0035*($E136-AD$6)/$E136,0.002*($E136-AD$6)/($E136-3*cc_D/7))))-fcd_cc*(1-(1-MAX(0,MIN(1,IF($E136&lt;=cc_D,0.0035*($E136-AD$6)/$E136,0.002*($E136-AD$6)/($E136-3*cc_D/7))/0.002)))^2)</f>
        <v/>
      </c>
      <c r="AE136">
        <f>MAX(-fyd_cc,MIN(fyd_cc,Es_cc*IF($E136&lt;=cc_D,0.0035*($E136-AE$6)/$E136,0.002*($E136-AE$6)/($E136-3*cc_D/7))))-fcd_cc*(1-(1-MAX(0,MIN(1,IF($E136&lt;=cc_D,0.0035*($E136-AE$6)/$E136,0.002*($E136-AE$6)/($E136-3*cc_D/7))/0.002)))^2)</f>
        <v/>
      </c>
      <c r="AF136">
        <f>MAX(-fyd_cc,MIN(fyd_cc,Es_cc*IF($E136&lt;=cc_D,0.0035*($E136-AF$6)/$E136,0.002*($E136-AF$6)/($E136-3*cc_D/7))))-fcd_cc*(1-(1-MAX(0,MIN(1,IF($E136&lt;=cc_D,0.0035*($E136-AF$6)/$E136,0.002*($E136-AF$6)/($E136-3*cc_D/7))/0.002)))^2)</f>
        <v/>
      </c>
      <c r="AG136">
        <f>MAX(-fyd_cc,MIN(fyd_cc,Es_cc*IF($E136&lt;=cc_D,0.0035*($E136-AG$6)/$E136,0.002*($E136-AG$6)/($E136-3*cc_D/7))))-fcd_cc*(1-(1-MAX(0,MIN(1,IF($E136&lt;=cc_D,0.0035*($E136-AG$6)/$E136,0.002*($E136-AG$6)/($E136-3*cc_D/7))/0.002)))^2)</f>
        <v/>
      </c>
      <c r="BF136">
        <f>3*MIN($E136,cc_D)/7</f>
        <v/>
      </c>
      <c r="BG136">
        <f>$E136-$BF136</f>
        <v/>
      </c>
      <c r="BH136">
        <f>ACOS(MAX(-1,MIN(1,1-$BF136/(cc_D/2))))</f>
        <v/>
      </c>
      <c r="BI136">
        <f>ACOS(MAX(-1,MIN(1,1-MIN($E136,cc_D)/(cc_D/2))))</f>
        <v/>
      </c>
      <c r="BJ136">
        <f>((cc_D/2*(1-COS(($BH136+0*($BI136-$BH136)/12)))-$BF136)/$BG136)^2*SIN(($BH136+0*($BI136-$BH136)/12))^2</f>
        <v/>
      </c>
      <c r="BK136">
        <f>((cc_D/2*(1-COS(($BH136+1*($BI136-$BH136)/12)))-$BF136)/$BG136)^2*SIN(($BH136+1*($BI136-$BH136)/12))^2</f>
        <v/>
      </c>
      <c r="BL136">
        <f>((cc_D/2*(1-COS(($BH136+2*($BI136-$BH136)/12)))-$BF136)/$BG136)^2*SIN(($BH136+2*($BI136-$BH136)/12))^2</f>
        <v/>
      </c>
      <c r="BM136">
        <f>((cc_D/2*(1-COS(($BH136+3*($BI136-$BH136)/12)))-$BF136)/$BG136)^2*SIN(($BH136+3*($BI136-$BH136)/12))^2</f>
        <v/>
      </c>
      <c r="BN136">
        <f>((cc_D/2*(1-COS(($BH136+4*($BI136-$BH136)/12)))-$BF136)/$BG136)^2*SIN(($BH136+4*($BI136-$BH136)/12))^2</f>
        <v/>
      </c>
      <c r="BO136">
        <f>((cc_D/2*(1-COS(($BH136+5*($BI136-$BH136)/12)))-$BF136)/$BG136)^2*SIN(($BH136+5*($BI136-$BH136)/12))^2</f>
        <v/>
      </c>
      <c r="BP136">
        <f>((cc_D/2*(1-COS(($BH136+6*($BI136-$BH136)/12)))-$BF136)/$BG136)^2*SIN(($BH136+6*($BI136-$BH136)/12))^2</f>
        <v/>
      </c>
      <c r="BQ136">
        <f>((cc_D/2*(1-COS(($BH136+7*($BI136-$BH136)/12)))-$BF136)/$BG136)^2*SIN(($BH136+7*($BI136-$BH136)/12))^2</f>
        <v/>
      </c>
      <c r="BR136">
        <f>((cc_D/2*(1-COS(($BH136+8*($BI136-$BH136)/12)))-$BF136)/$BG136)^2*SIN(($BH136+8*($BI136-$BH136)/12))^2</f>
        <v/>
      </c>
      <c r="BS136">
        <f>((cc_D/2*(1-COS(($BH136+9*($BI136-$BH136)/12)))-$BF136)/$BG136)^2*SIN(($BH136+9*($BI136-$BH136)/12))^2</f>
        <v/>
      </c>
      <c r="BT136">
        <f>((cc_D/2*(1-COS(($BH136+10*($BI136-$BH136)/12)))-$BF136)/$BG136)^2*SIN(($BH136+10*($BI136-$BH136)/12))^2</f>
        <v/>
      </c>
      <c r="BU136">
        <f>((cc_D/2*(1-COS(($BH136+11*($BI136-$BH136)/12)))-$BF136)/$BG136)^2*SIN(($BH136+11*($BI136-$BH136)/12))^2</f>
        <v/>
      </c>
      <c r="BV136">
        <f>((cc_D/2*(1-COS(($BH136+12*($BI136-$BH136)/12)))-$BF136)/$BG136)^2*SIN(($BH136+12*($BI136-$BH136)/12))^2</f>
        <v/>
      </c>
      <c r="BW136">
        <f>BJ136*COS(($BH136+0*($BI136-$BH136)/12))</f>
        <v/>
      </c>
      <c r="BX136">
        <f>BK136*COS(($BH136+1*($BI136-$BH136)/12))</f>
        <v/>
      </c>
      <c r="BY136">
        <f>BL136*COS(($BH136+2*($BI136-$BH136)/12))</f>
        <v/>
      </c>
      <c r="BZ136">
        <f>BM136*COS(($BH136+3*($BI136-$BH136)/12))</f>
        <v/>
      </c>
      <c r="CA136">
        <f>BN136*COS(($BH136+4*($BI136-$BH136)/12))</f>
        <v/>
      </c>
      <c r="CB136">
        <f>BO136*COS(($BH136+5*($BI136-$BH136)/12))</f>
        <v/>
      </c>
      <c r="CC136">
        <f>BP136*COS(($BH136+6*($BI136-$BH136)/12))</f>
        <v/>
      </c>
      <c r="CD136">
        <f>BQ136*COS(($BH136+7*($BI136-$BH136)/12))</f>
        <v/>
      </c>
      <c r="CE136">
        <f>BR136*COS(($BH136+8*($BI136-$BH136)/12))</f>
        <v/>
      </c>
      <c r="CF136">
        <f>BS136*COS(($BH136+9*($BI136-$BH136)/12))</f>
        <v/>
      </c>
      <c r="CG136">
        <f>BT136*COS(($BH136+10*($BI136-$BH136)/12))</f>
        <v/>
      </c>
      <c r="CH136">
        <f>BU136*COS(($BH136+11*($BI136-$BH136)/12))</f>
        <v/>
      </c>
      <c r="CI136">
        <f>BV136*COS(($BH136+12*($BI136-$BH136)/12))</f>
        <v/>
      </c>
    </row>
    <row r="137">
      <c r="B137" s="65" t="n">
        <v>48</v>
      </c>
      <c r="C137" s="66">
        <f>IF($G136&lt;cc_NEd-1E-9*ABS(cc_NEd),($C136+$D136)/2,$C136)</f>
        <v/>
      </c>
      <c r="D137" s="66">
        <f>IF($G136&lt;cc_NEd-1E-9*ABS(cc_NEd),$D136,($C136+$D136)/2)</f>
        <v/>
      </c>
      <c r="E137" s="67">
        <f>cc_D*(($C137+$D137)/2)/(1-(($C137+$D137)/2))</f>
        <v/>
      </c>
      <c r="F137" s="68">
        <f>IF($E137&lt;=cc_D,3.5,2*$E137/($E137-3*cc_D/7))</f>
        <v/>
      </c>
      <c r="G137" s="67">
        <f>(fcd_cc*((cc_D/2)^2*($BI137-COS($BI137)*SIN($BI137))-2*(cc_D/2)^2*($BI137-$BH137)/12/3*SUMPRODUCT($BJ$4:$BV$4,$BJ137:$BV137))+SUMPRODUCT($J$5:$AG$5,$J137:$AG137))/1000</f>
        <v/>
      </c>
      <c r="H137" s="67">
        <f>(fcd_cc*(2/3*(cc_D/2)^3*SIN($BI137)^3-2*(cc_D/2)^3*($BI137-$BH137)/12/3*SUMPRODUCT($BW$4:$CI$4,$BW137:$CI137))+SUMPRODUCT($J$5:$AG$5,$J137:$AG137,$J$7:$AG$7))/1E6</f>
        <v/>
      </c>
      <c r="I137" s="67">
        <f>SUMPRODUCT($J$5:$AG$5,$J137:$AG137,$J$8:$AG$8)/1E6</f>
        <v/>
      </c>
      <c r="J137">
        <f>MAX(-fyd_cc,MIN(fyd_cc,Es_cc*IF($E137&lt;=cc_D,0.0035*($E137-J$6)/$E137,0.002*($E137-J$6)/($E137-3*cc_D/7))))-fcd_cc*(1-(1-MAX(0,MIN(1,IF($E137&lt;=cc_D,0.0035*($E137-J$6)/$E137,0.002*($E137-J$6)/($E137-3*cc_D/7))/0.002)))^2)</f>
        <v/>
      </c>
      <c r="K137">
        <f>MAX(-fyd_cc,MIN(fyd_cc,Es_cc*IF($E137&lt;=cc_D,0.0035*($E137-K$6)/$E137,0.002*($E137-K$6)/($E137-3*cc_D/7))))-fcd_cc*(1-(1-MAX(0,MIN(1,IF($E137&lt;=cc_D,0.0035*($E137-K$6)/$E137,0.002*($E137-K$6)/($E137-3*cc_D/7))/0.002)))^2)</f>
        <v/>
      </c>
      <c r="L137">
        <f>MAX(-fyd_cc,MIN(fyd_cc,Es_cc*IF($E137&lt;=cc_D,0.0035*($E137-L$6)/$E137,0.002*($E137-L$6)/($E137-3*cc_D/7))))-fcd_cc*(1-(1-MAX(0,MIN(1,IF($E137&lt;=cc_D,0.0035*($E137-L$6)/$E137,0.002*($E137-L$6)/($E137-3*cc_D/7))/0.002)))^2)</f>
        <v/>
      </c>
      <c r="M137">
        <f>MAX(-fyd_cc,MIN(fyd_cc,Es_cc*IF($E137&lt;=cc_D,0.0035*($E137-M$6)/$E137,0.002*($E137-M$6)/($E137-3*cc_D/7))))-fcd_cc*(1-(1-MAX(0,MIN(1,IF($E137&lt;=cc_D,0.0035*($E137-M$6)/$E137,0.002*($E137-M$6)/($E137-3*cc_D/7))/0.002)))^2)</f>
        <v/>
      </c>
      <c r="N137">
        <f>MAX(-fyd_cc,MIN(fyd_cc,Es_cc*IF($E137&lt;=cc_D,0.0035*($E137-N$6)/$E137,0.002*($E137-N$6)/($E137-3*cc_D/7))))-fcd_cc*(1-(1-MAX(0,MIN(1,IF($E137&lt;=cc_D,0.0035*($E137-N$6)/$E137,0.002*($E137-N$6)/($E137-3*cc_D/7))/0.002)))^2)</f>
        <v/>
      </c>
      <c r="O137">
        <f>MAX(-fyd_cc,MIN(fyd_cc,Es_cc*IF($E137&lt;=cc_D,0.0035*($E137-O$6)/$E137,0.002*($E137-O$6)/($E137-3*cc_D/7))))-fcd_cc*(1-(1-MAX(0,MIN(1,IF($E137&lt;=cc_D,0.0035*($E137-O$6)/$E137,0.002*($E137-O$6)/($E137-3*cc_D/7))/0.002)))^2)</f>
        <v/>
      </c>
      <c r="P137">
        <f>MAX(-fyd_cc,MIN(fyd_cc,Es_cc*IF($E137&lt;=cc_D,0.0035*($E137-P$6)/$E137,0.002*($E137-P$6)/($E137-3*cc_D/7))))-fcd_cc*(1-(1-MAX(0,MIN(1,IF($E137&lt;=cc_D,0.0035*($E137-P$6)/$E137,0.002*($E137-P$6)/($E137-3*cc_D/7))/0.002)))^2)</f>
        <v/>
      </c>
      <c r="Q137">
        <f>MAX(-fyd_cc,MIN(fyd_cc,Es_cc*IF($E137&lt;=cc_D,0.0035*($E137-Q$6)/$E137,0.002*($E137-Q$6)/($E137-3*cc_D/7))))-fcd_cc*(1-(1-MAX(0,MIN(1,IF($E137&lt;=cc_D,0.0035*($E137-Q$6)/$E137,0.002*($E137-Q$6)/($E137-3*cc_D/7))/0.002)))^2)</f>
        <v/>
      </c>
      <c r="R137">
        <f>MAX(-fyd_cc,MIN(fyd_cc,Es_cc*IF($E137&lt;=cc_D,0.0035*($E137-R$6)/$E137,0.002*($E137-R$6)/($E137-3*cc_D/7))))-fcd_cc*(1-(1-MAX(0,MIN(1,IF($E137&lt;=cc_D,0.0035*($E137-R$6)/$E137,0.002*($E137-R$6)/($E137-3*cc_D/7))/0.002)))^2)</f>
        <v/>
      </c>
      <c r="S137">
        <f>MAX(-fyd_cc,MIN(fyd_cc,Es_cc*IF($E137&lt;=cc_D,0.0035*($E137-S$6)/$E137,0.002*($E137-S$6)/($E137-3*cc_D/7))))-fcd_cc*(1-(1-MAX(0,MIN(1,IF($E137&lt;=cc_D,0.0035*($E137-S$6)/$E137,0.002*($E137-S$6)/($E137-3*cc_D/7))/0.002)))^2)</f>
        <v/>
      </c>
      <c r="T137">
        <f>MAX(-fyd_cc,MIN(fyd_cc,Es_cc*IF($E137&lt;=cc_D,0.0035*($E137-T$6)/$E137,0.002*($E137-T$6)/($E137-3*cc_D/7))))-fcd_cc*(1-(1-MAX(0,MIN(1,IF($E137&lt;=cc_D,0.0035*($E137-T$6)/$E137,0.002*($E137-T$6)/($E137-3*cc_D/7))/0.002)))^2)</f>
        <v/>
      </c>
      <c r="U137">
        <f>MAX(-fyd_cc,MIN(fyd_cc,Es_cc*IF($E137&lt;=cc_D,0.0035*($E137-U$6)/$E137,0.002*($E137-U$6)/($E137-3*cc_D/7))))-fcd_cc*(1-(1-MAX(0,MIN(1,IF($E137&lt;=cc_D,0.0035*($E137-U$6)/$E137,0.002*($E137-U$6)/($E137-3*cc_D/7))/0.002)))^2)</f>
        <v/>
      </c>
      <c r="V137">
        <f>MAX(-fyd_cc,MIN(fyd_cc,Es_cc*IF($E137&lt;=cc_D,0.0035*($E137-V$6)/$E137,0.002*($E137-V$6)/($E137-3*cc_D/7))))-fcd_cc*(1-(1-MAX(0,MIN(1,IF($E137&lt;=cc_D,0.0035*($E137-V$6)/$E137,0.002*($E137-V$6)/($E137-3*cc_D/7))/0.002)))^2)</f>
        <v/>
      </c>
      <c r="W137">
        <f>MAX(-fyd_cc,MIN(fyd_cc,Es_cc*IF($E137&lt;=cc_D,0.0035*($E137-W$6)/$E137,0.002*($E137-W$6)/($E137-3*cc_D/7))))-fcd_cc*(1-(1-MAX(0,MIN(1,IF($E137&lt;=cc_D,0.0035*($E137-W$6)/$E137,0.002*($E137-W$6)/($E137-3*cc_D/7))/0.002)))^2)</f>
        <v/>
      </c>
      <c r="X137">
        <f>MAX(-fyd_cc,MIN(fyd_cc,Es_cc*IF($E137&lt;=cc_D,0.0035*($E137-X$6)/$E137,0.002*($E137-X$6)/($E137-3*cc_D/7))))-fcd_cc*(1-(1-MAX(0,MIN(1,IF($E137&lt;=cc_D,0.0035*($E137-X$6)/$E137,0.002*($E137-X$6)/($E137-3*cc_D/7))/0.002)))^2)</f>
        <v/>
      </c>
      <c r="Y137">
        <f>MAX(-fyd_cc,MIN(fyd_cc,Es_cc*IF($E137&lt;=cc_D,0.0035*($E137-Y$6)/$E137,0.002*($E137-Y$6)/($E137-3*cc_D/7))))-fcd_cc*(1-(1-MAX(0,MIN(1,IF($E137&lt;=cc_D,0.0035*($E137-Y$6)/$E137,0.002*($E137-Y$6)/($E137-3*cc_D/7))/0.002)))^2)</f>
        <v/>
      </c>
      <c r="Z137">
        <f>MAX(-fyd_cc,MIN(fyd_cc,Es_cc*IF($E137&lt;=cc_D,0.0035*($E137-Z$6)/$E137,0.002*($E137-Z$6)/($E137-3*cc_D/7))))-fcd_cc*(1-(1-MAX(0,MIN(1,IF($E137&lt;=cc_D,0.0035*($E137-Z$6)/$E137,0.002*($E137-Z$6)/($E137-3*cc_D/7))/0.002)))^2)</f>
        <v/>
      </c>
      <c r="AA137">
        <f>MAX(-fyd_cc,MIN(fyd_cc,Es_cc*IF($E137&lt;=cc_D,0.0035*($E137-AA$6)/$E137,0.002*($E137-AA$6)/($E137-3*cc_D/7))))-fcd_cc*(1-(1-MAX(0,MIN(1,IF($E137&lt;=cc_D,0.0035*($E137-AA$6)/$E137,0.002*($E137-AA$6)/($E137-3*cc_D/7))/0.002)))^2)</f>
        <v/>
      </c>
      <c r="AB137">
        <f>MAX(-fyd_cc,MIN(fyd_cc,Es_cc*IF($E137&lt;=cc_D,0.0035*($E137-AB$6)/$E137,0.002*($E137-AB$6)/($E137-3*cc_D/7))))-fcd_cc*(1-(1-MAX(0,MIN(1,IF($E137&lt;=cc_D,0.0035*($E137-AB$6)/$E137,0.002*($E137-AB$6)/($E137-3*cc_D/7))/0.002)))^2)</f>
        <v/>
      </c>
      <c r="AC137">
        <f>MAX(-fyd_cc,MIN(fyd_cc,Es_cc*IF($E137&lt;=cc_D,0.0035*($E137-AC$6)/$E137,0.002*($E137-AC$6)/($E137-3*cc_D/7))))-fcd_cc*(1-(1-MAX(0,MIN(1,IF($E137&lt;=cc_D,0.0035*($E137-AC$6)/$E137,0.002*($E137-AC$6)/($E137-3*cc_D/7))/0.002)))^2)</f>
        <v/>
      </c>
      <c r="AD137">
        <f>MAX(-fyd_cc,MIN(fyd_cc,Es_cc*IF($E137&lt;=cc_D,0.0035*($E137-AD$6)/$E137,0.002*($E137-AD$6)/($E137-3*cc_D/7))))-fcd_cc*(1-(1-MAX(0,MIN(1,IF($E137&lt;=cc_D,0.0035*($E137-AD$6)/$E137,0.002*($E137-AD$6)/($E137-3*cc_D/7))/0.002)))^2)</f>
        <v/>
      </c>
      <c r="AE137">
        <f>MAX(-fyd_cc,MIN(fyd_cc,Es_cc*IF($E137&lt;=cc_D,0.0035*($E137-AE$6)/$E137,0.002*($E137-AE$6)/($E137-3*cc_D/7))))-fcd_cc*(1-(1-MAX(0,MIN(1,IF($E137&lt;=cc_D,0.0035*($E137-AE$6)/$E137,0.002*($E137-AE$6)/($E137-3*cc_D/7))/0.002)))^2)</f>
        <v/>
      </c>
      <c r="AF137">
        <f>MAX(-fyd_cc,MIN(fyd_cc,Es_cc*IF($E137&lt;=cc_D,0.0035*($E137-AF$6)/$E137,0.002*($E137-AF$6)/($E137-3*cc_D/7))))-fcd_cc*(1-(1-MAX(0,MIN(1,IF($E137&lt;=cc_D,0.0035*($E137-AF$6)/$E137,0.002*($E137-AF$6)/($E137-3*cc_D/7))/0.002)))^2)</f>
        <v/>
      </c>
      <c r="AG137">
        <f>MAX(-fyd_cc,MIN(fyd_cc,Es_cc*IF($E137&lt;=cc_D,0.0035*($E137-AG$6)/$E137,0.002*($E137-AG$6)/($E137-3*cc_D/7))))-fcd_cc*(1-(1-MAX(0,MIN(1,IF($E137&lt;=cc_D,0.0035*($E137-AG$6)/$E137,0.002*($E137-AG$6)/($E137-3*cc_D/7))/0.002)))^2)</f>
        <v/>
      </c>
      <c r="BF137">
        <f>3*MIN($E137,cc_D)/7</f>
        <v/>
      </c>
      <c r="BG137">
        <f>$E137-$BF137</f>
        <v/>
      </c>
      <c r="BH137">
        <f>ACOS(MAX(-1,MIN(1,1-$BF137/(cc_D/2))))</f>
        <v/>
      </c>
      <c r="BI137">
        <f>ACOS(MAX(-1,MIN(1,1-MIN($E137,cc_D)/(cc_D/2))))</f>
        <v/>
      </c>
      <c r="BJ137">
        <f>((cc_D/2*(1-COS(($BH137+0*($BI137-$BH137)/12)))-$BF137)/$BG137)^2*SIN(($BH137+0*($BI137-$BH137)/12))^2</f>
        <v/>
      </c>
      <c r="BK137">
        <f>((cc_D/2*(1-COS(($BH137+1*($BI137-$BH137)/12)))-$BF137)/$BG137)^2*SIN(($BH137+1*($BI137-$BH137)/12))^2</f>
        <v/>
      </c>
      <c r="BL137">
        <f>((cc_D/2*(1-COS(($BH137+2*($BI137-$BH137)/12)))-$BF137)/$BG137)^2*SIN(($BH137+2*($BI137-$BH137)/12))^2</f>
        <v/>
      </c>
      <c r="BM137">
        <f>((cc_D/2*(1-COS(($BH137+3*($BI137-$BH137)/12)))-$BF137)/$BG137)^2*SIN(($BH137+3*($BI137-$BH137)/12))^2</f>
        <v/>
      </c>
      <c r="BN137">
        <f>((cc_D/2*(1-COS(($BH137+4*($BI137-$BH137)/12)))-$BF137)/$BG137)^2*SIN(($BH137+4*($BI137-$BH137)/12))^2</f>
        <v/>
      </c>
      <c r="BO137">
        <f>((cc_D/2*(1-COS(($BH137+5*($BI137-$BH137)/12)))-$BF137)/$BG137)^2*SIN(($BH137+5*($BI137-$BH137)/12))^2</f>
        <v/>
      </c>
      <c r="BP137">
        <f>((cc_D/2*(1-COS(($BH137+6*($BI137-$BH137)/12)))-$BF137)/$BG137)^2*SIN(($BH137+6*($BI137-$BH137)/12))^2</f>
        <v/>
      </c>
      <c r="BQ137">
        <f>((cc_D/2*(1-COS(($BH137+7*($BI137-$BH137)/12)))-$BF137)/$BG137)^2*SIN(($BH137+7*($BI137-$BH137)/12))^2</f>
        <v/>
      </c>
      <c r="BR137">
        <f>((cc_D/2*(1-COS(($BH137+8*($BI137-$BH137)/12)))-$BF137)/$BG137)^2*SIN(($BH137+8*($BI137-$BH137)/12))^2</f>
        <v/>
      </c>
      <c r="BS137">
        <f>((cc_D/2*(1-COS(($BH137+9*($BI137-$BH137)/12)))-$BF137)/$BG137)^2*SIN(($BH137+9*($BI137-$BH137)/12))^2</f>
        <v/>
      </c>
      <c r="BT137">
        <f>((cc_D/2*(1-COS(($BH137+10*($BI137-$BH137)/12)))-$BF137)/$BG137)^2*SIN(($BH137+10*($BI137-$BH137)/12))^2</f>
        <v/>
      </c>
      <c r="BU137">
        <f>((cc_D/2*(1-COS(($BH137+11*($BI137-$BH137)/12)))-$BF137)/$BG137)^2*SIN(($BH137+11*($BI137-$BH137)/12))^2</f>
        <v/>
      </c>
      <c r="BV137">
        <f>((cc_D/2*(1-COS(($BH137+12*($BI137-$BH137)/12)))-$BF137)/$BG137)^2*SIN(($BH137+12*($BI137-$BH137)/12))^2</f>
        <v/>
      </c>
      <c r="BW137">
        <f>BJ137*COS(($BH137+0*($BI137-$BH137)/12))</f>
        <v/>
      </c>
      <c r="BX137">
        <f>BK137*COS(($BH137+1*($BI137-$BH137)/12))</f>
        <v/>
      </c>
      <c r="BY137">
        <f>BL137*COS(($BH137+2*($BI137-$BH137)/12))</f>
        <v/>
      </c>
      <c r="BZ137">
        <f>BM137*COS(($BH137+3*($BI137-$BH137)/12))</f>
        <v/>
      </c>
      <c r="CA137">
        <f>BN137*COS(($BH137+4*($BI137-$BH137)/12))</f>
        <v/>
      </c>
      <c r="CB137">
        <f>BO137*COS(($BH137+5*($BI137-$BH137)/12))</f>
        <v/>
      </c>
      <c r="CC137">
        <f>BP137*COS(($BH137+6*($BI137-$BH137)/12))</f>
        <v/>
      </c>
      <c r="CD137">
        <f>BQ137*COS(($BH137+7*($BI137-$BH137)/12))</f>
        <v/>
      </c>
      <c r="CE137">
        <f>BR137*COS(($BH137+8*($BI137-$BH137)/12))</f>
        <v/>
      </c>
      <c r="CF137">
        <f>BS137*COS(($BH137+9*($BI137-$BH137)/12))</f>
        <v/>
      </c>
      <c r="CG137">
        <f>BT137*COS(($BH137+10*($BI137-$BH137)/12))</f>
        <v/>
      </c>
      <c r="CH137">
        <f>BU137*COS(($BH137+11*($BI137-$BH137)/12))</f>
        <v/>
      </c>
      <c r="CI137">
        <f>BV137*COS(($BH137+12*($BI137-$BH137)/12))</f>
        <v/>
      </c>
    </row>
    <row r="138">
      <c r="B138" s="65" t="n">
        <v>49</v>
      </c>
      <c r="C138" s="66">
        <f>IF($G137&lt;cc_NEd-1E-9*ABS(cc_NEd),($C137+$D137)/2,$C137)</f>
        <v/>
      </c>
      <c r="D138" s="66">
        <f>IF($G137&lt;cc_NEd-1E-9*ABS(cc_NEd),$D137,($C137+$D137)/2)</f>
        <v/>
      </c>
      <c r="E138" s="67">
        <f>cc_D*(($C138+$D138)/2)/(1-(($C138+$D138)/2))</f>
        <v/>
      </c>
      <c r="F138" s="68">
        <f>IF($E138&lt;=cc_D,3.5,2*$E138/($E138-3*cc_D/7))</f>
        <v/>
      </c>
      <c r="G138" s="67">
        <f>(fcd_cc*((cc_D/2)^2*($BI138-COS($BI138)*SIN($BI138))-2*(cc_D/2)^2*($BI138-$BH138)/12/3*SUMPRODUCT($BJ$4:$BV$4,$BJ138:$BV138))+SUMPRODUCT($J$5:$AG$5,$J138:$AG138))/1000</f>
        <v/>
      </c>
      <c r="H138" s="67">
        <f>(fcd_cc*(2/3*(cc_D/2)^3*SIN($BI138)^3-2*(cc_D/2)^3*($BI138-$BH138)/12/3*SUMPRODUCT($BW$4:$CI$4,$BW138:$CI138))+SUMPRODUCT($J$5:$AG$5,$J138:$AG138,$J$7:$AG$7))/1E6</f>
        <v/>
      </c>
      <c r="I138" s="67">
        <f>SUMPRODUCT($J$5:$AG$5,$J138:$AG138,$J$8:$AG$8)/1E6</f>
        <v/>
      </c>
      <c r="J138">
        <f>MAX(-fyd_cc,MIN(fyd_cc,Es_cc*IF($E138&lt;=cc_D,0.0035*($E138-J$6)/$E138,0.002*($E138-J$6)/($E138-3*cc_D/7))))-fcd_cc*(1-(1-MAX(0,MIN(1,IF($E138&lt;=cc_D,0.0035*($E138-J$6)/$E138,0.002*($E138-J$6)/($E138-3*cc_D/7))/0.002)))^2)</f>
        <v/>
      </c>
      <c r="K138">
        <f>MAX(-fyd_cc,MIN(fyd_cc,Es_cc*IF($E138&lt;=cc_D,0.0035*($E138-K$6)/$E138,0.002*($E138-K$6)/($E138-3*cc_D/7))))-fcd_cc*(1-(1-MAX(0,MIN(1,IF($E138&lt;=cc_D,0.0035*($E138-K$6)/$E138,0.002*($E138-K$6)/($E138-3*cc_D/7))/0.002)))^2)</f>
        <v/>
      </c>
      <c r="L138">
        <f>MAX(-fyd_cc,MIN(fyd_cc,Es_cc*IF($E138&lt;=cc_D,0.0035*($E138-L$6)/$E138,0.002*($E138-L$6)/($E138-3*cc_D/7))))-fcd_cc*(1-(1-MAX(0,MIN(1,IF($E138&lt;=cc_D,0.0035*($E138-L$6)/$E138,0.002*($E138-L$6)/($E138-3*cc_D/7))/0.002)))^2)</f>
        <v/>
      </c>
      <c r="M138">
        <f>MAX(-fyd_cc,MIN(fyd_cc,Es_cc*IF($E138&lt;=cc_D,0.0035*($E138-M$6)/$E138,0.002*($E138-M$6)/($E138-3*cc_D/7))))-fcd_cc*(1-(1-MAX(0,MIN(1,IF($E138&lt;=cc_D,0.0035*($E138-M$6)/$E138,0.002*($E138-M$6)/($E138-3*cc_D/7))/0.002)))^2)</f>
        <v/>
      </c>
      <c r="N138">
        <f>MAX(-fyd_cc,MIN(fyd_cc,Es_cc*IF($E138&lt;=cc_D,0.0035*($E138-N$6)/$E138,0.002*($E138-N$6)/($E138-3*cc_D/7))))-fcd_cc*(1-(1-MAX(0,MIN(1,IF($E138&lt;=cc_D,0.0035*($E138-N$6)/$E138,0.002*($E138-N$6)/($E138-3*cc_D/7))/0.002)))^2)</f>
        <v/>
      </c>
      <c r="O138">
        <f>MAX(-fyd_cc,MIN(fyd_cc,Es_cc*IF($E138&lt;=cc_D,0.0035*($E138-O$6)/$E138,0.002*($E138-O$6)/($E138-3*cc_D/7))))-fcd_cc*(1-(1-MAX(0,MIN(1,IF($E138&lt;=cc_D,0.0035*($E138-O$6)/$E138,0.002*($E138-O$6)/($E138-3*cc_D/7))/0.002)))^2)</f>
        <v/>
      </c>
      <c r="P138">
        <f>MAX(-fyd_cc,MIN(fyd_cc,Es_cc*IF($E138&lt;=cc_D,0.0035*($E138-P$6)/$E138,0.002*($E138-P$6)/($E138-3*cc_D/7))))-fcd_cc*(1-(1-MAX(0,MIN(1,IF($E138&lt;=cc_D,0.0035*($E138-P$6)/$E138,0.002*($E138-P$6)/($E138-3*cc_D/7))/0.002)))^2)</f>
        <v/>
      </c>
      <c r="Q138">
        <f>MAX(-fyd_cc,MIN(fyd_cc,Es_cc*IF($E138&lt;=cc_D,0.0035*($E138-Q$6)/$E138,0.002*($E138-Q$6)/($E138-3*cc_D/7))))-fcd_cc*(1-(1-MAX(0,MIN(1,IF($E138&lt;=cc_D,0.0035*($E138-Q$6)/$E138,0.002*($E138-Q$6)/($E138-3*cc_D/7))/0.002)))^2)</f>
        <v/>
      </c>
      <c r="R138">
        <f>MAX(-fyd_cc,MIN(fyd_cc,Es_cc*IF($E138&lt;=cc_D,0.0035*($E138-R$6)/$E138,0.002*($E138-R$6)/($E138-3*cc_D/7))))-fcd_cc*(1-(1-MAX(0,MIN(1,IF($E138&lt;=cc_D,0.0035*($E138-R$6)/$E138,0.002*($E138-R$6)/($E138-3*cc_D/7))/0.002)))^2)</f>
        <v/>
      </c>
      <c r="S138">
        <f>MAX(-fyd_cc,MIN(fyd_cc,Es_cc*IF($E138&lt;=cc_D,0.0035*($E138-S$6)/$E138,0.002*($E138-S$6)/($E138-3*cc_D/7))))-fcd_cc*(1-(1-MAX(0,MIN(1,IF($E138&lt;=cc_D,0.0035*($E138-S$6)/$E138,0.002*($E138-S$6)/($E138-3*cc_D/7))/0.002)))^2)</f>
        <v/>
      </c>
      <c r="T138">
        <f>MAX(-fyd_cc,MIN(fyd_cc,Es_cc*IF($E138&lt;=cc_D,0.0035*($E138-T$6)/$E138,0.002*($E138-T$6)/($E138-3*cc_D/7))))-fcd_cc*(1-(1-MAX(0,MIN(1,IF($E138&lt;=cc_D,0.0035*($E138-T$6)/$E138,0.002*($E138-T$6)/($E138-3*cc_D/7))/0.002)))^2)</f>
        <v/>
      </c>
      <c r="U138">
        <f>MAX(-fyd_cc,MIN(fyd_cc,Es_cc*IF($E138&lt;=cc_D,0.0035*($E138-U$6)/$E138,0.002*($E138-U$6)/($E138-3*cc_D/7))))-fcd_cc*(1-(1-MAX(0,MIN(1,IF($E138&lt;=cc_D,0.0035*($E138-U$6)/$E138,0.002*($E138-U$6)/($E138-3*cc_D/7))/0.002)))^2)</f>
        <v/>
      </c>
      <c r="V138">
        <f>MAX(-fyd_cc,MIN(fyd_cc,Es_cc*IF($E138&lt;=cc_D,0.0035*($E138-V$6)/$E138,0.002*($E138-V$6)/($E138-3*cc_D/7))))-fcd_cc*(1-(1-MAX(0,MIN(1,IF($E138&lt;=cc_D,0.0035*($E138-V$6)/$E138,0.002*($E138-V$6)/($E138-3*cc_D/7))/0.002)))^2)</f>
        <v/>
      </c>
      <c r="W138">
        <f>MAX(-fyd_cc,MIN(fyd_cc,Es_cc*IF($E138&lt;=cc_D,0.0035*($E138-W$6)/$E138,0.002*($E138-W$6)/($E138-3*cc_D/7))))-fcd_cc*(1-(1-MAX(0,MIN(1,IF($E138&lt;=cc_D,0.0035*($E138-W$6)/$E138,0.002*($E138-W$6)/($E138-3*cc_D/7))/0.002)))^2)</f>
        <v/>
      </c>
      <c r="X138">
        <f>MAX(-fyd_cc,MIN(fyd_cc,Es_cc*IF($E138&lt;=cc_D,0.0035*($E138-X$6)/$E138,0.002*($E138-X$6)/($E138-3*cc_D/7))))-fcd_cc*(1-(1-MAX(0,MIN(1,IF($E138&lt;=cc_D,0.0035*($E138-X$6)/$E138,0.002*($E138-X$6)/($E138-3*cc_D/7))/0.002)))^2)</f>
        <v/>
      </c>
      <c r="Y138">
        <f>MAX(-fyd_cc,MIN(fyd_cc,Es_cc*IF($E138&lt;=cc_D,0.0035*($E138-Y$6)/$E138,0.002*($E138-Y$6)/($E138-3*cc_D/7))))-fcd_cc*(1-(1-MAX(0,MIN(1,IF($E138&lt;=cc_D,0.0035*($E138-Y$6)/$E138,0.002*($E138-Y$6)/($E138-3*cc_D/7))/0.002)))^2)</f>
        <v/>
      </c>
      <c r="Z138">
        <f>MAX(-fyd_cc,MIN(fyd_cc,Es_cc*IF($E138&lt;=cc_D,0.0035*($E138-Z$6)/$E138,0.002*($E138-Z$6)/($E138-3*cc_D/7))))-fcd_cc*(1-(1-MAX(0,MIN(1,IF($E138&lt;=cc_D,0.0035*($E138-Z$6)/$E138,0.002*($E138-Z$6)/($E138-3*cc_D/7))/0.002)))^2)</f>
        <v/>
      </c>
      <c r="AA138">
        <f>MAX(-fyd_cc,MIN(fyd_cc,Es_cc*IF($E138&lt;=cc_D,0.0035*($E138-AA$6)/$E138,0.002*($E138-AA$6)/($E138-3*cc_D/7))))-fcd_cc*(1-(1-MAX(0,MIN(1,IF($E138&lt;=cc_D,0.0035*($E138-AA$6)/$E138,0.002*($E138-AA$6)/($E138-3*cc_D/7))/0.002)))^2)</f>
        <v/>
      </c>
      <c r="AB138">
        <f>MAX(-fyd_cc,MIN(fyd_cc,Es_cc*IF($E138&lt;=cc_D,0.0035*($E138-AB$6)/$E138,0.002*($E138-AB$6)/($E138-3*cc_D/7))))-fcd_cc*(1-(1-MAX(0,MIN(1,IF($E138&lt;=cc_D,0.0035*($E138-AB$6)/$E138,0.002*($E138-AB$6)/($E138-3*cc_D/7))/0.002)))^2)</f>
        <v/>
      </c>
      <c r="AC138">
        <f>MAX(-fyd_cc,MIN(fyd_cc,Es_cc*IF($E138&lt;=cc_D,0.0035*($E138-AC$6)/$E138,0.002*($E138-AC$6)/($E138-3*cc_D/7))))-fcd_cc*(1-(1-MAX(0,MIN(1,IF($E138&lt;=cc_D,0.0035*($E138-AC$6)/$E138,0.002*($E138-AC$6)/($E138-3*cc_D/7))/0.002)))^2)</f>
        <v/>
      </c>
      <c r="AD138">
        <f>MAX(-fyd_cc,MIN(fyd_cc,Es_cc*IF($E138&lt;=cc_D,0.0035*($E138-AD$6)/$E138,0.002*($E138-AD$6)/($E138-3*cc_D/7))))-fcd_cc*(1-(1-MAX(0,MIN(1,IF($E138&lt;=cc_D,0.0035*($E138-AD$6)/$E138,0.002*($E138-AD$6)/($E138-3*cc_D/7))/0.002)))^2)</f>
        <v/>
      </c>
      <c r="AE138">
        <f>MAX(-fyd_cc,MIN(fyd_cc,Es_cc*IF($E138&lt;=cc_D,0.0035*($E138-AE$6)/$E138,0.002*($E138-AE$6)/($E138-3*cc_D/7))))-fcd_cc*(1-(1-MAX(0,MIN(1,IF($E138&lt;=cc_D,0.0035*($E138-AE$6)/$E138,0.002*($E138-AE$6)/($E138-3*cc_D/7))/0.002)))^2)</f>
        <v/>
      </c>
      <c r="AF138">
        <f>MAX(-fyd_cc,MIN(fyd_cc,Es_cc*IF($E138&lt;=cc_D,0.0035*($E138-AF$6)/$E138,0.002*($E138-AF$6)/($E138-3*cc_D/7))))-fcd_cc*(1-(1-MAX(0,MIN(1,IF($E138&lt;=cc_D,0.0035*($E138-AF$6)/$E138,0.002*($E138-AF$6)/($E138-3*cc_D/7))/0.002)))^2)</f>
        <v/>
      </c>
      <c r="AG138">
        <f>MAX(-fyd_cc,MIN(fyd_cc,Es_cc*IF($E138&lt;=cc_D,0.0035*($E138-AG$6)/$E138,0.002*($E138-AG$6)/($E138-3*cc_D/7))))-fcd_cc*(1-(1-MAX(0,MIN(1,IF($E138&lt;=cc_D,0.0035*($E138-AG$6)/$E138,0.002*($E138-AG$6)/($E138-3*cc_D/7))/0.002)))^2)</f>
        <v/>
      </c>
      <c r="BF138">
        <f>3*MIN($E138,cc_D)/7</f>
        <v/>
      </c>
      <c r="BG138">
        <f>$E138-$BF138</f>
        <v/>
      </c>
      <c r="BH138">
        <f>ACOS(MAX(-1,MIN(1,1-$BF138/(cc_D/2))))</f>
        <v/>
      </c>
      <c r="BI138">
        <f>ACOS(MAX(-1,MIN(1,1-MIN($E138,cc_D)/(cc_D/2))))</f>
        <v/>
      </c>
      <c r="BJ138">
        <f>((cc_D/2*(1-COS(($BH138+0*($BI138-$BH138)/12)))-$BF138)/$BG138)^2*SIN(($BH138+0*($BI138-$BH138)/12))^2</f>
        <v/>
      </c>
      <c r="BK138">
        <f>((cc_D/2*(1-COS(($BH138+1*($BI138-$BH138)/12)))-$BF138)/$BG138)^2*SIN(($BH138+1*($BI138-$BH138)/12))^2</f>
        <v/>
      </c>
      <c r="BL138">
        <f>((cc_D/2*(1-COS(($BH138+2*($BI138-$BH138)/12)))-$BF138)/$BG138)^2*SIN(($BH138+2*($BI138-$BH138)/12))^2</f>
        <v/>
      </c>
      <c r="BM138">
        <f>((cc_D/2*(1-COS(($BH138+3*($BI138-$BH138)/12)))-$BF138)/$BG138)^2*SIN(($BH138+3*($BI138-$BH138)/12))^2</f>
        <v/>
      </c>
      <c r="BN138">
        <f>((cc_D/2*(1-COS(($BH138+4*($BI138-$BH138)/12)))-$BF138)/$BG138)^2*SIN(($BH138+4*($BI138-$BH138)/12))^2</f>
        <v/>
      </c>
      <c r="BO138">
        <f>((cc_D/2*(1-COS(($BH138+5*($BI138-$BH138)/12)))-$BF138)/$BG138)^2*SIN(($BH138+5*($BI138-$BH138)/12))^2</f>
        <v/>
      </c>
      <c r="BP138">
        <f>((cc_D/2*(1-COS(($BH138+6*($BI138-$BH138)/12)))-$BF138)/$BG138)^2*SIN(($BH138+6*($BI138-$BH138)/12))^2</f>
        <v/>
      </c>
      <c r="BQ138">
        <f>((cc_D/2*(1-COS(($BH138+7*($BI138-$BH138)/12)))-$BF138)/$BG138)^2*SIN(($BH138+7*($BI138-$BH138)/12))^2</f>
        <v/>
      </c>
      <c r="BR138">
        <f>((cc_D/2*(1-COS(($BH138+8*($BI138-$BH138)/12)))-$BF138)/$BG138)^2*SIN(($BH138+8*($BI138-$BH138)/12))^2</f>
        <v/>
      </c>
      <c r="BS138">
        <f>((cc_D/2*(1-COS(($BH138+9*($BI138-$BH138)/12)))-$BF138)/$BG138)^2*SIN(($BH138+9*($BI138-$BH138)/12))^2</f>
        <v/>
      </c>
      <c r="BT138">
        <f>((cc_D/2*(1-COS(($BH138+10*($BI138-$BH138)/12)))-$BF138)/$BG138)^2*SIN(($BH138+10*($BI138-$BH138)/12))^2</f>
        <v/>
      </c>
      <c r="BU138">
        <f>((cc_D/2*(1-COS(($BH138+11*($BI138-$BH138)/12)))-$BF138)/$BG138)^2*SIN(($BH138+11*($BI138-$BH138)/12))^2</f>
        <v/>
      </c>
      <c r="BV138">
        <f>((cc_D/2*(1-COS(($BH138+12*($BI138-$BH138)/12)))-$BF138)/$BG138)^2*SIN(($BH138+12*($BI138-$BH138)/12))^2</f>
        <v/>
      </c>
      <c r="BW138">
        <f>BJ138*COS(($BH138+0*($BI138-$BH138)/12))</f>
        <v/>
      </c>
      <c r="BX138">
        <f>BK138*COS(($BH138+1*($BI138-$BH138)/12))</f>
        <v/>
      </c>
      <c r="BY138">
        <f>BL138*COS(($BH138+2*($BI138-$BH138)/12))</f>
        <v/>
      </c>
      <c r="BZ138">
        <f>BM138*COS(($BH138+3*($BI138-$BH138)/12))</f>
        <v/>
      </c>
      <c r="CA138">
        <f>BN138*COS(($BH138+4*($BI138-$BH138)/12))</f>
        <v/>
      </c>
      <c r="CB138">
        <f>BO138*COS(($BH138+5*($BI138-$BH138)/12))</f>
        <v/>
      </c>
      <c r="CC138">
        <f>BP138*COS(($BH138+6*($BI138-$BH138)/12))</f>
        <v/>
      </c>
      <c r="CD138">
        <f>BQ138*COS(($BH138+7*($BI138-$BH138)/12))</f>
        <v/>
      </c>
      <c r="CE138">
        <f>BR138*COS(($BH138+8*($BI138-$BH138)/12))</f>
        <v/>
      </c>
      <c r="CF138">
        <f>BS138*COS(($BH138+9*($BI138-$BH138)/12))</f>
        <v/>
      </c>
      <c r="CG138">
        <f>BT138*COS(($BH138+10*($BI138-$BH138)/12))</f>
        <v/>
      </c>
      <c r="CH138">
        <f>BU138*COS(($BH138+11*($BI138-$BH138)/12))</f>
        <v/>
      </c>
      <c r="CI138">
        <f>BV138*COS(($BH138+12*($BI138-$BH138)/12))</f>
        <v/>
      </c>
    </row>
    <row r="139">
      <c r="B139" s="65" t="n">
        <v>50</v>
      </c>
      <c r="C139" s="66">
        <f>IF($G138&lt;cc_NEd-1E-9*ABS(cc_NEd),($C138+$D138)/2,$C138)</f>
        <v/>
      </c>
      <c r="D139" s="66">
        <f>IF($G138&lt;cc_NEd-1E-9*ABS(cc_NEd),$D138,($C138+$D138)/2)</f>
        <v/>
      </c>
      <c r="E139" s="67">
        <f>cc_D*(($C139+$D139)/2)/(1-(($C139+$D139)/2))</f>
        <v/>
      </c>
      <c r="F139" s="68">
        <f>IF($E139&lt;=cc_D,3.5,2*$E139/($E139-3*cc_D/7))</f>
        <v/>
      </c>
      <c r="G139" s="67">
        <f>(fcd_cc*((cc_D/2)^2*($BI139-COS($BI139)*SIN($BI139))-2*(cc_D/2)^2*($BI139-$BH139)/12/3*SUMPRODUCT($BJ$4:$BV$4,$BJ139:$BV139))+SUMPRODUCT($J$5:$AG$5,$J139:$AG139))/1000</f>
        <v/>
      </c>
      <c r="H139" s="67">
        <f>(fcd_cc*(2/3*(cc_D/2)^3*SIN($BI139)^3-2*(cc_D/2)^3*($BI139-$BH139)/12/3*SUMPRODUCT($BW$4:$CI$4,$BW139:$CI139))+SUMPRODUCT($J$5:$AG$5,$J139:$AG139,$J$7:$AG$7))/1E6</f>
        <v/>
      </c>
      <c r="I139" s="67">
        <f>SUMPRODUCT($J$5:$AG$5,$J139:$AG139,$J$8:$AG$8)/1E6</f>
        <v/>
      </c>
      <c r="J139">
        <f>MAX(-fyd_cc,MIN(fyd_cc,Es_cc*IF($E139&lt;=cc_D,0.0035*($E139-J$6)/$E139,0.002*($E139-J$6)/($E139-3*cc_D/7))))-fcd_cc*(1-(1-MAX(0,MIN(1,IF($E139&lt;=cc_D,0.0035*($E139-J$6)/$E139,0.002*($E139-J$6)/($E139-3*cc_D/7))/0.002)))^2)</f>
        <v/>
      </c>
      <c r="K139">
        <f>MAX(-fyd_cc,MIN(fyd_cc,Es_cc*IF($E139&lt;=cc_D,0.0035*($E139-K$6)/$E139,0.002*($E139-K$6)/($E139-3*cc_D/7))))-fcd_cc*(1-(1-MAX(0,MIN(1,IF($E139&lt;=cc_D,0.0035*($E139-K$6)/$E139,0.002*($E139-K$6)/($E139-3*cc_D/7))/0.002)))^2)</f>
        <v/>
      </c>
      <c r="L139">
        <f>MAX(-fyd_cc,MIN(fyd_cc,Es_cc*IF($E139&lt;=cc_D,0.0035*($E139-L$6)/$E139,0.002*($E139-L$6)/($E139-3*cc_D/7))))-fcd_cc*(1-(1-MAX(0,MIN(1,IF($E139&lt;=cc_D,0.0035*($E139-L$6)/$E139,0.002*($E139-L$6)/($E139-3*cc_D/7))/0.002)))^2)</f>
        <v/>
      </c>
      <c r="M139">
        <f>MAX(-fyd_cc,MIN(fyd_cc,Es_cc*IF($E139&lt;=cc_D,0.0035*($E139-M$6)/$E139,0.002*($E139-M$6)/($E139-3*cc_D/7))))-fcd_cc*(1-(1-MAX(0,MIN(1,IF($E139&lt;=cc_D,0.0035*($E139-M$6)/$E139,0.002*($E139-M$6)/($E139-3*cc_D/7))/0.002)))^2)</f>
        <v/>
      </c>
      <c r="N139">
        <f>MAX(-fyd_cc,MIN(fyd_cc,Es_cc*IF($E139&lt;=cc_D,0.0035*($E139-N$6)/$E139,0.002*($E139-N$6)/($E139-3*cc_D/7))))-fcd_cc*(1-(1-MAX(0,MIN(1,IF($E139&lt;=cc_D,0.0035*($E139-N$6)/$E139,0.002*($E139-N$6)/($E139-3*cc_D/7))/0.002)))^2)</f>
        <v/>
      </c>
      <c r="O139">
        <f>MAX(-fyd_cc,MIN(fyd_cc,Es_cc*IF($E139&lt;=cc_D,0.0035*($E139-O$6)/$E139,0.002*($E139-O$6)/($E139-3*cc_D/7))))-fcd_cc*(1-(1-MAX(0,MIN(1,IF($E139&lt;=cc_D,0.0035*($E139-O$6)/$E139,0.002*($E139-O$6)/($E139-3*cc_D/7))/0.002)))^2)</f>
        <v/>
      </c>
      <c r="P139">
        <f>MAX(-fyd_cc,MIN(fyd_cc,Es_cc*IF($E139&lt;=cc_D,0.0035*($E139-P$6)/$E139,0.002*($E139-P$6)/($E139-3*cc_D/7))))-fcd_cc*(1-(1-MAX(0,MIN(1,IF($E139&lt;=cc_D,0.0035*($E139-P$6)/$E139,0.002*($E139-P$6)/($E139-3*cc_D/7))/0.002)))^2)</f>
        <v/>
      </c>
      <c r="Q139">
        <f>MAX(-fyd_cc,MIN(fyd_cc,Es_cc*IF($E139&lt;=cc_D,0.0035*($E139-Q$6)/$E139,0.002*($E139-Q$6)/($E139-3*cc_D/7))))-fcd_cc*(1-(1-MAX(0,MIN(1,IF($E139&lt;=cc_D,0.0035*($E139-Q$6)/$E139,0.002*($E139-Q$6)/($E139-3*cc_D/7))/0.002)))^2)</f>
        <v/>
      </c>
      <c r="R139">
        <f>MAX(-fyd_cc,MIN(fyd_cc,Es_cc*IF($E139&lt;=cc_D,0.0035*($E139-R$6)/$E139,0.002*($E139-R$6)/($E139-3*cc_D/7))))-fcd_cc*(1-(1-MAX(0,MIN(1,IF($E139&lt;=cc_D,0.0035*($E139-R$6)/$E139,0.002*($E139-R$6)/($E139-3*cc_D/7))/0.002)))^2)</f>
        <v/>
      </c>
      <c r="S139">
        <f>MAX(-fyd_cc,MIN(fyd_cc,Es_cc*IF($E139&lt;=cc_D,0.0035*($E139-S$6)/$E139,0.002*($E139-S$6)/($E139-3*cc_D/7))))-fcd_cc*(1-(1-MAX(0,MIN(1,IF($E139&lt;=cc_D,0.0035*($E139-S$6)/$E139,0.002*($E139-S$6)/($E139-3*cc_D/7))/0.002)))^2)</f>
        <v/>
      </c>
      <c r="T139">
        <f>MAX(-fyd_cc,MIN(fyd_cc,Es_cc*IF($E139&lt;=cc_D,0.0035*($E139-T$6)/$E139,0.002*($E139-T$6)/($E139-3*cc_D/7))))-fcd_cc*(1-(1-MAX(0,MIN(1,IF($E139&lt;=cc_D,0.0035*($E139-T$6)/$E139,0.002*($E139-T$6)/($E139-3*cc_D/7))/0.002)))^2)</f>
        <v/>
      </c>
      <c r="U139">
        <f>MAX(-fyd_cc,MIN(fyd_cc,Es_cc*IF($E139&lt;=cc_D,0.0035*($E139-U$6)/$E139,0.002*($E139-U$6)/($E139-3*cc_D/7))))-fcd_cc*(1-(1-MAX(0,MIN(1,IF($E139&lt;=cc_D,0.0035*($E139-U$6)/$E139,0.002*($E139-U$6)/($E139-3*cc_D/7))/0.002)))^2)</f>
        <v/>
      </c>
      <c r="V139">
        <f>MAX(-fyd_cc,MIN(fyd_cc,Es_cc*IF($E139&lt;=cc_D,0.0035*($E139-V$6)/$E139,0.002*($E139-V$6)/($E139-3*cc_D/7))))-fcd_cc*(1-(1-MAX(0,MIN(1,IF($E139&lt;=cc_D,0.0035*($E139-V$6)/$E139,0.002*($E139-V$6)/($E139-3*cc_D/7))/0.002)))^2)</f>
        <v/>
      </c>
      <c r="W139">
        <f>MAX(-fyd_cc,MIN(fyd_cc,Es_cc*IF($E139&lt;=cc_D,0.0035*($E139-W$6)/$E139,0.002*($E139-W$6)/($E139-3*cc_D/7))))-fcd_cc*(1-(1-MAX(0,MIN(1,IF($E139&lt;=cc_D,0.0035*($E139-W$6)/$E139,0.002*($E139-W$6)/($E139-3*cc_D/7))/0.002)))^2)</f>
        <v/>
      </c>
      <c r="X139">
        <f>MAX(-fyd_cc,MIN(fyd_cc,Es_cc*IF($E139&lt;=cc_D,0.0035*($E139-X$6)/$E139,0.002*($E139-X$6)/($E139-3*cc_D/7))))-fcd_cc*(1-(1-MAX(0,MIN(1,IF($E139&lt;=cc_D,0.0035*($E139-X$6)/$E139,0.002*($E139-X$6)/($E139-3*cc_D/7))/0.002)))^2)</f>
        <v/>
      </c>
      <c r="Y139">
        <f>MAX(-fyd_cc,MIN(fyd_cc,Es_cc*IF($E139&lt;=cc_D,0.0035*($E139-Y$6)/$E139,0.002*($E139-Y$6)/($E139-3*cc_D/7))))-fcd_cc*(1-(1-MAX(0,MIN(1,IF($E139&lt;=cc_D,0.0035*($E139-Y$6)/$E139,0.002*($E139-Y$6)/($E139-3*cc_D/7))/0.002)))^2)</f>
        <v/>
      </c>
      <c r="Z139">
        <f>MAX(-fyd_cc,MIN(fyd_cc,Es_cc*IF($E139&lt;=cc_D,0.0035*($E139-Z$6)/$E139,0.002*($E139-Z$6)/($E139-3*cc_D/7))))-fcd_cc*(1-(1-MAX(0,MIN(1,IF($E139&lt;=cc_D,0.0035*($E139-Z$6)/$E139,0.002*($E139-Z$6)/($E139-3*cc_D/7))/0.002)))^2)</f>
        <v/>
      </c>
      <c r="AA139">
        <f>MAX(-fyd_cc,MIN(fyd_cc,Es_cc*IF($E139&lt;=cc_D,0.0035*($E139-AA$6)/$E139,0.002*($E139-AA$6)/($E139-3*cc_D/7))))-fcd_cc*(1-(1-MAX(0,MIN(1,IF($E139&lt;=cc_D,0.0035*($E139-AA$6)/$E139,0.002*($E139-AA$6)/($E139-3*cc_D/7))/0.002)))^2)</f>
        <v/>
      </c>
      <c r="AB139">
        <f>MAX(-fyd_cc,MIN(fyd_cc,Es_cc*IF($E139&lt;=cc_D,0.0035*($E139-AB$6)/$E139,0.002*($E139-AB$6)/($E139-3*cc_D/7))))-fcd_cc*(1-(1-MAX(0,MIN(1,IF($E139&lt;=cc_D,0.0035*($E139-AB$6)/$E139,0.002*($E139-AB$6)/($E139-3*cc_D/7))/0.002)))^2)</f>
        <v/>
      </c>
      <c r="AC139">
        <f>MAX(-fyd_cc,MIN(fyd_cc,Es_cc*IF($E139&lt;=cc_D,0.0035*($E139-AC$6)/$E139,0.002*($E139-AC$6)/($E139-3*cc_D/7))))-fcd_cc*(1-(1-MAX(0,MIN(1,IF($E139&lt;=cc_D,0.0035*($E139-AC$6)/$E139,0.002*($E139-AC$6)/($E139-3*cc_D/7))/0.002)))^2)</f>
        <v/>
      </c>
      <c r="AD139">
        <f>MAX(-fyd_cc,MIN(fyd_cc,Es_cc*IF($E139&lt;=cc_D,0.0035*($E139-AD$6)/$E139,0.002*($E139-AD$6)/($E139-3*cc_D/7))))-fcd_cc*(1-(1-MAX(0,MIN(1,IF($E139&lt;=cc_D,0.0035*($E139-AD$6)/$E139,0.002*($E139-AD$6)/($E139-3*cc_D/7))/0.002)))^2)</f>
        <v/>
      </c>
      <c r="AE139">
        <f>MAX(-fyd_cc,MIN(fyd_cc,Es_cc*IF($E139&lt;=cc_D,0.0035*($E139-AE$6)/$E139,0.002*($E139-AE$6)/($E139-3*cc_D/7))))-fcd_cc*(1-(1-MAX(0,MIN(1,IF($E139&lt;=cc_D,0.0035*($E139-AE$6)/$E139,0.002*($E139-AE$6)/($E139-3*cc_D/7))/0.002)))^2)</f>
        <v/>
      </c>
      <c r="AF139">
        <f>MAX(-fyd_cc,MIN(fyd_cc,Es_cc*IF($E139&lt;=cc_D,0.0035*($E139-AF$6)/$E139,0.002*($E139-AF$6)/($E139-3*cc_D/7))))-fcd_cc*(1-(1-MAX(0,MIN(1,IF($E139&lt;=cc_D,0.0035*($E139-AF$6)/$E139,0.002*($E139-AF$6)/($E139-3*cc_D/7))/0.002)))^2)</f>
        <v/>
      </c>
      <c r="AG139">
        <f>MAX(-fyd_cc,MIN(fyd_cc,Es_cc*IF($E139&lt;=cc_D,0.0035*($E139-AG$6)/$E139,0.002*($E139-AG$6)/($E139-3*cc_D/7))))-fcd_cc*(1-(1-MAX(0,MIN(1,IF($E139&lt;=cc_D,0.0035*($E139-AG$6)/$E139,0.002*($E139-AG$6)/($E139-3*cc_D/7))/0.002)))^2)</f>
        <v/>
      </c>
      <c r="BF139">
        <f>3*MIN($E139,cc_D)/7</f>
        <v/>
      </c>
      <c r="BG139">
        <f>$E139-$BF139</f>
        <v/>
      </c>
      <c r="BH139">
        <f>ACOS(MAX(-1,MIN(1,1-$BF139/(cc_D/2))))</f>
        <v/>
      </c>
      <c r="BI139">
        <f>ACOS(MAX(-1,MIN(1,1-MIN($E139,cc_D)/(cc_D/2))))</f>
        <v/>
      </c>
      <c r="BJ139">
        <f>((cc_D/2*(1-COS(($BH139+0*($BI139-$BH139)/12)))-$BF139)/$BG139)^2*SIN(($BH139+0*($BI139-$BH139)/12))^2</f>
        <v/>
      </c>
      <c r="BK139">
        <f>((cc_D/2*(1-COS(($BH139+1*($BI139-$BH139)/12)))-$BF139)/$BG139)^2*SIN(($BH139+1*($BI139-$BH139)/12))^2</f>
        <v/>
      </c>
      <c r="BL139">
        <f>((cc_D/2*(1-COS(($BH139+2*($BI139-$BH139)/12)))-$BF139)/$BG139)^2*SIN(($BH139+2*($BI139-$BH139)/12))^2</f>
        <v/>
      </c>
      <c r="BM139">
        <f>((cc_D/2*(1-COS(($BH139+3*($BI139-$BH139)/12)))-$BF139)/$BG139)^2*SIN(($BH139+3*($BI139-$BH139)/12))^2</f>
        <v/>
      </c>
      <c r="BN139">
        <f>((cc_D/2*(1-COS(($BH139+4*($BI139-$BH139)/12)))-$BF139)/$BG139)^2*SIN(($BH139+4*($BI139-$BH139)/12))^2</f>
        <v/>
      </c>
      <c r="BO139">
        <f>((cc_D/2*(1-COS(($BH139+5*($BI139-$BH139)/12)))-$BF139)/$BG139)^2*SIN(($BH139+5*($BI139-$BH139)/12))^2</f>
        <v/>
      </c>
      <c r="BP139">
        <f>((cc_D/2*(1-COS(($BH139+6*($BI139-$BH139)/12)))-$BF139)/$BG139)^2*SIN(($BH139+6*($BI139-$BH139)/12))^2</f>
        <v/>
      </c>
      <c r="BQ139">
        <f>((cc_D/2*(1-COS(($BH139+7*($BI139-$BH139)/12)))-$BF139)/$BG139)^2*SIN(($BH139+7*($BI139-$BH139)/12))^2</f>
        <v/>
      </c>
      <c r="BR139">
        <f>((cc_D/2*(1-COS(($BH139+8*($BI139-$BH139)/12)))-$BF139)/$BG139)^2*SIN(($BH139+8*($BI139-$BH139)/12))^2</f>
        <v/>
      </c>
      <c r="BS139">
        <f>((cc_D/2*(1-COS(($BH139+9*($BI139-$BH139)/12)))-$BF139)/$BG139)^2*SIN(($BH139+9*($BI139-$BH139)/12))^2</f>
        <v/>
      </c>
      <c r="BT139">
        <f>((cc_D/2*(1-COS(($BH139+10*($BI139-$BH139)/12)))-$BF139)/$BG139)^2*SIN(($BH139+10*($BI139-$BH139)/12))^2</f>
        <v/>
      </c>
      <c r="BU139">
        <f>((cc_D/2*(1-COS(($BH139+11*($BI139-$BH139)/12)))-$BF139)/$BG139)^2*SIN(($BH139+11*($BI139-$BH139)/12))^2</f>
        <v/>
      </c>
      <c r="BV139">
        <f>((cc_D/2*(1-COS(($BH139+12*($BI139-$BH139)/12)))-$BF139)/$BG139)^2*SIN(($BH139+12*($BI139-$BH139)/12))^2</f>
        <v/>
      </c>
      <c r="BW139">
        <f>BJ139*COS(($BH139+0*($BI139-$BH139)/12))</f>
        <v/>
      </c>
      <c r="BX139">
        <f>BK139*COS(($BH139+1*($BI139-$BH139)/12))</f>
        <v/>
      </c>
      <c r="BY139">
        <f>BL139*COS(($BH139+2*($BI139-$BH139)/12))</f>
        <v/>
      </c>
      <c r="BZ139">
        <f>BM139*COS(($BH139+3*($BI139-$BH139)/12))</f>
        <v/>
      </c>
      <c r="CA139">
        <f>BN139*COS(($BH139+4*($BI139-$BH139)/12))</f>
        <v/>
      </c>
      <c r="CB139">
        <f>BO139*COS(($BH139+5*($BI139-$BH139)/12))</f>
        <v/>
      </c>
      <c r="CC139">
        <f>BP139*COS(($BH139+6*($BI139-$BH139)/12))</f>
        <v/>
      </c>
      <c r="CD139">
        <f>BQ139*COS(($BH139+7*($BI139-$BH139)/12))</f>
        <v/>
      </c>
      <c r="CE139">
        <f>BR139*COS(($BH139+8*($BI139-$BH139)/12))</f>
        <v/>
      </c>
      <c r="CF139">
        <f>BS139*COS(($BH139+9*($BI139-$BH139)/12))</f>
        <v/>
      </c>
      <c r="CG139">
        <f>BT139*COS(($BH139+10*($BI139-$BH139)/12))</f>
        <v/>
      </c>
      <c r="CH139">
        <f>BU139*COS(($BH139+11*($BI139-$BH139)/12))</f>
        <v/>
      </c>
      <c r="CI139">
        <f>BV139*COS(($BH139+12*($BI139-$BH139)/12))</f>
        <v/>
      </c>
    </row>
    <row r="140">
      <c r="B140" s="65" t="n">
        <v>51</v>
      </c>
      <c r="C140" s="66">
        <f>IF($G139&lt;cc_NEd-1E-9*ABS(cc_NEd),($C139+$D139)/2,$C139)</f>
        <v/>
      </c>
      <c r="D140" s="66">
        <f>IF($G139&lt;cc_NEd-1E-9*ABS(cc_NEd),$D139,($C139+$D139)/2)</f>
        <v/>
      </c>
      <c r="E140" s="67">
        <f>cc_D*(($C140+$D140)/2)/(1-(($C140+$D140)/2))</f>
        <v/>
      </c>
      <c r="F140" s="68">
        <f>IF($E140&lt;=cc_D,3.5,2*$E140/($E140-3*cc_D/7))</f>
        <v/>
      </c>
      <c r="G140" s="67">
        <f>(fcd_cc*((cc_D/2)^2*($BI140-COS($BI140)*SIN($BI140))-2*(cc_D/2)^2*($BI140-$BH140)/12/3*SUMPRODUCT($BJ$4:$BV$4,$BJ140:$BV140))+SUMPRODUCT($J$5:$AG$5,$J140:$AG140))/1000</f>
        <v/>
      </c>
      <c r="H140" s="67">
        <f>(fcd_cc*(2/3*(cc_D/2)^3*SIN($BI140)^3-2*(cc_D/2)^3*($BI140-$BH140)/12/3*SUMPRODUCT($BW$4:$CI$4,$BW140:$CI140))+SUMPRODUCT($J$5:$AG$5,$J140:$AG140,$J$7:$AG$7))/1E6</f>
        <v/>
      </c>
      <c r="I140" s="67">
        <f>SUMPRODUCT($J$5:$AG$5,$J140:$AG140,$J$8:$AG$8)/1E6</f>
        <v/>
      </c>
      <c r="J140">
        <f>MAX(-fyd_cc,MIN(fyd_cc,Es_cc*IF($E140&lt;=cc_D,0.0035*($E140-J$6)/$E140,0.002*($E140-J$6)/($E140-3*cc_D/7))))-fcd_cc*(1-(1-MAX(0,MIN(1,IF($E140&lt;=cc_D,0.0035*($E140-J$6)/$E140,0.002*($E140-J$6)/($E140-3*cc_D/7))/0.002)))^2)</f>
        <v/>
      </c>
      <c r="K140">
        <f>MAX(-fyd_cc,MIN(fyd_cc,Es_cc*IF($E140&lt;=cc_D,0.0035*($E140-K$6)/$E140,0.002*($E140-K$6)/($E140-3*cc_D/7))))-fcd_cc*(1-(1-MAX(0,MIN(1,IF($E140&lt;=cc_D,0.0035*($E140-K$6)/$E140,0.002*($E140-K$6)/($E140-3*cc_D/7))/0.002)))^2)</f>
        <v/>
      </c>
      <c r="L140">
        <f>MAX(-fyd_cc,MIN(fyd_cc,Es_cc*IF($E140&lt;=cc_D,0.0035*($E140-L$6)/$E140,0.002*($E140-L$6)/($E140-3*cc_D/7))))-fcd_cc*(1-(1-MAX(0,MIN(1,IF($E140&lt;=cc_D,0.0035*($E140-L$6)/$E140,0.002*($E140-L$6)/($E140-3*cc_D/7))/0.002)))^2)</f>
        <v/>
      </c>
      <c r="M140">
        <f>MAX(-fyd_cc,MIN(fyd_cc,Es_cc*IF($E140&lt;=cc_D,0.0035*($E140-M$6)/$E140,0.002*($E140-M$6)/($E140-3*cc_D/7))))-fcd_cc*(1-(1-MAX(0,MIN(1,IF($E140&lt;=cc_D,0.0035*($E140-M$6)/$E140,0.002*($E140-M$6)/($E140-3*cc_D/7))/0.002)))^2)</f>
        <v/>
      </c>
      <c r="N140">
        <f>MAX(-fyd_cc,MIN(fyd_cc,Es_cc*IF($E140&lt;=cc_D,0.0035*($E140-N$6)/$E140,0.002*($E140-N$6)/($E140-3*cc_D/7))))-fcd_cc*(1-(1-MAX(0,MIN(1,IF($E140&lt;=cc_D,0.0035*($E140-N$6)/$E140,0.002*($E140-N$6)/($E140-3*cc_D/7))/0.002)))^2)</f>
        <v/>
      </c>
      <c r="O140">
        <f>MAX(-fyd_cc,MIN(fyd_cc,Es_cc*IF($E140&lt;=cc_D,0.0035*($E140-O$6)/$E140,0.002*($E140-O$6)/($E140-3*cc_D/7))))-fcd_cc*(1-(1-MAX(0,MIN(1,IF($E140&lt;=cc_D,0.0035*($E140-O$6)/$E140,0.002*($E140-O$6)/($E140-3*cc_D/7))/0.002)))^2)</f>
        <v/>
      </c>
      <c r="P140">
        <f>MAX(-fyd_cc,MIN(fyd_cc,Es_cc*IF($E140&lt;=cc_D,0.0035*($E140-P$6)/$E140,0.002*($E140-P$6)/($E140-3*cc_D/7))))-fcd_cc*(1-(1-MAX(0,MIN(1,IF($E140&lt;=cc_D,0.0035*($E140-P$6)/$E140,0.002*($E140-P$6)/($E140-3*cc_D/7))/0.002)))^2)</f>
        <v/>
      </c>
      <c r="Q140">
        <f>MAX(-fyd_cc,MIN(fyd_cc,Es_cc*IF($E140&lt;=cc_D,0.0035*($E140-Q$6)/$E140,0.002*($E140-Q$6)/($E140-3*cc_D/7))))-fcd_cc*(1-(1-MAX(0,MIN(1,IF($E140&lt;=cc_D,0.0035*($E140-Q$6)/$E140,0.002*($E140-Q$6)/($E140-3*cc_D/7))/0.002)))^2)</f>
        <v/>
      </c>
      <c r="R140">
        <f>MAX(-fyd_cc,MIN(fyd_cc,Es_cc*IF($E140&lt;=cc_D,0.0035*($E140-R$6)/$E140,0.002*($E140-R$6)/($E140-3*cc_D/7))))-fcd_cc*(1-(1-MAX(0,MIN(1,IF($E140&lt;=cc_D,0.0035*($E140-R$6)/$E140,0.002*($E140-R$6)/($E140-3*cc_D/7))/0.002)))^2)</f>
        <v/>
      </c>
      <c r="S140">
        <f>MAX(-fyd_cc,MIN(fyd_cc,Es_cc*IF($E140&lt;=cc_D,0.0035*($E140-S$6)/$E140,0.002*($E140-S$6)/($E140-3*cc_D/7))))-fcd_cc*(1-(1-MAX(0,MIN(1,IF($E140&lt;=cc_D,0.0035*($E140-S$6)/$E140,0.002*($E140-S$6)/($E140-3*cc_D/7))/0.002)))^2)</f>
        <v/>
      </c>
      <c r="T140">
        <f>MAX(-fyd_cc,MIN(fyd_cc,Es_cc*IF($E140&lt;=cc_D,0.0035*($E140-T$6)/$E140,0.002*($E140-T$6)/($E140-3*cc_D/7))))-fcd_cc*(1-(1-MAX(0,MIN(1,IF($E140&lt;=cc_D,0.0035*($E140-T$6)/$E140,0.002*($E140-T$6)/($E140-3*cc_D/7))/0.002)))^2)</f>
        <v/>
      </c>
      <c r="U140">
        <f>MAX(-fyd_cc,MIN(fyd_cc,Es_cc*IF($E140&lt;=cc_D,0.0035*($E140-U$6)/$E140,0.002*($E140-U$6)/($E140-3*cc_D/7))))-fcd_cc*(1-(1-MAX(0,MIN(1,IF($E140&lt;=cc_D,0.0035*($E140-U$6)/$E140,0.002*($E140-U$6)/($E140-3*cc_D/7))/0.002)))^2)</f>
        <v/>
      </c>
      <c r="V140">
        <f>MAX(-fyd_cc,MIN(fyd_cc,Es_cc*IF($E140&lt;=cc_D,0.0035*($E140-V$6)/$E140,0.002*($E140-V$6)/($E140-3*cc_D/7))))-fcd_cc*(1-(1-MAX(0,MIN(1,IF($E140&lt;=cc_D,0.0035*($E140-V$6)/$E140,0.002*($E140-V$6)/($E140-3*cc_D/7))/0.002)))^2)</f>
        <v/>
      </c>
      <c r="W140">
        <f>MAX(-fyd_cc,MIN(fyd_cc,Es_cc*IF($E140&lt;=cc_D,0.0035*($E140-W$6)/$E140,0.002*($E140-W$6)/($E140-3*cc_D/7))))-fcd_cc*(1-(1-MAX(0,MIN(1,IF($E140&lt;=cc_D,0.0035*($E140-W$6)/$E140,0.002*($E140-W$6)/($E140-3*cc_D/7))/0.002)))^2)</f>
        <v/>
      </c>
      <c r="X140">
        <f>MAX(-fyd_cc,MIN(fyd_cc,Es_cc*IF($E140&lt;=cc_D,0.0035*($E140-X$6)/$E140,0.002*($E140-X$6)/($E140-3*cc_D/7))))-fcd_cc*(1-(1-MAX(0,MIN(1,IF($E140&lt;=cc_D,0.0035*($E140-X$6)/$E140,0.002*($E140-X$6)/($E140-3*cc_D/7))/0.002)))^2)</f>
        <v/>
      </c>
      <c r="Y140">
        <f>MAX(-fyd_cc,MIN(fyd_cc,Es_cc*IF($E140&lt;=cc_D,0.0035*($E140-Y$6)/$E140,0.002*($E140-Y$6)/($E140-3*cc_D/7))))-fcd_cc*(1-(1-MAX(0,MIN(1,IF($E140&lt;=cc_D,0.0035*($E140-Y$6)/$E140,0.002*($E140-Y$6)/($E140-3*cc_D/7))/0.002)))^2)</f>
        <v/>
      </c>
      <c r="Z140">
        <f>MAX(-fyd_cc,MIN(fyd_cc,Es_cc*IF($E140&lt;=cc_D,0.0035*($E140-Z$6)/$E140,0.002*($E140-Z$6)/($E140-3*cc_D/7))))-fcd_cc*(1-(1-MAX(0,MIN(1,IF($E140&lt;=cc_D,0.0035*($E140-Z$6)/$E140,0.002*($E140-Z$6)/($E140-3*cc_D/7))/0.002)))^2)</f>
        <v/>
      </c>
      <c r="AA140">
        <f>MAX(-fyd_cc,MIN(fyd_cc,Es_cc*IF($E140&lt;=cc_D,0.0035*($E140-AA$6)/$E140,0.002*($E140-AA$6)/($E140-3*cc_D/7))))-fcd_cc*(1-(1-MAX(0,MIN(1,IF($E140&lt;=cc_D,0.0035*($E140-AA$6)/$E140,0.002*($E140-AA$6)/($E140-3*cc_D/7))/0.002)))^2)</f>
        <v/>
      </c>
      <c r="AB140">
        <f>MAX(-fyd_cc,MIN(fyd_cc,Es_cc*IF($E140&lt;=cc_D,0.0035*($E140-AB$6)/$E140,0.002*($E140-AB$6)/($E140-3*cc_D/7))))-fcd_cc*(1-(1-MAX(0,MIN(1,IF($E140&lt;=cc_D,0.0035*($E140-AB$6)/$E140,0.002*($E140-AB$6)/($E140-3*cc_D/7))/0.002)))^2)</f>
        <v/>
      </c>
      <c r="AC140">
        <f>MAX(-fyd_cc,MIN(fyd_cc,Es_cc*IF($E140&lt;=cc_D,0.0035*($E140-AC$6)/$E140,0.002*($E140-AC$6)/($E140-3*cc_D/7))))-fcd_cc*(1-(1-MAX(0,MIN(1,IF($E140&lt;=cc_D,0.0035*($E140-AC$6)/$E140,0.002*($E140-AC$6)/($E140-3*cc_D/7))/0.002)))^2)</f>
        <v/>
      </c>
      <c r="AD140">
        <f>MAX(-fyd_cc,MIN(fyd_cc,Es_cc*IF($E140&lt;=cc_D,0.0035*($E140-AD$6)/$E140,0.002*($E140-AD$6)/($E140-3*cc_D/7))))-fcd_cc*(1-(1-MAX(0,MIN(1,IF($E140&lt;=cc_D,0.0035*($E140-AD$6)/$E140,0.002*($E140-AD$6)/($E140-3*cc_D/7))/0.002)))^2)</f>
        <v/>
      </c>
      <c r="AE140">
        <f>MAX(-fyd_cc,MIN(fyd_cc,Es_cc*IF($E140&lt;=cc_D,0.0035*($E140-AE$6)/$E140,0.002*($E140-AE$6)/($E140-3*cc_D/7))))-fcd_cc*(1-(1-MAX(0,MIN(1,IF($E140&lt;=cc_D,0.0035*($E140-AE$6)/$E140,0.002*($E140-AE$6)/($E140-3*cc_D/7))/0.002)))^2)</f>
        <v/>
      </c>
      <c r="AF140">
        <f>MAX(-fyd_cc,MIN(fyd_cc,Es_cc*IF($E140&lt;=cc_D,0.0035*($E140-AF$6)/$E140,0.002*($E140-AF$6)/($E140-3*cc_D/7))))-fcd_cc*(1-(1-MAX(0,MIN(1,IF($E140&lt;=cc_D,0.0035*($E140-AF$6)/$E140,0.002*($E140-AF$6)/($E140-3*cc_D/7))/0.002)))^2)</f>
        <v/>
      </c>
      <c r="AG140">
        <f>MAX(-fyd_cc,MIN(fyd_cc,Es_cc*IF($E140&lt;=cc_D,0.0035*($E140-AG$6)/$E140,0.002*($E140-AG$6)/($E140-3*cc_D/7))))-fcd_cc*(1-(1-MAX(0,MIN(1,IF($E140&lt;=cc_D,0.0035*($E140-AG$6)/$E140,0.002*($E140-AG$6)/($E140-3*cc_D/7))/0.002)))^2)</f>
        <v/>
      </c>
      <c r="BF140">
        <f>3*MIN($E140,cc_D)/7</f>
        <v/>
      </c>
      <c r="BG140">
        <f>$E140-$BF140</f>
        <v/>
      </c>
      <c r="BH140">
        <f>ACOS(MAX(-1,MIN(1,1-$BF140/(cc_D/2))))</f>
        <v/>
      </c>
      <c r="BI140">
        <f>ACOS(MAX(-1,MIN(1,1-MIN($E140,cc_D)/(cc_D/2))))</f>
        <v/>
      </c>
      <c r="BJ140">
        <f>((cc_D/2*(1-COS(($BH140+0*($BI140-$BH140)/12)))-$BF140)/$BG140)^2*SIN(($BH140+0*($BI140-$BH140)/12))^2</f>
        <v/>
      </c>
      <c r="BK140">
        <f>((cc_D/2*(1-COS(($BH140+1*($BI140-$BH140)/12)))-$BF140)/$BG140)^2*SIN(($BH140+1*($BI140-$BH140)/12))^2</f>
        <v/>
      </c>
      <c r="BL140">
        <f>((cc_D/2*(1-COS(($BH140+2*($BI140-$BH140)/12)))-$BF140)/$BG140)^2*SIN(($BH140+2*($BI140-$BH140)/12))^2</f>
        <v/>
      </c>
      <c r="BM140">
        <f>((cc_D/2*(1-COS(($BH140+3*($BI140-$BH140)/12)))-$BF140)/$BG140)^2*SIN(($BH140+3*($BI140-$BH140)/12))^2</f>
        <v/>
      </c>
      <c r="BN140">
        <f>((cc_D/2*(1-COS(($BH140+4*($BI140-$BH140)/12)))-$BF140)/$BG140)^2*SIN(($BH140+4*($BI140-$BH140)/12))^2</f>
        <v/>
      </c>
      <c r="BO140">
        <f>((cc_D/2*(1-COS(($BH140+5*($BI140-$BH140)/12)))-$BF140)/$BG140)^2*SIN(($BH140+5*($BI140-$BH140)/12))^2</f>
        <v/>
      </c>
      <c r="BP140">
        <f>((cc_D/2*(1-COS(($BH140+6*($BI140-$BH140)/12)))-$BF140)/$BG140)^2*SIN(($BH140+6*($BI140-$BH140)/12))^2</f>
        <v/>
      </c>
      <c r="BQ140">
        <f>((cc_D/2*(1-COS(($BH140+7*($BI140-$BH140)/12)))-$BF140)/$BG140)^2*SIN(($BH140+7*($BI140-$BH140)/12))^2</f>
        <v/>
      </c>
      <c r="BR140">
        <f>((cc_D/2*(1-COS(($BH140+8*($BI140-$BH140)/12)))-$BF140)/$BG140)^2*SIN(($BH140+8*($BI140-$BH140)/12))^2</f>
        <v/>
      </c>
      <c r="BS140">
        <f>((cc_D/2*(1-COS(($BH140+9*($BI140-$BH140)/12)))-$BF140)/$BG140)^2*SIN(($BH140+9*($BI140-$BH140)/12))^2</f>
        <v/>
      </c>
      <c r="BT140">
        <f>((cc_D/2*(1-COS(($BH140+10*($BI140-$BH140)/12)))-$BF140)/$BG140)^2*SIN(($BH140+10*($BI140-$BH140)/12))^2</f>
        <v/>
      </c>
      <c r="BU140">
        <f>((cc_D/2*(1-COS(($BH140+11*($BI140-$BH140)/12)))-$BF140)/$BG140)^2*SIN(($BH140+11*($BI140-$BH140)/12))^2</f>
        <v/>
      </c>
      <c r="BV140">
        <f>((cc_D/2*(1-COS(($BH140+12*($BI140-$BH140)/12)))-$BF140)/$BG140)^2*SIN(($BH140+12*($BI140-$BH140)/12))^2</f>
        <v/>
      </c>
      <c r="BW140">
        <f>BJ140*COS(($BH140+0*($BI140-$BH140)/12))</f>
        <v/>
      </c>
      <c r="BX140">
        <f>BK140*COS(($BH140+1*($BI140-$BH140)/12))</f>
        <v/>
      </c>
      <c r="BY140">
        <f>BL140*COS(($BH140+2*($BI140-$BH140)/12))</f>
        <v/>
      </c>
      <c r="BZ140">
        <f>BM140*COS(($BH140+3*($BI140-$BH140)/12))</f>
        <v/>
      </c>
      <c r="CA140">
        <f>BN140*COS(($BH140+4*($BI140-$BH140)/12))</f>
        <v/>
      </c>
      <c r="CB140">
        <f>BO140*COS(($BH140+5*($BI140-$BH140)/12))</f>
        <v/>
      </c>
      <c r="CC140">
        <f>BP140*COS(($BH140+6*($BI140-$BH140)/12))</f>
        <v/>
      </c>
      <c r="CD140">
        <f>BQ140*COS(($BH140+7*($BI140-$BH140)/12))</f>
        <v/>
      </c>
      <c r="CE140">
        <f>BR140*COS(($BH140+8*($BI140-$BH140)/12))</f>
        <v/>
      </c>
      <c r="CF140">
        <f>BS140*COS(($BH140+9*($BI140-$BH140)/12))</f>
        <v/>
      </c>
      <c r="CG140">
        <f>BT140*COS(($BH140+10*($BI140-$BH140)/12))</f>
        <v/>
      </c>
      <c r="CH140">
        <f>BU140*COS(($BH140+11*($BI140-$BH140)/12))</f>
        <v/>
      </c>
      <c r="CI140">
        <f>BV140*COS(($BH140+12*($BI140-$BH140)/12))</f>
        <v/>
      </c>
    </row>
    <row r="141">
      <c r="B141" s="65" t="n">
        <v>52</v>
      </c>
      <c r="C141" s="66">
        <f>IF($G140&lt;cc_NEd-1E-9*ABS(cc_NEd),($C140+$D140)/2,$C140)</f>
        <v/>
      </c>
      <c r="D141" s="66">
        <f>IF($G140&lt;cc_NEd-1E-9*ABS(cc_NEd),$D140,($C140+$D140)/2)</f>
        <v/>
      </c>
      <c r="E141" s="67">
        <f>cc_D*(($C141+$D141)/2)/(1-(($C141+$D141)/2))</f>
        <v/>
      </c>
      <c r="F141" s="68">
        <f>IF($E141&lt;=cc_D,3.5,2*$E141/($E141-3*cc_D/7))</f>
        <v/>
      </c>
      <c r="G141" s="67">
        <f>(fcd_cc*((cc_D/2)^2*($BI141-COS($BI141)*SIN($BI141))-2*(cc_D/2)^2*($BI141-$BH141)/12/3*SUMPRODUCT($BJ$4:$BV$4,$BJ141:$BV141))+SUMPRODUCT($J$5:$AG$5,$J141:$AG141))/1000</f>
        <v/>
      </c>
      <c r="H141" s="67">
        <f>(fcd_cc*(2/3*(cc_D/2)^3*SIN($BI141)^3-2*(cc_D/2)^3*($BI141-$BH141)/12/3*SUMPRODUCT($BW$4:$CI$4,$BW141:$CI141))+SUMPRODUCT($J$5:$AG$5,$J141:$AG141,$J$7:$AG$7))/1E6</f>
        <v/>
      </c>
      <c r="I141" s="67">
        <f>SUMPRODUCT($J$5:$AG$5,$J141:$AG141,$J$8:$AG$8)/1E6</f>
        <v/>
      </c>
      <c r="J141">
        <f>MAX(-fyd_cc,MIN(fyd_cc,Es_cc*IF($E141&lt;=cc_D,0.0035*($E141-J$6)/$E141,0.002*($E141-J$6)/($E141-3*cc_D/7))))-fcd_cc*(1-(1-MAX(0,MIN(1,IF($E141&lt;=cc_D,0.0035*($E141-J$6)/$E141,0.002*($E141-J$6)/($E141-3*cc_D/7))/0.002)))^2)</f>
        <v/>
      </c>
      <c r="K141">
        <f>MAX(-fyd_cc,MIN(fyd_cc,Es_cc*IF($E141&lt;=cc_D,0.0035*($E141-K$6)/$E141,0.002*($E141-K$6)/($E141-3*cc_D/7))))-fcd_cc*(1-(1-MAX(0,MIN(1,IF($E141&lt;=cc_D,0.0035*($E141-K$6)/$E141,0.002*($E141-K$6)/($E141-3*cc_D/7))/0.002)))^2)</f>
        <v/>
      </c>
      <c r="L141">
        <f>MAX(-fyd_cc,MIN(fyd_cc,Es_cc*IF($E141&lt;=cc_D,0.0035*($E141-L$6)/$E141,0.002*($E141-L$6)/($E141-3*cc_D/7))))-fcd_cc*(1-(1-MAX(0,MIN(1,IF($E141&lt;=cc_D,0.0035*($E141-L$6)/$E141,0.002*($E141-L$6)/($E141-3*cc_D/7))/0.002)))^2)</f>
        <v/>
      </c>
      <c r="M141">
        <f>MAX(-fyd_cc,MIN(fyd_cc,Es_cc*IF($E141&lt;=cc_D,0.0035*($E141-M$6)/$E141,0.002*($E141-M$6)/($E141-3*cc_D/7))))-fcd_cc*(1-(1-MAX(0,MIN(1,IF($E141&lt;=cc_D,0.0035*($E141-M$6)/$E141,0.002*($E141-M$6)/($E141-3*cc_D/7))/0.002)))^2)</f>
        <v/>
      </c>
      <c r="N141">
        <f>MAX(-fyd_cc,MIN(fyd_cc,Es_cc*IF($E141&lt;=cc_D,0.0035*($E141-N$6)/$E141,0.002*($E141-N$6)/($E141-3*cc_D/7))))-fcd_cc*(1-(1-MAX(0,MIN(1,IF($E141&lt;=cc_D,0.0035*($E141-N$6)/$E141,0.002*($E141-N$6)/($E141-3*cc_D/7))/0.002)))^2)</f>
        <v/>
      </c>
      <c r="O141">
        <f>MAX(-fyd_cc,MIN(fyd_cc,Es_cc*IF($E141&lt;=cc_D,0.0035*($E141-O$6)/$E141,0.002*($E141-O$6)/($E141-3*cc_D/7))))-fcd_cc*(1-(1-MAX(0,MIN(1,IF($E141&lt;=cc_D,0.0035*($E141-O$6)/$E141,0.002*($E141-O$6)/($E141-3*cc_D/7))/0.002)))^2)</f>
        <v/>
      </c>
      <c r="P141">
        <f>MAX(-fyd_cc,MIN(fyd_cc,Es_cc*IF($E141&lt;=cc_D,0.0035*($E141-P$6)/$E141,0.002*($E141-P$6)/($E141-3*cc_D/7))))-fcd_cc*(1-(1-MAX(0,MIN(1,IF($E141&lt;=cc_D,0.0035*($E141-P$6)/$E141,0.002*($E141-P$6)/($E141-3*cc_D/7))/0.002)))^2)</f>
        <v/>
      </c>
      <c r="Q141">
        <f>MAX(-fyd_cc,MIN(fyd_cc,Es_cc*IF($E141&lt;=cc_D,0.0035*($E141-Q$6)/$E141,0.002*($E141-Q$6)/($E141-3*cc_D/7))))-fcd_cc*(1-(1-MAX(0,MIN(1,IF($E141&lt;=cc_D,0.0035*($E141-Q$6)/$E141,0.002*($E141-Q$6)/($E141-3*cc_D/7))/0.002)))^2)</f>
        <v/>
      </c>
      <c r="R141">
        <f>MAX(-fyd_cc,MIN(fyd_cc,Es_cc*IF($E141&lt;=cc_D,0.0035*($E141-R$6)/$E141,0.002*($E141-R$6)/($E141-3*cc_D/7))))-fcd_cc*(1-(1-MAX(0,MIN(1,IF($E141&lt;=cc_D,0.0035*($E141-R$6)/$E141,0.002*($E141-R$6)/($E141-3*cc_D/7))/0.002)))^2)</f>
        <v/>
      </c>
      <c r="S141">
        <f>MAX(-fyd_cc,MIN(fyd_cc,Es_cc*IF($E141&lt;=cc_D,0.0035*($E141-S$6)/$E141,0.002*($E141-S$6)/($E141-3*cc_D/7))))-fcd_cc*(1-(1-MAX(0,MIN(1,IF($E141&lt;=cc_D,0.0035*($E141-S$6)/$E141,0.002*($E141-S$6)/($E141-3*cc_D/7))/0.002)))^2)</f>
        <v/>
      </c>
      <c r="T141">
        <f>MAX(-fyd_cc,MIN(fyd_cc,Es_cc*IF($E141&lt;=cc_D,0.0035*($E141-T$6)/$E141,0.002*($E141-T$6)/($E141-3*cc_D/7))))-fcd_cc*(1-(1-MAX(0,MIN(1,IF($E141&lt;=cc_D,0.0035*($E141-T$6)/$E141,0.002*($E141-T$6)/($E141-3*cc_D/7))/0.002)))^2)</f>
        <v/>
      </c>
      <c r="U141">
        <f>MAX(-fyd_cc,MIN(fyd_cc,Es_cc*IF($E141&lt;=cc_D,0.0035*($E141-U$6)/$E141,0.002*($E141-U$6)/($E141-3*cc_D/7))))-fcd_cc*(1-(1-MAX(0,MIN(1,IF($E141&lt;=cc_D,0.0035*($E141-U$6)/$E141,0.002*($E141-U$6)/($E141-3*cc_D/7))/0.002)))^2)</f>
        <v/>
      </c>
      <c r="V141">
        <f>MAX(-fyd_cc,MIN(fyd_cc,Es_cc*IF($E141&lt;=cc_D,0.0035*($E141-V$6)/$E141,0.002*($E141-V$6)/($E141-3*cc_D/7))))-fcd_cc*(1-(1-MAX(0,MIN(1,IF($E141&lt;=cc_D,0.0035*($E141-V$6)/$E141,0.002*($E141-V$6)/($E141-3*cc_D/7))/0.002)))^2)</f>
        <v/>
      </c>
      <c r="W141">
        <f>MAX(-fyd_cc,MIN(fyd_cc,Es_cc*IF($E141&lt;=cc_D,0.0035*($E141-W$6)/$E141,0.002*($E141-W$6)/($E141-3*cc_D/7))))-fcd_cc*(1-(1-MAX(0,MIN(1,IF($E141&lt;=cc_D,0.0035*($E141-W$6)/$E141,0.002*($E141-W$6)/($E141-3*cc_D/7))/0.002)))^2)</f>
        <v/>
      </c>
      <c r="X141">
        <f>MAX(-fyd_cc,MIN(fyd_cc,Es_cc*IF($E141&lt;=cc_D,0.0035*($E141-X$6)/$E141,0.002*($E141-X$6)/($E141-3*cc_D/7))))-fcd_cc*(1-(1-MAX(0,MIN(1,IF($E141&lt;=cc_D,0.0035*($E141-X$6)/$E141,0.002*($E141-X$6)/($E141-3*cc_D/7))/0.002)))^2)</f>
        <v/>
      </c>
      <c r="Y141">
        <f>MAX(-fyd_cc,MIN(fyd_cc,Es_cc*IF($E141&lt;=cc_D,0.0035*($E141-Y$6)/$E141,0.002*($E141-Y$6)/($E141-3*cc_D/7))))-fcd_cc*(1-(1-MAX(0,MIN(1,IF($E141&lt;=cc_D,0.0035*($E141-Y$6)/$E141,0.002*($E141-Y$6)/($E141-3*cc_D/7))/0.002)))^2)</f>
        <v/>
      </c>
      <c r="Z141">
        <f>MAX(-fyd_cc,MIN(fyd_cc,Es_cc*IF($E141&lt;=cc_D,0.0035*($E141-Z$6)/$E141,0.002*($E141-Z$6)/($E141-3*cc_D/7))))-fcd_cc*(1-(1-MAX(0,MIN(1,IF($E141&lt;=cc_D,0.0035*($E141-Z$6)/$E141,0.002*($E141-Z$6)/($E141-3*cc_D/7))/0.002)))^2)</f>
        <v/>
      </c>
      <c r="AA141">
        <f>MAX(-fyd_cc,MIN(fyd_cc,Es_cc*IF($E141&lt;=cc_D,0.0035*($E141-AA$6)/$E141,0.002*($E141-AA$6)/($E141-3*cc_D/7))))-fcd_cc*(1-(1-MAX(0,MIN(1,IF($E141&lt;=cc_D,0.0035*($E141-AA$6)/$E141,0.002*($E141-AA$6)/($E141-3*cc_D/7))/0.002)))^2)</f>
        <v/>
      </c>
      <c r="AB141">
        <f>MAX(-fyd_cc,MIN(fyd_cc,Es_cc*IF($E141&lt;=cc_D,0.0035*($E141-AB$6)/$E141,0.002*($E141-AB$6)/($E141-3*cc_D/7))))-fcd_cc*(1-(1-MAX(0,MIN(1,IF($E141&lt;=cc_D,0.0035*($E141-AB$6)/$E141,0.002*($E141-AB$6)/($E141-3*cc_D/7))/0.002)))^2)</f>
        <v/>
      </c>
      <c r="AC141">
        <f>MAX(-fyd_cc,MIN(fyd_cc,Es_cc*IF($E141&lt;=cc_D,0.0035*($E141-AC$6)/$E141,0.002*($E141-AC$6)/($E141-3*cc_D/7))))-fcd_cc*(1-(1-MAX(0,MIN(1,IF($E141&lt;=cc_D,0.0035*($E141-AC$6)/$E141,0.002*($E141-AC$6)/($E141-3*cc_D/7))/0.002)))^2)</f>
        <v/>
      </c>
      <c r="AD141">
        <f>MAX(-fyd_cc,MIN(fyd_cc,Es_cc*IF($E141&lt;=cc_D,0.0035*($E141-AD$6)/$E141,0.002*($E141-AD$6)/($E141-3*cc_D/7))))-fcd_cc*(1-(1-MAX(0,MIN(1,IF($E141&lt;=cc_D,0.0035*($E141-AD$6)/$E141,0.002*($E141-AD$6)/($E141-3*cc_D/7))/0.002)))^2)</f>
        <v/>
      </c>
      <c r="AE141">
        <f>MAX(-fyd_cc,MIN(fyd_cc,Es_cc*IF($E141&lt;=cc_D,0.0035*($E141-AE$6)/$E141,0.002*($E141-AE$6)/($E141-3*cc_D/7))))-fcd_cc*(1-(1-MAX(0,MIN(1,IF($E141&lt;=cc_D,0.0035*($E141-AE$6)/$E141,0.002*($E141-AE$6)/($E141-3*cc_D/7))/0.002)))^2)</f>
        <v/>
      </c>
      <c r="AF141">
        <f>MAX(-fyd_cc,MIN(fyd_cc,Es_cc*IF($E141&lt;=cc_D,0.0035*($E141-AF$6)/$E141,0.002*($E141-AF$6)/($E141-3*cc_D/7))))-fcd_cc*(1-(1-MAX(0,MIN(1,IF($E141&lt;=cc_D,0.0035*($E141-AF$6)/$E141,0.002*($E141-AF$6)/($E141-3*cc_D/7))/0.002)))^2)</f>
        <v/>
      </c>
      <c r="AG141">
        <f>MAX(-fyd_cc,MIN(fyd_cc,Es_cc*IF($E141&lt;=cc_D,0.0035*($E141-AG$6)/$E141,0.002*($E141-AG$6)/($E141-3*cc_D/7))))-fcd_cc*(1-(1-MAX(0,MIN(1,IF($E141&lt;=cc_D,0.0035*($E141-AG$6)/$E141,0.002*($E141-AG$6)/($E141-3*cc_D/7))/0.002)))^2)</f>
        <v/>
      </c>
      <c r="BF141">
        <f>3*MIN($E141,cc_D)/7</f>
        <v/>
      </c>
      <c r="BG141">
        <f>$E141-$BF141</f>
        <v/>
      </c>
      <c r="BH141">
        <f>ACOS(MAX(-1,MIN(1,1-$BF141/(cc_D/2))))</f>
        <v/>
      </c>
      <c r="BI141">
        <f>ACOS(MAX(-1,MIN(1,1-MIN($E141,cc_D)/(cc_D/2))))</f>
        <v/>
      </c>
      <c r="BJ141">
        <f>((cc_D/2*(1-COS(($BH141+0*($BI141-$BH141)/12)))-$BF141)/$BG141)^2*SIN(($BH141+0*($BI141-$BH141)/12))^2</f>
        <v/>
      </c>
      <c r="BK141">
        <f>((cc_D/2*(1-COS(($BH141+1*($BI141-$BH141)/12)))-$BF141)/$BG141)^2*SIN(($BH141+1*($BI141-$BH141)/12))^2</f>
        <v/>
      </c>
      <c r="BL141">
        <f>((cc_D/2*(1-COS(($BH141+2*($BI141-$BH141)/12)))-$BF141)/$BG141)^2*SIN(($BH141+2*($BI141-$BH141)/12))^2</f>
        <v/>
      </c>
      <c r="BM141">
        <f>((cc_D/2*(1-COS(($BH141+3*($BI141-$BH141)/12)))-$BF141)/$BG141)^2*SIN(($BH141+3*($BI141-$BH141)/12))^2</f>
        <v/>
      </c>
      <c r="BN141">
        <f>((cc_D/2*(1-COS(($BH141+4*($BI141-$BH141)/12)))-$BF141)/$BG141)^2*SIN(($BH141+4*($BI141-$BH141)/12))^2</f>
        <v/>
      </c>
      <c r="BO141">
        <f>((cc_D/2*(1-COS(($BH141+5*($BI141-$BH141)/12)))-$BF141)/$BG141)^2*SIN(($BH141+5*($BI141-$BH141)/12))^2</f>
        <v/>
      </c>
      <c r="BP141">
        <f>((cc_D/2*(1-COS(($BH141+6*($BI141-$BH141)/12)))-$BF141)/$BG141)^2*SIN(($BH141+6*($BI141-$BH141)/12))^2</f>
        <v/>
      </c>
      <c r="BQ141">
        <f>((cc_D/2*(1-COS(($BH141+7*($BI141-$BH141)/12)))-$BF141)/$BG141)^2*SIN(($BH141+7*($BI141-$BH141)/12))^2</f>
        <v/>
      </c>
      <c r="BR141">
        <f>((cc_D/2*(1-COS(($BH141+8*($BI141-$BH141)/12)))-$BF141)/$BG141)^2*SIN(($BH141+8*($BI141-$BH141)/12))^2</f>
        <v/>
      </c>
      <c r="BS141">
        <f>((cc_D/2*(1-COS(($BH141+9*($BI141-$BH141)/12)))-$BF141)/$BG141)^2*SIN(($BH141+9*($BI141-$BH141)/12))^2</f>
        <v/>
      </c>
      <c r="BT141">
        <f>((cc_D/2*(1-COS(($BH141+10*($BI141-$BH141)/12)))-$BF141)/$BG141)^2*SIN(($BH141+10*($BI141-$BH141)/12))^2</f>
        <v/>
      </c>
      <c r="BU141">
        <f>((cc_D/2*(1-COS(($BH141+11*($BI141-$BH141)/12)))-$BF141)/$BG141)^2*SIN(($BH141+11*($BI141-$BH141)/12))^2</f>
        <v/>
      </c>
      <c r="BV141">
        <f>((cc_D/2*(1-COS(($BH141+12*($BI141-$BH141)/12)))-$BF141)/$BG141)^2*SIN(($BH141+12*($BI141-$BH141)/12))^2</f>
        <v/>
      </c>
      <c r="BW141">
        <f>BJ141*COS(($BH141+0*($BI141-$BH141)/12))</f>
        <v/>
      </c>
      <c r="BX141">
        <f>BK141*COS(($BH141+1*($BI141-$BH141)/12))</f>
        <v/>
      </c>
      <c r="BY141">
        <f>BL141*COS(($BH141+2*($BI141-$BH141)/12))</f>
        <v/>
      </c>
      <c r="BZ141">
        <f>BM141*COS(($BH141+3*($BI141-$BH141)/12))</f>
        <v/>
      </c>
      <c r="CA141">
        <f>BN141*COS(($BH141+4*($BI141-$BH141)/12))</f>
        <v/>
      </c>
      <c r="CB141">
        <f>BO141*COS(($BH141+5*($BI141-$BH141)/12))</f>
        <v/>
      </c>
      <c r="CC141">
        <f>BP141*COS(($BH141+6*($BI141-$BH141)/12))</f>
        <v/>
      </c>
      <c r="CD141">
        <f>BQ141*COS(($BH141+7*($BI141-$BH141)/12))</f>
        <v/>
      </c>
      <c r="CE141">
        <f>BR141*COS(($BH141+8*($BI141-$BH141)/12))</f>
        <v/>
      </c>
      <c r="CF141">
        <f>BS141*COS(($BH141+9*($BI141-$BH141)/12))</f>
        <v/>
      </c>
      <c r="CG141">
        <f>BT141*COS(($BH141+10*($BI141-$BH141)/12))</f>
        <v/>
      </c>
      <c r="CH141">
        <f>BU141*COS(($BH141+11*($BI141-$BH141)/12))</f>
        <v/>
      </c>
      <c r="CI141">
        <f>BV141*COS(($BH141+12*($BI141-$BH141)/12))</f>
        <v/>
      </c>
    </row>
    <row r="142">
      <c r="B142" s="65" t="n">
        <v>53</v>
      </c>
      <c r="C142" s="66">
        <f>IF($G141&lt;cc_NEd-1E-9*ABS(cc_NEd),($C141+$D141)/2,$C141)</f>
        <v/>
      </c>
      <c r="D142" s="66">
        <f>IF($G141&lt;cc_NEd-1E-9*ABS(cc_NEd),$D141,($C141+$D141)/2)</f>
        <v/>
      </c>
      <c r="E142" s="67">
        <f>cc_D*(($C142+$D142)/2)/(1-(($C142+$D142)/2))</f>
        <v/>
      </c>
      <c r="F142" s="68">
        <f>IF($E142&lt;=cc_D,3.5,2*$E142/($E142-3*cc_D/7))</f>
        <v/>
      </c>
      <c r="G142" s="67">
        <f>(fcd_cc*((cc_D/2)^2*($BI142-COS($BI142)*SIN($BI142))-2*(cc_D/2)^2*($BI142-$BH142)/12/3*SUMPRODUCT($BJ$4:$BV$4,$BJ142:$BV142))+SUMPRODUCT($J$5:$AG$5,$J142:$AG142))/1000</f>
        <v/>
      </c>
      <c r="H142" s="67">
        <f>(fcd_cc*(2/3*(cc_D/2)^3*SIN($BI142)^3-2*(cc_D/2)^3*($BI142-$BH142)/12/3*SUMPRODUCT($BW$4:$CI$4,$BW142:$CI142))+SUMPRODUCT($J$5:$AG$5,$J142:$AG142,$J$7:$AG$7))/1E6</f>
        <v/>
      </c>
      <c r="I142" s="67">
        <f>SUMPRODUCT($J$5:$AG$5,$J142:$AG142,$J$8:$AG$8)/1E6</f>
        <v/>
      </c>
      <c r="J142">
        <f>MAX(-fyd_cc,MIN(fyd_cc,Es_cc*IF($E142&lt;=cc_D,0.0035*($E142-J$6)/$E142,0.002*($E142-J$6)/($E142-3*cc_D/7))))-fcd_cc*(1-(1-MAX(0,MIN(1,IF($E142&lt;=cc_D,0.0035*($E142-J$6)/$E142,0.002*($E142-J$6)/($E142-3*cc_D/7))/0.002)))^2)</f>
        <v/>
      </c>
      <c r="K142">
        <f>MAX(-fyd_cc,MIN(fyd_cc,Es_cc*IF($E142&lt;=cc_D,0.0035*($E142-K$6)/$E142,0.002*($E142-K$6)/($E142-3*cc_D/7))))-fcd_cc*(1-(1-MAX(0,MIN(1,IF($E142&lt;=cc_D,0.0035*($E142-K$6)/$E142,0.002*($E142-K$6)/($E142-3*cc_D/7))/0.002)))^2)</f>
        <v/>
      </c>
      <c r="L142">
        <f>MAX(-fyd_cc,MIN(fyd_cc,Es_cc*IF($E142&lt;=cc_D,0.0035*($E142-L$6)/$E142,0.002*($E142-L$6)/($E142-3*cc_D/7))))-fcd_cc*(1-(1-MAX(0,MIN(1,IF($E142&lt;=cc_D,0.0035*($E142-L$6)/$E142,0.002*($E142-L$6)/($E142-3*cc_D/7))/0.002)))^2)</f>
        <v/>
      </c>
      <c r="M142">
        <f>MAX(-fyd_cc,MIN(fyd_cc,Es_cc*IF($E142&lt;=cc_D,0.0035*($E142-M$6)/$E142,0.002*($E142-M$6)/($E142-3*cc_D/7))))-fcd_cc*(1-(1-MAX(0,MIN(1,IF($E142&lt;=cc_D,0.0035*($E142-M$6)/$E142,0.002*($E142-M$6)/($E142-3*cc_D/7))/0.002)))^2)</f>
        <v/>
      </c>
      <c r="N142">
        <f>MAX(-fyd_cc,MIN(fyd_cc,Es_cc*IF($E142&lt;=cc_D,0.0035*($E142-N$6)/$E142,0.002*($E142-N$6)/($E142-3*cc_D/7))))-fcd_cc*(1-(1-MAX(0,MIN(1,IF($E142&lt;=cc_D,0.0035*($E142-N$6)/$E142,0.002*($E142-N$6)/($E142-3*cc_D/7))/0.002)))^2)</f>
        <v/>
      </c>
      <c r="O142">
        <f>MAX(-fyd_cc,MIN(fyd_cc,Es_cc*IF($E142&lt;=cc_D,0.0035*($E142-O$6)/$E142,0.002*($E142-O$6)/($E142-3*cc_D/7))))-fcd_cc*(1-(1-MAX(0,MIN(1,IF($E142&lt;=cc_D,0.0035*($E142-O$6)/$E142,0.002*($E142-O$6)/($E142-3*cc_D/7))/0.002)))^2)</f>
        <v/>
      </c>
      <c r="P142">
        <f>MAX(-fyd_cc,MIN(fyd_cc,Es_cc*IF($E142&lt;=cc_D,0.0035*($E142-P$6)/$E142,0.002*($E142-P$6)/($E142-3*cc_D/7))))-fcd_cc*(1-(1-MAX(0,MIN(1,IF($E142&lt;=cc_D,0.0035*($E142-P$6)/$E142,0.002*($E142-P$6)/($E142-3*cc_D/7))/0.002)))^2)</f>
        <v/>
      </c>
      <c r="Q142">
        <f>MAX(-fyd_cc,MIN(fyd_cc,Es_cc*IF($E142&lt;=cc_D,0.0035*($E142-Q$6)/$E142,0.002*($E142-Q$6)/($E142-3*cc_D/7))))-fcd_cc*(1-(1-MAX(0,MIN(1,IF($E142&lt;=cc_D,0.0035*($E142-Q$6)/$E142,0.002*($E142-Q$6)/($E142-3*cc_D/7))/0.002)))^2)</f>
        <v/>
      </c>
      <c r="R142">
        <f>MAX(-fyd_cc,MIN(fyd_cc,Es_cc*IF($E142&lt;=cc_D,0.0035*($E142-R$6)/$E142,0.002*($E142-R$6)/($E142-3*cc_D/7))))-fcd_cc*(1-(1-MAX(0,MIN(1,IF($E142&lt;=cc_D,0.0035*($E142-R$6)/$E142,0.002*($E142-R$6)/($E142-3*cc_D/7))/0.002)))^2)</f>
        <v/>
      </c>
      <c r="S142">
        <f>MAX(-fyd_cc,MIN(fyd_cc,Es_cc*IF($E142&lt;=cc_D,0.0035*($E142-S$6)/$E142,0.002*($E142-S$6)/($E142-3*cc_D/7))))-fcd_cc*(1-(1-MAX(0,MIN(1,IF($E142&lt;=cc_D,0.0035*($E142-S$6)/$E142,0.002*($E142-S$6)/($E142-3*cc_D/7))/0.002)))^2)</f>
        <v/>
      </c>
      <c r="T142">
        <f>MAX(-fyd_cc,MIN(fyd_cc,Es_cc*IF($E142&lt;=cc_D,0.0035*($E142-T$6)/$E142,0.002*($E142-T$6)/($E142-3*cc_D/7))))-fcd_cc*(1-(1-MAX(0,MIN(1,IF($E142&lt;=cc_D,0.0035*($E142-T$6)/$E142,0.002*($E142-T$6)/($E142-3*cc_D/7))/0.002)))^2)</f>
        <v/>
      </c>
      <c r="U142">
        <f>MAX(-fyd_cc,MIN(fyd_cc,Es_cc*IF($E142&lt;=cc_D,0.0035*($E142-U$6)/$E142,0.002*($E142-U$6)/($E142-3*cc_D/7))))-fcd_cc*(1-(1-MAX(0,MIN(1,IF($E142&lt;=cc_D,0.0035*($E142-U$6)/$E142,0.002*($E142-U$6)/($E142-3*cc_D/7))/0.002)))^2)</f>
        <v/>
      </c>
      <c r="V142">
        <f>MAX(-fyd_cc,MIN(fyd_cc,Es_cc*IF($E142&lt;=cc_D,0.0035*($E142-V$6)/$E142,0.002*($E142-V$6)/($E142-3*cc_D/7))))-fcd_cc*(1-(1-MAX(0,MIN(1,IF($E142&lt;=cc_D,0.0035*($E142-V$6)/$E142,0.002*($E142-V$6)/($E142-3*cc_D/7))/0.002)))^2)</f>
        <v/>
      </c>
      <c r="W142">
        <f>MAX(-fyd_cc,MIN(fyd_cc,Es_cc*IF($E142&lt;=cc_D,0.0035*($E142-W$6)/$E142,0.002*($E142-W$6)/($E142-3*cc_D/7))))-fcd_cc*(1-(1-MAX(0,MIN(1,IF($E142&lt;=cc_D,0.0035*($E142-W$6)/$E142,0.002*($E142-W$6)/($E142-3*cc_D/7))/0.002)))^2)</f>
        <v/>
      </c>
      <c r="X142">
        <f>MAX(-fyd_cc,MIN(fyd_cc,Es_cc*IF($E142&lt;=cc_D,0.0035*($E142-X$6)/$E142,0.002*($E142-X$6)/($E142-3*cc_D/7))))-fcd_cc*(1-(1-MAX(0,MIN(1,IF($E142&lt;=cc_D,0.0035*($E142-X$6)/$E142,0.002*($E142-X$6)/($E142-3*cc_D/7))/0.002)))^2)</f>
        <v/>
      </c>
      <c r="Y142">
        <f>MAX(-fyd_cc,MIN(fyd_cc,Es_cc*IF($E142&lt;=cc_D,0.0035*($E142-Y$6)/$E142,0.002*($E142-Y$6)/($E142-3*cc_D/7))))-fcd_cc*(1-(1-MAX(0,MIN(1,IF($E142&lt;=cc_D,0.0035*($E142-Y$6)/$E142,0.002*($E142-Y$6)/($E142-3*cc_D/7))/0.002)))^2)</f>
        <v/>
      </c>
      <c r="Z142">
        <f>MAX(-fyd_cc,MIN(fyd_cc,Es_cc*IF($E142&lt;=cc_D,0.0035*($E142-Z$6)/$E142,0.002*($E142-Z$6)/($E142-3*cc_D/7))))-fcd_cc*(1-(1-MAX(0,MIN(1,IF($E142&lt;=cc_D,0.0035*($E142-Z$6)/$E142,0.002*($E142-Z$6)/($E142-3*cc_D/7))/0.002)))^2)</f>
        <v/>
      </c>
      <c r="AA142">
        <f>MAX(-fyd_cc,MIN(fyd_cc,Es_cc*IF($E142&lt;=cc_D,0.0035*($E142-AA$6)/$E142,0.002*($E142-AA$6)/($E142-3*cc_D/7))))-fcd_cc*(1-(1-MAX(0,MIN(1,IF($E142&lt;=cc_D,0.0035*($E142-AA$6)/$E142,0.002*($E142-AA$6)/($E142-3*cc_D/7))/0.002)))^2)</f>
        <v/>
      </c>
      <c r="AB142">
        <f>MAX(-fyd_cc,MIN(fyd_cc,Es_cc*IF($E142&lt;=cc_D,0.0035*($E142-AB$6)/$E142,0.002*($E142-AB$6)/($E142-3*cc_D/7))))-fcd_cc*(1-(1-MAX(0,MIN(1,IF($E142&lt;=cc_D,0.0035*($E142-AB$6)/$E142,0.002*($E142-AB$6)/($E142-3*cc_D/7))/0.002)))^2)</f>
        <v/>
      </c>
      <c r="AC142">
        <f>MAX(-fyd_cc,MIN(fyd_cc,Es_cc*IF($E142&lt;=cc_D,0.0035*($E142-AC$6)/$E142,0.002*($E142-AC$6)/($E142-3*cc_D/7))))-fcd_cc*(1-(1-MAX(0,MIN(1,IF($E142&lt;=cc_D,0.0035*($E142-AC$6)/$E142,0.002*($E142-AC$6)/($E142-3*cc_D/7))/0.002)))^2)</f>
        <v/>
      </c>
      <c r="AD142">
        <f>MAX(-fyd_cc,MIN(fyd_cc,Es_cc*IF($E142&lt;=cc_D,0.0035*($E142-AD$6)/$E142,0.002*($E142-AD$6)/($E142-3*cc_D/7))))-fcd_cc*(1-(1-MAX(0,MIN(1,IF($E142&lt;=cc_D,0.0035*($E142-AD$6)/$E142,0.002*($E142-AD$6)/($E142-3*cc_D/7))/0.002)))^2)</f>
        <v/>
      </c>
      <c r="AE142">
        <f>MAX(-fyd_cc,MIN(fyd_cc,Es_cc*IF($E142&lt;=cc_D,0.0035*($E142-AE$6)/$E142,0.002*($E142-AE$6)/($E142-3*cc_D/7))))-fcd_cc*(1-(1-MAX(0,MIN(1,IF($E142&lt;=cc_D,0.0035*($E142-AE$6)/$E142,0.002*($E142-AE$6)/($E142-3*cc_D/7))/0.002)))^2)</f>
        <v/>
      </c>
      <c r="AF142">
        <f>MAX(-fyd_cc,MIN(fyd_cc,Es_cc*IF($E142&lt;=cc_D,0.0035*($E142-AF$6)/$E142,0.002*($E142-AF$6)/($E142-3*cc_D/7))))-fcd_cc*(1-(1-MAX(0,MIN(1,IF($E142&lt;=cc_D,0.0035*($E142-AF$6)/$E142,0.002*($E142-AF$6)/($E142-3*cc_D/7))/0.002)))^2)</f>
        <v/>
      </c>
      <c r="AG142">
        <f>MAX(-fyd_cc,MIN(fyd_cc,Es_cc*IF($E142&lt;=cc_D,0.0035*($E142-AG$6)/$E142,0.002*($E142-AG$6)/($E142-3*cc_D/7))))-fcd_cc*(1-(1-MAX(0,MIN(1,IF($E142&lt;=cc_D,0.0035*($E142-AG$6)/$E142,0.002*($E142-AG$6)/($E142-3*cc_D/7))/0.002)))^2)</f>
        <v/>
      </c>
      <c r="BF142">
        <f>3*MIN($E142,cc_D)/7</f>
        <v/>
      </c>
      <c r="BG142">
        <f>$E142-$BF142</f>
        <v/>
      </c>
      <c r="BH142">
        <f>ACOS(MAX(-1,MIN(1,1-$BF142/(cc_D/2))))</f>
        <v/>
      </c>
      <c r="BI142">
        <f>ACOS(MAX(-1,MIN(1,1-MIN($E142,cc_D)/(cc_D/2))))</f>
        <v/>
      </c>
      <c r="BJ142">
        <f>((cc_D/2*(1-COS(($BH142+0*($BI142-$BH142)/12)))-$BF142)/$BG142)^2*SIN(($BH142+0*($BI142-$BH142)/12))^2</f>
        <v/>
      </c>
      <c r="BK142">
        <f>((cc_D/2*(1-COS(($BH142+1*($BI142-$BH142)/12)))-$BF142)/$BG142)^2*SIN(($BH142+1*($BI142-$BH142)/12))^2</f>
        <v/>
      </c>
      <c r="BL142">
        <f>((cc_D/2*(1-COS(($BH142+2*($BI142-$BH142)/12)))-$BF142)/$BG142)^2*SIN(($BH142+2*($BI142-$BH142)/12))^2</f>
        <v/>
      </c>
      <c r="BM142">
        <f>((cc_D/2*(1-COS(($BH142+3*($BI142-$BH142)/12)))-$BF142)/$BG142)^2*SIN(($BH142+3*($BI142-$BH142)/12))^2</f>
        <v/>
      </c>
      <c r="BN142">
        <f>((cc_D/2*(1-COS(($BH142+4*($BI142-$BH142)/12)))-$BF142)/$BG142)^2*SIN(($BH142+4*($BI142-$BH142)/12))^2</f>
        <v/>
      </c>
      <c r="BO142">
        <f>((cc_D/2*(1-COS(($BH142+5*($BI142-$BH142)/12)))-$BF142)/$BG142)^2*SIN(($BH142+5*($BI142-$BH142)/12))^2</f>
        <v/>
      </c>
      <c r="BP142">
        <f>((cc_D/2*(1-COS(($BH142+6*($BI142-$BH142)/12)))-$BF142)/$BG142)^2*SIN(($BH142+6*($BI142-$BH142)/12))^2</f>
        <v/>
      </c>
      <c r="BQ142">
        <f>((cc_D/2*(1-COS(($BH142+7*($BI142-$BH142)/12)))-$BF142)/$BG142)^2*SIN(($BH142+7*($BI142-$BH142)/12))^2</f>
        <v/>
      </c>
      <c r="BR142">
        <f>((cc_D/2*(1-COS(($BH142+8*($BI142-$BH142)/12)))-$BF142)/$BG142)^2*SIN(($BH142+8*($BI142-$BH142)/12))^2</f>
        <v/>
      </c>
      <c r="BS142">
        <f>((cc_D/2*(1-COS(($BH142+9*($BI142-$BH142)/12)))-$BF142)/$BG142)^2*SIN(($BH142+9*($BI142-$BH142)/12))^2</f>
        <v/>
      </c>
      <c r="BT142">
        <f>((cc_D/2*(1-COS(($BH142+10*($BI142-$BH142)/12)))-$BF142)/$BG142)^2*SIN(($BH142+10*($BI142-$BH142)/12))^2</f>
        <v/>
      </c>
      <c r="BU142">
        <f>((cc_D/2*(1-COS(($BH142+11*($BI142-$BH142)/12)))-$BF142)/$BG142)^2*SIN(($BH142+11*($BI142-$BH142)/12))^2</f>
        <v/>
      </c>
      <c r="BV142">
        <f>((cc_D/2*(1-COS(($BH142+12*($BI142-$BH142)/12)))-$BF142)/$BG142)^2*SIN(($BH142+12*($BI142-$BH142)/12))^2</f>
        <v/>
      </c>
      <c r="BW142">
        <f>BJ142*COS(($BH142+0*($BI142-$BH142)/12))</f>
        <v/>
      </c>
      <c r="BX142">
        <f>BK142*COS(($BH142+1*($BI142-$BH142)/12))</f>
        <v/>
      </c>
      <c r="BY142">
        <f>BL142*COS(($BH142+2*($BI142-$BH142)/12))</f>
        <v/>
      </c>
      <c r="BZ142">
        <f>BM142*COS(($BH142+3*($BI142-$BH142)/12))</f>
        <v/>
      </c>
      <c r="CA142">
        <f>BN142*COS(($BH142+4*($BI142-$BH142)/12))</f>
        <v/>
      </c>
      <c r="CB142">
        <f>BO142*COS(($BH142+5*($BI142-$BH142)/12))</f>
        <v/>
      </c>
      <c r="CC142">
        <f>BP142*COS(($BH142+6*($BI142-$BH142)/12))</f>
        <v/>
      </c>
      <c r="CD142">
        <f>BQ142*COS(($BH142+7*($BI142-$BH142)/12))</f>
        <v/>
      </c>
      <c r="CE142">
        <f>BR142*COS(($BH142+8*($BI142-$BH142)/12))</f>
        <v/>
      </c>
      <c r="CF142">
        <f>BS142*COS(($BH142+9*($BI142-$BH142)/12))</f>
        <v/>
      </c>
      <c r="CG142">
        <f>BT142*COS(($BH142+10*($BI142-$BH142)/12))</f>
        <v/>
      </c>
      <c r="CH142">
        <f>BU142*COS(($BH142+11*($BI142-$BH142)/12))</f>
        <v/>
      </c>
      <c r="CI142">
        <f>BV142*COS(($BH142+12*($BI142-$BH142)/12))</f>
        <v/>
      </c>
    </row>
    <row r="143">
      <c r="B143" s="65" t="n">
        <v>54</v>
      </c>
      <c r="C143" s="66">
        <f>IF($G142&lt;cc_NEd-1E-9*ABS(cc_NEd),($C142+$D142)/2,$C142)</f>
        <v/>
      </c>
      <c r="D143" s="66">
        <f>IF($G142&lt;cc_NEd-1E-9*ABS(cc_NEd),$D142,($C142+$D142)/2)</f>
        <v/>
      </c>
      <c r="E143" s="67">
        <f>cc_D*(($C143+$D143)/2)/(1-(($C143+$D143)/2))</f>
        <v/>
      </c>
      <c r="F143" s="68">
        <f>IF($E143&lt;=cc_D,3.5,2*$E143/($E143-3*cc_D/7))</f>
        <v/>
      </c>
      <c r="G143" s="67">
        <f>(fcd_cc*((cc_D/2)^2*($BI143-COS($BI143)*SIN($BI143))-2*(cc_D/2)^2*($BI143-$BH143)/12/3*SUMPRODUCT($BJ$4:$BV$4,$BJ143:$BV143))+SUMPRODUCT($J$5:$AG$5,$J143:$AG143))/1000</f>
        <v/>
      </c>
      <c r="H143" s="67">
        <f>(fcd_cc*(2/3*(cc_D/2)^3*SIN($BI143)^3-2*(cc_D/2)^3*($BI143-$BH143)/12/3*SUMPRODUCT($BW$4:$CI$4,$BW143:$CI143))+SUMPRODUCT($J$5:$AG$5,$J143:$AG143,$J$7:$AG$7))/1E6</f>
        <v/>
      </c>
      <c r="I143" s="67">
        <f>SUMPRODUCT($J$5:$AG$5,$J143:$AG143,$J$8:$AG$8)/1E6</f>
        <v/>
      </c>
      <c r="J143">
        <f>MAX(-fyd_cc,MIN(fyd_cc,Es_cc*IF($E143&lt;=cc_D,0.0035*($E143-J$6)/$E143,0.002*($E143-J$6)/($E143-3*cc_D/7))))-fcd_cc*(1-(1-MAX(0,MIN(1,IF($E143&lt;=cc_D,0.0035*($E143-J$6)/$E143,0.002*($E143-J$6)/($E143-3*cc_D/7))/0.002)))^2)</f>
        <v/>
      </c>
      <c r="K143">
        <f>MAX(-fyd_cc,MIN(fyd_cc,Es_cc*IF($E143&lt;=cc_D,0.0035*($E143-K$6)/$E143,0.002*($E143-K$6)/($E143-3*cc_D/7))))-fcd_cc*(1-(1-MAX(0,MIN(1,IF($E143&lt;=cc_D,0.0035*($E143-K$6)/$E143,0.002*($E143-K$6)/($E143-3*cc_D/7))/0.002)))^2)</f>
        <v/>
      </c>
      <c r="L143">
        <f>MAX(-fyd_cc,MIN(fyd_cc,Es_cc*IF($E143&lt;=cc_D,0.0035*($E143-L$6)/$E143,0.002*($E143-L$6)/($E143-3*cc_D/7))))-fcd_cc*(1-(1-MAX(0,MIN(1,IF($E143&lt;=cc_D,0.0035*($E143-L$6)/$E143,0.002*($E143-L$6)/($E143-3*cc_D/7))/0.002)))^2)</f>
        <v/>
      </c>
      <c r="M143">
        <f>MAX(-fyd_cc,MIN(fyd_cc,Es_cc*IF($E143&lt;=cc_D,0.0035*($E143-M$6)/$E143,0.002*($E143-M$6)/($E143-3*cc_D/7))))-fcd_cc*(1-(1-MAX(0,MIN(1,IF($E143&lt;=cc_D,0.0035*($E143-M$6)/$E143,0.002*($E143-M$6)/($E143-3*cc_D/7))/0.002)))^2)</f>
        <v/>
      </c>
      <c r="N143">
        <f>MAX(-fyd_cc,MIN(fyd_cc,Es_cc*IF($E143&lt;=cc_D,0.0035*($E143-N$6)/$E143,0.002*($E143-N$6)/($E143-3*cc_D/7))))-fcd_cc*(1-(1-MAX(0,MIN(1,IF($E143&lt;=cc_D,0.0035*($E143-N$6)/$E143,0.002*($E143-N$6)/($E143-3*cc_D/7))/0.002)))^2)</f>
        <v/>
      </c>
      <c r="O143">
        <f>MAX(-fyd_cc,MIN(fyd_cc,Es_cc*IF($E143&lt;=cc_D,0.0035*($E143-O$6)/$E143,0.002*($E143-O$6)/($E143-3*cc_D/7))))-fcd_cc*(1-(1-MAX(0,MIN(1,IF($E143&lt;=cc_D,0.0035*($E143-O$6)/$E143,0.002*($E143-O$6)/($E143-3*cc_D/7))/0.002)))^2)</f>
        <v/>
      </c>
      <c r="P143">
        <f>MAX(-fyd_cc,MIN(fyd_cc,Es_cc*IF($E143&lt;=cc_D,0.0035*($E143-P$6)/$E143,0.002*($E143-P$6)/($E143-3*cc_D/7))))-fcd_cc*(1-(1-MAX(0,MIN(1,IF($E143&lt;=cc_D,0.0035*($E143-P$6)/$E143,0.002*($E143-P$6)/($E143-3*cc_D/7))/0.002)))^2)</f>
        <v/>
      </c>
      <c r="Q143">
        <f>MAX(-fyd_cc,MIN(fyd_cc,Es_cc*IF($E143&lt;=cc_D,0.0035*($E143-Q$6)/$E143,0.002*($E143-Q$6)/($E143-3*cc_D/7))))-fcd_cc*(1-(1-MAX(0,MIN(1,IF($E143&lt;=cc_D,0.0035*($E143-Q$6)/$E143,0.002*($E143-Q$6)/($E143-3*cc_D/7))/0.002)))^2)</f>
        <v/>
      </c>
      <c r="R143">
        <f>MAX(-fyd_cc,MIN(fyd_cc,Es_cc*IF($E143&lt;=cc_D,0.0035*($E143-R$6)/$E143,0.002*($E143-R$6)/($E143-3*cc_D/7))))-fcd_cc*(1-(1-MAX(0,MIN(1,IF($E143&lt;=cc_D,0.0035*($E143-R$6)/$E143,0.002*($E143-R$6)/($E143-3*cc_D/7))/0.002)))^2)</f>
        <v/>
      </c>
      <c r="S143">
        <f>MAX(-fyd_cc,MIN(fyd_cc,Es_cc*IF($E143&lt;=cc_D,0.0035*($E143-S$6)/$E143,0.002*($E143-S$6)/($E143-3*cc_D/7))))-fcd_cc*(1-(1-MAX(0,MIN(1,IF($E143&lt;=cc_D,0.0035*($E143-S$6)/$E143,0.002*($E143-S$6)/($E143-3*cc_D/7))/0.002)))^2)</f>
        <v/>
      </c>
      <c r="T143">
        <f>MAX(-fyd_cc,MIN(fyd_cc,Es_cc*IF($E143&lt;=cc_D,0.0035*($E143-T$6)/$E143,0.002*($E143-T$6)/($E143-3*cc_D/7))))-fcd_cc*(1-(1-MAX(0,MIN(1,IF($E143&lt;=cc_D,0.0035*($E143-T$6)/$E143,0.002*($E143-T$6)/($E143-3*cc_D/7))/0.002)))^2)</f>
        <v/>
      </c>
      <c r="U143">
        <f>MAX(-fyd_cc,MIN(fyd_cc,Es_cc*IF($E143&lt;=cc_D,0.0035*($E143-U$6)/$E143,0.002*($E143-U$6)/($E143-3*cc_D/7))))-fcd_cc*(1-(1-MAX(0,MIN(1,IF($E143&lt;=cc_D,0.0035*($E143-U$6)/$E143,0.002*($E143-U$6)/($E143-3*cc_D/7))/0.002)))^2)</f>
        <v/>
      </c>
      <c r="V143">
        <f>MAX(-fyd_cc,MIN(fyd_cc,Es_cc*IF($E143&lt;=cc_D,0.0035*($E143-V$6)/$E143,0.002*($E143-V$6)/($E143-3*cc_D/7))))-fcd_cc*(1-(1-MAX(0,MIN(1,IF($E143&lt;=cc_D,0.0035*($E143-V$6)/$E143,0.002*($E143-V$6)/($E143-3*cc_D/7))/0.002)))^2)</f>
        <v/>
      </c>
      <c r="W143">
        <f>MAX(-fyd_cc,MIN(fyd_cc,Es_cc*IF($E143&lt;=cc_D,0.0035*($E143-W$6)/$E143,0.002*($E143-W$6)/($E143-3*cc_D/7))))-fcd_cc*(1-(1-MAX(0,MIN(1,IF($E143&lt;=cc_D,0.0035*($E143-W$6)/$E143,0.002*($E143-W$6)/($E143-3*cc_D/7))/0.002)))^2)</f>
        <v/>
      </c>
      <c r="X143">
        <f>MAX(-fyd_cc,MIN(fyd_cc,Es_cc*IF($E143&lt;=cc_D,0.0035*($E143-X$6)/$E143,0.002*($E143-X$6)/($E143-3*cc_D/7))))-fcd_cc*(1-(1-MAX(0,MIN(1,IF($E143&lt;=cc_D,0.0035*($E143-X$6)/$E143,0.002*($E143-X$6)/($E143-3*cc_D/7))/0.002)))^2)</f>
        <v/>
      </c>
      <c r="Y143">
        <f>MAX(-fyd_cc,MIN(fyd_cc,Es_cc*IF($E143&lt;=cc_D,0.0035*($E143-Y$6)/$E143,0.002*($E143-Y$6)/($E143-3*cc_D/7))))-fcd_cc*(1-(1-MAX(0,MIN(1,IF($E143&lt;=cc_D,0.0035*($E143-Y$6)/$E143,0.002*($E143-Y$6)/($E143-3*cc_D/7))/0.002)))^2)</f>
        <v/>
      </c>
      <c r="Z143">
        <f>MAX(-fyd_cc,MIN(fyd_cc,Es_cc*IF($E143&lt;=cc_D,0.0035*($E143-Z$6)/$E143,0.002*($E143-Z$6)/($E143-3*cc_D/7))))-fcd_cc*(1-(1-MAX(0,MIN(1,IF($E143&lt;=cc_D,0.0035*($E143-Z$6)/$E143,0.002*($E143-Z$6)/($E143-3*cc_D/7))/0.002)))^2)</f>
        <v/>
      </c>
      <c r="AA143">
        <f>MAX(-fyd_cc,MIN(fyd_cc,Es_cc*IF($E143&lt;=cc_D,0.0035*($E143-AA$6)/$E143,0.002*($E143-AA$6)/($E143-3*cc_D/7))))-fcd_cc*(1-(1-MAX(0,MIN(1,IF($E143&lt;=cc_D,0.0035*($E143-AA$6)/$E143,0.002*($E143-AA$6)/($E143-3*cc_D/7))/0.002)))^2)</f>
        <v/>
      </c>
      <c r="AB143">
        <f>MAX(-fyd_cc,MIN(fyd_cc,Es_cc*IF($E143&lt;=cc_D,0.0035*($E143-AB$6)/$E143,0.002*($E143-AB$6)/($E143-3*cc_D/7))))-fcd_cc*(1-(1-MAX(0,MIN(1,IF($E143&lt;=cc_D,0.0035*($E143-AB$6)/$E143,0.002*($E143-AB$6)/($E143-3*cc_D/7))/0.002)))^2)</f>
        <v/>
      </c>
      <c r="AC143">
        <f>MAX(-fyd_cc,MIN(fyd_cc,Es_cc*IF($E143&lt;=cc_D,0.0035*($E143-AC$6)/$E143,0.002*($E143-AC$6)/($E143-3*cc_D/7))))-fcd_cc*(1-(1-MAX(0,MIN(1,IF($E143&lt;=cc_D,0.0035*($E143-AC$6)/$E143,0.002*($E143-AC$6)/($E143-3*cc_D/7))/0.002)))^2)</f>
        <v/>
      </c>
      <c r="AD143">
        <f>MAX(-fyd_cc,MIN(fyd_cc,Es_cc*IF($E143&lt;=cc_D,0.0035*($E143-AD$6)/$E143,0.002*($E143-AD$6)/($E143-3*cc_D/7))))-fcd_cc*(1-(1-MAX(0,MIN(1,IF($E143&lt;=cc_D,0.0035*($E143-AD$6)/$E143,0.002*($E143-AD$6)/($E143-3*cc_D/7))/0.002)))^2)</f>
        <v/>
      </c>
      <c r="AE143">
        <f>MAX(-fyd_cc,MIN(fyd_cc,Es_cc*IF($E143&lt;=cc_D,0.0035*($E143-AE$6)/$E143,0.002*($E143-AE$6)/($E143-3*cc_D/7))))-fcd_cc*(1-(1-MAX(0,MIN(1,IF($E143&lt;=cc_D,0.0035*($E143-AE$6)/$E143,0.002*($E143-AE$6)/($E143-3*cc_D/7))/0.002)))^2)</f>
        <v/>
      </c>
      <c r="AF143">
        <f>MAX(-fyd_cc,MIN(fyd_cc,Es_cc*IF($E143&lt;=cc_D,0.0035*($E143-AF$6)/$E143,0.002*($E143-AF$6)/($E143-3*cc_D/7))))-fcd_cc*(1-(1-MAX(0,MIN(1,IF($E143&lt;=cc_D,0.0035*($E143-AF$6)/$E143,0.002*($E143-AF$6)/($E143-3*cc_D/7))/0.002)))^2)</f>
        <v/>
      </c>
      <c r="AG143">
        <f>MAX(-fyd_cc,MIN(fyd_cc,Es_cc*IF($E143&lt;=cc_D,0.0035*($E143-AG$6)/$E143,0.002*($E143-AG$6)/($E143-3*cc_D/7))))-fcd_cc*(1-(1-MAX(0,MIN(1,IF($E143&lt;=cc_D,0.0035*($E143-AG$6)/$E143,0.002*($E143-AG$6)/($E143-3*cc_D/7))/0.002)))^2)</f>
        <v/>
      </c>
      <c r="BF143">
        <f>3*MIN($E143,cc_D)/7</f>
        <v/>
      </c>
      <c r="BG143">
        <f>$E143-$BF143</f>
        <v/>
      </c>
      <c r="BH143">
        <f>ACOS(MAX(-1,MIN(1,1-$BF143/(cc_D/2))))</f>
        <v/>
      </c>
      <c r="BI143">
        <f>ACOS(MAX(-1,MIN(1,1-MIN($E143,cc_D)/(cc_D/2))))</f>
        <v/>
      </c>
      <c r="BJ143">
        <f>((cc_D/2*(1-COS(($BH143+0*($BI143-$BH143)/12)))-$BF143)/$BG143)^2*SIN(($BH143+0*($BI143-$BH143)/12))^2</f>
        <v/>
      </c>
      <c r="BK143">
        <f>((cc_D/2*(1-COS(($BH143+1*($BI143-$BH143)/12)))-$BF143)/$BG143)^2*SIN(($BH143+1*($BI143-$BH143)/12))^2</f>
        <v/>
      </c>
      <c r="BL143">
        <f>((cc_D/2*(1-COS(($BH143+2*($BI143-$BH143)/12)))-$BF143)/$BG143)^2*SIN(($BH143+2*($BI143-$BH143)/12))^2</f>
        <v/>
      </c>
      <c r="BM143">
        <f>((cc_D/2*(1-COS(($BH143+3*($BI143-$BH143)/12)))-$BF143)/$BG143)^2*SIN(($BH143+3*($BI143-$BH143)/12))^2</f>
        <v/>
      </c>
      <c r="BN143">
        <f>((cc_D/2*(1-COS(($BH143+4*($BI143-$BH143)/12)))-$BF143)/$BG143)^2*SIN(($BH143+4*($BI143-$BH143)/12))^2</f>
        <v/>
      </c>
      <c r="BO143">
        <f>((cc_D/2*(1-COS(($BH143+5*($BI143-$BH143)/12)))-$BF143)/$BG143)^2*SIN(($BH143+5*($BI143-$BH143)/12))^2</f>
        <v/>
      </c>
      <c r="BP143">
        <f>((cc_D/2*(1-COS(($BH143+6*($BI143-$BH143)/12)))-$BF143)/$BG143)^2*SIN(($BH143+6*($BI143-$BH143)/12))^2</f>
        <v/>
      </c>
      <c r="BQ143">
        <f>((cc_D/2*(1-COS(($BH143+7*($BI143-$BH143)/12)))-$BF143)/$BG143)^2*SIN(($BH143+7*($BI143-$BH143)/12))^2</f>
        <v/>
      </c>
      <c r="BR143">
        <f>((cc_D/2*(1-COS(($BH143+8*($BI143-$BH143)/12)))-$BF143)/$BG143)^2*SIN(($BH143+8*($BI143-$BH143)/12))^2</f>
        <v/>
      </c>
      <c r="BS143">
        <f>((cc_D/2*(1-COS(($BH143+9*($BI143-$BH143)/12)))-$BF143)/$BG143)^2*SIN(($BH143+9*($BI143-$BH143)/12))^2</f>
        <v/>
      </c>
      <c r="BT143">
        <f>((cc_D/2*(1-COS(($BH143+10*($BI143-$BH143)/12)))-$BF143)/$BG143)^2*SIN(($BH143+10*($BI143-$BH143)/12))^2</f>
        <v/>
      </c>
      <c r="BU143">
        <f>((cc_D/2*(1-COS(($BH143+11*($BI143-$BH143)/12)))-$BF143)/$BG143)^2*SIN(($BH143+11*($BI143-$BH143)/12))^2</f>
        <v/>
      </c>
      <c r="BV143">
        <f>((cc_D/2*(1-COS(($BH143+12*($BI143-$BH143)/12)))-$BF143)/$BG143)^2*SIN(($BH143+12*($BI143-$BH143)/12))^2</f>
        <v/>
      </c>
      <c r="BW143">
        <f>BJ143*COS(($BH143+0*($BI143-$BH143)/12))</f>
        <v/>
      </c>
      <c r="BX143">
        <f>BK143*COS(($BH143+1*($BI143-$BH143)/12))</f>
        <v/>
      </c>
      <c r="BY143">
        <f>BL143*COS(($BH143+2*($BI143-$BH143)/12))</f>
        <v/>
      </c>
      <c r="BZ143">
        <f>BM143*COS(($BH143+3*($BI143-$BH143)/12))</f>
        <v/>
      </c>
      <c r="CA143">
        <f>BN143*COS(($BH143+4*($BI143-$BH143)/12))</f>
        <v/>
      </c>
      <c r="CB143">
        <f>BO143*COS(($BH143+5*($BI143-$BH143)/12))</f>
        <v/>
      </c>
      <c r="CC143">
        <f>BP143*COS(($BH143+6*($BI143-$BH143)/12))</f>
        <v/>
      </c>
      <c r="CD143">
        <f>BQ143*COS(($BH143+7*($BI143-$BH143)/12))</f>
        <v/>
      </c>
      <c r="CE143">
        <f>BR143*COS(($BH143+8*($BI143-$BH143)/12))</f>
        <v/>
      </c>
      <c r="CF143">
        <f>BS143*COS(($BH143+9*($BI143-$BH143)/12))</f>
        <v/>
      </c>
      <c r="CG143">
        <f>BT143*COS(($BH143+10*($BI143-$BH143)/12))</f>
        <v/>
      </c>
      <c r="CH143">
        <f>BU143*COS(($BH143+11*($BI143-$BH143)/12))</f>
        <v/>
      </c>
      <c r="CI143">
        <f>BV143*COS(($BH143+12*($BI143-$BH143)/12))</f>
        <v/>
      </c>
    </row>
    <row r="144">
      <c r="B144" s="65" t="n">
        <v>55</v>
      </c>
      <c r="C144" s="66">
        <f>IF($G143&lt;cc_NEd-1E-9*ABS(cc_NEd),($C143+$D143)/2,$C143)</f>
        <v/>
      </c>
      <c r="D144" s="66">
        <f>IF($G143&lt;cc_NEd-1E-9*ABS(cc_NEd),$D143,($C143+$D143)/2)</f>
        <v/>
      </c>
      <c r="E144" s="67">
        <f>cc_D*(($C144+$D144)/2)/(1-(($C144+$D144)/2))</f>
        <v/>
      </c>
      <c r="F144" s="68">
        <f>IF($E144&lt;=cc_D,3.5,2*$E144/($E144-3*cc_D/7))</f>
        <v/>
      </c>
      <c r="G144" s="67">
        <f>(fcd_cc*((cc_D/2)^2*($BI144-COS($BI144)*SIN($BI144))-2*(cc_D/2)^2*($BI144-$BH144)/12/3*SUMPRODUCT($BJ$4:$BV$4,$BJ144:$BV144))+SUMPRODUCT($J$5:$AG$5,$J144:$AG144))/1000</f>
        <v/>
      </c>
      <c r="H144" s="67">
        <f>(fcd_cc*(2/3*(cc_D/2)^3*SIN($BI144)^3-2*(cc_D/2)^3*($BI144-$BH144)/12/3*SUMPRODUCT($BW$4:$CI$4,$BW144:$CI144))+SUMPRODUCT($J$5:$AG$5,$J144:$AG144,$J$7:$AG$7))/1E6</f>
        <v/>
      </c>
      <c r="I144" s="67">
        <f>SUMPRODUCT($J$5:$AG$5,$J144:$AG144,$J$8:$AG$8)/1E6</f>
        <v/>
      </c>
      <c r="J144">
        <f>MAX(-fyd_cc,MIN(fyd_cc,Es_cc*IF($E144&lt;=cc_D,0.0035*($E144-J$6)/$E144,0.002*($E144-J$6)/($E144-3*cc_D/7))))-fcd_cc*(1-(1-MAX(0,MIN(1,IF($E144&lt;=cc_D,0.0035*($E144-J$6)/$E144,0.002*($E144-J$6)/($E144-3*cc_D/7))/0.002)))^2)</f>
        <v/>
      </c>
      <c r="K144">
        <f>MAX(-fyd_cc,MIN(fyd_cc,Es_cc*IF($E144&lt;=cc_D,0.0035*($E144-K$6)/$E144,0.002*($E144-K$6)/($E144-3*cc_D/7))))-fcd_cc*(1-(1-MAX(0,MIN(1,IF($E144&lt;=cc_D,0.0035*($E144-K$6)/$E144,0.002*($E144-K$6)/($E144-3*cc_D/7))/0.002)))^2)</f>
        <v/>
      </c>
      <c r="L144">
        <f>MAX(-fyd_cc,MIN(fyd_cc,Es_cc*IF($E144&lt;=cc_D,0.0035*($E144-L$6)/$E144,0.002*($E144-L$6)/($E144-3*cc_D/7))))-fcd_cc*(1-(1-MAX(0,MIN(1,IF($E144&lt;=cc_D,0.0035*($E144-L$6)/$E144,0.002*($E144-L$6)/($E144-3*cc_D/7))/0.002)))^2)</f>
        <v/>
      </c>
      <c r="M144">
        <f>MAX(-fyd_cc,MIN(fyd_cc,Es_cc*IF($E144&lt;=cc_D,0.0035*($E144-M$6)/$E144,0.002*($E144-M$6)/($E144-3*cc_D/7))))-fcd_cc*(1-(1-MAX(0,MIN(1,IF($E144&lt;=cc_D,0.0035*($E144-M$6)/$E144,0.002*($E144-M$6)/($E144-3*cc_D/7))/0.002)))^2)</f>
        <v/>
      </c>
      <c r="N144">
        <f>MAX(-fyd_cc,MIN(fyd_cc,Es_cc*IF($E144&lt;=cc_D,0.0035*($E144-N$6)/$E144,0.002*($E144-N$6)/($E144-3*cc_D/7))))-fcd_cc*(1-(1-MAX(0,MIN(1,IF($E144&lt;=cc_D,0.0035*($E144-N$6)/$E144,0.002*($E144-N$6)/($E144-3*cc_D/7))/0.002)))^2)</f>
        <v/>
      </c>
      <c r="O144">
        <f>MAX(-fyd_cc,MIN(fyd_cc,Es_cc*IF($E144&lt;=cc_D,0.0035*($E144-O$6)/$E144,0.002*($E144-O$6)/($E144-3*cc_D/7))))-fcd_cc*(1-(1-MAX(0,MIN(1,IF($E144&lt;=cc_D,0.0035*($E144-O$6)/$E144,0.002*($E144-O$6)/($E144-3*cc_D/7))/0.002)))^2)</f>
        <v/>
      </c>
      <c r="P144">
        <f>MAX(-fyd_cc,MIN(fyd_cc,Es_cc*IF($E144&lt;=cc_D,0.0035*($E144-P$6)/$E144,0.002*($E144-P$6)/($E144-3*cc_D/7))))-fcd_cc*(1-(1-MAX(0,MIN(1,IF($E144&lt;=cc_D,0.0035*($E144-P$6)/$E144,0.002*($E144-P$6)/($E144-3*cc_D/7))/0.002)))^2)</f>
        <v/>
      </c>
      <c r="Q144">
        <f>MAX(-fyd_cc,MIN(fyd_cc,Es_cc*IF($E144&lt;=cc_D,0.0035*($E144-Q$6)/$E144,0.002*($E144-Q$6)/($E144-3*cc_D/7))))-fcd_cc*(1-(1-MAX(0,MIN(1,IF($E144&lt;=cc_D,0.0035*($E144-Q$6)/$E144,0.002*($E144-Q$6)/($E144-3*cc_D/7))/0.002)))^2)</f>
        <v/>
      </c>
      <c r="R144">
        <f>MAX(-fyd_cc,MIN(fyd_cc,Es_cc*IF($E144&lt;=cc_D,0.0035*($E144-R$6)/$E144,0.002*($E144-R$6)/($E144-3*cc_D/7))))-fcd_cc*(1-(1-MAX(0,MIN(1,IF($E144&lt;=cc_D,0.0035*($E144-R$6)/$E144,0.002*($E144-R$6)/($E144-3*cc_D/7))/0.002)))^2)</f>
        <v/>
      </c>
      <c r="S144">
        <f>MAX(-fyd_cc,MIN(fyd_cc,Es_cc*IF($E144&lt;=cc_D,0.0035*($E144-S$6)/$E144,0.002*($E144-S$6)/($E144-3*cc_D/7))))-fcd_cc*(1-(1-MAX(0,MIN(1,IF($E144&lt;=cc_D,0.0035*($E144-S$6)/$E144,0.002*($E144-S$6)/($E144-3*cc_D/7))/0.002)))^2)</f>
        <v/>
      </c>
      <c r="T144">
        <f>MAX(-fyd_cc,MIN(fyd_cc,Es_cc*IF($E144&lt;=cc_D,0.0035*($E144-T$6)/$E144,0.002*($E144-T$6)/($E144-3*cc_D/7))))-fcd_cc*(1-(1-MAX(0,MIN(1,IF($E144&lt;=cc_D,0.0035*($E144-T$6)/$E144,0.002*($E144-T$6)/($E144-3*cc_D/7))/0.002)))^2)</f>
        <v/>
      </c>
      <c r="U144">
        <f>MAX(-fyd_cc,MIN(fyd_cc,Es_cc*IF($E144&lt;=cc_D,0.0035*($E144-U$6)/$E144,0.002*($E144-U$6)/($E144-3*cc_D/7))))-fcd_cc*(1-(1-MAX(0,MIN(1,IF($E144&lt;=cc_D,0.0035*($E144-U$6)/$E144,0.002*($E144-U$6)/($E144-3*cc_D/7))/0.002)))^2)</f>
        <v/>
      </c>
      <c r="V144">
        <f>MAX(-fyd_cc,MIN(fyd_cc,Es_cc*IF($E144&lt;=cc_D,0.0035*($E144-V$6)/$E144,0.002*($E144-V$6)/($E144-3*cc_D/7))))-fcd_cc*(1-(1-MAX(0,MIN(1,IF($E144&lt;=cc_D,0.0035*($E144-V$6)/$E144,0.002*($E144-V$6)/($E144-3*cc_D/7))/0.002)))^2)</f>
        <v/>
      </c>
      <c r="W144">
        <f>MAX(-fyd_cc,MIN(fyd_cc,Es_cc*IF($E144&lt;=cc_D,0.0035*($E144-W$6)/$E144,0.002*($E144-W$6)/($E144-3*cc_D/7))))-fcd_cc*(1-(1-MAX(0,MIN(1,IF($E144&lt;=cc_D,0.0035*($E144-W$6)/$E144,0.002*($E144-W$6)/($E144-3*cc_D/7))/0.002)))^2)</f>
        <v/>
      </c>
      <c r="X144">
        <f>MAX(-fyd_cc,MIN(fyd_cc,Es_cc*IF($E144&lt;=cc_D,0.0035*($E144-X$6)/$E144,0.002*($E144-X$6)/($E144-3*cc_D/7))))-fcd_cc*(1-(1-MAX(0,MIN(1,IF($E144&lt;=cc_D,0.0035*($E144-X$6)/$E144,0.002*($E144-X$6)/($E144-3*cc_D/7))/0.002)))^2)</f>
        <v/>
      </c>
      <c r="Y144">
        <f>MAX(-fyd_cc,MIN(fyd_cc,Es_cc*IF($E144&lt;=cc_D,0.0035*($E144-Y$6)/$E144,0.002*($E144-Y$6)/($E144-3*cc_D/7))))-fcd_cc*(1-(1-MAX(0,MIN(1,IF($E144&lt;=cc_D,0.0035*($E144-Y$6)/$E144,0.002*($E144-Y$6)/($E144-3*cc_D/7))/0.002)))^2)</f>
        <v/>
      </c>
      <c r="Z144">
        <f>MAX(-fyd_cc,MIN(fyd_cc,Es_cc*IF($E144&lt;=cc_D,0.0035*($E144-Z$6)/$E144,0.002*($E144-Z$6)/($E144-3*cc_D/7))))-fcd_cc*(1-(1-MAX(0,MIN(1,IF($E144&lt;=cc_D,0.0035*($E144-Z$6)/$E144,0.002*($E144-Z$6)/($E144-3*cc_D/7))/0.002)))^2)</f>
        <v/>
      </c>
      <c r="AA144">
        <f>MAX(-fyd_cc,MIN(fyd_cc,Es_cc*IF($E144&lt;=cc_D,0.0035*($E144-AA$6)/$E144,0.002*($E144-AA$6)/($E144-3*cc_D/7))))-fcd_cc*(1-(1-MAX(0,MIN(1,IF($E144&lt;=cc_D,0.0035*($E144-AA$6)/$E144,0.002*($E144-AA$6)/($E144-3*cc_D/7))/0.002)))^2)</f>
        <v/>
      </c>
      <c r="AB144">
        <f>MAX(-fyd_cc,MIN(fyd_cc,Es_cc*IF($E144&lt;=cc_D,0.0035*($E144-AB$6)/$E144,0.002*($E144-AB$6)/($E144-3*cc_D/7))))-fcd_cc*(1-(1-MAX(0,MIN(1,IF($E144&lt;=cc_D,0.0035*($E144-AB$6)/$E144,0.002*($E144-AB$6)/($E144-3*cc_D/7))/0.002)))^2)</f>
        <v/>
      </c>
      <c r="AC144">
        <f>MAX(-fyd_cc,MIN(fyd_cc,Es_cc*IF($E144&lt;=cc_D,0.0035*($E144-AC$6)/$E144,0.002*($E144-AC$6)/($E144-3*cc_D/7))))-fcd_cc*(1-(1-MAX(0,MIN(1,IF($E144&lt;=cc_D,0.0035*($E144-AC$6)/$E144,0.002*($E144-AC$6)/($E144-3*cc_D/7))/0.002)))^2)</f>
        <v/>
      </c>
      <c r="AD144">
        <f>MAX(-fyd_cc,MIN(fyd_cc,Es_cc*IF($E144&lt;=cc_D,0.0035*($E144-AD$6)/$E144,0.002*($E144-AD$6)/($E144-3*cc_D/7))))-fcd_cc*(1-(1-MAX(0,MIN(1,IF($E144&lt;=cc_D,0.0035*($E144-AD$6)/$E144,0.002*($E144-AD$6)/($E144-3*cc_D/7))/0.002)))^2)</f>
        <v/>
      </c>
      <c r="AE144">
        <f>MAX(-fyd_cc,MIN(fyd_cc,Es_cc*IF($E144&lt;=cc_D,0.0035*($E144-AE$6)/$E144,0.002*($E144-AE$6)/($E144-3*cc_D/7))))-fcd_cc*(1-(1-MAX(0,MIN(1,IF($E144&lt;=cc_D,0.0035*($E144-AE$6)/$E144,0.002*($E144-AE$6)/($E144-3*cc_D/7))/0.002)))^2)</f>
        <v/>
      </c>
      <c r="AF144">
        <f>MAX(-fyd_cc,MIN(fyd_cc,Es_cc*IF($E144&lt;=cc_D,0.0035*($E144-AF$6)/$E144,0.002*($E144-AF$6)/($E144-3*cc_D/7))))-fcd_cc*(1-(1-MAX(0,MIN(1,IF($E144&lt;=cc_D,0.0035*($E144-AF$6)/$E144,0.002*($E144-AF$6)/($E144-3*cc_D/7))/0.002)))^2)</f>
        <v/>
      </c>
      <c r="AG144">
        <f>MAX(-fyd_cc,MIN(fyd_cc,Es_cc*IF($E144&lt;=cc_D,0.0035*($E144-AG$6)/$E144,0.002*($E144-AG$6)/($E144-3*cc_D/7))))-fcd_cc*(1-(1-MAX(0,MIN(1,IF($E144&lt;=cc_D,0.0035*($E144-AG$6)/$E144,0.002*($E144-AG$6)/($E144-3*cc_D/7))/0.002)))^2)</f>
        <v/>
      </c>
      <c r="BF144">
        <f>3*MIN($E144,cc_D)/7</f>
        <v/>
      </c>
      <c r="BG144">
        <f>$E144-$BF144</f>
        <v/>
      </c>
      <c r="BH144">
        <f>ACOS(MAX(-1,MIN(1,1-$BF144/(cc_D/2))))</f>
        <v/>
      </c>
      <c r="BI144">
        <f>ACOS(MAX(-1,MIN(1,1-MIN($E144,cc_D)/(cc_D/2))))</f>
        <v/>
      </c>
      <c r="BJ144">
        <f>((cc_D/2*(1-COS(($BH144+0*($BI144-$BH144)/12)))-$BF144)/$BG144)^2*SIN(($BH144+0*($BI144-$BH144)/12))^2</f>
        <v/>
      </c>
      <c r="BK144">
        <f>((cc_D/2*(1-COS(($BH144+1*($BI144-$BH144)/12)))-$BF144)/$BG144)^2*SIN(($BH144+1*($BI144-$BH144)/12))^2</f>
        <v/>
      </c>
      <c r="BL144">
        <f>((cc_D/2*(1-COS(($BH144+2*($BI144-$BH144)/12)))-$BF144)/$BG144)^2*SIN(($BH144+2*($BI144-$BH144)/12))^2</f>
        <v/>
      </c>
      <c r="BM144">
        <f>((cc_D/2*(1-COS(($BH144+3*($BI144-$BH144)/12)))-$BF144)/$BG144)^2*SIN(($BH144+3*($BI144-$BH144)/12))^2</f>
        <v/>
      </c>
      <c r="BN144">
        <f>((cc_D/2*(1-COS(($BH144+4*($BI144-$BH144)/12)))-$BF144)/$BG144)^2*SIN(($BH144+4*($BI144-$BH144)/12))^2</f>
        <v/>
      </c>
      <c r="BO144">
        <f>((cc_D/2*(1-COS(($BH144+5*($BI144-$BH144)/12)))-$BF144)/$BG144)^2*SIN(($BH144+5*($BI144-$BH144)/12))^2</f>
        <v/>
      </c>
      <c r="BP144">
        <f>((cc_D/2*(1-COS(($BH144+6*($BI144-$BH144)/12)))-$BF144)/$BG144)^2*SIN(($BH144+6*($BI144-$BH144)/12))^2</f>
        <v/>
      </c>
      <c r="BQ144">
        <f>((cc_D/2*(1-COS(($BH144+7*($BI144-$BH144)/12)))-$BF144)/$BG144)^2*SIN(($BH144+7*($BI144-$BH144)/12))^2</f>
        <v/>
      </c>
      <c r="BR144">
        <f>((cc_D/2*(1-COS(($BH144+8*($BI144-$BH144)/12)))-$BF144)/$BG144)^2*SIN(($BH144+8*($BI144-$BH144)/12))^2</f>
        <v/>
      </c>
      <c r="BS144">
        <f>((cc_D/2*(1-COS(($BH144+9*($BI144-$BH144)/12)))-$BF144)/$BG144)^2*SIN(($BH144+9*($BI144-$BH144)/12))^2</f>
        <v/>
      </c>
      <c r="BT144">
        <f>((cc_D/2*(1-COS(($BH144+10*($BI144-$BH144)/12)))-$BF144)/$BG144)^2*SIN(($BH144+10*($BI144-$BH144)/12))^2</f>
        <v/>
      </c>
      <c r="BU144">
        <f>((cc_D/2*(1-COS(($BH144+11*($BI144-$BH144)/12)))-$BF144)/$BG144)^2*SIN(($BH144+11*($BI144-$BH144)/12))^2</f>
        <v/>
      </c>
      <c r="BV144">
        <f>((cc_D/2*(1-COS(($BH144+12*($BI144-$BH144)/12)))-$BF144)/$BG144)^2*SIN(($BH144+12*($BI144-$BH144)/12))^2</f>
        <v/>
      </c>
      <c r="BW144">
        <f>BJ144*COS(($BH144+0*($BI144-$BH144)/12))</f>
        <v/>
      </c>
      <c r="BX144">
        <f>BK144*COS(($BH144+1*($BI144-$BH144)/12))</f>
        <v/>
      </c>
      <c r="BY144">
        <f>BL144*COS(($BH144+2*($BI144-$BH144)/12))</f>
        <v/>
      </c>
      <c r="BZ144">
        <f>BM144*COS(($BH144+3*($BI144-$BH144)/12))</f>
        <v/>
      </c>
      <c r="CA144">
        <f>BN144*COS(($BH144+4*($BI144-$BH144)/12))</f>
        <v/>
      </c>
      <c r="CB144">
        <f>BO144*COS(($BH144+5*($BI144-$BH144)/12))</f>
        <v/>
      </c>
      <c r="CC144">
        <f>BP144*COS(($BH144+6*($BI144-$BH144)/12))</f>
        <v/>
      </c>
      <c r="CD144">
        <f>BQ144*COS(($BH144+7*($BI144-$BH144)/12))</f>
        <v/>
      </c>
      <c r="CE144">
        <f>BR144*COS(($BH144+8*($BI144-$BH144)/12))</f>
        <v/>
      </c>
      <c r="CF144">
        <f>BS144*COS(($BH144+9*($BI144-$BH144)/12))</f>
        <v/>
      </c>
      <c r="CG144">
        <f>BT144*COS(($BH144+10*($BI144-$BH144)/12))</f>
        <v/>
      </c>
      <c r="CH144">
        <f>BU144*COS(($BH144+11*($BI144-$BH144)/12))</f>
        <v/>
      </c>
      <c r="CI144">
        <f>BV144*COS(($BH144+12*($BI144-$BH144)/12))</f>
        <v/>
      </c>
    </row>
    <row r="145">
      <c r="B145" s="65" t="n">
        <v>56</v>
      </c>
      <c r="C145" s="66">
        <f>IF($G144&lt;cc_NEd-1E-9*ABS(cc_NEd),($C144+$D144)/2,$C144)</f>
        <v/>
      </c>
      <c r="D145" s="66">
        <f>IF($G144&lt;cc_NEd-1E-9*ABS(cc_NEd),$D144,($C144+$D144)/2)</f>
        <v/>
      </c>
      <c r="E145" s="67">
        <f>cc_D*(($C145+$D145)/2)/(1-(($C145+$D145)/2))</f>
        <v/>
      </c>
      <c r="F145" s="68">
        <f>IF($E145&lt;=cc_D,3.5,2*$E145/($E145-3*cc_D/7))</f>
        <v/>
      </c>
      <c r="G145" s="67">
        <f>(fcd_cc*((cc_D/2)^2*($BI145-COS($BI145)*SIN($BI145))-2*(cc_D/2)^2*($BI145-$BH145)/12/3*SUMPRODUCT($BJ$4:$BV$4,$BJ145:$BV145))+SUMPRODUCT($J$5:$AG$5,$J145:$AG145))/1000</f>
        <v/>
      </c>
      <c r="H145" s="67">
        <f>(fcd_cc*(2/3*(cc_D/2)^3*SIN($BI145)^3-2*(cc_D/2)^3*($BI145-$BH145)/12/3*SUMPRODUCT($BW$4:$CI$4,$BW145:$CI145))+SUMPRODUCT($J$5:$AG$5,$J145:$AG145,$J$7:$AG$7))/1E6</f>
        <v/>
      </c>
      <c r="I145" s="67">
        <f>SUMPRODUCT($J$5:$AG$5,$J145:$AG145,$J$8:$AG$8)/1E6</f>
        <v/>
      </c>
      <c r="J145">
        <f>MAX(-fyd_cc,MIN(fyd_cc,Es_cc*IF($E145&lt;=cc_D,0.0035*($E145-J$6)/$E145,0.002*($E145-J$6)/($E145-3*cc_D/7))))-fcd_cc*(1-(1-MAX(0,MIN(1,IF($E145&lt;=cc_D,0.0035*($E145-J$6)/$E145,0.002*($E145-J$6)/($E145-3*cc_D/7))/0.002)))^2)</f>
        <v/>
      </c>
      <c r="K145">
        <f>MAX(-fyd_cc,MIN(fyd_cc,Es_cc*IF($E145&lt;=cc_D,0.0035*($E145-K$6)/$E145,0.002*($E145-K$6)/($E145-3*cc_D/7))))-fcd_cc*(1-(1-MAX(0,MIN(1,IF($E145&lt;=cc_D,0.0035*($E145-K$6)/$E145,0.002*($E145-K$6)/($E145-3*cc_D/7))/0.002)))^2)</f>
        <v/>
      </c>
      <c r="L145">
        <f>MAX(-fyd_cc,MIN(fyd_cc,Es_cc*IF($E145&lt;=cc_D,0.0035*($E145-L$6)/$E145,0.002*($E145-L$6)/($E145-3*cc_D/7))))-fcd_cc*(1-(1-MAX(0,MIN(1,IF($E145&lt;=cc_D,0.0035*($E145-L$6)/$E145,0.002*($E145-L$6)/($E145-3*cc_D/7))/0.002)))^2)</f>
        <v/>
      </c>
      <c r="M145">
        <f>MAX(-fyd_cc,MIN(fyd_cc,Es_cc*IF($E145&lt;=cc_D,0.0035*($E145-M$6)/$E145,0.002*($E145-M$6)/($E145-3*cc_D/7))))-fcd_cc*(1-(1-MAX(0,MIN(1,IF($E145&lt;=cc_D,0.0035*($E145-M$6)/$E145,0.002*($E145-M$6)/($E145-3*cc_D/7))/0.002)))^2)</f>
        <v/>
      </c>
      <c r="N145">
        <f>MAX(-fyd_cc,MIN(fyd_cc,Es_cc*IF($E145&lt;=cc_D,0.0035*($E145-N$6)/$E145,0.002*($E145-N$6)/($E145-3*cc_D/7))))-fcd_cc*(1-(1-MAX(0,MIN(1,IF($E145&lt;=cc_D,0.0035*($E145-N$6)/$E145,0.002*($E145-N$6)/($E145-3*cc_D/7))/0.002)))^2)</f>
        <v/>
      </c>
      <c r="O145">
        <f>MAX(-fyd_cc,MIN(fyd_cc,Es_cc*IF($E145&lt;=cc_D,0.0035*($E145-O$6)/$E145,0.002*($E145-O$6)/($E145-3*cc_D/7))))-fcd_cc*(1-(1-MAX(0,MIN(1,IF($E145&lt;=cc_D,0.0035*($E145-O$6)/$E145,0.002*($E145-O$6)/($E145-3*cc_D/7))/0.002)))^2)</f>
        <v/>
      </c>
      <c r="P145">
        <f>MAX(-fyd_cc,MIN(fyd_cc,Es_cc*IF($E145&lt;=cc_D,0.0035*($E145-P$6)/$E145,0.002*($E145-P$6)/($E145-3*cc_D/7))))-fcd_cc*(1-(1-MAX(0,MIN(1,IF($E145&lt;=cc_D,0.0035*($E145-P$6)/$E145,0.002*($E145-P$6)/($E145-3*cc_D/7))/0.002)))^2)</f>
        <v/>
      </c>
      <c r="Q145">
        <f>MAX(-fyd_cc,MIN(fyd_cc,Es_cc*IF($E145&lt;=cc_D,0.0035*($E145-Q$6)/$E145,0.002*($E145-Q$6)/($E145-3*cc_D/7))))-fcd_cc*(1-(1-MAX(0,MIN(1,IF($E145&lt;=cc_D,0.0035*($E145-Q$6)/$E145,0.002*($E145-Q$6)/($E145-3*cc_D/7))/0.002)))^2)</f>
        <v/>
      </c>
      <c r="R145">
        <f>MAX(-fyd_cc,MIN(fyd_cc,Es_cc*IF($E145&lt;=cc_D,0.0035*($E145-R$6)/$E145,0.002*($E145-R$6)/($E145-3*cc_D/7))))-fcd_cc*(1-(1-MAX(0,MIN(1,IF($E145&lt;=cc_D,0.0035*($E145-R$6)/$E145,0.002*($E145-R$6)/($E145-3*cc_D/7))/0.002)))^2)</f>
        <v/>
      </c>
      <c r="S145">
        <f>MAX(-fyd_cc,MIN(fyd_cc,Es_cc*IF($E145&lt;=cc_D,0.0035*($E145-S$6)/$E145,0.002*($E145-S$6)/($E145-3*cc_D/7))))-fcd_cc*(1-(1-MAX(0,MIN(1,IF($E145&lt;=cc_D,0.0035*($E145-S$6)/$E145,0.002*($E145-S$6)/($E145-3*cc_D/7))/0.002)))^2)</f>
        <v/>
      </c>
      <c r="T145">
        <f>MAX(-fyd_cc,MIN(fyd_cc,Es_cc*IF($E145&lt;=cc_D,0.0035*($E145-T$6)/$E145,0.002*($E145-T$6)/($E145-3*cc_D/7))))-fcd_cc*(1-(1-MAX(0,MIN(1,IF($E145&lt;=cc_D,0.0035*($E145-T$6)/$E145,0.002*($E145-T$6)/($E145-3*cc_D/7))/0.002)))^2)</f>
        <v/>
      </c>
      <c r="U145">
        <f>MAX(-fyd_cc,MIN(fyd_cc,Es_cc*IF($E145&lt;=cc_D,0.0035*($E145-U$6)/$E145,0.002*($E145-U$6)/($E145-3*cc_D/7))))-fcd_cc*(1-(1-MAX(0,MIN(1,IF($E145&lt;=cc_D,0.0035*($E145-U$6)/$E145,0.002*($E145-U$6)/($E145-3*cc_D/7))/0.002)))^2)</f>
        <v/>
      </c>
      <c r="V145">
        <f>MAX(-fyd_cc,MIN(fyd_cc,Es_cc*IF($E145&lt;=cc_D,0.0035*($E145-V$6)/$E145,0.002*($E145-V$6)/($E145-3*cc_D/7))))-fcd_cc*(1-(1-MAX(0,MIN(1,IF($E145&lt;=cc_D,0.0035*($E145-V$6)/$E145,0.002*($E145-V$6)/($E145-3*cc_D/7))/0.002)))^2)</f>
        <v/>
      </c>
      <c r="W145">
        <f>MAX(-fyd_cc,MIN(fyd_cc,Es_cc*IF($E145&lt;=cc_D,0.0035*($E145-W$6)/$E145,0.002*($E145-W$6)/($E145-3*cc_D/7))))-fcd_cc*(1-(1-MAX(0,MIN(1,IF($E145&lt;=cc_D,0.0035*($E145-W$6)/$E145,0.002*($E145-W$6)/($E145-3*cc_D/7))/0.002)))^2)</f>
        <v/>
      </c>
      <c r="X145">
        <f>MAX(-fyd_cc,MIN(fyd_cc,Es_cc*IF($E145&lt;=cc_D,0.0035*($E145-X$6)/$E145,0.002*($E145-X$6)/($E145-3*cc_D/7))))-fcd_cc*(1-(1-MAX(0,MIN(1,IF($E145&lt;=cc_D,0.0035*($E145-X$6)/$E145,0.002*($E145-X$6)/($E145-3*cc_D/7))/0.002)))^2)</f>
        <v/>
      </c>
      <c r="Y145">
        <f>MAX(-fyd_cc,MIN(fyd_cc,Es_cc*IF($E145&lt;=cc_D,0.0035*($E145-Y$6)/$E145,0.002*($E145-Y$6)/($E145-3*cc_D/7))))-fcd_cc*(1-(1-MAX(0,MIN(1,IF($E145&lt;=cc_D,0.0035*($E145-Y$6)/$E145,0.002*($E145-Y$6)/($E145-3*cc_D/7))/0.002)))^2)</f>
        <v/>
      </c>
      <c r="Z145">
        <f>MAX(-fyd_cc,MIN(fyd_cc,Es_cc*IF($E145&lt;=cc_D,0.0035*($E145-Z$6)/$E145,0.002*($E145-Z$6)/($E145-3*cc_D/7))))-fcd_cc*(1-(1-MAX(0,MIN(1,IF($E145&lt;=cc_D,0.0035*($E145-Z$6)/$E145,0.002*($E145-Z$6)/($E145-3*cc_D/7))/0.002)))^2)</f>
        <v/>
      </c>
      <c r="AA145">
        <f>MAX(-fyd_cc,MIN(fyd_cc,Es_cc*IF($E145&lt;=cc_D,0.0035*($E145-AA$6)/$E145,0.002*($E145-AA$6)/($E145-3*cc_D/7))))-fcd_cc*(1-(1-MAX(0,MIN(1,IF($E145&lt;=cc_D,0.0035*($E145-AA$6)/$E145,0.002*($E145-AA$6)/($E145-3*cc_D/7))/0.002)))^2)</f>
        <v/>
      </c>
      <c r="AB145">
        <f>MAX(-fyd_cc,MIN(fyd_cc,Es_cc*IF($E145&lt;=cc_D,0.0035*($E145-AB$6)/$E145,0.002*($E145-AB$6)/($E145-3*cc_D/7))))-fcd_cc*(1-(1-MAX(0,MIN(1,IF($E145&lt;=cc_D,0.0035*($E145-AB$6)/$E145,0.002*($E145-AB$6)/($E145-3*cc_D/7))/0.002)))^2)</f>
        <v/>
      </c>
      <c r="AC145">
        <f>MAX(-fyd_cc,MIN(fyd_cc,Es_cc*IF($E145&lt;=cc_D,0.0035*($E145-AC$6)/$E145,0.002*($E145-AC$6)/($E145-3*cc_D/7))))-fcd_cc*(1-(1-MAX(0,MIN(1,IF($E145&lt;=cc_D,0.0035*($E145-AC$6)/$E145,0.002*($E145-AC$6)/($E145-3*cc_D/7))/0.002)))^2)</f>
        <v/>
      </c>
      <c r="AD145">
        <f>MAX(-fyd_cc,MIN(fyd_cc,Es_cc*IF($E145&lt;=cc_D,0.0035*($E145-AD$6)/$E145,0.002*($E145-AD$6)/($E145-3*cc_D/7))))-fcd_cc*(1-(1-MAX(0,MIN(1,IF($E145&lt;=cc_D,0.0035*($E145-AD$6)/$E145,0.002*($E145-AD$6)/($E145-3*cc_D/7))/0.002)))^2)</f>
        <v/>
      </c>
      <c r="AE145">
        <f>MAX(-fyd_cc,MIN(fyd_cc,Es_cc*IF($E145&lt;=cc_D,0.0035*($E145-AE$6)/$E145,0.002*($E145-AE$6)/($E145-3*cc_D/7))))-fcd_cc*(1-(1-MAX(0,MIN(1,IF($E145&lt;=cc_D,0.0035*($E145-AE$6)/$E145,0.002*($E145-AE$6)/($E145-3*cc_D/7))/0.002)))^2)</f>
        <v/>
      </c>
      <c r="AF145">
        <f>MAX(-fyd_cc,MIN(fyd_cc,Es_cc*IF($E145&lt;=cc_D,0.0035*($E145-AF$6)/$E145,0.002*($E145-AF$6)/($E145-3*cc_D/7))))-fcd_cc*(1-(1-MAX(0,MIN(1,IF($E145&lt;=cc_D,0.0035*($E145-AF$6)/$E145,0.002*($E145-AF$6)/($E145-3*cc_D/7))/0.002)))^2)</f>
        <v/>
      </c>
      <c r="AG145">
        <f>MAX(-fyd_cc,MIN(fyd_cc,Es_cc*IF($E145&lt;=cc_D,0.0035*($E145-AG$6)/$E145,0.002*($E145-AG$6)/($E145-3*cc_D/7))))-fcd_cc*(1-(1-MAX(0,MIN(1,IF($E145&lt;=cc_D,0.0035*($E145-AG$6)/$E145,0.002*($E145-AG$6)/($E145-3*cc_D/7))/0.002)))^2)</f>
        <v/>
      </c>
      <c r="BF145">
        <f>3*MIN($E145,cc_D)/7</f>
        <v/>
      </c>
      <c r="BG145">
        <f>$E145-$BF145</f>
        <v/>
      </c>
      <c r="BH145">
        <f>ACOS(MAX(-1,MIN(1,1-$BF145/(cc_D/2))))</f>
        <v/>
      </c>
      <c r="BI145">
        <f>ACOS(MAX(-1,MIN(1,1-MIN($E145,cc_D)/(cc_D/2))))</f>
        <v/>
      </c>
      <c r="BJ145">
        <f>((cc_D/2*(1-COS(($BH145+0*($BI145-$BH145)/12)))-$BF145)/$BG145)^2*SIN(($BH145+0*($BI145-$BH145)/12))^2</f>
        <v/>
      </c>
      <c r="BK145">
        <f>((cc_D/2*(1-COS(($BH145+1*($BI145-$BH145)/12)))-$BF145)/$BG145)^2*SIN(($BH145+1*($BI145-$BH145)/12))^2</f>
        <v/>
      </c>
      <c r="BL145">
        <f>((cc_D/2*(1-COS(($BH145+2*($BI145-$BH145)/12)))-$BF145)/$BG145)^2*SIN(($BH145+2*($BI145-$BH145)/12))^2</f>
        <v/>
      </c>
      <c r="BM145">
        <f>((cc_D/2*(1-COS(($BH145+3*($BI145-$BH145)/12)))-$BF145)/$BG145)^2*SIN(($BH145+3*($BI145-$BH145)/12))^2</f>
        <v/>
      </c>
      <c r="BN145">
        <f>((cc_D/2*(1-COS(($BH145+4*($BI145-$BH145)/12)))-$BF145)/$BG145)^2*SIN(($BH145+4*($BI145-$BH145)/12))^2</f>
        <v/>
      </c>
      <c r="BO145">
        <f>((cc_D/2*(1-COS(($BH145+5*($BI145-$BH145)/12)))-$BF145)/$BG145)^2*SIN(($BH145+5*($BI145-$BH145)/12))^2</f>
        <v/>
      </c>
      <c r="BP145">
        <f>((cc_D/2*(1-COS(($BH145+6*($BI145-$BH145)/12)))-$BF145)/$BG145)^2*SIN(($BH145+6*($BI145-$BH145)/12))^2</f>
        <v/>
      </c>
      <c r="BQ145">
        <f>((cc_D/2*(1-COS(($BH145+7*($BI145-$BH145)/12)))-$BF145)/$BG145)^2*SIN(($BH145+7*($BI145-$BH145)/12))^2</f>
        <v/>
      </c>
      <c r="BR145">
        <f>((cc_D/2*(1-COS(($BH145+8*($BI145-$BH145)/12)))-$BF145)/$BG145)^2*SIN(($BH145+8*($BI145-$BH145)/12))^2</f>
        <v/>
      </c>
      <c r="BS145">
        <f>((cc_D/2*(1-COS(($BH145+9*($BI145-$BH145)/12)))-$BF145)/$BG145)^2*SIN(($BH145+9*($BI145-$BH145)/12))^2</f>
        <v/>
      </c>
      <c r="BT145">
        <f>((cc_D/2*(1-COS(($BH145+10*($BI145-$BH145)/12)))-$BF145)/$BG145)^2*SIN(($BH145+10*($BI145-$BH145)/12))^2</f>
        <v/>
      </c>
      <c r="BU145">
        <f>((cc_D/2*(1-COS(($BH145+11*($BI145-$BH145)/12)))-$BF145)/$BG145)^2*SIN(($BH145+11*($BI145-$BH145)/12))^2</f>
        <v/>
      </c>
      <c r="BV145">
        <f>((cc_D/2*(1-COS(($BH145+12*($BI145-$BH145)/12)))-$BF145)/$BG145)^2*SIN(($BH145+12*($BI145-$BH145)/12))^2</f>
        <v/>
      </c>
      <c r="BW145">
        <f>BJ145*COS(($BH145+0*($BI145-$BH145)/12))</f>
        <v/>
      </c>
      <c r="BX145">
        <f>BK145*COS(($BH145+1*($BI145-$BH145)/12))</f>
        <v/>
      </c>
      <c r="BY145">
        <f>BL145*COS(($BH145+2*($BI145-$BH145)/12))</f>
        <v/>
      </c>
      <c r="BZ145">
        <f>BM145*COS(($BH145+3*($BI145-$BH145)/12))</f>
        <v/>
      </c>
      <c r="CA145">
        <f>BN145*COS(($BH145+4*($BI145-$BH145)/12))</f>
        <v/>
      </c>
      <c r="CB145">
        <f>BO145*COS(($BH145+5*($BI145-$BH145)/12))</f>
        <v/>
      </c>
      <c r="CC145">
        <f>BP145*COS(($BH145+6*($BI145-$BH145)/12))</f>
        <v/>
      </c>
      <c r="CD145">
        <f>BQ145*COS(($BH145+7*($BI145-$BH145)/12))</f>
        <v/>
      </c>
      <c r="CE145">
        <f>BR145*COS(($BH145+8*($BI145-$BH145)/12))</f>
        <v/>
      </c>
      <c r="CF145">
        <f>BS145*COS(($BH145+9*($BI145-$BH145)/12))</f>
        <v/>
      </c>
      <c r="CG145">
        <f>BT145*COS(($BH145+10*($BI145-$BH145)/12))</f>
        <v/>
      </c>
      <c r="CH145">
        <f>BU145*COS(($BH145+11*($BI145-$BH145)/12))</f>
        <v/>
      </c>
      <c r="CI145">
        <f>BV145*COS(($BH145+12*($BI145-$BH145)/12))</f>
        <v/>
      </c>
    </row>
    <row r="146">
      <c r="B146" s="65" t="n">
        <v>57</v>
      </c>
      <c r="C146" s="66">
        <f>IF($G145&lt;cc_NEd-1E-9*ABS(cc_NEd),($C145+$D145)/2,$C145)</f>
        <v/>
      </c>
      <c r="D146" s="66">
        <f>IF($G145&lt;cc_NEd-1E-9*ABS(cc_NEd),$D145,($C145+$D145)/2)</f>
        <v/>
      </c>
      <c r="E146" s="67">
        <f>cc_D*(($C146+$D146)/2)/(1-(($C146+$D146)/2))</f>
        <v/>
      </c>
      <c r="F146" s="68">
        <f>IF($E146&lt;=cc_D,3.5,2*$E146/($E146-3*cc_D/7))</f>
        <v/>
      </c>
      <c r="G146" s="67">
        <f>(fcd_cc*((cc_D/2)^2*($BI146-COS($BI146)*SIN($BI146))-2*(cc_D/2)^2*($BI146-$BH146)/12/3*SUMPRODUCT($BJ$4:$BV$4,$BJ146:$BV146))+SUMPRODUCT($J$5:$AG$5,$J146:$AG146))/1000</f>
        <v/>
      </c>
      <c r="H146" s="67">
        <f>(fcd_cc*(2/3*(cc_D/2)^3*SIN($BI146)^3-2*(cc_D/2)^3*($BI146-$BH146)/12/3*SUMPRODUCT($BW$4:$CI$4,$BW146:$CI146))+SUMPRODUCT($J$5:$AG$5,$J146:$AG146,$J$7:$AG$7))/1E6</f>
        <v/>
      </c>
      <c r="I146" s="67">
        <f>SUMPRODUCT($J$5:$AG$5,$J146:$AG146,$J$8:$AG$8)/1E6</f>
        <v/>
      </c>
      <c r="J146">
        <f>MAX(-fyd_cc,MIN(fyd_cc,Es_cc*IF($E146&lt;=cc_D,0.0035*($E146-J$6)/$E146,0.002*($E146-J$6)/($E146-3*cc_D/7))))-fcd_cc*(1-(1-MAX(0,MIN(1,IF($E146&lt;=cc_D,0.0035*($E146-J$6)/$E146,0.002*($E146-J$6)/($E146-3*cc_D/7))/0.002)))^2)</f>
        <v/>
      </c>
      <c r="K146">
        <f>MAX(-fyd_cc,MIN(fyd_cc,Es_cc*IF($E146&lt;=cc_D,0.0035*($E146-K$6)/$E146,0.002*($E146-K$6)/($E146-3*cc_D/7))))-fcd_cc*(1-(1-MAX(0,MIN(1,IF($E146&lt;=cc_D,0.0035*($E146-K$6)/$E146,0.002*($E146-K$6)/($E146-3*cc_D/7))/0.002)))^2)</f>
        <v/>
      </c>
      <c r="L146">
        <f>MAX(-fyd_cc,MIN(fyd_cc,Es_cc*IF($E146&lt;=cc_D,0.0035*($E146-L$6)/$E146,0.002*($E146-L$6)/($E146-3*cc_D/7))))-fcd_cc*(1-(1-MAX(0,MIN(1,IF($E146&lt;=cc_D,0.0035*($E146-L$6)/$E146,0.002*($E146-L$6)/($E146-3*cc_D/7))/0.002)))^2)</f>
        <v/>
      </c>
      <c r="M146">
        <f>MAX(-fyd_cc,MIN(fyd_cc,Es_cc*IF($E146&lt;=cc_D,0.0035*($E146-M$6)/$E146,0.002*($E146-M$6)/($E146-3*cc_D/7))))-fcd_cc*(1-(1-MAX(0,MIN(1,IF($E146&lt;=cc_D,0.0035*($E146-M$6)/$E146,0.002*($E146-M$6)/($E146-3*cc_D/7))/0.002)))^2)</f>
        <v/>
      </c>
      <c r="N146">
        <f>MAX(-fyd_cc,MIN(fyd_cc,Es_cc*IF($E146&lt;=cc_D,0.0035*($E146-N$6)/$E146,0.002*($E146-N$6)/($E146-3*cc_D/7))))-fcd_cc*(1-(1-MAX(0,MIN(1,IF($E146&lt;=cc_D,0.0035*($E146-N$6)/$E146,0.002*($E146-N$6)/($E146-3*cc_D/7))/0.002)))^2)</f>
        <v/>
      </c>
      <c r="O146">
        <f>MAX(-fyd_cc,MIN(fyd_cc,Es_cc*IF($E146&lt;=cc_D,0.0035*($E146-O$6)/$E146,0.002*($E146-O$6)/($E146-3*cc_D/7))))-fcd_cc*(1-(1-MAX(0,MIN(1,IF($E146&lt;=cc_D,0.0035*($E146-O$6)/$E146,0.002*($E146-O$6)/($E146-3*cc_D/7))/0.002)))^2)</f>
        <v/>
      </c>
      <c r="P146">
        <f>MAX(-fyd_cc,MIN(fyd_cc,Es_cc*IF($E146&lt;=cc_D,0.0035*($E146-P$6)/$E146,0.002*($E146-P$6)/($E146-3*cc_D/7))))-fcd_cc*(1-(1-MAX(0,MIN(1,IF($E146&lt;=cc_D,0.0035*($E146-P$6)/$E146,0.002*($E146-P$6)/($E146-3*cc_D/7))/0.002)))^2)</f>
        <v/>
      </c>
      <c r="Q146">
        <f>MAX(-fyd_cc,MIN(fyd_cc,Es_cc*IF($E146&lt;=cc_D,0.0035*($E146-Q$6)/$E146,0.002*($E146-Q$6)/($E146-3*cc_D/7))))-fcd_cc*(1-(1-MAX(0,MIN(1,IF($E146&lt;=cc_D,0.0035*($E146-Q$6)/$E146,0.002*($E146-Q$6)/($E146-3*cc_D/7))/0.002)))^2)</f>
        <v/>
      </c>
      <c r="R146">
        <f>MAX(-fyd_cc,MIN(fyd_cc,Es_cc*IF($E146&lt;=cc_D,0.0035*($E146-R$6)/$E146,0.002*($E146-R$6)/($E146-3*cc_D/7))))-fcd_cc*(1-(1-MAX(0,MIN(1,IF($E146&lt;=cc_D,0.0035*($E146-R$6)/$E146,0.002*($E146-R$6)/($E146-3*cc_D/7))/0.002)))^2)</f>
        <v/>
      </c>
      <c r="S146">
        <f>MAX(-fyd_cc,MIN(fyd_cc,Es_cc*IF($E146&lt;=cc_D,0.0035*($E146-S$6)/$E146,0.002*($E146-S$6)/($E146-3*cc_D/7))))-fcd_cc*(1-(1-MAX(0,MIN(1,IF($E146&lt;=cc_D,0.0035*($E146-S$6)/$E146,0.002*($E146-S$6)/($E146-3*cc_D/7))/0.002)))^2)</f>
        <v/>
      </c>
      <c r="T146">
        <f>MAX(-fyd_cc,MIN(fyd_cc,Es_cc*IF($E146&lt;=cc_D,0.0035*($E146-T$6)/$E146,0.002*($E146-T$6)/($E146-3*cc_D/7))))-fcd_cc*(1-(1-MAX(0,MIN(1,IF($E146&lt;=cc_D,0.0035*($E146-T$6)/$E146,0.002*($E146-T$6)/($E146-3*cc_D/7))/0.002)))^2)</f>
        <v/>
      </c>
      <c r="U146">
        <f>MAX(-fyd_cc,MIN(fyd_cc,Es_cc*IF($E146&lt;=cc_D,0.0035*($E146-U$6)/$E146,0.002*($E146-U$6)/($E146-3*cc_D/7))))-fcd_cc*(1-(1-MAX(0,MIN(1,IF($E146&lt;=cc_D,0.0035*($E146-U$6)/$E146,0.002*($E146-U$6)/($E146-3*cc_D/7))/0.002)))^2)</f>
        <v/>
      </c>
      <c r="V146">
        <f>MAX(-fyd_cc,MIN(fyd_cc,Es_cc*IF($E146&lt;=cc_D,0.0035*($E146-V$6)/$E146,0.002*($E146-V$6)/($E146-3*cc_D/7))))-fcd_cc*(1-(1-MAX(0,MIN(1,IF($E146&lt;=cc_D,0.0035*($E146-V$6)/$E146,0.002*($E146-V$6)/($E146-3*cc_D/7))/0.002)))^2)</f>
        <v/>
      </c>
      <c r="W146">
        <f>MAX(-fyd_cc,MIN(fyd_cc,Es_cc*IF($E146&lt;=cc_D,0.0035*($E146-W$6)/$E146,0.002*($E146-W$6)/($E146-3*cc_D/7))))-fcd_cc*(1-(1-MAX(0,MIN(1,IF($E146&lt;=cc_D,0.0035*($E146-W$6)/$E146,0.002*($E146-W$6)/($E146-3*cc_D/7))/0.002)))^2)</f>
        <v/>
      </c>
      <c r="X146">
        <f>MAX(-fyd_cc,MIN(fyd_cc,Es_cc*IF($E146&lt;=cc_D,0.0035*($E146-X$6)/$E146,0.002*($E146-X$6)/($E146-3*cc_D/7))))-fcd_cc*(1-(1-MAX(0,MIN(1,IF($E146&lt;=cc_D,0.0035*($E146-X$6)/$E146,0.002*($E146-X$6)/($E146-3*cc_D/7))/0.002)))^2)</f>
        <v/>
      </c>
      <c r="Y146">
        <f>MAX(-fyd_cc,MIN(fyd_cc,Es_cc*IF($E146&lt;=cc_D,0.0035*($E146-Y$6)/$E146,0.002*($E146-Y$6)/($E146-3*cc_D/7))))-fcd_cc*(1-(1-MAX(0,MIN(1,IF($E146&lt;=cc_D,0.0035*($E146-Y$6)/$E146,0.002*($E146-Y$6)/($E146-3*cc_D/7))/0.002)))^2)</f>
        <v/>
      </c>
      <c r="Z146">
        <f>MAX(-fyd_cc,MIN(fyd_cc,Es_cc*IF($E146&lt;=cc_D,0.0035*($E146-Z$6)/$E146,0.002*($E146-Z$6)/($E146-3*cc_D/7))))-fcd_cc*(1-(1-MAX(0,MIN(1,IF($E146&lt;=cc_D,0.0035*($E146-Z$6)/$E146,0.002*($E146-Z$6)/($E146-3*cc_D/7))/0.002)))^2)</f>
        <v/>
      </c>
      <c r="AA146">
        <f>MAX(-fyd_cc,MIN(fyd_cc,Es_cc*IF($E146&lt;=cc_D,0.0035*($E146-AA$6)/$E146,0.002*($E146-AA$6)/($E146-3*cc_D/7))))-fcd_cc*(1-(1-MAX(0,MIN(1,IF($E146&lt;=cc_D,0.0035*($E146-AA$6)/$E146,0.002*($E146-AA$6)/($E146-3*cc_D/7))/0.002)))^2)</f>
        <v/>
      </c>
      <c r="AB146">
        <f>MAX(-fyd_cc,MIN(fyd_cc,Es_cc*IF($E146&lt;=cc_D,0.0035*($E146-AB$6)/$E146,0.002*($E146-AB$6)/($E146-3*cc_D/7))))-fcd_cc*(1-(1-MAX(0,MIN(1,IF($E146&lt;=cc_D,0.0035*($E146-AB$6)/$E146,0.002*($E146-AB$6)/($E146-3*cc_D/7))/0.002)))^2)</f>
        <v/>
      </c>
      <c r="AC146">
        <f>MAX(-fyd_cc,MIN(fyd_cc,Es_cc*IF($E146&lt;=cc_D,0.0035*($E146-AC$6)/$E146,0.002*($E146-AC$6)/($E146-3*cc_D/7))))-fcd_cc*(1-(1-MAX(0,MIN(1,IF($E146&lt;=cc_D,0.0035*($E146-AC$6)/$E146,0.002*($E146-AC$6)/($E146-3*cc_D/7))/0.002)))^2)</f>
        <v/>
      </c>
      <c r="AD146">
        <f>MAX(-fyd_cc,MIN(fyd_cc,Es_cc*IF($E146&lt;=cc_D,0.0035*($E146-AD$6)/$E146,0.002*($E146-AD$6)/($E146-3*cc_D/7))))-fcd_cc*(1-(1-MAX(0,MIN(1,IF($E146&lt;=cc_D,0.0035*($E146-AD$6)/$E146,0.002*($E146-AD$6)/($E146-3*cc_D/7))/0.002)))^2)</f>
        <v/>
      </c>
      <c r="AE146">
        <f>MAX(-fyd_cc,MIN(fyd_cc,Es_cc*IF($E146&lt;=cc_D,0.0035*($E146-AE$6)/$E146,0.002*($E146-AE$6)/($E146-3*cc_D/7))))-fcd_cc*(1-(1-MAX(0,MIN(1,IF($E146&lt;=cc_D,0.0035*($E146-AE$6)/$E146,0.002*($E146-AE$6)/($E146-3*cc_D/7))/0.002)))^2)</f>
        <v/>
      </c>
      <c r="AF146">
        <f>MAX(-fyd_cc,MIN(fyd_cc,Es_cc*IF($E146&lt;=cc_D,0.0035*($E146-AF$6)/$E146,0.002*($E146-AF$6)/($E146-3*cc_D/7))))-fcd_cc*(1-(1-MAX(0,MIN(1,IF($E146&lt;=cc_D,0.0035*($E146-AF$6)/$E146,0.002*($E146-AF$6)/($E146-3*cc_D/7))/0.002)))^2)</f>
        <v/>
      </c>
      <c r="AG146">
        <f>MAX(-fyd_cc,MIN(fyd_cc,Es_cc*IF($E146&lt;=cc_D,0.0035*($E146-AG$6)/$E146,0.002*($E146-AG$6)/($E146-3*cc_D/7))))-fcd_cc*(1-(1-MAX(0,MIN(1,IF($E146&lt;=cc_D,0.0035*($E146-AG$6)/$E146,0.002*($E146-AG$6)/($E146-3*cc_D/7))/0.002)))^2)</f>
        <v/>
      </c>
      <c r="BF146">
        <f>3*MIN($E146,cc_D)/7</f>
        <v/>
      </c>
      <c r="BG146">
        <f>$E146-$BF146</f>
        <v/>
      </c>
      <c r="BH146">
        <f>ACOS(MAX(-1,MIN(1,1-$BF146/(cc_D/2))))</f>
        <v/>
      </c>
      <c r="BI146">
        <f>ACOS(MAX(-1,MIN(1,1-MIN($E146,cc_D)/(cc_D/2))))</f>
        <v/>
      </c>
      <c r="BJ146">
        <f>((cc_D/2*(1-COS(($BH146+0*($BI146-$BH146)/12)))-$BF146)/$BG146)^2*SIN(($BH146+0*($BI146-$BH146)/12))^2</f>
        <v/>
      </c>
      <c r="BK146">
        <f>((cc_D/2*(1-COS(($BH146+1*($BI146-$BH146)/12)))-$BF146)/$BG146)^2*SIN(($BH146+1*($BI146-$BH146)/12))^2</f>
        <v/>
      </c>
      <c r="BL146">
        <f>((cc_D/2*(1-COS(($BH146+2*($BI146-$BH146)/12)))-$BF146)/$BG146)^2*SIN(($BH146+2*($BI146-$BH146)/12))^2</f>
        <v/>
      </c>
      <c r="BM146">
        <f>((cc_D/2*(1-COS(($BH146+3*($BI146-$BH146)/12)))-$BF146)/$BG146)^2*SIN(($BH146+3*($BI146-$BH146)/12))^2</f>
        <v/>
      </c>
      <c r="BN146">
        <f>((cc_D/2*(1-COS(($BH146+4*($BI146-$BH146)/12)))-$BF146)/$BG146)^2*SIN(($BH146+4*($BI146-$BH146)/12))^2</f>
        <v/>
      </c>
      <c r="BO146">
        <f>((cc_D/2*(1-COS(($BH146+5*($BI146-$BH146)/12)))-$BF146)/$BG146)^2*SIN(($BH146+5*($BI146-$BH146)/12))^2</f>
        <v/>
      </c>
      <c r="BP146">
        <f>((cc_D/2*(1-COS(($BH146+6*($BI146-$BH146)/12)))-$BF146)/$BG146)^2*SIN(($BH146+6*($BI146-$BH146)/12))^2</f>
        <v/>
      </c>
      <c r="BQ146">
        <f>((cc_D/2*(1-COS(($BH146+7*($BI146-$BH146)/12)))-$BF146)/$BG146)^2*SIN(($BH146+7*($BI146-$BH146)/12))^2</f>
        <v/>
      </c>
      <c r="BR146">
        <f>((cc_D/2*(1-COS(($BH146+8*($BI146-$BH146)/12)))-$BF146)/$BG146)^2*SIN(($BH146+8*($BI146-$BH146)/12))^2</f>
        <v/>
      </c>
      <c r="BS146">
        <f>((cc_D/2*(1-COS(($BH146+9*($BI146-$BH146)/12)))-$BF146)/$BG146)^2*SIN(($BH146+9*($BI146-$BH146)/12))^2</f>
        <v/>
      </c>
      <c r="BT146">
        <f>((cc_D/2*(1-COS(($BH146+10*($BI146-$BH146)/12)))-$BF146)/$BG146)^2*SIN(($BH146+10*($BI146-$BH146)/12))^2</f>
        <v/>
      </c>
      <c r="BU146">
        <f>((cc_D/2*(1-COS(($BH146+11*($BI146-$BH146)/12)))-$BF146)/$BG146)^2*SIN(($BH146+11*($BI146-$BH146)/12))^2</f>
        <v/>
      </c>
      <c r="BV146">
        <f>((cc_D/2*(1-COS(($BH146+12*($BI146-$BH146)/12)))-$BF146)/$BG146)^2*SIN(($BH146+12*($BI146-$BH146)/12))^2</f>
        <v/>
      </c>
      <c r="BW146">
        <f>BJ146*COS(($BH146+0*($BI146-$BH146)/12))</f>
        <v/>
      </c>
      <c r="BX146">
        <f>BK146*COS(($BH146+1*($BI146-$BH146)/12))</f>
        <v/>
      </c>
      <c r="BY146">
        <f>BL146*COS(($BH146+2*($BI146-$BH146)/12))</f>
        <v/>
      </c>
      <c r="BZ146">
        <f>BM146*COS(($BH146+3*($BI146-$BH146)/12))</f>
        <v/>
      </c>
      <c r="CA146">
        <f>BN146*COS(($BH146+4*($BI146-$BH146)/12))</f>
        <v/>
      </c>
      <c r="CB146">
        <f>BO146*COS(($BH146+5*($BI146-$BH146)/12))</f>
        <v/>
      </c>
      <c r="CC146">
        <f>BP146*COS(($BH146+6*($BI146-$BH146)/12))</f>
        <v/>
      </c>
      <c r="CD146">
        <f>BQ146*COS(($BH146+7*($BI146-$BH146)/12))</f>
        <v/>
      </c>
      <c r="CE146">
        <f>BR146*COS(($BH146+8*($BI146-$BH146)/12))</f>
        <v/>
      </c>
      <c r="CF146">
        <f>BS146*COS(($BH146+9*($BI146-$BH146)/12))</f>
        <v/>
      </c>
      <c r="CG146">
        <f>BT146*COS(($BH146+10*($BI146-$BH146)/12))</f>
        <v/>
      </c>
      <c r="CH146">
        <f>BU146*COS(($BH146+11*($BI146-$BH146)/12))</f>
        <v/>
      </c>
      <c r="CI146">
        <f>BV146*COS(($BH146+12*($BI146-$BH146)/12))</f>
        <v/>
      </c>
    </row>
    <row r="147">
      <c r="B147" s="65" t="n">
        <v>58</v>
      </c>
      <c r="C147" s="66">
        <f>IF($G146&lt;cc_NEd-1E-9*ABS(cc_NEd),($C146+$D146)/2,$C146)</f>
        <v/>
      </c>
      <c r="D147" s="66">
        <f>IF($G146&lt;cc_NEd-1E-9*ABS(cc_NEd),$D146,($C146+$D146)/2)</f>
        <v/>
      </c>
      <c r="E147" s="67">
        <f>cc_D*(($C147+$D147)/2)/(1-(($C147+$D147)/2))</f>
        <v/>
      </c>
      <c r="F147" s="68">
        <f>IF($E147&lt;=cc_D,3.5,2*$E147/($E147-3*cc_D/7))</f>
        <v/>
      </c>
      <c r="G147" s="67">
        <f>(fcd_cc*((cc_D/2)^2*($BI147-COS($BI147)*SIN($BI147))-2*(cc_D/2)^2*($BI147-$BH147)/12/3*SUMPRODUCT($BJ$4:$BV$4,$BJ147:$BV147))+SUMPRODUCT($J$5:$AG$5,$J147:$AG147))/1000</f>
        <v/>
      </c>
      <c r="H147" s="67">
        <f>(fcd_cc*(2/3*(cc_D/2)^3*SIN($BI147)^3-2*(cc_D/2)^3*($BI147-$BH147)/12/3*SUMPRODUCT($BW$4:$CI$4,$BW147:$CI147))+SUMPRODUCT($J$5:$AG$5,$J147:$AG147,$J$7:$AG$7))/1E6</f>
        <v/>
      </c>
      <c r="I147" s="67">
        <f>SUMPRODUCT($J$5:$AG$5,$J147:$AG147,$J$8:$AG$8)/1E6</f>
        <v/>
      </c>
      <c r="J147">
        <f>MAX(-fyd_cc,MIN(fyd_cc,Es_cc*IF($E147&lt;=cc_D,0.0035*($E147-J$6)/$E147,0.002*($E147-J$6)/($E147-3*cc_D/7))))-fcd_cc*(1-(1-MAX(0,MIN(1,IF($E147&lt;=cc_D,0.0035*($E147-J$6)/$E147,0.002*($E147-J$6)/($E147-3*cc_D/7))/0.002)))^2)</f>
        <v/>
      </c>
      <c r="K147">
        <f>MAX(-fyd_cc,MIN(fyd_cc,Es_cc*IF($E147&lt;=cc_D,0.0035*($E147-K$6)/$E147,0.002*($E147-K$6)/($E147-3*cc_D/7))))-fcd_cc*(1-(1-MAX(0,MIN(1,IF($E147&lt;=cc_D,0.0035*($E147-K$6)/$E147,0.002*($E147-K$6)/($E147-3*cc_D/7))/0.002)))^2)</f>
        <v/>
      </c>
      <c r="L147">
        <f>MAX(-fyd_cc,MIN(fyd_cc,Es_cc*IF($E147&lt;=cc_D,0.0035*($E147-L$6)/$E147,0.002*($E147-L$6)/($E147-3*cc_D/7))))-fcd_cc*(1-(1-MAX(0,MIN(1,IF($E147&lt;=cc_D,0.0035*($E147-L$6)/$E147,0.002*($E147-L$6)/($E147-3*cc_D/7))/0.002)))^2)</f>
        <v/>
      </c>
      <c r="M147">
        <f>MAX(-fyd_cc,MIN(fyd_cc,Es_cc*IF($E147&lt;=cc_D,0.0035*($E147-M$6)/$E147,0.002*($E147-M$6)/($E147-3*cc_D/7))))-fcd_cc*(1-(1-MAX(0,MIN(1,IF($E147&lt;=cc_D,0.0035*($E147-M$6)/$E147,0.002*($E147-M$6)/($E147-3*cc_D/7))/0.002)))^2)</f>
        <v/>
      </c>
      <c r="N147">
        <f>MAX(-fyd_cc,MIN(fyd_cc,Es_cc*IF($E147&lt;=cc_D,0.0035*($E147-N$6)/$E147,0.002*($E147-N$6)/($E147-3*cc_D/7))))-fcd_cc*(1-(1-MAX(0,MIN(1,IF($E147&lt;=cc_D,0.0035*($E147-N$6)/$E147,0.002*($E147-N$6)/($E147-3*cc_D/7))/0.002)))^2)</f>
        <v/>
      </c>
      <c r="O147">
        <f>MAX(-fyd_cc,MIN(fyd_cc,Es_cc*IF($E147&lt;=cc_D,0.0035*($E147-O$6)/$E147,0.002*($E147-O$6)/($E147-3*cc_D/7))))-fcd_cc*(1-(1-MAX(0,MIN(1,IF($E147&lt;=cc_D,0.0035*($E147-O$6)/$E147,0.002*($E147-O$6)/($E147-3*cc_D/7))/0.002)))^2)</f>
        <v/>
      </c>
      <c r="P147">
        <f>MAX(-fyd_cc,MIN(fyd_cc,Es_cc*IF($E147&lt;=cc_D,0.0035*($E147-P$6)/$E147,0.002*($E147-P$6)/($E147-3*cc_D/7))))-fcd_cc*(1-(1-MAX(0,MIN(1,IF($E147&lt;=cc_D,0.0035*($E147-P$6)/$E147,0.002*($E147-P$6)/($E147-3*cc_D/7))/0.002)))^2)</f>
        <v/>
      </c>
      <c r="Q147">
        <f>MAX(-fyd_cc,MIN(fyd_cc,Es_cc*IF($E147&lt;=cc_D,0.0035*($E147-Q$6)/$E147,0.002*($E147-Q$6)/($E147-3*cc_D/7))))-fcd_cc*(1-(1-MAX(0,MIN(1,IF($E147&lt;=cc_D,0.0035*($E147-Q$6)/$E147,0.002*($E147-Q$6)/($E147-3*cc_D/7))/0.002)))^2)</f>
        <v/>
      </c>
      <c r="R147">
        <f>MAX(-fyd_cc,MIN(fyd_cc,Es_cc*IF($E147&lt;=cc_D,0.0035*($E147-R$6)/$E147,0.002*($E147-R$6)/($E147-3*cc_D/7))))-fcd_cc*(1-(1-MAX(0,MIN(1,IF($E147&lt;=cc_D,0.0035*($E147-R$6)/$E147,0.002*($E147-R$6)/($E147-3*cc_D/7))/0.002)))^2)</f>
        <v/>
      </c>
      <c r="S147">
        <f>MAX(-fyd_cc,MIN(fyd_cc,Es_cc*IF($E147&lt;=cc_D,0.0035*($E147-S$6)/$E147,0.002*($E147-S$6)/($E147-3*cc_D/7))))-fcd_cc*(1-(1-MAX(0,MIN(1,IF($E147&lt;=cc_D,0.0035*($E147-S$6)/$E147,0.002*($E147-S$6)/($E147-3*cc_D/7))/0.002)))^2)</f>
        <v/>
      </c>
      <c r="T147">
        <f>MAX(-fyd_cc,MIN(fyd_cc,Es_cc*IF($E147&lt;=cc_D,0.0035*($E147-T$6)/$E147,0.002*($E147-T$6)/($E147-3*cc_D/7))))-fcd_cc*(1-(1-MAX(0,MIN(1,IF($E147&lt;=cc_D,0.0035*($E147-T$6)/$E147,0.002*($E147-T$6)/($E147-3*cc_D/7))/0.002)))^2)</f>
        <v/>
      </c>
      <c r="U147">
        <f>MAX(-fyd_cc,MIN(fyd_cc,Es_cc*IF($E147&lt;=cc_D,0.0035*($E147-U$6)/$E147,0.002*($E147-U$6)/($E147-3*cc_D/7))))-fcd_cc*(1-(1-MAX(0,MIN(1,IF($E147&lt;=cc_D,0.0035*($E147-U$6)/$E147,0.002*($E147-U$6)/($E147-3*cc_D/7))/0.002)))^2)</f>
        <v/>
      </c>
      <c r="V147">
        <f>MAX(-fyd_cc,MIN(fyd_cc,Es_cc*IF($E147&lt;=cc_D,0.0035*($E147-V$6)/$E147,0.002*($E147-V$6)/($E147-3*cc_D/7))))-fcd_cc*(1-(1-MAX(0,MIN(1,IF($E147&lt;=cc_D,0.0035*($E147-V$6)/$E147,0.002*($E147-V$6)/($E147-3*cc_D/7))/0.002)))^2)</f>
        <v/>
      </c>
      <c r="W147">
        <f>MAX(-fyd_cc,MIN(fyd_cc,Es_cc*IF($E147&lt;=cc_D,0.0035*($E147-W$6)/$E147,0.002*($E147-W$6)/($E147-3*cc_D/7))))-fcd_cc*(1-(1-MAX(0,MIN(1,IF($E147&lt;=cc_D,0.0035*($E147-W$6)/$E147,0.002*($E147-W$6)/($E147-3*cc_D/7))/0.002)))^2)</f>
        <v/>
      </c>
      <c r="X147">
        <f>MAX(-fyd_cc,MIN(fyd_cc,Es_cc*IF($E147&lt;=cc_D,0.0035*($E147-X$6)/$E147,0.002*($E147-X$6)/($E147-3*cc_D/7))))-fcd_cc*(1-(1-MAX(0,MIN(1,IF($E147&lt;=cc_D,0.0035*($E147-X$6)/$E147,0.002*($E147-X$6)/($E147-3*cc_D/7))/0.002)))^2)</f>
        <v/>
      </c>
      <c r="Y147">
        <f>MAX(-fyd_cc,MIN(fyd_cc,Es_cc*IF($E147&lt;=cc_D,0.0035*($E147-Y$6)/$E147,0.002*($E147-Y$6)/($E147-3*cc_D/7))))-fcd_cc*(1-(1-MAX(0,MIN(1,IF($E147&lt;=cc_D,0.0035*($E147-Y$6)/$E147,0.002*($E147-Y$6)/($E147-3*cc_D/7))/0.002)))^2)</f>
        <v/>
      </c>
      <c r="Z147">
        <f>MAX(-fyd_cc,MIN(fyd_cc,Es_cc*IF($E147&lt;=cc_D,0.0035*($E147-Z$6)/$E147,0.002*($E147-Z$6)/($E147-3*cc_D/7))))-fcd_cc*(1-(1-MAX(0,MIN(1,IF($E147&lt;=cc_D,0.0035*($E147-Z$6)/$E147,0.002*($E147-Z$6)/($E147-3*cc_D/7))/0.002)))^2)</f>
        <v/>
      </c>
      <c r="AA147">
        <f>MAX(-fyd_cc,MIN(fyd_cc,Es_cc*IF($E147&lt;=cc_D,0.0035*($E147-AA$6)/$E147,0.002*($E147-AA$6)/($E147-3*cc_D/7))))-fcd_cc*(1-(1-MAX(0,MIN(1,IF($E147&lt;=cc_D,0.0035*($E147-AA$6)/$E147,0.002*($E147-AA$6)/($E147-3*cc_D/7))/0.002)))^2)</f>
        <v/>
      </c>
      <c r="AB147">
        <f>MAX(-fyd_cc,MIN(fyd_cc,Es_cc*IF($E147&lt;=cc_D,0.0035*($E147-AB$6)/$E147,0.002*($E147-AB$6)/($E147-3*cc_D/7))))-fcd_cc*(1-(1-MAX(0,MIN(1,IF($E147&lt;=cc_D,0.0035*($E147-AB$6)/$E147,0.002*($E147-AB$6)/($E147-3*cc_D/7))/0.002)))^2)</f>
        <v/>
      </c>
      <c r="AC147">
        <f>MAX(-fyd_cc,MIN(fyd_cc,Es_cc*IF($E147&lt;=cc_D,0.0035*($E147-AC$6)/$E147,0.002*($E147-AC$6)/($E147-3*cc_D/7))))-fcd_cc*(1-(1-MAX(0,MIN(1,IF($E147&lt;=cc_D,0.0035*($E147-AC$6)/$E147,0.002*($E147-AC$6)/($E147-3*cc_D/7))/0.002)))^2)</f>
        <v/>
      </c>
      <c r="AD147">
        <f>MAX(-fyd_cc,MIN(fyd_cc,Es_cc*IF($E147&lt;=cc_D,0.0035*($E147-AD$6)/$E147,0.002*($E147-AD$6)/($E147-3*cc_D/7))))-fcd_cc*(1-(1-MAX(0,MIN(1,IF($E147&lt;=cc_D,0.0035*($E147-AD$6)/$E147,0.002*($E147-AD$6)/($E147-3*cc_D/7))/0.002)))^2)</f>
        <v/>
      </c>
      <c r="AE147">
        <f>MAX(-fyd_cc,MIN(fyd_cc,Es_cc*IF($E147&lt;=cc_D,0.0035*($E147-AE$6)/$E147,0.002*($E147-AE$6)/($E147-3*cc_D/7))))-fcd_cc*(1-(1-MAX(0,MIN(1,IF($E147&lt;=cc_D,0.0035*($E147-AE$6)/$E147,0.002*($E147-AE$6)/($E147-3*cc_D/7))/0.002)))^2)</f>
        <v/>
      </c>
      <c r="AF147">
        <f>MAX(-fyd_cc,MIN(fyd_cc,Es_cc*IF($E147&lt;=cc_D,0.0035*($E147-AF$6)/$E147,0.002*($E147-AF$6)/($E147-3*cc_D/7))))-fcd_cc*(1-(1-MAX(0,MIN(1,IF($E147&lt;=cc_D,0.0035*($E147-AF$6)/$E147,0.002*($E147-AF$6)/($E147-3*cc_D/7))/0.002)))^2)</f>
        <v/>
      </c>
      <c r="AG147">
        <f>MAX(-fyd_cc,MIN(fyd_cc,Es_cc*IF($E147&lt;=cc_D,0.0035*($E147-AG$6)/$E147,0.002*($E147-AG$6)/($E147-3*cc_D/7))))-fcd_cc*(1-(1-MAX(0,MIN(1,IF($E147&lt;=cc_D,0.0035*($E147-AG$6)/$E147,0.002*($E147-AG$6)/($E147-3*cc_D/7))/0.002)))^2)</f>
        <v/>
      </c>
      <c r="BF147">
        <f>3*MIN($E147,cc_D)/7</f>
        <v/>
      </c>
      <c r="BG147">
        <f>$E147-$BF147</f>
        <v/>
      </c>
      <c r="BH147">
        <f>ACOS(MAX(-1,MIN(1,1-$BF147/(cc_D/2))))</f>
        <v/>
      </c>
      <c r="BI147">
        <f>ACOS(MAX(-1,MIN(1,1-MIN($E147,cc_D)/(cc_D/2))))</f>
        <v/>
      </c>
      <c r="BJ147">
        <f>((cc_D/2*(1-COS(($BH147+0*($BI147-$BH147)/12)))-$BF147)/$BG147)^2*SIN(($BH147+0*($BI147-$BH147)/12))^2</f>
        <v/>
      </c>
      <c r="BK147">
        <f>((cc_D/2*(1-COS(($BH147+1*($BI147-$BH147)/12)))-$BF147)/$BG147)^2*SIN(($BH147+1*($BI147-$BH147)/12))^2</f>
        <v/>
      </c>
      <c r="BL147">
        <f>((cc_D/2*(1-COS(($BH147+2*($BI147-$BH147)/12)))-$BF147)/$BG147)^2*SIN(($BH147+2*($BI147-$BH147)/12))^2</f>
        <v/>
      </c>
      <c r="BM147">
        <f>((cc_D/2*(1-COS(($BH147+3*($BI147-$BH147)/12)))-$BF147)/$BG147)^2*SIN(($BH147+3*($BI147-$BH147)/12))^2</f>
        <v/>
      </c>
      <c r="BN147">
        <f>((cc_D/2*(1-COS(($BH147+4*($BI147-$BH147)/12)))-$BF147)/$BG147)^2*SIN(($BH147+4*($BI147-$BH147)/12))^2</f>
        <v/>
      </c>
      <c r="BO147">
        <f>((cc_D/2*(1-COS(($BH147+5*($BI147-$BH147)/12)))-$BF147)/$BG147)^2*SIN(($BH147+5*($BI147-$BH147)/12))^2</f>
        <v/>
      </c>
      <c r="BP147">
        <f>((cc_D/2*(1-COS(($BH147+6*($BI147-$BH147)/12)))-$BF147)/$BG147)^2*SIN(($BH147+6*($BI147-$BH147)/12))^2</f>
        <v/>
      </c>
      <c r="BQ147">
        <f>((cc_D/2*(1-COS(($BH147+7*($BI147-$BH147)/12)))-$BF147)/$BG147)^2*SIN(($BH147+7*($BI147-$BH147)/12))^2</f>
        <v/>
      </c>
      <c r="BR147">
        <f>((cc_D/2*(1-COS(($BH147+8*($BI147-$BH147)/12)))-$BF147)/$BG147)^2*SIN(($BH147+8*($BI147-$BH147)/12))^2</f>
        <v/>
      </c>
      <c r="BS147">
        <f>((cc_D/2*(1-COS(($BH147+9*($BI147-$BH147)/12)))-$BF147)/$BG147)^2*SIN(($BH147+9*($BI147-$BH147)/12))^2</f>
        <v/>
      </c>
      <c r="BT147">
        <f>((cc_D/2*(1-COS(($BH147+10*($BI147-$BH147)/12)))-$BF147)/$BG147)^2*SIN(($BH147+10*($BI147-$BH147)/12))^2</f>
        <v/>
      </c>
      <c r="BU147">
        <f>((cc_D/2*(1-COS(($BH147+11*($BI147-$BH147)/12)))-$BF147)/$BG147)^2*SIN(($BH147+11*($BI147-$BH147)/12))^2</f>
        <v/>
      </c>
      <c r="BV147">
        <f>((cc_D/2*(1-COS(($BH147+12*($BI147-$BH147)/12)))-$BF147)/$BG147)^2*SIN(($BH147+12*($BI147-$BH147)/12))^2</f>
        <v/>
      </c>
      <c r="BW147">
        <f>BJ147*COS(($BH147+0*($BI147-$BH147)/12))</f>
        <v/>
      </c>
      <c r="BX147">
        <f>BK147*COS(($BH147+1*($BI147-$BH147)/12))</f>
        <v/>
      </c>
      <c r="BY147">
        <f>BL147*COS(($BH147+2*($BI147-$BH147)/12))</f>
        <v/>
      </c>
      <c r="BZ147">
        <f>BM147*COS(($BH147+3*($BI147-$BH147)/12))</f>
        <v/>
      </c>
      <c r="CA147">
        <f>BN147*COS(($BH147+4*($BI147-$BH147)/12))</f>
        <v/>
      </c>
      <c r="CB147">
        <f>BO147*COS(($BH147+5*($BI147-$BH147)/12))</f>
        <v/>
      </c>
      <c r="CC147">
        <f>BP147*COS(($BH147+6*($BI147-$BH147)/12))</f>
        <v/>
      </c>
      <c r="CD147">
        <f>BQ147*COS(($BH147+7*($BI147-$BH147)/12))</f>
        <v/>
      </c>
      <c r="CE147">
        <f>BR147*COS(($BH147+8*($BI147-$BH147)/12))</f>
        <v/>
      </c>
      <c r="CF147">
        <f>BS147*COS(($BH147+9*($BI147-$BH147)/12))</f>
        <v/>
      </c>
      <c r="CG147">
        <f>BT147*COS(($BH147+10*($BI147-$BH147)/12))</f>
        <v/>
      </c>
      <c r="CH147">
        <f>BU147*COS(($BH147+11*($BI147-$BH147)/12))</f>
        <v/>
      </c>
      <c r="CI147">
        <f>BV147*COS(($BH147+12*($BI147-$BH147)/12))</f>
        <v/>
      </c>
    </row>
    <row r="148">
      <c r="B148" s="65" t="n">
        <v>59</v>
      </c>
      <c r="C148" s="66">
        <f>IF($G147&lt;cc_NEd-1E-9*ABS(cc_NEd),($C147+$D147)/2,$C147)</f>
        <v/>
      </c>
      <c r="D148" s="66">
        <f>IF($G147&lt;cc_NEd-1E-9*ABS(cc_NEd),$D147,($C147+$D147)/2)</f>
        <v/>
      </c>
      <c r="E148" s="67">
        <f>cc_D*(($C148+$D148)/2)/(1-(($C148+$D148)/2))</f>
        <v/>
      </c>
      <c r="F148" s="68">
        <f>IF($E148&lt;=cc_D,3.5,2*$E148/($E148-3*cc_D/7))</f>
        <v/>
      </c>
      <c r="G148" s="67">
        <f>(fcd_cc*((cc_D/2)^2*($BI148-COS($BI148)*SIN($BI148))-2*(cc_D/2)^2*($BI148-$BH148)/12/3*SUMPRODUCT($BJ$4:$BV$4,$BJ148:$BV148))+SUMPRODUCT($J$5:$AG$5,$J148:$AG148))/1000</f>
        <v/>
      </c>
      <c r="H148" s="67">
        <f>(fcd_cc*(2/3*(cc_D/2)^3*SIN($BI148)^3-2*(cc_D/2)^3*($BI148-$BH148)/12/3*SUMPRODUCT($BW$4:$CI$4,$BW148:$CI148))+SUMPRODUCT($J$5:$AG$5,$J148:$AG148,$J$7:$AG$7))/1E6</f>
        <v/>
      </c>
      <c r="I148" s="67">
        <f>SUMPRODUCT($J$5:$AG$5,$J148:$AG148,$J$8:$AG$8)/1E6</f>
        <v/>
      </c>
      <c r="J148">
        <f>MAX(-fyd_cc,MIN(fyd_cc,Es_cc*IF($E148&lt;=cc_D,0.0035*($E148-J$6)/$E148,0.002*($E148-J$6)/($E148-3*cc_D/7))))-fcd_cc*(1-(1-MAX(0,MIN(1,IF($E148&lt;=cc_D,0.0035*($E148-J$6)/$E148,0.002*($E148-J$6)/($E148-3*cc_D/7))/0.002)))^2)</f>
        <v/>
      </c>
      <c r="K148">
        <f>MAX(-fyd_cc,MIN(fyd_cc,Es_cc*IF($E148&lt;=cc_D,0.0035*($E148-K$6)/$E148,0.002*($E148-K$6)/($E148-3*cc_D/7))))-fcd_cc*(1-(1-MAX(0,MIN(1,IF($E148&lt;=cc_D,0.0035*($E148-K$6)/$E148,0.002*($E148-K$6)/($E148-3*cc_D/7))/0.002)))^2)</f>
        <v/>
      </c>
      <c r="L148">
        <f>MAX(-fyd_cc,MIN(fyd_cc,Es_cc*IF($E148&lt;=cc_D,0.0035*($E148-L$6)/$E148,0.002*($E148-L$6)/($E148-3*cc_D/7))))-fcd_cc*(1-(1-MAX(0,MIN(1,IF($E148&lt;=cc_D,0.0035*($E148-L$6)/$E148,0.002*($E148-L$6)/($E148-3*cc_D/7))/0.002)))^2)</f>
        <v/>
      </c>
      <c r="M148">
        <f>MAX(-fyd_cc,MIN(fyd_cc,Es_cc*IF($E148&lt;=cc_D,0.0035*($E148-M$6)/$E148,0.002*($E148-M$6)/($E148-3*cc_D/7))))-fcd_cc*(1-(1-MAX(0,MIN(1,IF($E148&lt;=cc_D,0.0035*($E148-M$6)/$E148,0.002*($E148-M$6)/($E148-3*cc_D/7))/0.002)))^2)</f>
        <v/>
      </c>
      <c r="N148">
        <f>MAX(-fyd_cc,MIN(fyd_cc,Es_cc*IF($E148&lt;=cc_D,0.0035*($E148-N$6)/$E148,0.002*($E148-N$6)/($E148-3*cc_D/7))))-fcd_cc*(1-(1-MAX(0,MIN(1,IF($E148&lt;=cc_D,0.0035*($E148-N$6)/$E148,0.002*($E148-N$6)/($E148-3*cc_D/7))/0.002)))^2)</f>
        <v/>
      </c>
      <c r="O148">
        <f>MAX(-fyd_cc,MIN(fyd_cc,Es_cc*IF($E148&lt;=cc_D,0.0035*($E148-O$6)/$E148,0.002*($E148-O$6)/($E148-3*cc_D/7))))-fcd_cc*(1-(1-MAX(0,MIN(1,IF($E148&lt;=cc_D,0.0035*($E148-O$6)/$E148,0.002*($E148-O$6)/($E148-3*cc_D/7))/0.002)))^2)</f>
        <v/>
      </c>
      <c r="P148">
        <f>MAX(-fyd_cc,MIN(fyd_cc,Es_cc*IF($E148&lt;=cc_D,0.0035*($E148-P$6)/$E148,0.002*($E148-P$6)/($E148-3*cc_D/7))))-fcd_cc*(1-(1-MAX(0,MIN(1,IF($E148&lt;=cc_D,0.0035*($E148-P$6)/$E148,0.002*($E148-P$6)/($E148-3*cc_D/7))/0.002)))^2)</f>
        <v/>
      </c>
      <c r="Q148">
        <f>MAX(-fyd_cc,MIN(fyd_cc,Es_cc*IF($E148&lt;=cc_D,0.0035*($E148-Q$6)/$E148,0.002*($E148-Q$6)/($E148-3*cc_D/7))))-fcd_cc*(1-(1-MAX(0,MIN(1,IF($E148&lt;=cc_D,0.0035*($E148-Q$6)/$E148,0.002*($E148-Q$6)/($E148-3*cc_D/7))/0.002)))^2)</f>
        <v/>
      </c>
      <c r="R148">
        <f>MAX(-fyd_cc,MIN(fyd_cc,Es_cc*IF($E148&lt;=cc_D,0.0035*($E148-R$6)/$E148,0.002*($E148-R$6)/($E148-3*cc_D/7))))-fcd_cc*(1-(1-MAX(0,MIN(1,IF($E148&lt;=cc_D,0.0035*($E148-R$6)/$E148,0.002*($E148-R$6)/($E148-3*cc_D/7))/0.002)))^2)</f>
        <v/>
      </c>
      <c r="S148">
        <f>MAX(-fyd_cc,MIN(fyd_cc,Es_cc*IF($E148&lt;=cc_D,0.0035*($E148-S$6)/$E148,0.002*($E148-S$6)/($E148-3*cc_D/7))))-fcd_cc*(1-(1-MAX(0,MIN(1,IF($E148&lt;=cc_D,0.0035*($E148-S$6)/$E148,0.002*($E148-S$6)/($E148-3*cc_D/7))/0.002)))^2)</f>
        <v/>
      </c>
      <c r="T148">
        <f>MAX(-fyd_cc,MIN(fyd_cc,Es_cc*IF($E148&lt;=cc_D,0.0035*($E148-T$6)/$E148,0.002*($E148-T$6)/($E148-3*cc_D/7))))-fcd_cc*(1-(1-MAX(0,MIN(1,IF($E148&lt;=cc_D,0.0035*($E148-T$6)/$E148,0.002*($E148-T$6)/($E148-3*cc_D/7))/0.002)))^2)</f>
        <v/>
      </c>
      <c r="U148">
        <f>MAX(-fyd_cc,MIN(fyd_cc,Es_cc*IF($E148&lt;=cc_D,0.0035*($E148-U$6)/$E148,0.002*($E148-U$6)/($E148-3*cc_D/7))))-fcd_cc*(1-(1-MAX(0,MIN(1,IF($E148&lt;=cc_D,0.0035*($E148-U$6)/$E148,0.002*($E148-U$6)/($E148-3*cc_D/7))/0.002)))^2)</f>
        <v/>
      </c>
      <c r="V148">
        <f>MAX(-fyd_cc,MIN(fyd_cc,Es_cc*IF($E148&lt;=cc_D,0.0035*($E148-V$6)/$E148,0.002*($E148-V$6)/($E148-3*cc_D/7))))-fcd_cc*(1-(1-MAX(0,MIN(1,IF($E148&lt;=cc_D,0.0035*($E148-V$6)/$E148,0.002*($E148-V$6)/($E148-3*cc_D/7))/0.002)))^2)</f>
        <v/>
      </c>
      <c r="W148">
        <f>MAX(-fyd_cc,MIN(fyd_cc,Es_cc*IF($E148&lt;=cc_D,0.0035*($E148-W$6)/$E148,0.002*($E148-W$6)/($E148-3*cc_D/7))))-fcd_cc*(1-(1-MAX(0,MIN(1,IF($E148&lt;=cc_D,0.0035*($E148-W$6)/$E148,0.002*($E148-W$6)/($E148-3*cc_D/7))/0.002)))^2)</f>
        <v/>
      </c>
      <c r="X148">
        <f>MAX(-fyd_cc,MIN(fyd_cc,Es_cc*IF($E148&lt;=cc_D,0.0035*($E148-X$6)/$E148,0.002*($E148-X$6)/($E148-3*cc_D/7))))-fcd_cc*(1-(1-MAX(0,MIN(1,IF($E148&lt;=cc_D,0.0035*($E148-X$6)/$E148,0.002*($E148-X$6)/($E148-3*cc_D/7))/0.002)))^2)</f>
        <v/>
      </c>
      <c r="Y148">
        <f>MAX(-fyd_cc,MIN(fyd_cc,Es_cc*IF($E148&lt;=cc_D,0.0035*($E148-Y$6)/$E148,0.002*($E148-Y$6)/($E148-3*cc_D/7))))-fcd_cc*(1-(1-MAX(0,MIN(1,IF($E148&lt;=cc_D,0.0035*($E148-Y$6)/$E148,0.002*($E148-Y$6)/($E148-3*cc_D/7))/0.002)))^2)</f>
        <v/>
      </c>
      <c r="Z148">
        <f>MAX(-fyd_cc,MIN(fyd_cc,Es_cc*IF($E148&lt;=cc_D,0.0035*($E148-Z$6)/$E148,0.002*($E148-Z$6)/($E148-3*cc_D/7))))-fcd_cc*(1-(1-MAX(0,MIN(1,IF($E148&lt;=cc_D,0.0035*($E148-Z$6)/$E148,0.002*($E148-Z$6)/($E148-3*cc_D/7))/0.002)))^2)</f>
        <v/>
      </c>
      <c r="AA148">
        <f>MAX(-fyd_cc,MIN(fyd_cc,Es_cc*IF($E148&lt;=cc_D,0.0035*($E148-AA$6)/$E148,0.002*($E148-AA$6)/($E148-3*cc_D/7))))-fcd_cc*(1-(1-MAX(0,MIN(1,IF($E148&lt;=cc_D,0.0035*($E148-AA$6)/$E148,0.002*($E148-AA$6)/($E148-3*cc_D/7))/0.002)))^2)</f>
        <v/>
      </c>
      <c r="AB148">
        <f>MAX(-fyd_cc,MIN(fyd_cc,Es_cc*IF($E148&lt;=cc_D,0.0035*($E148-AB$6)/$E148,0.002*($E148-AB$6)/($E148-3*cc_D/7))))-fcd_cc*(1-(1-MAX(0,MIN(1,IF($E148&lt;=cc_D,0.0035*($E148-AB$6)/$E148,0.002*($E148-AB$6)/($E148-3*cc_D/7))/0.002)))^2)</f>
        <v/>
      </c>
      <c r="AC148">
        <f>MAX(-fyd_cc,MIN(fyd_cc,Es_cc*IF($E148&lt;=cc_D,0.0035*($E148-AC$6)/$E148,0.002*($E148-AC$6)/($E148-3*cc_D/7))))-fcd_cc*(1-(1-MAX(0,MIN(1,IF($E148&lt;=cc_D,0.0035*($E148-AC$6)/$E148,0.002*($E148-AC$6)/($E148-3*cc_D/7))/0.002)))^2)</f>
        <v/>
      </c>
      <c r="AD148">
        <f>MAX(-fyd_cc,MIN(fyd_cc,Es_cc*IF($E148&lt;=cc_D,0.0035*($E148-AD$6)/$E148,0.002*($E148-AD$6)/($E148-3*cc_D/7))))-fcd_cc*(1-(1-MAX(0,MIN(1,IF($E148&lt;=cc_D,0.0035*($E148-AD$6)/$E148,0.002*($E148-AD$6)/($E148-3*cc_D/7))/0.002)))^2)</f>
        <v/>
      </c>
      <c r="AE148">
        <f>MAX(-fyd_cc,MIN(fyd_cc,Es_cc*IF($E148&lt;=cc_D,0.0035*($E148-AE$6)/$E148,0.002*($E148-AE$6)/($E148-3*cc_D/7))))-fcd_cc*(1-(1-MAX(0,MIN(1,IF($E148&lt;=cc_D,0.0035*($E148-AE$6)/$E148,0.002*($E148-AE$6)/($E148-3*cc_D/7))/0.002)))^2)</f>
        <v/>
      </c>
      <c r="AF148">
        <f>MAX(-fyd_cc,MIN(fyd_cc,Es_cc*IF($E148&lt;=cc_D,0.0035*($E148-AF$6)/$E148,0.002*($E148-AF$6)/($E148-3*cc_D/7))))-fcd_cc*(1-(1-MAX(0,MIN(1,IF($E148&lt;=cc_D,0.0035*($E148-AF$6)/$E148,0.002*($E148-AF$6)/($E148-3*cc_D/7))/0.002)))^2)</f>
        <v/>
      </c>
      <c r="AG148">
        <f>MAX(-fyd_cc,MIN(fyd_cc,Es_cc*IF($E148&lt;=cc_D,0.0035*($E148-AG$6)/$E148,0.002*($E148-AG$6)/($E148-3*cc_D/7))))-fcd_cc*(1-(1-MAX(0,MIN(1,IF($E148&lt;=cc_D,0.0035*($E148-AG$6)/$E148,0.002*($E148-AG$6)/($E148-3*cc_D/7))/0.002)))^2)</f>
        <v/>
      </c>
      <c r="BF148">
        <f>3*MIN($E148,cc_D)/7</f>
        <v/>
      </c>
      <c r="BG148">
        <f>$E148-$BF148</f>
        <v/>
      </c>
      <c r="BH148">
        <f>ACOS(MAX(-1,MIN(1,1-$BF148/(cc_D/2))))</f>
        <v/>
      </c>
      <c r="BI148">
        <f>ACOS(MAX(-1,MIN(1,1-MIN($E148,cc_D)/(cc_D/2))))</f>
        <v/>
      </c>
      <c r="BJ148">
        <f>((cc_D/2*(1-COS(($BH148+0*($BI148-$BH148)/12)))-$BF148)/$BG148)^2*SIN(($BH148+0*($BI148-$BH148)/12))^2</f>
        <v/>
      </c>
      <c r="BK148">
        <f>((cc_D/2*(1-COS(($BH148+1*($BI148-$BH148)/12)))-$BF148)/$BG148)^2*SIN(($BH148+1*($BI148-$BH148)/12))^2</f>
        <v/>
      </c>
      <c r="BL148">
        <f>((cc_D/2*(1-COS(($BH148+2*($BI148-$BH148)/12)))-$BF148)/$BG148)^2*SIN(($BH148+2*($BI148-$BH148)/12))^2</f>
        <v/>
      </c>
      <c r="BM148">
        <f>((cc_D/2*(1-COS(($BH148+3*($BI148-$BH148)/12)))-$BF148)/$BG148)^2*SIN(($BH148+3*($BI148-$BH148)/12))^2</f>
        <v/>
      </c>
      <c r="BN148">
        <f>((cc_D/2*(1-COS(($BH148+4*($BI148-$BH148)/12)))-$BF148)/$BG148)^2*SIN(($BH148+4*($BI148-$BH148)/12))^2</f>
        <v/>
      </c>
      <c r="BO148">
        <f>((cc_D/2*(1-COS(($BH148+5*($BI148-$BH148)/12)))-$BF148)/$BG148)^2*SIN(($BH148+5*($BI148-$BH148)/12))^2</f>
        <v/>
      </c>
      <c r="BP148">
        <f>((cc_D/2*(1-COS(($BH148+6*($BI148-$BH148)/12)))-$BF148)/$BG148)^2*SIN(($BH148+6*($BI148-$BH148)/12))^2</f>
        <v/>
      </c>
      <c r="BQ148">
        <f>((cc_D/2*(1-COS(($BH148+7*($BI148-$BH148)/12)))-$BF148)/$BG148)^2*SIN(($BH148+7*($BI148-$BH148)/12))^2</f>
        <v/>
      </c>
      <c r="BR148">
        <f>((cc_D/2*(1-COS(($BH148+8*($BI148-$BH148)/12)))-$BF148)/$BG148)^2*SIN(($BH148+8*($BI148-$BH148)/12))^2</f>
        <v/>
      </c>
      <c r="BS148">
        <f>((cc_D/2*(1-COS(($BH148+9*($BI148-$BH148)/12)))-$BF148)/$BG148)^2*SIN(($BH148+9*($BI148-$BH148)/12))^2</f>
        <v/>
      </c>
      <c r="BT148">
        <f>((cc_D/2*(1-COS(($BH148+10*($BI148-$BH148)/12)))-$BF148)/$BG148)^2*SIN(($BH148+10*($BI148-$BH148)/12))^2</f>
        <v/>
      </c>
      <c r="BU148">
        <f>((cc_D/2*(1-COS(($BH148+11*($BI148-$BH148)/12)))-$BF148)/$BG148)^2*SIN(($BH148+11*($BI148-$BH148)/12))^2</f>
        <v/>
      </c>
      <c r="BV148">
        <f>((cc_D/2*(1-COS(($BH148+12*($BI148-$BH148)/12)))-$BF148)/$BG148)^2*SIN(($BH148+12*($BI148-$BH148)/12))^2</f>
        <v/>
      </c>
      <c r="BW148">
        <f>BJ148*COS(($BH148+0*($BI148-$BH148)/12))</f>
        <v/>
      </c>
      <c r="BX148">
        <f>BK148*COS(($BH148+1*($BI148-$BH148)/12))</f>
        <v/>
      </c>
      <c r="BY148">
        <f>BL148*COS(($BH148+2*($BI148-$BH148)/12))</f>
        <v/>
      </c>
      <c r="BZ148">
        <f>BM148*COS(($BH148+3*($BI148-$BH148)/12))</f>
        <v/>
      </c>
      <c r="CA148">
        <f>BN148*COS(($BH148+4*($BI148-$BH148)/12))</f>
        <v/>
      </c>
      <c r="CB148">
        <f>BO148*COS(($BH148+5*($BI148-$BH148)/12))</f>
        <v/>
      </c>
      <c r="CC148">
        <f>BP148*COS(($BH148+6*($BI148-$BH148)/12))</f>
        <v/>
      </c>
      <c r="CD148">
        <f>BQ148*COS(($BH148+7*($BI148-$BH148)/12))</f>
        <v/>
      </c>
      <c r="CE148">
        <f>BR148*COS(($BH148+8*($BI148-$BH148)/12))</f>
        <v/>
      </c>
      <c r="CF148">
        <f>BS148*COS(($BH148+9*($BI148-$BH148)/12))</f>
        <v/>
      </c>
      <c r="CG148">
        <f>BT148*COS(($BH148+10*($BI148-$BH148)/12))</f>
        <v/>
      </c>
      <c r="CH148">
        <f>BU148*COS(($BH148+11*($BI148-$BH148)/12))</f>
        <v/>
      </c>
      <c r="CI148">
        <f>BV148*COS(($BH148+12*($BI148-$BH148)/12))</f>
        <v/>
      </c>
    </row>
    <row r="149">
      <c r="B149" s="65" t="n">
        <v>60</v>
      </c>
      <c r="C149" s="66">
        <f>IF($G148&lt;cc_NEd-1E-9*ABS(cc_NEd),($C148+$D148)/2,$C148)</f>
        <v/>
      </c>
      <c r="D149" s="66">
        <f>IF($G148&lt;cc_NEd-1E-9*ABS(cc_NEd),$D148,($C148+$D148)/2)</f>
        <v/>
      </c>
      <c r="E149" s="67">
        <f>cc_D*(($C149+$D149)/2)/(1-(($C149+$D149)/2))</f>
        <v/>
      </c>
      <c r="F149" s="68">
        <f>IF($E149&lt;=cc_D,3.5,2*$E149/($E149-3*cc_D/7))</f>
        <v/>
      </c>
      <c r="G149" s="67">
        <f>(fcd_cc*((cc_D/2)^2*($BI149-COS($BI149)*SIN($BI149))-2*(cc_D/2)^2*($BI149-$BH149)/12/3*SUMPRODUCT($BJ$4:$BV$4,$BJ149:$BV149))+SUMPRODUCT($J$5:$AG$5,$J149:$AG149))/1000</f>
        <v/>
      </c>
      <c r="H149" s="67">
        <f>(fcd_cc*(2/3*(cc_D/2)^3*SIN($BI149)^3-2*(cc_D/2)^3*($BI149-$BH149)/12/3*SUMPRODUCT($BW$4:$CI$4,$BW149:$CI149))+SUMPRODUCT($J$5:$AG$5,$J149:$AG149,$J$7:$AG$7))/1E6</f>
        <v/>
      </c>
      <c r="I149" s="67">
        <f>SUMPRODUCT($J$5:$AG$5,$J149:$AG149,$J$8:$AG$8)/1E6</f>
        <v/>
      </c>
      <c r="J149">
        <f>MAX(-fyd_cc,MIN(fyd_cc,Es_cc*IF($E149&lt;=cc_D,0.0035*($E149-J$6)/$E149,0.002*($E149-J$6)/($E149-3*cc_D/7))))-fcd_cc*(1-(1-MAX(0,MIN(1,IF($E149&lt;=cc_D,0.0035*($E149-J$6)/$E149,0.002*($E149-J$6)/($E149-3*cc_D/7))/0.002)))^2)</f>
        <v/>
      </c>
      <c r="K149">
        <f>MAX(-fyd_cc,MIN(fyd_cc,Es_cc*IF($E149&lt;=cc_D,0.0035*($E149-K$6)/$E149,0.002*($E149-K$6)/($E149-3*cc_D/7))))-fcd_cc*(1-(1-MAX(0,MIN(1,IF($E149&lt;=cc_D,0.0035*($E149-K$6)/$E149,0.002*($E149-K$6)/($E149-3*cc_D/7))/0.002)))^2)</f>
        <v/>
      </c>
      <c r="L149">
        <f>MAX(-fyd_cc,MIN(fyd_cc,Es_cc*IF($E149&lt;=cc_D,0.0035*($E149-L$6)/$E149,0.002*($E149-L$6)/($E149-3*cc_D/7))))-fcd_cc*(1-(1-MAX(0,MIN(1,IF($E149&lt;=cc_D,0.0035*($E149-L$6)/$E149,0.002*($E149-L$6)/($E149-3*cc_D/7))/0.002)))^2)</f>
        <v/>
      </c>
      <c r="M149">
        <f>MAX(-fyd_cc,MIN(fyd_cc,Es_cc*IF($E149&lt;=cc_D,0.0035*($E149-M$6)/$E149,0.002*($E149-M$6)/($E149-3*cc_D/7))))-fcd_cc*(1-(1-MAX(0,MIN(1,IF($E149&lt;=cc_D,0.0035*($E149-M$6)/$E149,0.002*($E149-M$6)/($E149-3*cc_D/7))/0.002)))^2)</f>
        <v/>
      </c>
      <c r="N149">
        <f>MAX(-fyd_cc,MIN(fyd_cc,Es_cc*IF($E149&lt;=cc_D,0.0035*($E149-N$6)/$E149,0.002*($E149-N$6)/($E149-3*cc_D/7))))-fcd_cc*(1-(1-MAX(0,MIN(1,IF($E149&lt;=cc_D,0.0035*($E149-N$6)/$E149,0.002*($E149-N$6)/($E149-3*cc_D/7))/0.002)))^2)</f>
        <v/>
      </c>
      <c r="O149">
        <f>MAX(-fyd_cc,MIN(fyd_cc,Es_cc*IF($E149&lt;=cc_D,0.0035*($E149-O$6)/$E149,0.002*($E149-O$6)/($E149-3*cc_D/7))))-fcd_cc*(1-(1-MAX(0,MIN(1,IF($E149&lt;=cc_D,0.0035*($E149-O$6)/$E149,0.002*($E149-O$6)/($E149-3*cc_D/7))/0.002)))^2)</f>
        <v/>
      </c>
      <c r="P149">
        <f>MAX(-fyd_cc,MIN(fyd_cc,Es_cc*IF($E149&lt;=cc_D,0.0035*($E149-P$6)/$E149,0.002*($E149-P$6)/($E149-3*cc_D/7))))-fcd_cc*(1-(1-MAX(0,MIN(1,IF($E149&lt;=cc_D,0.0035*($E149-P$6)/$E149,0.002*($E149-P$6)/($E149-3*cc_D/7))/0.002)))^2)</f>
        <v/>
      </c>
      <c r="Q149">
        <f>MAX(-fyd_cc,MIN(fyd_cc,Es_cc*IF($E149&lt;=cc_D,0.0035*($E149-Q$6)/$E149,0.002*($E149-Q$6)/($E149-3*cc_D/7))))-fcd_cc*(1-(1-MAX(0,MIN(1,IF($E149&lt;=cc_D,0.0035*($E149-Q$6)/$E149,0.002*($E149-Q$6)/($E149-3*cc_D/7))/0.002)))^2)</f>
        <v/>
      </c>
      <c r="R149">
        <f>MAX(-fyd_cc,MIN(fyd_cc,Es_cc*IF($E149&lt;=cc_D,0.0035*($E149-R$6)/$E149,0.002*($E149-R$6)/($E149-3*cc_D/7))))-fcd_cc*(1-(1-MAX(0,MIN(1,IF($E149&lt;=cc_D,0.0035*($E149-R$6)/$E149,0.002*($E149-R$6)/($E149-3*cc_D/7))/0.002)))^2)</f>
        <v/>
      </c>
      <c r="S149">
        <f>MAX(-fyd_cc,MIN(fyd_cc,Es_cc*IF($E149&lt;=cc_D,0.0035*($E149-S$6)/$E149,0.002*($E149-S$6)/($E149-3*cc_D/7))))-fcd_cc*(1-(1-MAX(0,MIN(1,IF($E149&lt;=cc_D,0.0035*($E149-S$6)/$E149,0.002*($E149-S$6)/($E149-3*cc_D/7))/0.002)))^2)</f>
        <v/>
      </c>
      <c r="T149">
        <f>MAX(-fyd_cc,MIN(fyd_cc,Es_cc*IF($E149&lt;=cc_D,0.0035*($E149-T$6)/$E149,0.002*($E149-T$6)/($E149-3*cc_D/7))))-fcd_cc*(1-(1-MAX(0,MIN(1,IF($E149&lt;=cc_D,0.0035*($E149-T$6)/$E149,0.002*($E149-T$6)/($E149-3*cc_D/7))/0.002)))^2)</f>
        <v/>
      </c>
      <c r="U149">
        <f>MAX(-fyd_cc,MIN(fyd_cc,Es_cc*IF($E149&lt;=cc_D,0.0035*($E149-U$6)/$E149,0.002*($E149-U$6)/($E149-3*cc_D/7))))-fcd_cc*(1-(1-MAX(0,MIN(1,IF($E149&lt;=cc_D,0.0035*($E149-U$6)/$E149,0.002*($E149-U$6)/($E149-3*cc_D/7))/0.002)))^2)</f>
        <v/>
      </c>
      <c r="V149">
        <f>MAX(-fyd_cc,MIN(fyd_cc,Es_cc*IF($E149&lt;=cc_D,0.0035*($E149-V$6)/$E149,0.002*($E149-V$6)/($E149-3*cc_D/7))))-fcd_cc*(1-(1-MAX(0,MIN(1,IF($E149&lt;=cc_D,0.0035*($E149-V$6)/$E149,0.002*($E149-V$6)/($E149-3*cc_D/7))/0.002)))^2)</f>
        <v/>
      </c>
      <c r="W149">
        <f>MAX(-fyd_cc,MIN(fyd_cc,Es_cc*IF($E149&lt;=cc_D,0.0035*($E149-W$6)/$E149,0.002*($E149-W$6)/($E149-3*cc_D/7))))-fcd_cc*(1-(1-MAX(0,MIN(1,IF($E149&lt;=cc_D,0.0035*($E149-W$6)/$E149,0.002*($E149-W$6)/($E149-3*cc_D/7))/0.002)))^2)</f>
        <v/>
      </c>
      <c r="X149">
        <f>MAX(-fyd_cc,MIN(fyd_cc,Es_cc*IF($E149&lt;=cc_D,0.0035*($E149-X$6)/$E149,0.002*($E149-X$6)/($E149-3*cc_D/7))))-fcd_cc*(1-(1-MAX(0,MIN(1,IF($E149&lt;=cc_D,0.0035*($E149-X$6)/$E149,0.002*($E149-X$6)/($E149-3*cc_D/7))/0.002)))^2)</f>
        <v/>
      </c>
      <c r="Y149">
        <f>MAX(-fyd_cc,MIN(fyd_cc,Es_cc*IF($E149&lt;=cc_D,0.0035*($E149-Y$6)/$E149,0.002*($E149-Y$6)/($E149-3*cc_D/7))))-fcd_cc*(1-(1-MAX(0,MIN(1,IF($E149&lt;=cc_D,0.0035*($E149-Y$6)/$E149,0.002*($E149-Y$6)/($E149-3*cc_D/7))/0.002)))^2)</f>
        <v/>
      </c>
      <c r="Z149">
        <f>MAX(-fyd_cc,MIN(fyd_cc,Es_cc*IF($E149&lt;=cc_D,0.0035*($E149-Z$6)/$E149,0.002*($E149-Z$6)/($E149-3*cc_D/7))))-fcd_cc*(1-(1-MAX(0,MIN(1,IF($E149&lt;=cc_D,0.0035*($E149-Z$6)/$E149,0.002*($E149-Z$6)/($E149-3*cc_D/7))/0.002)))^2)</f>
        <v/>
      </c>
      <c r="AA149">
        <f>MAX(-fyd_cc,MIN(fyd_cc,Es_cc*IF($E149&lt;=cc_D,0.0035*($E149-AA$6)/$E149,0.002*($E149-AA$6)/($E149-3*cc_D/7))))-fcd_cc*(1-(1-MAX(0,MIN(1,IF($E149&lt;=cc_D,0.0035*($E149-AA$6)/$E149,0.002*($E149-AA$6)/($E149-3*cc_D/7))/0.002)))^2)</f>
        <v/>
      </c>
      <c r="AB149">
        <f>MAX(-fyd_cc,MIN(fyd_cc,Es_cc*IF($E149&lt;=cc_D,0.0035*($E149-AB$6)/$E149,0.002*($E149-AB$6)/($E149-3*cc_D/7))))-fcd_cc*(1-(1-MAX(0,MIN(1,IF($E149&lt;=cc_D,0.0035*($E149-AB$6)/$E149,0.002*($E149-AB$6)/($E149-3*cc_D/7))/0.002)))^2)</f>
        <v/>
      </c>
      <c r="AC149">
        <f>MAX(-fyd_cc,MIN(fyd_cc,Es_cc*IF($E149&lt;=cc_D,0.0035*($E149-AC$6)/$E149,0.002*($E149-AC$6)/($E149-3*cc_D/7))))-fcd_cc*(1-(1-MAX(0,MIN(1,IF($E149&lt;=cc_D,0.0035*($E149-AC$6)/$E149,0.002*($E149-AC$6)/($E149-3*cc_D/7))/0.002)))^2)</f>
        <v/>
      </c>
      <c r="AD149">
        <f>MAX(-fyd_cc,MIN(fyd_cc,Es_cc*IF($E149&lt;=cc_D,0.0035*($E149-AD$6)/$E149,0.002*($E149-AD$6)/($E149-3*cc_D/7))))-fcd_cc*(1-(1-MAX(0,MIN(1,IF($E149&lt;=cc_D,0.0035*($E149-AD$6)/$E149,0.002*($E149-AD$6)/($E149-3*cc_D/7))/0.002)))^2)</f>
        <v/>
      </c>
      <c r="AE149">
        <f>MAX(-fyd_cc,MIN(fyd_cc,Es_cc*IF($E149&lt;=cc_D,0.0035*($E149-AE$6)/$E149,0.002*($E149-AE$6)/($E149-3*cc_D/7))))-fcd_cc*(1-(1-MAX(0,MIN(1,IF($E149&lt;=cc_D,0.0035*($E149-AE$6)/$E149,0.002*($E149-AE$6)/($E149-3*cc_D/7))/0.002)))^2)</f>
        <v/>
      </c>
      <c r="AF149">
        <f>MAX(-fyd_cc,MIN(fyd_cc,Es_cc*IF($E149&lt;=cc_D,0.0035*($E149-AF$6)/$E149,0.002*($E149-AF$6)/($E149-3*cc_D/7))))-fcd_cc*(1-(1-MAX(0,MIN(1,IF($E149&lt;=cc_D,0.0035*($E149-AF$6)/$E149,0.002*($E149-AF$6)/($E149-3*cc_D/7))/0.002)))^2)</f>
        <v/>
      </c>
      <c r="AG149">
        <f>MAX(-fyd_cc,MIN(fyd_cc,Es_cc*IF($E149&lt;=cc_D,0.0035*($E149-AG$6)/$E149,0.002*($E149-AG$6)/($E149-3*cc_D/7))))-fcd_cc*(1-(1-MAX(0,MIN(1,IF($E149&lt;=cc_D,0.0035*($E149-AG$6)/$E149,0.002*($E149-AG$6)/($E149-3*cc_D/7))/0.002)))^2)</f>
        <v/>
      </c>
      <c r="BF149">
        <f>3*MIN($E149,cc_D)/7</f>
        <v/>
      </c>
      <c r="BG149">
        <f>$E149-$BF149</f>
        <v/>
      </c>
      <c r="BH149">
        <f>ACOS(MAX(-1,MIN(1,1-$BF149/(cc_D/2))))</f>
        <v/>
      </c>
      <c r="BI149">
        <f>ACOS(MAX(-1,MIN(1,1-MIN($E149,cc_D)/(cc_D/2))))</f>
        <v/>
      </c>
      <c r="BJ149">
        <f>((cc_D/2*(1-COS(($BH149+0*($BI149-$BH149)/12)))-$BF149)/$BG149)^2*SIN(($BH149+0*($BI149-$BH149)/12))^2</f>
        <v/>
      </c>
      <c r="BK149">
        <f>((cc_D/2*(1-COS(($BH149+1*($BI149-$BH149)/12)))-$BF149)/$BG149)^2*SIN(($BH149+1*($BI149-$BH149)/12))^2</f>
        <v/>
      </c>
      <c r="BL149">
        <f>((cc_D/2*(1-COS(($BH149+2*($BI149-$BH149)/12)))-$BF149)/$BG149)^2*SIN(($BH149+2*($BI149-$BH149)/12))^2</f>
        <v/>
      </c>
      <c r="BM149">
        <f>((cc_D/2*(1-COS(($BH149+3*($BI149-$BH149)/12)))-$BF149)/$BG149)^2*SIN(($BH149+3*($BI149-$BH149)/12))^2</f>
        <v/>
      </c>
      <c r="BN149">
        <f>((cc_D/2*(1-COS(($BH149+4*($BI149-$BH149)/12)))-$BF149)/$BG149)^2*SIN(($BH149+4*($BI149-$BH149)/12))^2</f>
        <v/>
      </c>
      <c r="BO149">
        <f>((cc_D/2*(1-COS(($BH149+5*($BI149-$BH149)/12)))-$BF149)/$BG149)^2*SIN(($BH149+5*($BI149-$BH149)/12))^2</f>
        <v/>
      </c>
      <c r="BP149">
        <f>((cc_D/2*(1-COS(($BH149+6*($BI149-$BH149)/12)))-$BF149)/$BG149)^2*SIN(($BH149+6*($BI149-$BH149)/12))^2</f>
        <v/>
      </c>
      <c r="BQ149">
        <f>((cc_D/2*(1-COS(($BH149+7*($BI149-$BH149)/12)))-$BF149)/$BG149)^2*SIN(($BH149+7*($BI149-$BH149)/12))^2</f>
        <v/>
      </c>
      <c r="BR149">
        <f>((cc_D/2*(1-COS(($BH149+8*($BI149-$BH149)/12)))-$BF149)/$BG149)^2*SIN(($BH149+8*($BI149-$BH149)/12))^2</f>
        <v/>
      </c>
      <c r="BS149">
        <f>((cc_D/2*(1-COS(($BH149+9*($BI149-$BH149)/12)))-$BF149)/$BG149)^2*SIN(($BH149+9*($BI149-$BH149)/12))^2</f>
        <v/>
      </c>
      <c r="BT149">
        <f>((cc_D/2*(1-COS(($BH149+10*($BI149-$BH149)/12)))-$BF149)/$BG149)^2*SIN(($BH149+10*($BI149-$BH149)/12))^2</f>
        <v/>
      </c>
      <c r="BU149">
        <f>((cc_D/2*(1-COS(($BH149+11*($BI149-$BH149)/12)))-$BF149)/$BG149)^2*SIN(($BH149+11*($BI149-$BH149)/12))^2</f>
        <v/>
      </c>
      <c r="BV149">
        <f>((cc_D/2*(1-COS(($BH149+12*($BI149-$BH149)/12)))-$BF149)/$BG149)^2*SIN(($BH149+12*($BI149-$BH149)/12))^2</f>
        <v/>
      </c>
      <c r="BW149">
        <f>BJ149*COS(($BH149+0*($BI149-$BH149)/12))</f>
        <v/>
      </c>
      <c r="BX149">
        <f>BK149*COS(($BH149+1*($BI149-$BH149)/12))</f>
        <v/>
      </c>
      <c r="BY149">
        <f>BL149*COS(($BH149+2*($BI149-$BH149)/12))</f>
        <v/>
      </c>
      <c r="BZ149">
        <f>BM149*COS(($BH149+3*($BI149-$BH149)/12))</f>
        <v/>
      </c>
      <c r="CA149">
        <f>BN149*COS(($BH149+4*($BI149-$BH149)/12))</f>
        <v/>
      </c>
      <c r="CB149">
        <f>BO149*COS(($BH149+5*($BI149-$BH149)/12))</f>
        <v/>
      </c>
      <c r="CC149">
        <f>BP149*COS(($BH149+6*($BI149-$BH149)/12))</f>
        <v/>
      </c>
      <c r="CD149">
        <f>BQ149*COS(($BH149+7*($BI149-$BH149)/12))</f>
        <v/>
      </c>
      <c r="CE149">
        <f>BR149*COS(($BH149+8*($BI149-$BH149)/12))</f>
        <v/>
      </c>
      <c r="CF149">
        <f>BS149*COS(($BH149+9*($BI149-$BH149)/12))</f>
        <v/>
      </c>
      <c r="CG149">
        <f>BT149*COS(($BH149+10*($BI149-$BH149)/12))</f>
        <v/>
      </c>
      <c r="CH149">
        <f>BU149*COS(($BH149+11*($BI149-$BH149)/12))</f>
        <v/>
      </c>
      <c r="CI149">
        <f>BV149*COS(($BH149+12*($BI149-$BH149)/12))</f>
        <v/>
      </c>
    </row>
    <row r="151">
      <c r="B151" s="59" t="inlineStr">
        <is>
          <t>Orientation Q1  ·  turned by 0.25 π/n</t>
        </is>
      </c>
    </row>
    <row r="152">
      <c r="B152" s="52" t="inlineStr">
        <is>
          <t>step</t>
        </is>
      </c>
      <c r="C152" s="52" t="inlineStr">
        <is>
          <t>u low</t>
        </is>
      </c>
      <c r="D152" s="52" t="inlineStr">
        <is>
          <t>u high</t>
        </is>
      </c>
      <c r="E152" s="52" t="inlineStr">
        <is>
          <t>x (mm)</t>
        </is>
      </c>
      <c r="F152" s="52" t="inlineStr">
        <is>
          <t>εc top (‰)</t>
        </is>
      </c>
      <c r="G152" s="52" t="inlineStr">
        <is>
          <t>N (kN)</t>
        </is>
      </c>
      <c r="H152" s="52" t="inlineStr">
        <is>
          <t>M (kNm)</t>
        </is>
      </c>
      <c r="I152" s="52" t="inlineStr">
        <is>
          <t>M⊥ (kNm)</t>
        </is>
      </c>
    </row>
    <row r="153">
      <c r="B153" s="65" t="n">
        <v>1</v>
      </c>
      <c r="C153" s="66" t="n">
        <v>0</v>
      </c>
      <c r="D153" s="66">
        <f>1-1E-12</f>
        <v/>
      </c>
      <c r="E153" s="67">
        <f>cc_D*(($C153+$D153)/2)/(1-(($C153+$D153)/2))</f>
        <v/>
      </c>
      <c r="F153" s="68">
        <f>IF($E153&lt;=cc_D,3.5,2*$E153/($E153-3*cc_D/7))</f>
        <v/>
      </c>
      <c r="G153" s="67">
        <f>(fcd_cc*((cc_D/2)^2*($BI153-COS($BI153)*SIN($BI153))-2*(cc_D/2)^2*($BI153-$BH153)/12/3*SUMPRODUCT($BJ$4:$BV$4,$BJ153:$BV153))+SUMPRODUCT($J$5:$AG$5,$J153:$AG153))/1000</f>
        <v/>
      </c>
      <c r="H153" s="67">
        <f>(fcd_cc*(2/3*(cc_D/2)^3*SIN($BI153)^3-2*(cc_D/2)^3*($BI153-$BH153)/12/3*SUMPRODUCT($BW$4:$CI$4,$BW153:$CI153))+SUMPRODUCT($J$5:$AG$5,$J153:$AG153,$J$10:$AG$10))/1E6</f>
        <v/>
      </c>
      <c r="I153" s="67">
        <f>SUMPRODUCT($J$5:$AG$5,$J153:$AG153,$J$11:$AG$11)/1E6</f>
        <v/>
      </c>
      <c r="J153">
        <f>MAX(-fyd_cc,MIN(fyd_cc,Es_cc*IF($E153&lt;=cc_D,0.0035*($E153-J$9)/$E153,0.002*($E153-J$9)/($E153-3*cc_D/7))))-fcd_cc*(1-(1-MAX(0,MIN(1,IF($E153&lt;=cc_D,0.0035*($E153-J$9)/$E153,0.002*($E153-J$9)/($E153-3*cc_D/7))/0.002)))^2)</f>
        <v/>
      </c>
      <c r="K153">
        <f>MAX(-fyd_cc,MIN(fyd_cc,Es_cc*IF($E153&lt;=cc_D,0.0035*($E153-K$9)/$E153,0.002*($E153-K$9)/($E153-3*cc_D/7))))-fcd_cc*(1-(1-MAX(0,MIN(1,IF($E153&lt;=cc_D,0.0035*($E153-K$9)/$E153,0.002*($E153-K$9)/($E153-3*cc_D/7))/0.002)))^2)</f>
        <v/>
      </c>
      <c r="L153">
        <f>MAX(-fyd_cc,MIN(fyd_cc,Es_cc*IF($E153&lt;=cc_D,0.0035*($E153-L$9)/$E153,0.002*($E153-L$9)/($E153-3*cc_D/7))))-fcd_cc*(1-(1-MAX(0,MIN(1,IF($E153&lt;=cc_D,0.0035*($E153-L$9)/$E153,0.002*($E153-L$9)/($E153-3*cc_D/7))/0.002)))^2)</f>
        <v/>
      </c>
      <c r="M153">
        <f>MAX(-fyd_cc,MIN(fyd_cc,Es_cc*IF($E153&lt;=cc_D,0.0035*($E153-M$9)/$E153,0.002*($E153-M$9)/($E153-3*cc_D/7))))-fcd_cc*(1-(1-MAX(0,MIN(1,IF($E153&lt;=cc_D,0.0035*($E153-M$9)/$E153,0.002*($E153-M$9)/($E153-3*cc_D/7))/0.002)))^2)</f>
        <v/>
      </c>
      <c r="N153">
        <f>MAX(-fyd_cc,MIN(fyd_cc,Es_cc*IF($E153&lt;=cc_D,0.0035*($E153-N$9)/$E153,0.002*($E153-N$9)/($E153-3*cc_D/7))))-fcd_cc*(1-(1-MAX(0,MIN(1,IF($E153&lt;=cc_D,0.0035*($E153-N$9)/$E153,0.002*($E153-N$9)/($E153-3*cc_D/7))/0.002)))^2)</f>
        <v/>
      </c>
      <c r="O153">
        <f>MAX(-fyd_cc,MIN(fyd_cc,Es_cc*IF($E153&lt;=cc_D,0.0035*($E153-O$9)/$E153,0.002*($E153-O$9)/($E153-3*cc_D/7))))-fcd_cc*(1-(1-MAX(0,MIN(1,IF($E153&lt;=cc_D,0.0035*($E153-O$9)/$E153,0.002*($E153-O$9)/($E153-3*cc_D/7))/0.002)))^2)</f>
        <v/>
      </c>
      <c r="P153">
        <f>MAX(-fyd_cc,MIN(fyd_cc,Es_cc*IF($E153&lt;=cc_D,0.0035*($E153-P$9)/$E153,0.002*($E153-P$9)/($E153-3*cc_D/7))))-fcd_cc*(1-(1-MAX(0,MIN(1,IF($E153&lt;=cc_D,0.0035*($E153-P$9)/$E153,0.002*($E153-P$9)/($E153-3*cc_D/7))/0.002)))^2)</f>
        <v/>
      </c>
      <c r="Q153">
        <f>MAX(-fyd_cc,MIN(fyd_cc,Es_cc*IF($E153&lt;=cc_D,0.0035*($E153-Q$9)/$E153,0.002*($E153-Q$9)/($E153-3*cc_D/7))))-fcd_cc*(1-(1-MAX(0,MIN(1,IF($E153&lt;=cc_D,0.0035*($E153-Q$9)/$E153,0.002*($E153-Q$9)/($E153-3*cc_D/7))/0.002)))^2)</f>
        <v/>
      </c>
      <c r="R153">
        <f>MAX(-fyd_cc,MIN(fyd_cc,Es_cc*IF($E153&lt;=cc_D,0.0035*($E153-R$9)/$E153,0.002*($E153-R$9)/($E153-3*cc_D/7))))-fcd_cc*(1-(1-MAX(0,MIN(1,IF($E153&lt;=cc_D,0.0035*($E153-R$9)/$E153,0.002*($E153-R$9)/($E153-3*cc_D/7))/0.002)))^2)</f>
        <v/>
      </c>
      <c r="S153">
        <f>MAX(-fyd_cc,MIN(fyd_cc,Es_cc*IF($E153&lt;=cc_D,0.0035*($E153-S$9)/$E153,0.002*($E153-S$9)/($E153-3*cc_D/7))))-fcd_cc*(1-(1-MAX(0,MIN(1,IF($E153&lt;=cc_D,0.0035*($E153-S$9)/$E153,0.002*($E153-S$9)/($E153-3*cc_D/7))/0.002)))^2)</f>
        <v/>
      </c>
      <c r="T153">
        <f>MAX(-fyd_cc,MIN(fyd_cc,Es_cc*IF($E153&lt;=cc_D,0.0035*($E153-T$9)/$E153,0.002*($E153-T$9)/($E153-3*cc_D/7))))-fcd_cc*(1-(1-MAX(0,MIN(1,IF($E153&lt;=cc_D,0.0035*($E153-T$9)/$E153,0.002*($E153-T$9)/($E153-3*cc_D/7))/0.002)))^2)</f>
        <v/>
      </c>
      <c r="U153">
        <f>MAX(-fyd_cc,MIN(fyd_cc,Es_cc*IF($E153&lt;=cc_D,0.0035*($E153-U$9)/$E153,0.002*($E153-U$9)/($E153-3*cc_D/7))))-fcd_cc*(1-(1-MAX(0,MIN(1,IF($E153&lt;=cc_D,0.0035*($E153-U$9)/$E153,0.002*($E153-U$9)/($E153-3*cc_D/7))/0.002)))^2)</f>
        <v/>
      </c>
      <c r="V153">
        <f>MAX(-fyd_cc,MIN(fyd_cc,Es_cc*IF($E153&lt;=cc_D,0.0035*($E153-V$9)/$E153,0.002*($E153-V$9)/($E153-3*cc_D/7))))-fcd_cc*(1-(1-MAX(0,MIN(1,IF($E153&lt;=cc_D,0.0035*($E153-V$9)/$E153,0.002*($E153-V$9)/($E153-3*cc_D/7))/0.002)))^2)</f>
        <v/>
      </c>
      <c r="W153">
        <f>MAX(-fyd_cc,MIN(fyd_cc,Es_cc*IF($E153&lt;=cc_D,0.0035*($E153-W$9)/$E153,0.002*($E153-W$9)/($E153-3*cc_D/7))))-fcd_cc*(1-(1-MAX(0,MIN(1,IF($E153&lt;=cc_D,0.0035*($E153-W$9)/$E153,0.002*($E153-W$9)/($E153-3*cc_D/7))/0.002)))^2)</f>
        <v/>
      </c>
      <c r="X153">
        <f>MAX(-fyd_cc,MIN(fyd_cc,Es_cc*IF($E153&lt;=cc_D,0.0035*($E153-X$9)/$E153,0.002*($E153-X$9)/($E153-3*cc_D/7))))-fcd_cc*(1-(1-MAX(0,MIN(1,IF($E153&lt;=cc_D,0.0035*($E153-X$9)/$E153,0.002*($E153-X$9)/($E153-3*cc_D/7))/0.002)))^2)</f>
        <v/>
      </c>
      <c r="Y153">
        <f>MAX(-fyd_cc,MIN(fyd_cc,Es_cc*IF($E153&lt;=cc_D,0.0035*($E153-Y$9)/$E153,0.002*($E153-Y$9)/($E153-3*cc_D/7))))-fcd_cc*(1-(1-MAX(0,MIN(1,IF($E153&lt;=cc_D,0.0035*($E153-Y$9)/$E153,0.002*($E153-Y$9)/($E153-3*cc_D/7))/0.002)))^2)</f>
        <v/>
      </c>
      <c r="Z153">
        <f>MAX(-fyd_cc,MIN(fyd_cc,Es_cc*IF($E153&lt;=cc_D,0.0035*($E153-Z$9)/$E153,0.002*($E153-Z$9)/($E153-3*cc_D/7))))-fcd_cc*(1-(1-MAX(0,MIN(1,IF($E153&lt;=cc_D,0.0035*($E153-Z$9)/$E153,0.002*($E153-Z$9)/($E153-3*cc_D/7))/0.002)))^2)</f>
        <v/>
      </c>
      <c r="AA153">
        <f>MAX(-fyd_cc,MIN(fyd_cc,Es_cc*IF($E153&lt;=cc_D,0.0035*($E153-AA$9)/$E153,0.002*($E153-AA$9)/($E153-3*cc_D/7))))-fcd_cc*(1-(1-MAX(0,MIN(1,IF($E153&lt;=cc_D,0.0035*($E153-AA$9)/$E153,0.002*($E153-AA$9)/($E153-3*cc_D/7))/0.002)))^2)</f>
        <v/>
      </c>
      <c r="AB153">
        <f>MAX(-fyd_cc,MIN(fyd_cc,Es_cc*IF($E153&lt;=cc_D,0.0035*($E153-AB$9)/$E153,0.002*($E153-AB$9)/($E153-3*cc_D/7))))-fcd_cc*(1-(1-MAX(0,MIN(1,IF($E153&lt;=cc_D,0.0035*($E153-AB$9)/$E153,0.002*($E153-AB$9)/($E153-3*cc_D/7))/0.002)))^2)</f>
        <v/>
      </c>
      <c r="AC153">
        <f>MAX(-fyd_cc,MIN(fyd_cc,Es_cc*IF($E153&lt;=cc_D,0.0035*($E153-AC$9)/$E153,0.002*($E153-AC$9)/($E153-3*cc_D/7))))-fcd_cc*(1-(1-MAX(0,MIN(1,IF($E153&lt;=cc_D,0.0035*($E153-AC$9)/$E153,0.002*($E153-AC$9)/($E153-3*cc_D/7))/0.002)))^2)</f>
        <v/>
      </c>
      <c r="AD153">
        <f>MAX(-fyd_cc,MIN(fyd_cc,Es_cc*IF($E153&lt;=cc_D,0.0035*($E153-AD$9)/$E153,0.002*($E153-AD$9)/($E153-3*cc_D/7))))-fcd_cc*(1-(1-MAX(0,MIN(1,IF($E153&lt;=cc_D,0.0035*($E153-AD$9)/$E153,0.002*($E153-AD$9)/($E153-3*cc_D/7))/0.002)))^2)</f>
        <v/>
      </c>
      <c r="AE153">
        <f>MAX(-fyd_cc,MIN(fyd_cc,Es_cc*IF($E153&lt;=cc_D,0.0035*($E153-AE$9)/$E153,0.002*($E153-AE$9)/($E153-3*cc_D/7))))-fcd_cc*(1-(1-MAX(0,MIN(1,IF($E153&lt;=cc_D,0.0035*($E153-AE$9)/$E153,0.002*($E153-AE$9)/($E153-3*cc_D/7))/0.002)))^2)</f>
        <v/>
      </c>
      <c r="AF153">
        <f>MAX(-fyd_cc,MIN(fyd_cc,Es_cc*IF($E153&lt;=cc_D,0.0035*($E153-AF$9)/$E153,0.002*($E153-AF$9)/($E153-3*cc_D/7))))-fcd_cc*(1-(1-MAX(0,MIN(1,IF($E153&lt;=cc_D,0.0035*($E153-AF$9)/$E153,0.002*($E153-AF$9)/($E153-3*cc_D/7))/0.002)))^2)</f>
        <v/>
      </c>
      <c r="AG153">
        <f>MAX(-fyd_cc,MIN(fyd_cc,Es_cc*IF($E153&lt;=cc_D,0.0035*($E153-AG$9)/$E153,0.002*($E153-AG$9)/($E153-3*cc_D/7))))-fcd_cc*(1-(1-MAX(0,MIN(1,IF($E153&lt;=cc_D,0.0035*($E153-AG$9)/$E153,0.002*($E153-AG$9)/($E153-3*cc_D/7))/0.002)))^2)</f>
        <v/>
      </c>
      <c r="BF153">
        <f>3*MIN($E153,cc_D)/7</f>
        <v/>
      </c>
      <c r="BG153">
        <f>$E153-$BF153</f>
        <v/>
      </c>
      <c r="BH153">
        <f>ACOS(MAX(-1,MIN(1,1-$BF153/(cc_D/2))))</f>
        <v/>
      </c>
      <c r="BI153">
        <f>ACOS(MAX(-1,MIN(1,1-MIN($E153,cc_D)/(cc_D/2))))</f>
        <v/>
      </c>
      <c r="BJ153">
        <f>((cc_D/2*(1-COS(($BH153+0*($BI153-$BH153)/12)))-$BF153)/$BG153)^2*SIN(($BH153+0*($BI153-$BH153)/12))^2</f>
        <v/>
      </c>
      <c r="BK153">
        <f>((cc_D/2*(1-COS(($BH153+1*($BI153-$BH153)/12)))-$BF153)/$BG153)^2*SIN(($BH153+1*($BI153-$BH153)/12))^2</f>
        <v/>
      </c>
      <c r="BL153">
        <f>((cc_D/2*(1-COS(($BH153+2*($BI153-$BH153)/12)))-$BF153)/$BG153)^2*SIN(($BH153+2*($BI153-$BH153)/12))^2</f>
        <v/>
      </c>
      <c r="BM153">
        <f>((cc_D/2*(1-COS(($BH153+3*($BI153-$BH153)/12)))-$BF153)/$BG153)^2*SIN(($BH153+3*($BI153-$BH153)/12))^2</f>
        <v/>
      </c>
      <c r="BN153">
        <f>((cc_D/2*(1-COS(($BH153+4*($BI153-$BH153)/12)))-$BF153)/$BG153)^2*SIN(($BH153+4*($BI153-$BH153)/12))^2</f>
        <v/>
      </c>
      <c r="BO153">
        <f>((cc_D/2*(1-COS(($BH153+5*($BI153-$BH153)/12)))-$BF153)/$BG153)^2*SIN(($BH153+5*($BI153-$BH153)/12))^2</f>
        <v/>
      </c>
      <c r="BP153">
        <f>((cc_D/2*(1-COS(($BH153+6*($BI153-$BH153)/12)))-$BF153)/$BG153)^2*SIN(($BH153+6*($BI153-$BH153)/12))^2</f>
        <v/>
      </c>
      <c r="BQ153">
        <f>((cc_D/2*(1-COS(($BH153+7*($BI153-$BH153)/12)))-$BF153)/$BG153)^2*SIN(($BH153+7*($BI153-$BH153)/12))^2</f>
        <v/>
      </c>
      <c r="BR153">
        <f>((cc_D/2*(1-COS(($BH153+8*($BI153-$BH153)/12)))-$BF153)/$BG153)^2*SIN(($BH153+8*($BI153-$BH153)/12))^2</f>
        <v/>
      </c>
      <c r="BS153">
        <f>((cc_D/2*(1-COS(($BH153+9*($BI153-$BH153)/12)))-$BF153)/$BG153)^2*SIN(($BH153+9*($BI153-$BH153)/12))^2</f>
        <v/>
      </c>
      <c r="BT153">
        <f>((cc_D/2*(1-COS(($BH153+10*($BI153-$BH153)/12)))-$BF153)/$BG153)^2*SIN(($BH153+10*($BI153-$BH153)/12))^2</f>
        <v/>
      </c>
      <c r="BU153">
        <f>((cc_D/2*(1-COS(($BH153+11*($BI153-$BH153)/12)))-$BF153)/$BG153)^2*SIN(($BH153+11*($BI153-$BH153)/12))^2</f>
        <v/>
      </c>
      <c r="BV153">
        <f>((cc_D/2*(1-COS(($BH153+12*($BI153-$BH153)/12)))-$BF153)/$BG153)^2*SIN(($BH153+12*($BI153-$BH153)/12))^2</f>
        <v/>
      </c>
      <c r="BW153">
        <f>BJ153*COS(($BH153+0*($BI153-$BH153)/12))</f>
        <v/>
      </c>
      <c r="BX153">
        <f>BK153*COS(($BH153+1*($BI153-$BH153)/12))</f>
        <v/>
      </c>
      <c r="BY153">
        <f>BL153*COS(($BH153+2*($BI153-$BH153)/12))</f>
        <v/>
      </c>
      <c r="BZ153">
        <f>BM153*COS(($BH153+3*($BI153-$BH153)/12))</f>
        <v/>
      </c>
      <c r="CA153">
        <f>BN153*COS(($BH153+4*($BI153-$BH153)/12))</f>
        <v/>
      </c>
      <c r="CB153">
        <f>BO153*COS(($BH153+5*($BI153-$BH153)/12))</f>
        <v/>
      </c>
      <c r="CC153">
        <f>BP153*COS(($BH153+6*($BI153-$BH153)/12))</f>
        <v/>
      </c>
      <c r="CD153">
        <f>BQ153*COS(($BH153+7*($BI153-$BH153)/12))</f>
        <v/>
      </c>
      <c r="CE153">
        <f>BR153*COS(($BH153+8*($BI153-$BH153)/12))</f>
        <v/>
      </c>
      <c r="CF153">
        <f>BS153*COS(($BH153+9*($BI153-$BH153)/12))</f>
        <v/>
      </c>
      <c r="CG153">
        <f>BT153*COS(($BH153+10*($BI153-$BH153)/12))</f>
        <v/>
      </c>
      <c r="CH153">
        <f>BU153*COS(($BH153+11*($BI153-$BH153)/12))</f>
        <v/>
      </c>
      <c r="CI153">
        <f>BV153*COS(($BH153+12*($BI153-$BH153)/12))</f>
        <v/>
      </c>
    </row>
    <row r="154">
      <c r="B154" s="65" t="n">
        <v>2</v>
      </c>
      <c r="C154" s="66">
        <f>IF($G153&lt;cc_NEd-1E-9*ABS(cc_NEd),($C153+$D153)/2,$C153)</f>
        <v/>
      </c>
      <c r="D154" s="66">
        <f>IF($G153&lt;cc_NEd-1E-9*ABS(cc_NEd),$D153,($C153+$D153)/2)</f>
        <v/>
      </c>
      <c r="E154" s="67">
        <f>cc_D*(($C154+$D154)/2)/(1-(($C154+$D154)/2))</f>
        <v/>
      </c>
      <c r="F154" s="68">
        <f>IF($E154&lt;=cc_D,3.5,2*$E154/($E154-3*cc_D/7))</f>
        <v/>
      </c>
      <c r="G154" s="67">
        <f>(fcd_cc*((cc_D/2)^2*($BI154-COS($BI154)*SIN($BI154))-2*(cc_D/2)^2*($BI154-$BH154)/12/3*SUMPRODUCT($BJ$4:$BV$4,$BJ154:$BV154))+SUMPRODUCT($J$5:$AG$5,$J154:$AG154))/1000</f>
        <v/>
      </c>
      <c r="H154" s="67">
        <f>(fcd_cc*(2/3*(cc_D/2)^3*SIN($BI154)^3-2*(cc_D/2)^3*($BI154-$BH154)/12/3*SUMPRODUCT($BW$4:$CI$4,$BW154:$CI154))+SUMPRODUCT($J$5:$AG$5,$J154:$AG154,$J$10:$AG$10))/1E6</f>
        <v/>
      </c>
      <c r="I154" s="67">
        <f>SUMPRODUCT($J$5:$AG$5,$J154:$AG154,$J$11:$AG$11)/1E6</f>
        <v/>
      </c>
      <c r="J154">
        <f>MAX(-fyd_cc,MIN(fyd_cc,Es_cc*IF($E154&lt;=cc_D,0.0035*($E154-J$9)/$E154,0.002*($E154-J$9)/($E154-3*cc_D/7))))-fcd_cc*(1-(1-MAX(0,MIN(1,IF($E154&lt;=cc_D,0.0035*($E154-J$9)/$E154,0.002*($E154-J$9)/($E154-3*cc_D/7))/0.002)))^2)</f>
        <v/>
      </c>
      <c r="K154">
        <f>MAX(-fyd_cc,MIN(fyd_cc,Es_cc*IF($E154&lt;=cc_D,0.0035*($E154-K$9)/$E154,0.002*($E154-K$9)/($E154-3*cc_D/7))))-fcd_cc*(1-(1-MAX(0,MIN(1,IF($E154&lt;=cc_D,0.0035*($E154-K$9)/$E154,0.002*($E154-K$9)/($E154-3*cc_D/7))/0.002)))^2)</f>
        <v/>
      </c>
      <c r="L154">
        <f>MAX(-fyd_cc,MIN(fyd_cc,Es_cc*IF($E154&lt;=cc_D,0.0035*($E154-L$9)/$E154,0.002*($E154-L$9)/($E154-3*cc_D/7))))-fcd_cc*(1-(1-MAX(0,MIN(1,IF($E154&lt;=cc_D,0.0035*($E154-L$9)/$E154,0.002*($E154-L$9)/($E154-3*cc_D/7))/0.002)))^2)</f>
        <v/>
      </c>
      <c r="M154">
        <f>MAX(-fyd_cc,MIN(fyd_cc,Es_cc*IF($E154&lt;=cc_D,0.0035*($E154-M$9)/$E154,0.002*($E154-M$9)/($E154-3*cc_D/7))))-fcd_cc*(1-(1-MAX(0,MIN(1,IF($E154&lt;=cc_D,0.0035*($E154-M$9)/$E154,0.002*($E154-M$9)/($E154-3*cc_D/7))/0.002)))^2)</f>
        <v/>
      </c>
      <c r="N154">
        <f>MAX(-fyd_cc,MIN(fyd_cc,Es_cc*IF($E154&lt;=cc_D,0.0035*($E154-N$9)/$E154,0.002*($E154-N$9)/($E154-3*cc_D/7))))-fcd_cc*(1-(1-MAX(0,MIN(1,IF($E154&lt;=cc_D,0.0035*($E154-N$9)/$E154,0.002*($E154-N$9)/($E154-3*cc_D/7))/0.002)))^2)</f>
        <v/>
      </c>
      <c r="O154">
        <f>MAX(-fyd_cc,MIN(fyd_cc,Es_cc*IF($E154&lt;=cc_D,0.0035*($E154-O$9)/$E154,0.002*($E154-O$9)/($E154-3*cc_D/7))))-fcd_cc*(1-(1-MAX(0,MIN(1,IF($E154&lt;=cc_D,0.0035*($E154-O$9)/$E154,0.002*($E154-O$9)/($E154-3*cc_D/7))/0.002)))^2)</f>
        <v/>
      </c>
      <c r="P154">
        <f>MAX(-fyd_cc,MIN(fyd_cc,Es_cc*IF($E154&lt;=cc_D,0.0035*($E154-P$9)/$E154,0.002*($E154-P$9)/($E154-3*cc_D/7))))-fcd_cc*(1-(1-MAX(0,MIN(1,IF($E154&lt;=cc_D,0.0035*($E154-P$9)/$E154,0.002*($E154-P$9)/($E154-3*cc_D/7))/0.002)))^2)</f>
        <v/>
      </c>
      <c r="Q154">
        <f>MAX(-fyd_cc,MIN(fyd_cc,Es_cc*IF($E154&lt;=cc_D,0.0035*($E154-Q$9)/$E154,0.002*($E154-Q$9)/($E154-3*cc_D/7))))-fcd_cc*(1-(1-MAX(0,MIN(1,IF($E154&lt;=cc_D,0.0035*($E154-Q$9)/$E154,0.002*($E154-Q$9)/($E154-3*cc_D/7))/0.002)))^2)</f>
        <v/>
      </c>
      <c r="R154">
        <f>MAX(-fyd_cc,MIN(fyd_cc,Es_cc*IF($E154&lt;=cc_D,0.0035*($E154-R$9)/$E154,0.002*($E154-R$9)/($E154-3*cc_D/7))))-fcd_cc*(1-(1-MAX(0,MIN(1,IF($E154&lt;=cc_D,0.0035*($E154-R$9)/$E154,0.002*($E154-R$9)/($E154-3*cc_D/7))/0.002)))^2)</f>
        <v/>
      </c>
      <c r="S154">
        <f>MAX(-fyd_cc,MIN(fyd_cc,Es_cc*IF($E154&lt;=cc_D,0.0035*($E154-S$9)/$E154,0.002*($E154-S$9)/($E154-3*cc_D/7))))-fcd_cc*(1-(1-MAX(0,MIN(1,IF($E154&lt;=cc_D,0.0035*($E154-S$9)/$E154,0.002*($E154-S$9)/($E154-3*cc_D/7))/0.002)))^2)</f>
        <v/>
      </c>
      <c r="T154">
        <f>MAX(-fyd_cc,MIN(fyd_cc,Es_cc*IF($E154&lt;=cc_D,0.0035*($E154-T$9)/$E154,0.002*($E154-T$9)/($E154-3*cc_D/7))))-fcd_cc*(1-(1-MAX(0,MIN(1,IF($E154&lt;=cc_D,0.0035*($E154-T$9)/$E154,0.002*($E154-T$9)/($E154-3*cc_D/7))/0.002)))^2)</f>
        <v/>
      </c>
      <c r="U154">
        <f>MAX(-fyd_cc,MIN(fyd_cc,Es_cc*IF($E154&lt;=cc_D,0.0035*($E154-U$9)/$E154,0.002*($E154-U$9)/($E154-3*cc_D/7))))-fcd_cc*(1-(1-MAX(0,MIN(1,IF($E154&lt;=cc_D,0.0035*($E154-U$9)/$E154,0.002*($E154-U$9)/($E154-3*cc_D/7))/0.002)))^2)</f>
        <v/>
      </c>
      <c r="V154">
        <f>MAX(-fyd_cc,MIN(fyd_cc,Es_cc*IF($E154&lt;=cc_D,0.0035*($E154-V$9)/$E154,0.002*($E154-V$9)/($E154-3*cc_D/7))))-fcd_cc*(1-(1-MAX(0,MIN(1,IF($E154&lt;=cc_D,0.0035*($E154-V$9)/$E154,0.002*($E154-V$9)/($E154-3*cc_D/7))/0.002)))^2)</f>
        <v/>
      </c>
      <c r="W154">
        <f>MAX(-fyd_cc,MIN(fyd_cc,Es_cc*IF($E154&lt;=cc_D,0.0035*($E154-W$9)/$E154,0.002*($E154-W$9)/($E154-3*cc_D/7))))-fcd_cc*(1-(1-MAX(0,MIN(1,IF($E154&lt;=cc_D,0.0035*($E154-W$9)/$E154,0.002*($E154-W$9)/($E154-3*cc_D/7))/0.002)))^2)</f>
        <v/>
      </c>
      <c r="X154">
        <f>MAX(-fyd_cc,MIN(fyd_cc,Es_cc*IF($E154&lt;=cc_D,0.0035*($E154-X$9)/$E154,0.002*($E154-X$9)/($E154-3*cc_D/7))))-fcd_cc*(1-(1-MAX(0,MIN(1,IF($E154&lt;=cc_D,0.0035*($E154-X$9)/$E154,0.002*($E154-X$9)/($E154-3*cc_D/7))/0.002)))^2)</f>
        <v/>
      </c>
      <c r="Y154">
        <f>MAX(-fyd_cc,MIN(fyd_cc,Es_cc*IF($E154&lt;=cc_D,0.0035*($E154-Y$9)/$E154,0.002*($E154-Y$9)/($E154-3*cc_D/7))))-fcd_cc*(1-(1-MAX(0,MIN(1,IF($E154&lt;=cc_D,0.0035*($E154-Y$9)/$E154,0.002*($E154-Y$9)/($E154-3*cc_D/7))/0.002)))^2)</f>
        <v/>
      </c>
      <c r="Z154">
        <f>MAX(-fyd_cc,MIN(fyd_cc,Es_cc*IF($E154&lt;=cc_D,0.0035*($E154-Z$9)/$E154,0.002*($E154-Z$9)/($E154-3*cc_D/7))))-fcd_cc*(1-(1-MAX(0,MIN(1,IF($E154&lt;=cc_D,0.0035*($E154-Z$9)/$E154,0.002*($E154-Z$9)/($E154-3*cc_D/7))/0.002)))^2)</f>
        <v/>
      </c>
      <c r="AA154">
        <f>MAX(-fyd_cc,MIN(fyd_cc,Es_cc*IF($E154&lt;=cc_D,0.0035*($E154-AA$9)/$E154,0.002*($E154-AA$9)/($E154-3*cc_D/7))))-fcd_cc*(1-(1-MAX(0,MIN(1,IF($E154&lt;=cc_D,0.0035*($E154-AA$9)/$E154,0.002*($E154-AA$9)/($E154-3*cc_D/7))/0.002)))^2)</f>
        <v/>
      </c>
      <c r="AB154">
        <f>MAX(-fyd_cc,MIN(fyd_cc,Es_cc*IF($E154&lt;=cc_D,0.0035*($E154-AB$9)/$E154,0.002*($E154-AB$9)/($E154-3*cc_D/7))))-fcd_cc*(1-(1-MAX(0,MIN(1,IF($E154&lt;=cc_D,0.0035*($E154-AB$9)/$E154,0.002*($E154-AB$9)/($E154-3*cc_D/7))/0.002)))^2)</f>
        <v/>
      </c>
      <c r="AC154">
        <f>MAX(-fyd_cc,MIN(fyd_cc,Es_cc*IF($E154&lt;=cc_D,0.0035*($E154-AC$9)/$E154,0.002*($E154-AC$9)/($E154-3*cc_D/7))))-fcd_cc*(1-(1-MAX(0,MIN(1,IF($E154&lt;=cc_D,0.0035*($E154-AC$9)/$E154,0.002*($E154-AC$9)/($E154-3*cc_D/7))/0.002)))^2)</f>
        <v/>
      </c>
      <c r="AD154">
        <f>MAX(-fyd_cc,MIN(fyd_cc,Es_cc*IF($E154&lt;=cc_D,0.0035*($E154-AD$9)/$E154,0.002*($E154-AD$9)/($E154-3*cc_D/7))))-fcd_cc*(1-(1-MAX(0,MIN(1,IF($E154&lt;=cc_D,0.0035*($E154-AD$9)/$E154,0.002*($E154-AD$9)/($E154-3*cc_D/7))/0.002)))^2)</f>
        <v/>
      </c>
      <c r="AE154">
        <f>MAX(-fyd_cc,MIN(fyd_cc,Es_cc*IF($E154&lt;=cc_D,0.0035*($E154-AE$9)/$E154,0.002*($E154-AE$9)/($E154-3*cc_D/7))))-fcd_cc*(1-(1-MAX(0,MIN(1,IF($E154&lt;=cc_D,0.0035*($E154-AE$9)/$E154,0.002*($E154-AE$9)/($E154-3*cc_D/7))/0.002)))^2)</f>
        <v/>
      </c>
      <c r="AF154">
        <f>MAX(-fyd_cc,MIN(fyd_cc,Es_cc*IF($E154&lt;=cc_D,0.0035*($E154-AF$9)/$E154,0.002*($E154-AF$9)/($E154-3*cc_D/7))))-fcd_cc*(1-(1-MAX(0,MIN(1,IF($E154&lt;=cc_D,0.0035*($E154-AF$9)/$E154,0.002*($E154-AF$9)/($E154-3*cc_D/7))/0.002)))^2)</f>
        <v/>
      </c>
      <c r="AG154">
        <f>MAX(-fyd_cc,MIN(fyd_cc,Es_cc*IF($E154&lt;=cc_D,0.0035*($E154-AG$9)/$E154,0.002*($E154-AG$9)/($E154-3*cc_D/7))))-fcd_cc*(1-(1-MAX(0,MIN(1,IF($E154&lt;=cc_D,0.0035*($E154-AG$9)/$E154,0.002*($E154-AG$9)/($E154-3*cc_D/7))/0.002)))^2)</f>
        <v/>
      </c>
      <c r="BF154">
        <f>3*MIN($E154,cc_D)/7</f>
        <v/>
      </c>
      <c r="BG154">
        <f>$E154-$BF154</f>
        <v/>
      </c>
      <c r="BH154">
        <f>ACOS(MAX(-1,MIN(1,1-$BF154/(cc_D/2))))</f>
        <v/>
      </c>
      <c r="BI154">
        <f>ACOS(MAX(-1,MIN(1,1-MIN($E154,cc_D)/(cc_D/2))))</f>
        <v/>
      </c>
      <c r="BJ154">
        <f>((cc_D/2*(1-COS(($BH154+0*($BI154-$BH154)/12)))-$BF154)/$BG154)^2*SIN(($BH154+0*($BI154-$BH154)/12))^2</f>
        <v/>
      </c>
      <c r="BK154">
        <f>((cc_D/2*(1-COS(($BH154+1*($BI154-$BH154)/12)))-$BF154)/$BG154)^2*SIN(($BH154+1*($BI154-$BH154)/12))^2</f>
        <v/>
      </c>
      <c r="BL154">
        <f>((cc_D/2*(1-COS(($BH154+2*($BI154-$BH154)/12)))-$BF154)/$BG154)^2*SIN(($BH154+2*($BI154-$BH154)/12))^2</f>
        <v/>
      </c>
      <c r="BM154">
        <f>((cc_D/2*(1-COS(($BH154+3*($BI154-$BH154)/12)))-$BF154)/$BG154)^2*SIN(($BH154+3*($BI154-$BH154)/12))^2</f>
        <v/>
      </c>
      <c r="BN154">
        <f>((cc_D/2*(1-COS(($BH154+4*($BI154-$BH154)/12)))-$BF154)/$BG154)^2*SIN(($BH154+4*($BI154-$BH154)/12))^2</f>
        <v/>
      </c>
      <c r="BO154">
        <f>((cc_D/2*(1-COS(($BH154+5*($BI154-$BH154)/12)))-$BF154)/$BG154)^2*SIN(($BH154+5*($BI154-$BH154)/12))^2</f>
        <v/>
      </c>
      <c r="BP154">
        <f>((cc_D/2*(1-COS(($BH154+6*($BI154-$BH154)/12)))-$BF154)/$BG154)^2*SIN(($BH154+6*($BI154-$BH154)/12))^2</f>
        <v/>
      </c>
      <c r="BQ154">
        <f>((cc_D/2*(1-COS(($BH154+7*($BI154-$BH154)/12)))-$BF154)/$BG154)^2*SIN(($BH154+7*($BI154-$BH154)/12))^2</f>
        <v/>
      </c>
      <c r="BR154">
        <f>((cc_D/2*(1-COS(($BH154+8*($BI154-$BH154)/12)))-$BF154)/$BG154)^2*SIN(($BH154+8*($BI154-$BH154)/12))^2</f>
        <v/>
      </c>
      <c r="BS154">
        <f>((cc_D/2*(1-COS(($BH154+9*($BI154-$BH154)/12)))-$BF154)/$BG154)^2*SIN(($BH154+9*($BI154-$BH154)/12))^2</f>
        <v/>
      </c>
      <c r="BT154">
        <f>((cc_D/2*(1-COS(($BH154+10*($BI154-$BH154)/12)))-$BF154)/$BG154)^2*SIN(($BH154+10*($BI154-$BH154)/12))^2</f>
        <v/>
      </c>
      <c r="BU154">
        <f>((cc_D/2*(1-COS(($BH154+11*($BI154-$BH154)/12)))-$BF154)/$BG154)^2*SIN(($BH154+11*($BI154-$BH154)/12))^2</f>
        <v/>
      </c>
      <c r="BV154">
        <f>((cc_D/2*(1-COS(($BH154+12*($BI154-$BH154)/12)))-$BF154)/$BG154)^2*SIN(($BH154+12*($BI154-$BH154)/12))^2</f>
        <v/>
      </c>
      <c r="BW154">
        <f>BJ154*COS(($BH154+0*($BI154-$BH154)/12))</f>
        <v/>
      </c>
      <c r="BX154">
        <f>BK154*COS(($BH154+1*($BI154-$BH154)/12))</f>
        <v/>
      </c>
      <c r="BY154">
        <f>BL154*COS(($BH154+2*($BI154-$BH154)/12))</f>
        <v/>
      </c>
      <c r="BZ154">
        <f>BM154*COS(($BH154+3*($BI154-$BH154)/12))</f>
        <v/>
      </c>
      <c r="CA154">
        <f>BN154*COS(($BH154+4*($BI154-$BH154)/12))</f>
        <v/>
      </c>
      <c r="CB154">
        <f>BO154*COS(($BH154+5*($BI154-$BH154)/12))</f>
        <v/>
      </c>
      <c r="CC154">
        <f>BP154*COS(($BH154+6*($BI154-$BH154)/12))</f>
        <v/>
      </c>
      <c r="CD154">
        <f>BQ154*COS(($BH154+7*($BI154-$BH154)/12))</f>
        <v/>
      </c>
      <c r="CE154">
        <f>BR154*COS(($BH154+8*($BI154-$BH154)/12))</f>
        <v/>
      </c>
      <c r="CF154">
        <f>BS154*COS(($BH154+9*($BI154-$BH154)/12))</f>
        <v/>
      </c>
      <c r="CG154">
        <f>BT154*COS(($BH154+10*($BI154-$BH154)/12))</f>
        <v/>
      </c>
      <c r="CH154">
        <f>BU154*COS(($BH154+11*($BI154-$BH154)/12))</f>
        <v/>
      </c>
      <c r="CI154">
        <f>BV154*COS(($BH154+12*($BI154-$BH154)/12))</f>
        <v/>
      </c>
    </row>
    <row r="155">
      <c r="B155" s="65" t="n">
        <v>3</v>
      </c>
      <c r="C155" s="66">
        <f>IF($G154&lt;cc_NEd-1E-9*ABS(cc_NEd),($C154+$D154)/2,$C154)</f>
        <v/>
      </c>
      <c r="D155" s="66">
        <f>IF($G154&lt;cc_NEd-1E-9*ABS(cc_NEd),$D154,($C154+$D154)/2)</f>
        <v/>
      </c>
      <c r="E155" s="67">
        <f>cc_D*(($C155+$D155)/2)/(1-(($C155+$D155)/2))</f>
        <v/>
      </c>
      <c r="F155" s="68">
        <f>IF($E155&lt;=cc_D,3.5,2*$E155/($E155-3*cc_D/7))</f>
        <v/>
      </c>
      <c r="G155" s="67">
        <f>(fcd_cc*((cc_D/2)^2*($BI155-COS($BI155)*SIN($BI155))-2*(cc_D/2)^2*($BI155-$BH155)/12/3*SUMPRODUCT($BJ$4:$BV$4,$BJ155:$BV155))+SUMPRODUCT($J$5:$AG$5,$J155:$AG155))/1000</f>
        <v/>
      </c>
      <c r="H155" s="67">
        <f>(fcd_cc*(2/3*(cc_D/2)^3*SIN($BI155)^3-2*(cc_D/2)^3*($BI155-$BH155)/12/3*SUMPRODUCT($BW$4:$CI$4,$BW155:$CI155))+SUMPRODUCT($J$5:$AG$5,$J155:$AG155,$J$10:$AG$10))/1E6</f>
        <v/>
      </c>
      <c r="I155" s="67">
        <f>SUMPRODUCT($J$5:$AG$5,$J155:$AG155,$J$11:$AG$11)/1E6</f>
        <v/>
      </c>
      <c r="J155">
        <f>MAX(-fyd_cc,MIN(fyd_cc,Es_cc*IF($E155&lt;=cc_D,0.0035*($E155-J$9)/$E155,0.002*($E155-J$9)/($E155-3*cc_D/7))))-fcd_cc*(1-(1-MAX(0,MIN(1,IF($E155&lt;=cc_D,0.0035*($E155-J$9)/$E155,0.002*($E155-J$9)/($E155-3*cc_D/7))/0.002)))^2)</f>
        <v/>
      </c>
      <c r="K155">
        <f>MAX(-fyd_cc,MIN(fyd_cc,Es_cc*IF($E155&lt;=cc_D,0.0035*($E155-K$9)/$E155,0.002*($E155-K$9)/($E155-3*cc_D/7))))-fcd_cc*(1-(1-MAX(0,MIN(1,IF($E155&lt;=cc_D,0.0035*($E155-K$9)/$E155,0.002*($E155-K$9)/($E155-3*cc_D/7))/0.002)))^2)</f>
        <v/>
      </c>
      <c r="L155">
        <f>MAX(-fyd_cc,MIN(fyd_cc,Es_cc*IF($E155&lt;=cc_D,0.0035*($E155-L$9)/$E155,0.002*($E155-L$9)/($E155-3*cc_D/7))))-fcd_cc*(1-(1-MAX(0,MIN(1,IF($E155&lt;=cc_D,0.0035*($E155-L$9)/$E155,0.002*($E155-L$9)/($E155-3*cc_D/7))/0.002)))^2)</f>
        <v/>
      </c>
      <c r="M155">
        <f>MAX(-fyd_cc,MIN(fyd_cc,Es_cc*IF($E155&lt;=cc_D,0.0035*($E155-M$9)/$E155,0.002*($E155-M$9)/($E155-3*cc_D/7))))-fcd_cc*(1-(1-MAX(0,MIN(1,IF($E155&lt;=cc_D,0.0035*($E155-M$9)/$E155,0.002*($E155-M$9)/($E155-3*cc_D/7))/0.002)))^2)</f>
        <v/>
      </c>
      <c r="N155">
        <f>MAX(-fyd_cc,MIN(fyd_cc,Es_cc*IF($E155&lt;=cc_D,0.0035*($E155-N$9)/$E155,0.002*($E155-N$9)/($E155-3*cc_D/7))))-fcd_cc*(1-(1-MAX(0,MIN(1,IF($E155&lt;=cc_D,0.0035*($E155-N$9)/$E155,0.002*($E155-N$9)/($E155-3*cc_D/7))/0.002)))^2)</f>
        <v/>
      </c>
      <c r="O155">
        <f>MAX(-fyd_cc,MIN(fyd_cc,Es_cc*IF($E155&lt;=cc_D,0.0035*($E155-O$9)/$E155,0.002*($E155-O$9)/($E155-3*cc_D/7))))-fcd_cc*(1-(1-MAX(0,MIN(1,IF($E155&lt;=cc_D,0.0035*($E155-O$9)/$E155,0.002*($E155-O$9)/($E155-3*cc_D/7))/0.002)))^2)</f>
        <v/>
      </c>
      <c r="P155">
        <f>MAX(-fyd_cc,MIN(fyd_cc,Es_cc*IF($E155&lt;=cc_D,0.0035*($E155-P$9)/$E155,0.002*($E155-P$9)/($E155-3*cc_D/7))))-fcd_cc*(1-(1-MAX(0,MIN(1,IF($E155&lt;=cc_D,0.0035*($E155-P$9)/$E155,0.002*($E155-P$9)/($E155-3*cc_D/7))/0.002)))^2)</f>
        <v/>
      </c>
      <c r="Q155">
        <f>MAX(-fyd_cc,MIN(fyd_cc,Es_cc*IF($E155&lt;=cc_D,0.0035*($E155-Q$9)/$E155,0.002*($E155-Q$9)/($E155-3*cc_D/7))))-fcd_cc*(1-(1-MAX(0,MIN(1,IF($E155&lt;=cc_D,0.0035*($E155-Q$9)/$E155,0.002*($E155-Q$9)/($E155-3*cc_D/7))/0.002)))^2)</f>
        <v/>
      </c>
      <c r="R155">
        <f>MAX(-fyd_cc,MIN(fyd_cc,Es_cc*IF($E155&lt;=cc_D,0.0035*($E155-R$9)/$E155,0.002*($E155-R$9)/($E155-3*cc_D/7))))-fcd_cc*(1-(1-MAX(0,MIN(1,IF($E155&lt;=cc_D,0.0035*($E155-R$9)/$E155,0.002*($E155-R$9)/($E155-3*cc_D/7))/0.002)))^2)</f>
        <v/>
      </c>
      <c r="S155">
        <f>MAX(-fyd_cc,MIN(fyd_cc,Es_cc*IF($E155&lt;=cc_D,0.0035*($E155-S$9)/$E155,0.002*($E155-S$9)/($E155-3*cc_D/7))))-fcd_cc*(1-(1-MAX(0,MIN(1,IF($E155&lt;=cc_D,0.0035*($E155-S$9)/$E155,0.002*($E155-S$9)/($E155-3*cc_D/7))/0.002)))^2)</f>
        <v/>
      </c>
      <c r="T155">
        <f>MAX(-fyd_cc,MIN(fyd_cc,Es_cc*IF($E155&lt;=cc_D,0.0035*($E155-T$9)/$E155,0.002*($E155-T$9)/($E155-3*cc_D/7))))-fcd_cc*(1-(1-MAX(0,MIN(1,IF($E155&lt;=cc_D,0.0035*($E155-T$9)/$E155,0.002*($E155-T$9)/($E155-3*cc_D/7))/0.002)))^2)</f>
        <v/>
      </c>
      <c r="U155">
        <f>MAX(-fyd_cc,MIN(fyd_cc,Es_cc*IF($E155&lt;=cc_D,0.0035*($E155-U$9)/$E155,0.002*($E155-U$9)/($E155-3*cc_D/7))))-fcd_cc*(1-(1-MAX(0,MIN(1,IF($E155&lt;=cc_D,0.0035*($E155-U$9)/$E155,0.002*($E155-U$9)/($E155-3*cc_D/7))/0.002)))^2)</f>
        <v/>
      </c>
      <c r="V155">
        <f>MAX(-fyd_cc,MIN(fyd_cc,Es_cc*IF($E155&lt;=cc_D,0.0035*($E155-V$9)/$E155,0.002*($E155-V$9)/($E155-3*cc_D/7))))-fcd_cc*(1-(1-MAX(0,MIN(1,IF($E155&lt;=cc_D,0.0035*($E155-V$9)/$E155,0.002*($E155-V$9)/($E155-3*cc_D/7))/0.002)))^2)</f>
        <v/>
      </c>
      <c r="W155">
        <f>MAX(-fyd_cc,MIN(fyd_cc,Es_cc*IF($E155&lt;=cc_D,0.0035*($E155-W$9)/$E155,0.002*($E155-W$9)/($E155-3*cc_D/7))))-fcd_cc*(1-(1-MAX(0,MIN(1,IF($E155&lt;=cc_D,0.0035*($E155-W$9)/$E155,0.002*($E155-W$9)/($E155-3*cc_D/7))/0.002)))^2)</f>
        <v/>
      </c>
      <c r="X155">
        <f>MAX(-fyd_cc,MIN(fyd_cc,Es_cc*IF($E155&lt;=cc_D,0.0035*($E155-X$9)/$E155,0.002*($E155-X$9)/($E155-3*cc_D/7))))-fcd_cc*(1-(1-MAX(0,MIN(1,IF($E155&lt;=cc_D,0.0035*($E155-X$9)/$E155,0.002*($E155-X$9)/($E155-3*cc_D/7))/0.002)))^2)</f>
        <v/>
      </c>
      <c r="Y155">
        <f>MAX(-fyd_cc,MIN(fyd_cc,Es_cc*IF($E155&lt;=cc_D,0.0035*($E155-Y$9)/$E155,0.002*($E155-Y$9)/($E155-3*cc_D/7))))-fcd_cc*(1-(1-MAX(0,MIN(1,IF($E155&lt;=cc_D,0.0035*($E155-Y$9)/$E155,0.002*($E155-Y$9)/($E155-3*cc_D/7))/0.002)))^2)</f>
        <v/>
      </c>
      <c r="Z155">
        <f>MAX(-fyd_cc,MIN(fyd_cc,Es_cc*IF($E155&lt;=cc_D,0.0035*($E155-Z$9)/$E155,0.002*($E155-Z$9)/($E155-3*cc_D/7))))-fcd_cc*(1-(1-MAX(0,MIN(1,IF($E155&lt;=cc_D,0.0035*($E155-Z$9)/$E155,0.002*($E155-Z$9)/($E155-3*cc_D/7))/0.002)))^2)</f>
        <v/>
      </c>
      <c r="AA155">
        <f>MAX(-fyd_cc,MIN(fyd_cc,Es_cc*IF($E155&lt;=cc_D,0.0035*($E155-AA$9)/$E155,0.002*($E155-AA$9)/($E155-3*cc_D/7))))-fcd_cc*(1-(1-MAX(0,MIN(1,IF($E155&lt;=cc_D,0.0035*($E155-AA$9)/$E155,0.002*($E155-AA$9)/($E155-3*cc_D/7))/0.002)))^2)</f>
        <v/>
      </c>
      <c r="AB155">
        <f>MAX(-fyd_cc,MIN(fyd_cc,Es_cc*IF($E155&lt;=cc_D,0.0035*($E155-AB$9)/$E155,0.002*($E155-AB$9)/($E155-3*cc_D/7))))-fcd_cc*(1-(1-MAX(0,MIN(1,IF($E155&lt;=cc_D,0.0035*($E155-AB$9)/$E155,0.002*($E155-AB$9)/($E155-3*cc_D/7))/0.002)))^2)</f>
        <v/>
      </c>
      <c r="AC155">
        <f>MAX(-fyd_cc,MIN(fyd_cc,Es_cc*IF($E155&lt;=cc_D,0.0035*($E155-AC$9)/$E155,0.002*($E155-AC$9)/($E155-3*cc_D/7))))-fcd_cc*(1-(1-MAX(0,MIN(1,IF($E155&lt;=cc_D,0.0035*($E155-AC$9)/$E155,0.002*($E155-AC$9)/($E155-3*cc_D/7))/0.002)))^2)</f>
        <v/>
      </c>
      <c r="AD155">
        <f>MAX(-fyd_cc,MIN(fyd_cc,Es_cc*IF($E155&lt;=cc_D,0.0035*($E155-AD$9)/$E155,0.002*($E155-AD$9)/($E155-3*cc_D/7))))-fcd_cc*(1-(1-MAX(0,MIN(1,IF($E155&lt;=cc_D,0.0035*($E155-AD$9)/$E155,0.002*($E155-AD$9)/($E155-3*cc_D/7))/0.002)))^2)</f>
        <v/>
      </c>
      <c r="AE155">
        <f>MAX(-fyd_cc,MIN(fyd_cc,Es_cc*IF($E155&lt;=cc_D,0.0035*($E155-AE$9)/$E155,0.002*($E155-AE$9)/($E155-3*cc_D/7))))-fcd_cc*(1-(1-MAX(0,MIN(1,IF($E155&lt;=cc_D,0.0035*($E155-AE$9)/$E155,0.002*($E155-AE$9)/($E155-3*cc_D/7))/0.002)))^2)</f>
        <v/>
      </c>
      <c r="AF155">
        <f>MAX(-fyd_cc,MIN(fyd_cc,Es_cc*IF($E155&lt;=cc_D,0.0035*($E155-AF$9)/$E155,0.002*($E155-AF$9)/($E155-3*cc_D/7))))-fcd_cc*(1-(1-MAX(0,MIN(1,IF($E155&lt;=cc_D,0.0035*($E155-AF$9)/$E155,0.002*($E155-AF$9)/($E155-3*cc_D/7))/0.002)))^2)</f>
        <v/>
      </c>
      <c r="AG155">
        <f>MAX(-fyd_cc,MIN(fyd_cc,Es_cc*IF($E155&lt;=cc_D,0.0035*($E155-AG$9)/$E155,0.002*($E155-AG$9)/($E155-3*cc_D/7))))-fcd_cc*(1-(1-MAX(0,MIN(1,IF($E155&lt;=cc_D,0.0035*($E155-AG$9)/$E155,0.002*($E155-AG$9)/($E155-3*cc_D/7))/0.002)))^2)</f>
        <v/>
      </c>
      <c r="BF155">
        <f>3*MIN($E155,cc_D)/7</f>
        <v/>
      </c>
      <c r="BG155">
        <f>$E155-$BF155</f>
        <v/>
      </c>
      <c r="BH155">
        <f>ACOS(MAX(-1,MIN(1,1-$BF155/(cc_D/2))))</f>
        <v/>
      </c>
      <c r="BI155">
        <f>ACOS(MAX(-1,MIN(1,1-MIN($E155,cc_D)/(cc_D/2))))</f>
        <v/>
      </c>
      <c r="BJ155">
        <f>((cc_D/2*(1-COS(($BH155+0*($BI155-$BH155)/12)))-$BF155)/$BG155)^2*SIN(($BH155+0*($BI155-$BH155)/12))^2</f>
        <v/>
      </c>
      <c r="BK155">
        <f>((cc_D/2*(1-COS(($BH155+1*($BI155-$BH155)/12)))-$BF155)/$BG155)^2*SIN(($BH155+1*($BI155-$BH155)/12))^2</f>
        <v/>
      </c>
      <c r="BL155">
        <f>((cc_D/2*(1-COS(($BH155+2*($BI155-$BH155)/12)))-$BF155)/$BG155)^2*SIN(($BH155+2*($BI155-$BH155)/12))^2</f>
        <v/>
      </c>
      <c r="BM155">
        <f>((cc_D/2*(1-COS(($BH155+3*($BI155-$BH155)/12)))-$BF155)/$BG155)^2*SIN(($BH155+3*($BI155-$BH155)/12))^2</f>
        <v/>
      </c>
      <c r="BN155">
        <f>((cc_D/2*(1-COS(($BH155+4*($BI155-$BH155)/12)))-$BF155)/$BG155)^2*SIN(($BH155+4*($BI155-$BH155)/12))^2</f>
        <v/>
      </c>
      <c r="BO155">
        <f>((cc_D/2*(1-COS(($BH155+5*($BI155-$BH155)/12)))-$BF155)/$BG155)^2*SIN(($BH155+5*($BI155-$BH155)/12))^2</f>
        <v/>
      </c>
      <c r="BP155">
        <f>((cc_D/2*(1-COS(($BH155+6*($BI155-$BH155)/12)))-$BF155)/$BG155)^2*SIN(($BH155+6*($BI155-$BH155)/12))^2</f>
        <v/>
      </c>
      <c r="BQ155">
        <f>((cc_D/2*(1-COS(($BH155+7*($BI155-$BH155)/12)))-$BF155)/$BG155)^2*SIN(($BH155+7*($BI155-$BH155)/12))^2</f>
        <v/>
      </c>
      <c r="BR155">
        <f>((cc_D/2*(1-COS(($BH155+8*($BI155-$BH155)/12)))-$BF155)/$BG155)^2*SIN(($BH155+8*($BI155-$BH155)/12))^2</f>
        <v/>
      </c>
      <c r="BS155">
        <f>((cc_D/2*(1-COS(($BH155+9*($BI155-$BH155)/12)))-$BF155)/$BG155)^2*SIN(($BH155+9*($BI155-$BH155)/12))^2</f>
        <v/>
      </c>
      <c r="BT155">
        <f>((cc_D/2*(1-COS(($BH155+10*($BI155-$BH155)/12)))-$BF155)/$BG155)^2*SIN(($BH155+10*($BI155-$BH155)/12))^2</f>
        <v/>
      </c>
      <c r="BU155">
        <f>((cc_D/2*(1-COS(($BH155+11*($BI155-$BH155)/12)))-$BF155)/$BG155)^2*SIN(($BH155+11*($BI155-$BH155)/12))^2</f>
        <v/>
      </c>
      <c r="BV155">
        <f>((cc_D/2*(1-COS(($BH155+12*($BI155-$BH155)/12)))-$BF155)/$BG155)^2*SIN(($BH155+12*($BI155-$BH155)/12))^2</f>
        <v/>
      </c>
      <c r="BW155">
        <f>BJ155*COS(($BH155+0*($BI155-$BH155)/12))</f>
        <v/>
      </c>
      <c r="BX155">
        <f>BK155*COS(($BH155+1*($BI155-$BH155)/12))</f>
        <v/>
      </c>
      <c r="BY155">
        <f>BL155*COS(($BH155+2*($BI155-$BH155)/12))</f>
        <v/>
      </c>
      <c r="BZ155">
        <f>BM155*COS(($BH155+3*($BI155-$BH155)/12))</f>
        <v/>
      </c>
      <c r="CA155">
        <f>BN155*COS(($BH155+4*($BI155-$BH155)/12))</f>
        <v/>
      </c>
      <c r="CB155">
        <f>BO155*COS(($BH155+5*($BI155-$BH155)/12))</f>
        <v/>
      </c>
      <c r="CC155">
        <f>BP155*COS(($BH155+6*($BI155-$BH155)/12))</f>
        <v/>
      </c>
      <c r="CD155">
        <f>BQ155*COS(($BH155+7*($BI155-$BH155)/12))</f>
        <v/>
      </c>
      <c r="CE155">
        <f>BR155*COS(($BH155+8*($BI155-$BH155)/12))</f>
        <v/>
      </c>
      <c r="CF155">
        <f>BS155*COS(($BH155+9*($BI155-$BH155)/12))</f>
        <v/>
      </c>
      <c r="CG155">
        <f>BT155*COS(($BH155+10*($BI155-$BH155)/12))</f>
        <v/>
      </c>
      <c r="CH155">
        <f>BU155*COS(($BH155+11*($BI155-$BH155)/12))</f>
        <v/>
      </c>
      <c r="CI155">
        <f>BV155*COS(($BH155+12*($BI155-$BH155)/12))</f>
        <v/>
      </c>
    </row>
    <row r="156">
      <c r="B156" s="65" t="n">
        <v>4</v>
      </c>
      <c r="C156" s="66">
        <f>IF($G155&lt;cc_NEd-1E-9*ABS(cc_NEd),($C155+$D155)/2,$C155)</f>
        <v/>
      </c>
      <c r="D156" s="66">
        <f>IF($G155&lt;cc_NEd-1E-9*ABS(cc_NEd),$D155,($C155+$D155)/2)</f>
        <v/>
      </c>
      <c r="E156" s="67">
        <f>cc_D*(($C156+$D156)/2)/(1-(($C156+$D156)/2))</f>
        <v/>
      </c>
      <c r="F156" s="68">
        <f>IF($E156&lt;=cc_D,3.5,2*$E156/($E156-3*cc_D/7))</f>
        <v/>
      </c>
      <c r="G156" s="67">
        <f>(fcd_cc*((cc_D/2)^2*($BI156-COS($BI156)*SIN($BI156))-2*(cc_D/2)^2*($BI156-$BH156)/12/3*SUMPRODUCT($BJ$4:$BV$4,$BJ156:$BV156))+SUMPRODUCT($J$5:$AG$5,$J156:$AG156))/1000</f>
        <v/>
      </c>
      <c r="H156" s="67">
        <f>(fcd_cc*(2/3*(cc_D/2)^3*SIN($BI156)^3-2*(cc_D/2)^3*($BI156-$BH156)/12/3*SUMPRODUCT($BW$4:$CI$4,$BW156:$CI156))+SUMPRODUCT($J$5:$AG$5,$J156:$AG156,$J$10:$AG$10))/1E6</f>
        <v/>
      </c>
      <c r="I156" s="67">
        <f>SUMPRODUCT($J$5:$AG$5,$J156:$AG156,$J$11:$AG$11)/1E6</f>
        <v/>
      </c>
      <c r="J156">
        <f>MAX(-fyd_cc,MIN(fyd_cc,Es_cc*IF($E156&lt;=cc_D,0.0035*($E156-J$9)/$E156,0.002*($E156-J$9)/($E156-3*cc_D/7))))-fcd_cc*(1-(1-MAX(0,MIN(1,IF($E156&lt;=cc_D,0.0035*($E156-J$9)/$E156,0.002*($E156-J$9)/($E156-3*cc_D/7))/0.002)))^2)</f>
        <v/>
      </c>
      <c r="K156">
        <f>MAX(-fyd_cc,MIN(fyd_cc,Es_cc*IF($E156&lt;=cc_D,0.0035*($E156-K$9)/$E156,0.002*($E156-K$9)/($E156-3*cc_D/7))))-fcd_cc*(1-(1-MAX(0,MIN(1,IF($E156&lt;=cc_D,0.0035*($E156-K$9)/$E156,0.002*($E156-K$9)/($E156-3*cc_D/7))/0.002)))^2)</f>
        <v/>
      </c>
      <c r="L156">
        <f>MAX(-fyd_cc,MIN(fyd_cc,Es_cc*IF($E156&lt;=cc_D,0.0035*($E156-L$9)/$E156,0.002*($E156-L$9)/($E156-3*cc_D/7))))-fcd_cc*(1-(1-MAX(0,MIN(1,IF($E156&lt;=cc_D,0.0035*($E156-L$9)/$E156,0.002*($E156-L$9)/($E156-3*cc_D/7))/0.002)))^2)</f>
        <v/>
      </c>
      <c r="M156">
        <f>MAX(-fyd_cc,MIN(fyd_cc,Es_cc*IF($E156&lt;=cc_D,0.0035*($E156-M$9)/$E156,0.002*($E156-M$9)/($E156-3*cc_D/7))))-fcd_cc*(1-(1-MAX(0,MIN(1,IF($E156&lt;=cc_D,0.0035*($E156-M$9)/$E156,0.002*($E156-M$9)/($E156-3*cc_D/7))/0.002)))^2)</f>
        <v/>
      </c>
      <c r="N156">
        <f>MAX(-fyd_cc,MIN(fyd_cc,Es_cc*IF($E156&lt;=cc_D,0.0035*($E156-N$9)/$E156,0.002*($E156-N$9)/($E156-3*cc_D/7))))-fcd_cc*(1-(1-MAX(0,MIN(1,IF($E156&lt;=cc_D,0.0035*($E156-N$9)/$E156,0.002*($E156-N$9)/($E156-3*cc_D/7))/0.002)))^2)</f>
        <v/>
      </c>
      <c r="O156">
        <f>MAX(-fyd_cc,MIN(fyd_cc,Es_cc*IF($E156&lt;=cc_D,0.0035*($E156-O$9)/$E156,0.002*($E156-O$9)/($E156-3*cc_D/7))))-fcd_cc*(1-(1-MAX(0,MIN(1,IF($E156&lt;=cc_D,0.0035*($E156-O$9)/$E156,0.002*($E156-O$9)/($E156-3*cc_D/7))/0.002)))^2)</f>
        <v/>
      </c>
      <c r="P156">
        <f>MAX(-fyd_cc,MIN(fyd_cc,Es_cc*IF($E156&lt;=cc_D,0.0035*($E156-P$9)/$E156,0.002*($E156-P$9)/($E156-3*cc_D/7))))-fcd_cc*(1-(1-MAX(0,MIN(1,IF($E156&lt;=cc_D,0.0035*($E156-P$9)/$E156,0.002*($E156-P$9)/($E156-3*cc_D/7))/0.002)))^2)</f>
        <v/>
      </c>
      <c r="Q156">
        <f>MAX(-fyd_cc,MIN(fyd_cc,Es_cc*IF($E156&lt;=cc_D,0.0035*($E156-Q$9)/$E156,0.002*($E156-Q$9)/($E156-3*cc_D/7))))-fcd_cc*(1-(1-MAX(0,MIN(1,IF($E156&lt;=cc_D,0.0035*($E156-Q$9)/$E156,0.002*($E156-Q$9)/($E156-3*cc_D/7))/0.002)))^2)</f>
        <v/>
      </c>
      <c r="R156">
        <f>MAX(-fyd_cc,MIN(fyd_cc,Es_cc*IF($E156&lt;=cc_D,0.0035*($E156-R$9)/$E156,0.002*($E156-R$9)/($E156-3*cc_D/7))))-fcd_cc*(1-(1-MAX(0,MIN(1,IF($E156&lt;=cc_D,0.0035*($E156-R$9)/$E156,0.002*($E156-R$9)/($E156-3*cc_D/7))/0.002)))^2)</f>
        <v/>
      </c>
      <c r="S156">
        <f>MAX(-fyd_cc,MIN(fyd_cc,Es_cc*IF($E156&lt;=cc_D,0.0035*($E156-S$9)/$E156,0.002*($E156-S$9)/($E156-3*cc_D/7))))-fcd_cc*(1-(1-MAX(0,MIN(1,IF($E156&lt;=cc_D,0.0035*($E156-S$9)/$E156,0.002*($E156-S$9)/($E156-3*cc_D/7))/0.002)))^2)</f>
        <v/>
      </c>
      <c r="T156">
        <f>MAX(-fyd_cc,MIN(fyd_cc,Es_cc*IF($E156&lt;=cc_D,0.0035*($E156-T$9)/$E156,0.002*($E156-T$9)/($E156-3*cc_D/7))))-fcd_cc*(1-(1-MAX(0,MIN(1,IF($E156&lt;=cc_D,0.0035*($E156-T$9)/$E156,0.002*($E156-T$9)/($E156-3*cc_D/7))/0.002)))^2)</f>
        <v/>
      </c>
      <c r="U156">
        <f>MAX(-fyd_cc,MIN(fyd_cc,Es_cc*IF($E156&lt;=cc_D,0.0035*($E156-U$9)/$E156,0.002*($E156-U$9)/($E156-3*cc_D/7))))-fcd_cc*(1-(1-MAX(0,MIN(1,IF($E156&lt;=cc_D,0.0035*($E156-U$9)/$E156,0.002*($E156-U$9)/($E156-3*cc_D/7))/0.002)))^2)</f>
        <v/>
      </c>
      <c r="V156">
        <f>MAX(-fyd_cc,MIN(fyd_cc,Es_cc*IF($E156&lt;=cc_D,0.0035*($E156-V$9)/$E156,0.002*($E156-V$9)/($E156-3*cc_D/7))))-fcd_cc*(1-(1-MAX(0,MIN(1,IF($E156&lt;=cc_D,0.0035*($E156-V$9)/$E156,0.002*($E156-V$9)/($E156-3*cc_D/7))/0.002)))^2)</f>
        <v/>
      </c>
      <c r="W156">
        <f>MAX(-fyd_cc,MIN(fyd_cc,Es_cc*IF($E156&lt;=cc_D,0.0035*($E156-W$9)/$E156,0.002*($E156-W$9)/($E156-3*cc_D/7))))-fcd_cc*(1-(1-MAX(0,MIN(1,IF($E156&lt;=cc_D,0.0035*($E156-W$9)/$E156,0.002*($E156-W$9)/($E156-3*cc_D/7))/0.002)))^2)</f>
        <v/>
      </c>
      <c r="X156">
        <f>MAX(-fyd_cc,MIN(fyd_cc,Es_cc*IF($E156&lt;=cc_D,0.0035*($E156-X$9)/$E156,0.002*($E156-X$9)/($E156-3*cc_D/7))))-fcd_cc*(1-(1-MAX(0,MIN(1,IF($E156&lt;=cc_D,0.0035*($E156-X$9)/$E156,0.002*($E156-X$9)/($E156-3*cc_D/7))/0.002)))^2)</f>
        <v/>
      </c>
      <c r="Y156">
        <f>MAX(-fyd_cc,MIN(fyd_cc,Es_cc*IF($E156&lt;=cc_D,0.0035*($E156-Y$9)/$E156,0.002*($E156-Y$9)/($E156-3*cc_D/7))))-fcd_cc*(1-(1-MAX(0,MIN(1,IF($E156&lt;=cc_D,0.0035*($E156-Y$9)/$E156,0.002*($E156-Y$9)/($E156-3*cc_D/7))/0.002)))^2)</f>
        <v/>
      </c>
      <c r="Z156">
        <f>MAX(-fyd_cc,MIN(fyd_cc,Es_cc*IF($E156&lt;=cc_D,0.0035*($E156-Z$9)/$E156,0.002*($E156-Z$9)/($E156-3*cc_D/7))))-fcd_cc*(1-(1-MAX(0,MIN(1,IF($E156&lt;=cc_D,0.0035*($E156-Z$9)/$E156,0.002*($E156-Z$9)/($E156-3*cc_D/7))/0.002)))^2)</f>
        <v/>
      </c>
      <c r="AA156">
        <f>MAX(-fyd_cc,MIN(fyd_cc,Es_cc*IF($E156&lt;=cc_D,0.0035*($E156-AA$9)/$E156,0.002*($E156-AA$9)/($E156-3*cc_D/7))))-fcd_cc*(1-(1-MAX(0,MIN(1,IF($E156&lt;=cc_D,0.0035*($E156-AA$9)/$E156,0.002*($E156-AA$9)/($E156-3*cc_D/7))/0.002)))^2)</f>
        <v/>
      </c>
      <c r="AB156">
        <f>MAX(-fyd_cc,MIN(fyd_cc,Es_cc*IF($E156&lt;=cc_D,0.0035*($E156-AB$9)/$E156,0.002*($E156-AB$9)/($E156-3*cc_D/7))))-fcd_cc*(1-(1-MAX(0,MIN(1,IF($E156&lt;=cc_D,0.0035*($E156-AB$9)/$E156,0.002*($E156-AB$9)/($E156-3*cc_D/7))/0.002)))^2)</f>
        <v/>
      </c>
      <c r="AC156">
        <f>MAX(-fyd_cc,MIN(fyd_cc,Es_cc*IF($E156&lt;=cc_D,0.0035*($E156-AC$9)/$E156,0.002*($E156-AC$9)/($E156-3*cc_D/7))))-fcd_cc*(1-(1-MAX(0,MIN(1,IF($E156&lt;=cc_D,0.0035*($E156-AC$9)/$E156,0.002*($E156-AC$9)/($E156-3*cc_D/7))/0.002)))^2)</f>
        <v/>
      </c>
      <c r="AD156">
        <f>MAX(-fyd_cc,MIN(fyd_cc,Es_cc*IF($E156&lt;=cc_D,0.0035*($E156-AD$9)/$E156,0.002*($E156-AD$9)/($E156-3*cc_D/7))))-fcd_cc*(1-(1-MAX(0,MIN(1,IF($E156&lt;=cc_D,0.0035*($E156-AD$9)/$E156,0.002*($E156-AD$9)/($E156-3*cc_D/7))/0.002)))^2)</f>
        <v/>
      </c>
      <c r="AE156">
        <f>MAX(-fyd_cc,MIN(fyd_cc,Es_cc*IF($E156&lt;=cc_D,0.0035*($E156-AE$9)/$E156,0.002*($E156-AE$9)/($E156-3*cc_D/7))))-fcd_cc*(1-(1-MAX(0,MIN(1,IF($E156&lt;=cc_D,0.0035*($E156-AE$9)/$E156,0.002*($E156-AE$9)/($E156-3*cc_D/7))/0.002)))^2)</f>
        <v/>
      </c>
      <c r="AF156">
        <f>MAX(-fyd_cc,MIN(fyd_cc,Es_cc*IF($E156&lt;=cc_D,0.0035*($E156-AF$9)/$E156,0.002*($E156-AF$9)/($E156-3*cc_D/7))))-fcd_cc*(1-(1-MAX(0,MIN(1,IF($E156&lt;=cc_D,0.0035*($E156-AF$9)/$E156,0.002*($E156-AF$9)/($E156-3*cc_D/7))/0.002)))^2)</f>
        <v/>
      </c>
      <c r="AG156">
        <f>MAX(-fyd_cc,MIN(fyd_cc,Es_cc*IF($E156&lt;=cc_D,0.0035*($E156-AG$9)/$E156,0.002*($E156-AG$9)/($E156-3*cc_D/7))))-fcd_cc*(1-(1-MAX(0,MIN(1,IF($E156&lt;=cc_D,0.0035*($E156-AG$9)/$E156,0.002*($E156-AG$9)/($E156-3*cc_D/7))/0.002)))^2)</f>
        <v/>
      </c>
      <c r="BF156">
        <f>3*MIN($E156,cc_D)/7</f>
        <v/>
      </c>
      <c r="BG156">
        <f>$E156-$BF156</f>
        <v/>
      </c>
      <c r="BH156">
        <f>ACOS(MAX(-1,MIN(1,1-$BF156/(cc_D/2))))</f>
        <v/>
      </c>
      <c r="BI156">
        <f>ACOS(MAX(-1,MIN(1,1-MIN($E156,cc_D)/(cc_D/2))))</f>
        <v/>
      </c>
      <c r="BJ156">
        <f>((cc_D/2*(1-COS(($BH156+0*($BI156-$BH156)/12)))-$BF156)/$BG156)^2*SIN(($BH156+0*($BI156-$BH156)/12))^2</f>
        <v/>
      </c>
      <c r="BK156">
        <f>((cc_D/2*(1-COS(($BH156+1*($BI156-$BH156)/12)))-$BF156)/$BG156)^2*SIN(($BH156+1*($BI156-$BH156)/12))^2</f>
        <v/>
      </c>
      <c r="BL156">
        <f>((cc_D/2*(1-COS(($BH156+2*($BI156-$BH156)/12)))-$BF156)/$BG156)^2*SIN(($BH156+2*($BI156-$BH156)/12))^2</f>
        <v/>
      </c>
      <c r="BM156">
        <f>((cc_D/2*(1-COS(($BH156+3*($BI156-$BH156)/12)))-$BF156)/$BG156)^2*SIN(($BH156+3*($BI156-$BH156)/12))^2</f>
        <v/>
      </c>
      <c r="BN156">
        <f>((cc_D/2*(1-COS(($BH156+4*($BI156-$BH156)/12)))-$BF156)/$BG156)^2*SIN(($BH156+4*($BI156-$BH156)/12))^2</f>
        <v/>
      </c>
      <c r="BO156">
        <f>((cc_D/2*(1-COS(($BH156+5*($BI156-$BH156)/12)))-$BF156)/$BG156)^2*SIN(($BH156+5*($BI156-$BH156)/12))^2</f>
        <v/>
      </c>
      <c r="BP156">
        <f>((cc_D/2*(1-COS(($BH156+6*($BI156-$BH156)/12)))-$BF156)/$BG156)^2*SIN(($BH156+6*($BI156-$BH156)/12))^2</f>
        <v/>
      </c>
      <c r="BQ156">
        <f>((cc_D/2*(1-COS(($BH156+7*($BI156-$BH156)/12)))-$BF156)/$BG156)^2*SIN(($BH156+7*($BI156-$BH156)/12))^2</f>
        <v/>
      </c>
      <c r="BR156">
        <f>((cc_D/2*(1-COS(($BH156+8*($BI156-$BH156)/12)))-$BF156)/$BG156)^2*SIN(($BH156+8*($BI156-$BH156)/12))^2</f>
        <v/>
      </c>
      <c r="BS156">
        <f>((cc_D/2*(1-COS(($BH156+9*($BI156-$BH156)/12)))-$BF156)/$BG156)^2*SIN(($BH156+9*($BI156-$BH156)/12))^2</f>
        <v/>
      </c>
      <c r="BT156">
        <f>((cc_D/2*(1-COS(($BH156+10*($BI156-$BH156)/12)))-$BF156)/$BG156)^2*SIN(($BH156+10*($BI156-$BH156)/12))^2</f>
        <v/>
      </c>
      <c r="BU156">
        <f>((cc_D/2*(1-COS(($BH156+11*($BI156-$BH156)/12)))-$BF156)/$BG156)^2*SIN(($BH156+11*($BI156-$BH156)/12))^2</f>
        <v/>
      </c>
      <c r="BV156">
        <f>((cc_D/2*(1-COS(($BH156+12*($BI156-$BH156)/12)))-$BF156)/$BG156)^2*SIN(($BH156+12*($BI156-$BH156)/12))^2</f>
        <v/>
      </c>
      <c r="BW156">
        <f>BJ156*COS(($BH156+0*($BI156-$BH156)/12))</f>
        <v/>
      </c>
      <c r="BX156">
        <f>BK156*COS(($BH156+1*($BI156-$BH156)/12))</f>
        <v/>
      </c>
      <c r="BY156">
        <f>BL156*COS(($BH156+2*($BI156-$BH156)/12))</f>
        <v/>
      </c>
      <c r="BZ156">
        <f>BM156*COS(($BH156+3*($BI156-$BH156)/12))</f>
        <v/>
      </c>
      <c r="CA156">
        <f>BN156*COS(($BH156+4*($BI156-$BH156)/12))</f>
        <v/>
      </c>
      <c r="CB156">
        <f>BO156*COS(($BH156+5*($BI156-$BH156)/12))</f>
        <v/>
      </c>
      <c r="CC156">
        <f>BP156*COS(($BH156+6*($BI156-$BH156)/12))</f>
        <v/>
      </c>
      <c r="CD156">
        <f>BQ156*COS(($BH156+7*($BI156-$BH156)/12))</f>
        <v/>
      </c>
      <c r="CE156">
        <f>BR156*COS(($BH156+8*($BI156-$BH156)/12))</f>
        <v/>
      </c>
      <c r="CF156">
        <f>BS156*COS(($BH156+9*($BI156-$BH156)/12))</f>
        <v/>
      </c>
      <c r="CG156">
        <f>BT156*COS(($BH156+10*($BI156-$BH156)/12))</f>
        <v/>
      </c>
      <c r="CH156">
        <f>BU156*COS(($BH156+11*($BI156-$BH156)/12))</f>
        <v/>
      </c>
      <c r="CI156">
        <f>BV156*COS(($BH156+12*($BI156-$BH156)/12))</f>
        <v/>
      </c>
    </row>
    <row r="157">
      <c r="B157" s="65" t="n">
        <v>5</v>
      </c>
      <c r="C157" s="66">
        <f>IF($G156&lt;cc_NEd-1E-9*ABS(cc_NEd),($C156+$D156)/2,$C156)</f>
        <v/>
      </c>
      <c r="D157" s="66">
        <f>IF($G156&lt;cc_NEd-1E-9*ABS(cc_NEd),$D156,($C156+$D156)/2)</f>
        <v/>
      </c>
      <c r="E157" s="67">
        <f>cc_D*(($C157+$D157)/2)/(1-(($C157+$D157)/2))</f>
        <v/>
      </c>
      <c r="F157" s="68">
        <f>IF($E157&lt;=cc_D,3.5,2*$E157/($E157-3*cc_D/7))</f>
        <v/>
      </c>
      <c r="G157" s="67">
        <f>(fcd_cc*((cc_D/2)^2*($BI157-COS($BI157)*SIN($BI157))-2*(cc_D/2)^2*($BI157-$BH157)/12/3*SUMPRODUCT($BJ$4:$BV$4,$BJ157:$BV157))+SUMPRODUCT($J$5:$AG$5,$J157:$AG157))/1000</f>
        <v/>
      </c>
      <c r="H157" s="67">
        <f>(fcd_cc*(2/3*(cc_D/2)^3*SIN($BI157)^3-2*(cc_D/2)^3*($BI157-$BH157)/12/3*SUMPRODUCT($BW$4:$CI$4,$BW157:$CI157))+SUMPRODUCT($J$5:$AG$5,$J157:$AG157,$J$10:$AG$10))/1E6</f>
        <v/>
      </c>
      <c r="I157" s="67">
        <f>SUMPRODUCT($J$5:$AG$5,$J157:$AG157,$J$11:$AG$11)/1E6</f>
        <v/>
      </c>
      <c r="J157">
        <f>MAX(-fyd_cc,MIN(fyd_cc,Es_cc*IF($E157&lt;=cc_D,0.0035*($E157-J$9)/$E157,0.002*($E157-J$9)/($E157-3*cc_D/7))))-fcd_cc*(1-(1-MAX(0,MIN(1,IF($E157&lt;=cc_D,0.0035*($E157-J$9)/$E157,0.002*($E157-J$9)/($E157-3*cc_D/7))/0.002)))^2)</f>
        <v/>
      </c>
      <c r="K157">
        <f>MAX(-fyd_cc,MIN(fyd_cc,Es_cc*IF($E157&lt;=cc_D,0.0035*($E157-K$9)/$E157,0.002*($E157-K$9)/($E157-3*cc_D/7))))-fcd_cc*(1-(1-MAX(0,MIN(1,IF($E157&lt;=cc_D,0.0035*($E157-K$9)/$E157,0.002*($E157-K$9)/($E157-3*cc_D/7))/0.002)))^2)</f>
        <v/>
      </c>
      <c r="L157">
        <f>MAX(-fyd_cc,MIN(fyd_cc,Es_cc*IF($E157&lt;=cc_D,0.0035*($E157-L$9)/$E157,0.002*($E157-L$9)/($E157-3*cc_D/7))))-fcd_cc*(1-(1-MAX(0,MIN(1,IF($E157&lt;=cc_D,0.0035*($E157-L$9)/$E157,0.002*($E157-L$9)/($E157-3*cc_D/7))/0.002)))^2)</f>
        <v/>
      </c>
      <c r="M157">
        <f>MAX(-fyd_cc,MIN(fyd_cc,Es_cc*IF($E157&lt;=cc_D,0.0035*($E157-M$9)/$E157,0.002*($E157-M$9)/($E157-3*cc_D/7))))-fcd_cc*(1-(1-MAX(0,MIN(1,IF($E157&lt;=cc_D,0.0035*($E157-M$9)/$E157,0.002*($E157-M$9)/($E157-3*cc_D/7))/0.002)))^2)</f>
        <v/>
      </c>
      <c r="N157">
        <f>MAX(-fyd_cc,MIN(fyd_cc,Es_cc*IF($E157&lt;=cc_D,0.0035*($E157-N$9)/$E157,0.002*($E157-N$9)/($E157-3*cc_D/7))))-fcd_cc*(1-(1-MAX(0,MIN(1,IF($E157&lt;=cc_D,0.0035*($E157-N$9)/$E157,0.002*($E157-N$9)/($E157-3*cc_D/7))/0.002)))^2)</f>
        <v/>
      </c>
      <c r="O157">
        <f>MAX(-fyd_cc,MIN(fyd_cc,Es_cc*IF($E157&lt;=cc_D,0.0035*($E157-O$9)/$E157,0.002*($E157-O$9)/($E157-3*cc_D/7))))-fcd_cc*(1-(1-MAX(0,MIN(1,IF($E157&lt;=cc_D,0.0035*($E157-O$9)/$E157,0.002*($E157-O$9)/($E157-3*cc_D/7))/0.002)))^2)</f>
        <v/>
      </c>
      <c r="P157">
        <f>MAX(-fyd_cc,MIN(fyd_cc,Es_cc*IF($E157&lt;=cc_D,0.0035*($E157-P$9)/$E157,0.002*($E157-P$9)/($E157-3*cc_D/7))))-fcd_cc*(1-(1-MAX(0,MIN(1,IF($E157&lt;=cc_D,0.0035*($E157-P$9)/$E157,0.002*($E157-P$9)/($E157-3*cc_D/7))/0.002)))^2)</f>
        <v/>
      </c>
      <c r="Q157">
        <f>MAX(-fyd_cc,MIN(fyd_cc,Es_cc*IF($E157&lt;=cc_D,0.0035*($E157-Q$9)/$E157,0.002*($E157-Q$9)/($E157-3*cc_D/7))))-fcd_cc*(1-(1-MAX(0,MIN(1,IF($E157&lt;=cc_D,0.0035*($E157-Q$9)/$E157,0.002*($E157-Q$9)/($E157-3*cc_D/7))/0.002)))^2)</f>
        <v/>
      </c>
      <c r="R157">
        <f>MAX(-fyd_cc,MIN(fyd_cc,Es_cc*IF($E157&lt;=cc_D,0.0035*($E157-R$9)/$E157,0.002*($E157-R$9)/($E157-3*cc_D/7))))-fcd_cc*(1-(1-MAX(0,MIN(1,IF($E157&lt;=cc_D,0.0035*($E157-R$9)/$E157,0.002*($E157-R$9)/($E157-3*cc_D/7))/0.002)))^2)</f>
        <v/>
      </c>
      <c r="S157">
        <f>MAX(-fyd_cc,MIN(fyd_cc,Es_cc*IF($E157&lt;=cc_D,0.0035*($E157-S$9)/$E157,0.002*($E157-S$9)/($E157-3*cc_D/7))))-fcd_cc*(1-(1-MAX(0,MIN(1,IF($E157&lt;=cc_D,0.0035*($E157-S$9)/$E157,0.002*($E157-S$9)/($E157-3*cc_D/7))/0.002)))^2)</f>
        <v/>
      </c>
      <c r="T157">
        <f>MAX(-fyd_cc,MIN(fyd_cc,Es_cc*IF($E157&lt;=cc_D,0.0035*($E157-T$9)/$E157,0.002*($E157-T$9)/($E157-3*cc_D/7))))-fcd_cc*(1-(1-MAX(0,MIN(1,IF($E157&lt;=cc_D,0.0035*($E157-T$9)/$E157,0.002*($E157-T$9)/($E157-3*cc_D/7))/0.002)))^2)</f>
        <v/>
      </c>
      <c r="U157">
        <f>MAX(-fyd_cc,MIN(fyd_cc,Es_cc*IF($E157&lt;=cc_D,0.0035*($E157-U$9)/$E157,0.002*($E157-U$9)/($E157-3*cc_D/7))))-fcd_cc*(1-(1-MAX(0,MIN(1,IF($E157&lt;=cc_D,0.0035*($E157-U$9)/$E157,0.002*($E157-U$9)/($E157-3*cc_D/7))/0.002)))^2)</f>
        <v/>
      </c>
      <c r="V157">
        <f>MAX(-fyd_cc,MIN(fyd_cc,Es_cc*IF($E157&lt;=cc_D,0.0035*($E157-V$9)/$E157,0.002*($E157-V$9)/($E157-3*cc_D/7))))-fcd_cc*(1-(1-MAX(0,MIN(1,IF($E157&lt;=cc_D,0.0035*($E157-V$9)/$E157,0.002*($E157-V$9)/($E157-3*cc_D/7))/0.002)))^2)</f>
        <v/>
      </c>
      <c r="W157">
        <f>MAX(-fyd_cc,MIN(fyd_cc,Es_cc*IF($E157&lt;=cc_D,0.0035*($E157-W$9)/$E157,0.002*($E157-W$9)/($E157-3*cc_D/7))))-fcd_cc*(1-(1-MAX(0,MIN(1,IF($E157&lt;=cc_D,0.0035*($E157-W$9)/$E157,0.002*($E157-W$9)/($E157-3*cc_D/7))/0.002)))^2)</f>
        <v/>
      </c>
      <c r="X157">
        <f>MAX(-fyd_cc,MIN(fyd_cc,Es_cc*IF($E157&lt;=cc_D,0.0035*($E157-X$9)/$E157,0.002*($E157-X$9)/($E157-3*cc_D/7))))-fcd_cc*(1-(1-MAX(0,MIN(1,IF($E157&lt;=cc_D,0.0035*($E157-X$9)/$E157,0.002*($E157-X$9)/($E157-3*cc_D/7))/0.002)))^2)</f>
        <v/>
      </c>
      <c r="Y157">
        <f>MAX(-fyd_cc,MIN(fyd_cc,Es_cc*IF($E157&lt;=cc_D,0.0035*($E157-Y$9)/$E157,0.002*($E157-Y$9)/($E157-3*cc_D/7))))-fcd_cc*(1-(1-MAX(0,MIN(1,IF($E157&lt;=cc_D,0.0035*($E157-Y$9)/$E157,0.002*($E157-Y$9)/($E157-3*cc_D/7))/0.002)))^2)</f>
        <v/>
      </c>
      <c r="Z157">
        <f>MAX(-fyd_cc,MIN(fyd_cc,Es_cc*IF($E157&lt;=cc_D,0.0035*($E157-Z$9)/$E157,0.002*($E157-Z$9)/($E157-3*cc_D/7))))-fcd_cc*(1-(1-MAX(0,MIN(1,IF($E157&lt;=cc_D,0.0035*($E157-Z$9)/$E157,0.002*($E157-Z$9)/($E157-3*cc_D/7))/0.002)))^2)</f>
        <v/>
      </c>
      <c r="AA157">
        <f>MAX(-fyd_cc,MIN(fyd_cc,Es_cc*IF($E157&lt;=cc_D,0.0035*($E157-AA$9)/$E157,0.002*($E157-AA$9)/($E157-3*cc_D/7))))-fcd_cc*(1-(1-MAX(0,MIN(1,IF($E157&lt;=cc_D,0.0035*($E157-AA$9)/$E157,0.002*($E157-AA$9)/($E157-3*cc_D/7))/0.002)))^2)</f>
        <v/>
      </c>
      <c r="AB157">
        <f>MAX(-fyd_cc,MIN(fyd_cc,Es_cc*IF($E157&lt;=cc_D,0.0035*($E157-AB$9)/$E157,0.002*($E157-AB$9)/($E157-3*cc_D/7))))-fcd_cc*(1-(1-MAX(0,MIN(1,IF($E157&lt;=cc_D,0.0035*($E157-AB$9)/$E157,0.002*($E157-AB$9)/($E157-3*cc_D/7))/0.002)))^2)</f>
        <v/>
      </c>
      <c r="AC157">
        <f>MAX(-fyd_cc,MIN(fyd_cc,Es_cc*IF($E157&lt;=cc_D,0.0035*($E157-AC$9)/$E157,0.002*($E157-AC$9)/($E157-3*cc_D/7))))-fcd_cc*(1-(1-MAX(0,MIN(1,IF($E157&lt;=cc_D,0.0035*($E157-AC$9)/$E157,0.002*($E157-AC$9)/($E157-3*cc_D/7))/0.002)))^2)</f>
        <v/>
      </c>
      <c r="AD157">
        <f>MAX(-fyd_cc,MIN(fyd_cc,Es_cc*IF($E157&lt;=cc_D,0.0035*($E157-AD$9)/$E157,0.002*($E157-AD$9)/($E157-3*cc_D/7))))-fcd_cc*(1-(1-MAX(0,MIN(1,IF($E157&lt;=cc_D,0.0035*($E157-AD$9)/$E157,0.002*($E157-AD$9)/($E157-3*cc_D/7))/0.002)))^2)</f>
        <v/>
      </c>
      <c r="AE157">
        <f>MAX(-fyd_cc,MIN(fyd_cc,Es_cc*IF($E157&lt;=cc_D,0.0035*($E157-AE$9)/$E157,0.002*($E157-AE$9)/($E157-3*cc_D/7))))-fcd_cc*(1-(1-MAX(0,MIN(1,IF($E157&lt;=cc_D,0.0035*($E157-AE$9)/$E157,0.002*($E157-AE$9)/($E157-3*cc_D/7))/0.002)))^2)</f>
        <v/>
      </c>
      <c r="AF157">
        <f>MAX(-fyd_cc,MIN(fyd_cc,Es_cc*IF($E157&lt;=cc_D,0.0035*($E157-AF$9)/$E157,0.002*($E157-AF$9)/($E157-3*cc_D/7))))-fcd_cc*(1-(1-MAX(0,MIN(1,IF($E157&lt;=cc_D,0.0035*($E157-AF$9)/$E157,0.002*($E157-AF$9)/($E157-3*cc_D/7))/0.002)))^2)</f>
        <v/>
      </c>
      <c r="AG157">
        <f>MAX(-fyd_cc,MIN(fyd_cc,Es_cc*IF($E157&lt;=cc_D,0.0035*($E157-AG$9)/$E157,0.002*($E157-AG$9)/($E157-3*cc_D/7))))-fcd_cc*(1-(1-MAX(0,MIN(1,IF($E157&lt;=cc_D,0.0035*($E157-AG$9)/$E157,0.002*($E157-AG$9)/($E157-3*cc_D/7))/0.002)))^2)</f>
        <v/>
      </c>
      <c r="BF157">
        <f>3*MIN($E157,cc_D)/7</f>
        <v/>
      </c>
      <c r="BG157">
        <f>$E157-$BF157</f>
        <v/>
      </c>
      <c r="BH157">
        <f>ACOS(MAX(-1,MIN(1,1-$BF157/(cc_D/2))))</f>
        <v/>
      </c>
      <c r="BI157">
        <f>ACOS(MAX(-1,MIN(1,1-MIN($E157,cc_D)/(cc_D/2))))</f>
        <v/>
      </c>
      <c r="BJ157">
        <f>((cc_D/2*(1-COS(($BH157+0*($BI157-$BH157)/12)))-$BF157)/$BG157)^2*SIN(($BH157+0*($BI157-$BH157)/12))^2</f>
        <v/>
      </c>
      <c r="BK157">
        <f>((cc_D/2*(1-COS(($BH157+1*($BI157-$BH157)/12)))-$BF157)/$BG157)^2*SIN(($BH157+1*($BI157-$BH157)/12))^2</f>
        <v/>
      </c>
      <c r="BL157">
        <f>((cc_D/2*(1-COS(($BH157+2*($BI157-$BH157)/12)))-$BF157)/$BG157)^2*SIN(($BH157+2*($BI157-$BH157)/12))^2</f>
        <v/>
      </c>
      <c r="BM157">
        <f>((cc_D/2*(1-COS(($BH157+3*($BI157-$BH157)/12)))-$BF157)/$BG157)^2*SIN(($BH157+3*($BI157-$BH157)/12))^2</f>
        <v/>
      </c>
      <c r="BN157">
        <f>((cc_D/2*(1-COS(($BH157+4*($BI157-$BH157)/12)))-$BF157)/$BG157)^2*SIN(($BH157+4*($BI157-$BH157)/12))^2</f>
        <v/>
      </c>
      <c r="BO157">
        <f>((cc_D/2*(1-COS(($BH157+5*($BI157-$BH157)/12)))-$BF157)/$BG157)^2*SIN(($BH157+5*($BI157-$BH157)/12))^2</f>
        <v/>
      </c>
      <c r="BP157">
        <f>((cc_D/2*(1-COS(($BH157+6*($BI157-$BH157)/12)))-$BF157)/$BG157)^2*SIN(($BH157+6*($BI157-$BH157)/12))^2</f>
        <v/>
      </c>
      <c r="BQ157">
        <f>((cc_D/2*(1-COS(($BH157+7*($BI157-$BH157)/12)))-$BF157)/$BG157)^2*SIN(($BH157+7*($BI157-$BH157)/12))^2</f>
        <v/>
      </c>
      <c r="BR157">
        <f>((cc_D/2*(1-COS(($BH157+8*($BI157-$BH157)/12)))-$BF157)/$BG157)^2*SIN(($BH157+8*($BI157-$BH157)/12))^2</f>
        <v/>
      </c>
      <c r="BS157">
        <f>((cc_D/2*(1-COS(($BH157+9*($BI157-$BH157)/12)))-$BF157)/$BG157)^2*SIN(($BH157+9*($BI157-$BH157)/12))^2</f>
        <v/>
      </c>
      <c r="BT157">
        <f>((cc_D/2*(1-COS(($BH157+10*($BI157-$BH157)/12)))-$BF157)/$BG157)^2*SIN(($BH157+10*($BI157-$BH157)/12))^2</f>
        <v/>
      </c>
      <c r="BU157">
        <f>((cc_D/2*(1-COS(($BH157+11*($BI157-$BH157)/12)))-$BF157)/$BG157)^2*SIN(($BH157+11*($BI157-$BH157)/12))^2</f>
        <v/>
      </c>
      <c r="BV157">
        <f>((cc_D/2*(1-COS(($BH157+12*($BI157-$BH157)/12)))-$BF157)/$BG157)^2*SIN(($BH157+12*($BI157-$BH157)/12))^2</f>
        <v/>
      </c>
      <c r="BW157">
        <f>BJ157*COS(($BH157+0*($BI157-$BH157)/12))</f>
        <v/>
      </c>
      <c r="BX157">
        <f>BK157*COS(($BH157+1*($BI157-$BH157)/12))</f>
        <v/>
      </c>
      <c r="BY157">
        <f>BL157*COS(($BH157+2*($BI157-$BH157)/12))</f>
        <v/>
      </c>
      <c r="BZ157">
        <f>BM157*COS(($BH157+3*($BI157-$BH157)/12))</f>
        <v/>
      </c>
      <c r="CA157">
        <f>BN157*COS(($BH157+4*($BI157-$BH157)/12))</f>
        <v/>
      </c>
      <c r="CB157">
        <f>BO157*COS(($BH157+5*($BI157-$BH157)/12))</f>
        <v/>
      </c>
      <c r="CC157">
        <f>BP157*COS(($BH157+6*($BI157-$BH157)/12))</f>
        <v/>
      </c>
      <c r="CD157">
        <f>BQ157*COS(($BH157+7*($BI157-$BH157)/12))</f>
        <v/>
      </c>
      <c r="CE157">
        <f>BR157*COS(($BH157+8*($BI157-$BH157)/12))</f>
        <v/>
      </c>
      <c r="CF157">
        <f>BS157*COS(($BH157+9*($BI157-$BH157)/12))</f>
        <v/>
      </c>
      <c r="CG157">
        <f>BT157*COS(($BH157+10*($BI157-$BH157)/12))</f>
        <v/>
      </c>
      <c r="CH157">
        <f>BU157*COS(($BH157+11*($BI157-$BH157)/12))</f>
        <v/>
      </c>
      <c r="CI157">
        <f>BV157*COS(($BH157+12*($BI157-$BH157)/12))</f>
        <v/>
      </c>
    </row>
    <row r="158">
      <c r="B158" s="65" t="n">
        <v>6</v>
      </c>
      <c r="C158" s="66">
        <f>IF($G157&lt;cc_NEd-1E-9*ABS(cc_NEd),($C157+$D157)/2,$C157)</f>
        <v/>
      </c>
      <c r="D158" s="66">
        <f>IF($G157&lt;cc_NEd-1E-9*ABS(cc_NEd),$D157,($C157+$D157)/2)</f>
        <v/>
      </c>
      <c r="E158" s="67">
        <f>cc_D*(($C158+$D158)/2)/(1-(($C158+$D158)/2))</f>
        <v/>
      </c>
      <c r="F158" s="68">
        <f>IF($E158&lt;=cc_D,3.5,2*$E158/($E158-3*cc_D/7))</f>
        <v/>
      </c>
      <c r="G158" s="67">
        <f>(fcd_cc*((cc_D/2)^2*($BI158-COS($BI158)*SIN($BI158))-2*(cc_D/2)^2*($BI158-$BH158)/12/3*SUMPRODUCT($BJ$4:$BV$4,$BJ158:$BV158))+SUMPRODUCT($J$5:$AG$5,$J158:$AG158))/1000</f>
        <v/>
      </c>
      <c r="H158" s="67">
        <f>(fcd_cc*(2/3*(cc_D/2)^3*SIN($BI158)^3-2*(cc_D/2)^3*($BI158-$BH158)/12/3*SUMPRODUCT($BW$4:$CI$4,$BW158:$CI158))+SUMPRODUCT($J$5:$AG$5,$J158:$AG158,$J$10:$AG$10))/1E6</f>
        <v/>
      </c>
      <c r="I158" s="67">
        <f>SUMPRODUCT($J$5:$AG$5,$J158:$AG158,$J$11:$AG$11)/1E6</f>
        <v/>
      </c>
      <c r="J158">
        <f>MAX(-fyd_cc,MIN(fyd_cc,Es_cc*IF($E158&lt;=cc_D,0.0035*($E158-J$9)/$E158,0.002*($E158-J$9)/($E158-3*cc_D/7))))-fcd_cc*(1-(1-MAX(0,MIN(1,IF($E158&lt;=cc_D,0.0035*($E158-J$9)/$E158,0.002*($E158-J$9)/($E158-3*cc_D/7))/0.002)))^2)</f>
        <v/>
      </c>
      <c r="K158">
        <f>MAX(-fyd_cc,MIN(fyd_cc,Es_cc*IF($E158&lt;=cc_D,0.0035*($E158-K$9)/$E158,0.002*($E158-K$9)/($E158-3*cc_D/7))))-fcd_cc*(1-(1-MAX(0,MIN(1,IF($E158&lt;=cc_D,0.0035*($E158-K$9)/$E158,0.002*($E158-K$9)/($E158-3*cc_D/7))/0.002)))^2)</f>
        <v/>
      </c>
      <c r="L158">
        <f>MAX(-fyd_cc,MIN(fyd_cc,Es_cc*IF($E158&lt;=cc_D,0.0035*($E158-L$9)/$E158,0.002*($E158-L$9)/($E158-3*cc_D/7))))-fcd_cc*(1-(1-MAX(0,MIN(1,IF($E158&lt;=cc_D,0.0035*($E158-L$9)/$E158,0.002*($E158-L$9)/($E158-3*cc_D/7))/0.002)))^2)</f>
        <v/>
      </c>
      <c r="M158">
        <f>MAX(-fyd_cc,MIN(fyd_cc,Es_cc*IF($E158&lt;=cc_D,0.0035*($E158-M$9)/$E158,0.002*($E158-M$9)/($E158-3*cc_D/7))))-fcd_cc*(1-(1-MAX(0,MIN(1,IF($E158&lt;=cc_D,0.0035*($E158-M$9)/$E158,0.002*($E158-M$9)/($E158-3*cc_D/7))/0.002)))^2)</f>
        <v/>
      </c>
      <c r="N158">
        <f>MAX(-fyd_cc,MIN(fyd_cc,Es_cc*IF($E158&lt;=cc_D,0.0035*($E158-N$9)/$E158,0.002*($E158-N$9)/($E158-3*cc_D/7))))-fcd_cc*(1-(1-MAX(0,MIN(1,IF($E158&lt;=cc_D,0.0035*($E158-N$9)/$E158,0.002*($E158-N$9)/($E158-3*cc_D/7))/0.002)))^2)</f>
        <v/>
      </c>
      <c r="O158">
        <f>MAX(-fyd_cc,MIN(fyd_cc,Es_cc*IF($E158&lt;=cc_D,0.0035*($E158-O$9)/$E158,0.002*($E158-O$9)/($E158-3*cc_D/7))))-fcd_cc*(1-(1-MAX(0,MIN(1,IF($E158&lt;=cc_D,0.0035*($E158-O$9)/$E158,0.002*($E158-O$9)/($E158-3*cc_D/7))/0.002)))^2)</f>
        <v/>
      </c>
      <c r="P158">
        <f>MAX(-fyd_cc,MIN(fyd_cc,Es_cc*IF($E158&lt;=cc_D,0.0035*($E158-P$9)/$E158,0.002*($E158-P$9)/($E158-3*cc_D/7))))-fcd_cc*(1-(1-MAX(0,MIN(1,IF($E158&lt;=cc_D,0.0035*($E158-P$9)/$E158,0.002*($E158-P$9)/($E158-3*cc_D/7))/0.002)))^2)</f>
        <v/>
      </c>
      <c r="Q158">
        <f>MAX(-fyd_cc,MIN(fyd_cc,Es_cc*IF($E158&lt;=cc_D,0.0035*($E158-Q$9)/$E158,0.002*($E158-Q$9)/($E158-3*cc_D/7))))-fcd_cc*(1-(1-MAX(0,MIN(1,IF($E158&lt;=cc_D,0.0035*($E158-Q$9)/$E158,0.002*($E158-Q$9)/($E158-3*cc_D/7))/0.002)))^2)</f>
        <v/>
      </c>
      <c r="R158">
        <f>MAX(-fyd_cc,MIN(fyd_cc,Es_cc*IF($E158&lt;=cc_D,0.0035*($E158-R$9)/$E158,0.002*($E158-R$9)/($E158-3*cc_D/7))))-fcd_cc*(1-(1-MAX(0,MIN(1,IF($E158&lt;=cc_D,0.0035*($E158-R$9)/$E158,0.002*($E158-R$9)/($E158-3*cc_D/7))/0.002)))^2)</f>
        <v/>
      </c>
      <c r="S158">
        <f>MAX(-fyd_cc,MIN(fyd_cc,Es_cc*IF($E158&lt;=cc_D,0.0035*($E158-S$9)/$E158,0.002*($E158-S$9)/($E158-3*cc_D/7))))-fcd_cc*(1-(1-MAX(0,MIN(1,IF($E158&lt;=cc_D,0.0035*($E158-S$9)/$E158,0.002*($E158-S$9)/($E158-3*cc_D/7))/0.002)))^2)</f>
        <v/>
      </c>
      <c r="T158">
        <f>MAX(-fyd_cc,MIN(fyd_cc,Es_cc*IF($E158&lt;=cc_D,0.0035*($E158-T$9)/$E158,0.002*($E158-T$9)/($E158-3*cc_D/7))))-fcd_cc*(1-(1-MAX(0,MIN(1,IF($E158&lt;=cc_D,0.0035*($E158-T$9)/$E158,0.002*($E158-T$9)/($E158-3*cc_D/7))/0.002)))^2)</f>
        <v/>
      </c>
      <c r="U158">
        <f>MAX(-fyd_cc,MIN(fyd_cc,Es_cc*IF($E158&lt;=cc_D,0.0035*($E158-U$9)/$E158,0.002*($E158-U$9)/($E158-3*cc_D/7))))-fcd_cc*(1-(1-MAX(0,MIN(1,IF($E158&lt;=cc_D,0.0035*($E158-U$9)/$E158,0.002*($E158-U$9)/($E158-3*cc_D/7))/0.002)))^2)</f>
        <v/>
      </c>
      <c r="V158">
        <f>MAX(-fyd_cc,MIN(fyd_cc,Es_cc*IF($E158&lt;=cc_D,0.0035*($E158-V$9)/$E158,0.002*($E158-V$9)/($E158-3*cc_D/7))))-fcd_cc*(1-(1-MAX(0,MIN(1,IF($E158&lt;=cc_D,0.0035*($E158-V$9)/$E158,0.002*($E158-V$9)/($E158-3*cc_D/7))/0.002)))^2)</f>
        <v/>
      </c>
      <c r="W158">
        <f>MAX(-fyd_cc,MIN(fyd_cc,Es_cc*IF($E158&lt;=cc_D,0.0035*($E158-W$9)/$E158,0.002*($E158-W$9)/($E158-3*cc_D/7))))-fcd_cc*(1-(1-MAX(0,MIN(1,IF($E158&lt;=cc_D,0.0035*($E158-W$9)/$E158,0.002*($E158-W$9)/($E158-3*cc_D/7))/0.002)))^2)</f>
        <v/>
      </c>
      <c r="X158">
        <f>MAX(-fyd_cc,MIN(fyd_cc,Es_cc*IF($E158&lt;=cc_D,0.0035*($E158-X$9)/$E158,0.002*($E158-X$9)/($E158-3*cc_D/7))))-fcd_cc*(1-(1-MAX(0,MIN(1,IF($E158&lt;=cc_D,0.0035*($E158-X$9)/$E158,0.002*($E158-X$9)/($E158-3*cc_D/7))/0.002)))^2)</f>
        <v/>
      </c>
      <c r="Y158">
        <f>MAX(-fyd_cc,MIN(fyd_cc,Es_cc*IF($E158&lt;=cc_D,0.0035*($E158-Y$9)/$E158,0.002*($E158-Y$9)/($E158-3*cc_D/7))))-fcd_cc*(1-(1-MAX(0,MIN(1,IF($E158&lt;=cc_D,0.0035*($E158-Y$9)/$E158,0.002*($E158-Y$9)/($E158-3*cc_D/7))/0.002)))^2)</f>
        <v/>
      </c>
      <c r="Z158">
        <f>MAX(-fyd_cc,MIN(fyd_cc,Es_cc*IF($E158&lt;=cc_D,0.0035*($E158-Z$9)/$E158,0.002*($E158-Z$9)/($E158-3*cc_D/7))))-fcd_cc*(1-(1-MAX(0,MIN(1,IF($E158&lt;=cc_D,0.0035*($E158-Z$9)/$E158,0.002*($E158-Z$9)/($E158-3*cc_D/7))/0.002)))^2)</f>
        <v/>
      </c>
      <c r="AA158">
        <f>MAX(-fyd_cc,MIN(fyd_cc,Es_cc*IF($E158&lt;=cc_D,0.0035*($E158-AA$9)/$E158,0.002*($E158-AA$9)/($E158-3*cc_D/7))))-fcd_cc*(1-(1-MAX(0,MIN(1,IF($E158&lt;=cc_D,0.0035*($E158-AA$9)/$E158,0.002*($E158-AA$9)/($E158-3*cc_D/7))/0.002)))^2)</f>
        <v/>
      </c>
      <c r="AB158">
        <f>MAX(-fyd_cc,MIN(fyd_cc,Es_cc*IF($E158&lt;=cc_D,0.0035*($E158-AB$9)/$E158,0.002*($E158-AB$9)/($E158-3*cc_D/7))))-fcd_cc*(1-(1-MAX(0,MIN(1,IF($E158&lt;=cc_D,0.0035*($E158-AB$9)/$E158,0.002*($E158-AB$9)/($E158-3*cc_D/7))/0.002)))^2)</f>
        <v/>
      </c>
      <c r="AC158">
        <f>MAX(-fyd_cc,MIN(fyd_cc,Es_cc*IF($E158&lt;=cc_D,0.0035*($E158-AC$9)/$E158,0.002*($E158-AC$9)/($E158-3*cc_D/7))))-fcd_cc*(1-(1-MAX(0,MIN(1,IF($E158&lt;=cc_D,0.0035*($E158-AC$9)/$E158,0.002*($E158-AC$9)/($E158-3*cc_D/7))/0.002)))^2)</f>
        <v/>
      </c>
      <c r="AD158">
        <f>MAX(-fyd_cc,MIN(fyd_cc,Es_cc*IF($E158&lt;=cc_D,0.0035*($E158-AD$9)/$E158,0.002*($E158-AD$9)/($E158-3*cc_D/7))))-fcd_cc*(1-(1-MAX(0,MIN(1,IF($E158&lt;=cc_D,0.0035*($E158-AD$9)/$E158,0.002*($E158-AD$9)/($E158-3*cc_D/7))/0.002)))^2)</f>
        <v/>
      </c>
      <c r="AE158">
        <f>MAX(-fyd_cc,MIN(fyd_cc,Es_cc*IF($E158&lt;=cc_D,0.0035*($E158-AE$9)/$E158,0.002*($E158-AE$9)/($E158-3*cc_D/7))))-fcd_cc*(1-(1-MAX(0,MIN(1,IF($E158&lt;=cc_D,0.0035*($E158-AE$9)/$E158,0.002*($E158-AE$9)/($E158-3*cc_D/7))/0.002)))^2)</f>
        <v/>
      </c>
      <c r="AF158">
        <f>MAX(-fyd_cc,MIN(fyd_cc,Es_cc*IF($E158&lt;=cc_D,0.0035*($E158-AF$9)/$E158,0.002*($E158-AF$9)/($E158-3*cc_D/7))))-fcd_cc*(1-(1-MAX(0,MIN(1,IF($E158&lt;=cc_D,0.0035*($E158-AF$9)/$E158,0.002*($E158-AF$9)/($E158-3*cc_D/7))/0.002)))^2)</f>
        <v/>
      </c>
      <c r="AG158">
        <f>MAX(-fyd_cc,MIN(fyd_cc,Es_cc*IF($E158&lt;=cc_D,0.0035*($E158-AG$9)/$E158,0.002*($E158-AG$9)/($E158-3*cc_D/7))))-fcd_cc*(1-(1-MAX(0,MIN(1,IF($E158&lt;=cc_D,0.0035*($E158-AG$9)/$E158,0.002*($E158-AG$9)/($E158-3*cc_D/7))/0.002)))^2)</f>
        <v/>
      </c>
      <c r="BF158">
        <f>3*MIN($E158,cc_D)/7</f>
        <v/>
      </c>
      <c r="BG158">
        <f>$E158-$BF158</f>
        <v/>
      </c>
      <c r="BH158">
        <f>ACOS(MAX(-1,MIN(1,1-$BF158/(cc_D/2))))</f>
        <v/>
      </c>
      <c r="BI158">
        <f>ACOS(MAX(-1,MIN(1,1-MIN($E158,cc_D)/(cc_D/2))))</f>
        <v/>
      </c>
      <c r="BJ158">
        <f>((cc_D/2*(1-COS(($BH158+0*($BI158-$BH158)/12)))-$BF158)/$BG158)^2*SIN(($BH158+0*($BI158-$BH158)/12))^2</f>
        <v/>
      </c>
      <c r="BK158">
        <f>((cc_D/2*(1-COS(($BH158+1*($BI158-$BH158)/12)))-$BF158)/$BG158)^2*SIN(($BH158+1*($BI158-$BH158)/12))^2</f>
        <v/>
      </c>
      <c r="BL158">
        <f>((cc_D/2*(1-COS(($BH158+2*($BI158-$BH158)/12)))-$BF158)/$BG158)^2*SIN(($BH158+2*($BI158-$BH158)/12))^2</f>
        <v/>
      </c>
      <c r="BM158">
        <f>((cc_D/2*(1-COS(($BH158+3*($BI158-$BH158)/12)))-$BF158)/$BG158)^2*SIN(($BH158+3*($BI158-$BH158)/12))^2</f>
        <v/>
      </c>
      <c r="BN158">
        <f>((cc_D/2*(1-COS(($BH158+4*($BI158-$BH158)/12)))-$BF158)/$BG158)^2*SIN(($BH158+4*($BI158-$BH158)/12))^2</f>
        <v/>
      </c>
      <c r="BO158">
        <f>((cc_D/2*(1-COS(($BH158+5*($BI158-$BH158)/12)))-$BF158)/$BG158)^2*SIN(($BH158+5*($BI158-$BH158)/12))^2</f>
        <v/>
      </c>
      <c r="BP158">
        <f>((cc_D/2*(1-COS(($BH158+6*($BI158-$BH158)/12)))-$BF158)/$BG158)^2*SIN(($BH158+6*($BI158-$BH158)/12))^2</f>
        <v/>
      </c>
      <c r="BQ158">
        <f>((cc_D/2*(1-COS(($BH158+7*($BI158-$BH158)/12)))-$BF158)/$BG158)^2*SIN(($BH158+7*($BI158-$BH158)/12))^2</f>
        <v/>
      </c>
      <c r="BR158">
        <f>((cc_D/2*(1-COS(($BH158+8*($BI158-$BH158)/12)))-$BF158)/$BG158)^2*SIN(($BH158+8*($BI158-$BH158)/12))^2</f>
        <v/>
      </c>
      <c r="BS158">
        <f>((cc_D/2*(1-COS(($BH158+9*($BI158-$BH158)/12)))-$BF158)/$BG158)^2*SIN(($BH158+9*($BI158-$BH158)/12))^2</f>
        <v/>
      </c>
      <c r="BT158">
        <f>((cc_D/2*(1-COS(($BH158+10*($BI158-$BH158)/12)))-$BF158)/$BG158)^2*SIN(($BH158+10*($BI158-$BH158)/12))^2</f>
        <v/>
      </c>
      <c r="BU158">
        <f>((cc_D/2*(1-COS(($BH158+11*($BI158-$BH158)/12)))-$BF158)/$BG158)^2*SIN(($BH158+11*($BI158-$BH158)/12))^2</f>
        <v/>
      </c>
      <c r="BV158">
        <f>((cc_D/2*(1-COS(($BH158+12*($BI158-$BH158)/12)))-$BF158)/$BG158)^2*SIN(($BH158+12*($BI158-$BH158)/12))^2</f>
        <v/>
      </c>
      <c r="BW158">
        <f>BJ158*COS(($BH158+0*($BI158-$BH158)/12))</f>
        <v/>
      </c>
      <c r="BX158">
        <f>BK158*COS(($BH158+1*($BI158-$BH158)/12))</f>
        <v/>
      </c>
      <c r="BY158">
        <f>BL158*COS(($BH158+2*($BI158-$BH158)/12))</f>
        <v/>
      </c>
      <c r="BZ158">
        <f>BM158*COS(($BH158+3*($BI158-$BH158)/12))</f>
        <v/>
      </c>
      <c r="CA158">
        <f>BN158*COS(($BH158+4*($BI158-$BH158)/12))</f>
        <v/>
      </c>
      <c r="CB158">
        <f>BO158*COS(($BH158+5*($BI158-$BH158)/12))</f>
        <v/>
      </c>
      <c r="CC158">
        <f>BP158*COS(($BH158+6*($BI158-$BH158)/12))</f>
        <v/>
      </c>
      <c r="CD158">
        <f>BQ158*COS(($BH158+7*($BI158-$BH158)/12))</f>
        <v/>
      </c>
      <c r="CE158">
        <f>BR158*COS(($BH158+8*($BI158-$BH158)/12))</f>
        <v/>
      </c>
      <c r="CF158">
        <f>BS158*COS(($BH158+9*($BI158-$BH158)/12))</f>
        <v/>
      </c>
      <c r="CG158">
        <f>BT158*COS(($BH158+10*($BI158-$BH158)/12))</f>
        <v/>
      </c>
      <c r="CH158">
        <f>BU158*COS(($BH158+11*($BI158-$BH158)/12))</f>
        <v/>
      </c>
      <c r="CI158">
        <f>BV158*COS(($BH158+12*($BI158-$BH158)/12))</f>
        <v/>
      </c>
    </row>
    <row r="159">
      <c r="B159" s="65" t="n">
        <v>7</v>
      </c>
      <c r="C159" s="66">
        <f>IF($G158&lt;cc_NEd-1E-9*ABS(cc_NEd),($C158+$D158)/2,$C158)</f>
        <v/>
      </c>
      <c r="D159" s="66">
        <f>IF($G158&lt;cc_NEd-1E-9*ABS(cc_NEd),$D158,($C158+$D158)/2)</f>
        <v/>
      </c>
      <c r="E159" s="67">
        <f>cc_D*(($C159+$D159)/2)/(1-(($C159+$D159)/2))</f>
        <v/>
      </c>
      <c r="F159" s="68">
        <f>IF($E159&lt;=cc_D,3.5,2*$E159/($E159-3*cc_D/7))</f>
        <v/>
      </c>
      <c r="G159" s="67">
        <f>(fcd_cc*((cc_D/2)^2*($BI159-COS($BI159)*SIN($BI159))-2*(cc_D/2)^2*($BI159-$BH159)/12/3*SUMPRODUCT($BJ$4:$BV$4,$BJ159:$BV159))+SUMPRODUCT($J$5:$AG$5,$J159:$AG159))/1000</f>
        <v/>
      </c>
      <c r="H159" s="67">
        <f>(fcd_cc*(2/3*(cc_D/2)^3*SIN($BI159)^3-2*(cc_D/2)^3*($BI159-$BH159)/12/3*SUMPRODUCT($BW$4:$CI$4,$BW159:$CI159))+SUMPRODUCT($J$5:$AG$5,$J159:$AG159,$J$10:$AG$10))/1E6</f>
        <v/>
      </c>
      <c r="I159" s="67">
        <f>SUMPRODUCT($J$5:$AG$5,$J159:$AG159,$J$11:$AG$11)/1E6</f>
        <v/>
      </c>
      <c r="J159">
        <f>MAX(-fyd_cc,MIN(fyd_cc,Es_cc*IF($E159&lt;=cc_D,0.0035*($E159-J$9)/$E159,0.002*($E159-J$9)/($E159-3*cc_D/7))))-fcd_cc*(1-(1-MAX(0,MIN(1,IF($E159&lt;=cc_D,0.0035*($E159-J$9)/$E159,0.002*($E159-J$9)/($E159-3*cc_D/7))/0.002)))^2)</f>
        <v/>
      </c>
      <c r="K159">
        <f>MAX(-fyd_cc,MIN(fyd_cc,Es_cc*IF($E159&lt;=cc_D,0.0035*($E159-K$9)/$E159,0.002*($E159-K$9)/($E159-3*cc_D/7))))-fcd_cc*(1-(1-MAX(0,MIN(1,IF($E159&lt;=cc_D,0.0035*($E159-K$9)/$E159,0.002*($E159-K$9)/($E159-3*cc_D/7))/0.002)))^2)</f>
        <v/>
      </c>
      <c r="L159">
        <f>MAX(-fyd_cc,MIN(fyd_cc,Es_cc*IF($E159&lt;=cc_D,0.0035*($E159-L$9)/$E159,0.002*($E159-L$9)/($E159-3*cc_D/7))))-fcd_cc*(1-(1-MAX(0,MIN(1,IF($E159&lt;=cc_D,0.0035*($E159-L$9)/$E159,0.002*($E159-L$9)/($E159-3*cc_D/7))/0.002)))^2)</f>
        <v/>
      </c>
      <c r="M159">
        <f>MAX(-fyd_cc,MIN(fyd_cc,Es_cc*IF($E159&lt;=cc_D,0.0035*($E159-M$9)/$E159,0.002*($E159-M$9)/($E159-3*cc_D/7))))-fcd_cc*(1-(1-MAX(0,MIN(1,IF($E159&lt;=cc_D,0.0035*($E159-M$9)/$E159,0.002*($E159-M$9)/($E159-3*cc_D/7))/0.002)))^2)</f>
        <v/>
      </c>
      <c r="N159">
        <f>MAX(-fyd_cc,MIN(fyd_cc,Es_cc*IF($E159&lt;=cc_D,0.0035*($E159-N$9)/$E159,0.002*($E159-N$9)/($E159-3*cc_D/7))))-fcd_cc*(1-(1-MAX(0,MIN(1,IF($E159&lt;=cc_D,0.0035*($E159-N$9)/$E159,0.002*($E159-N$9)/($E159-3*cc_D/7))/0.002)))^2)</f>
        <v/>
      </c>
      <c r="O159">
        <f>MAX(-fyd_cc,MIN(fyd_cc,Es_cc*IF($E159&lt;=cc_D,0.0035*($E159-O$9)/$E159,0.002*($E159-O$9)/($E159-3*cc_D/7))))-fcd_cc*(1-(1-MAX(0,MIN(1,IF($E159&lt;=cc_D,0.0035*($E159-O$9)/$E159,0.002*($E159-O$9)/($E159-3*cc_D/7))/0.002)))^2)</f>
        <v/>
      </c>
      <c r="P159">
        <f>MAX(-fyd_cc,MIN(fyd_cc,Es_cc*IF($E159&lt;=cc_D,0.0035*($E159-P$9)/$E159,0.002*($E159-P$9)/($E159-3*cc_D/7))))-fcd_cc*(1-(1-MAX(0,MIN(1,IF($E159&lt;=cc_D,0.0035*($E159-P$9)/$E159,0.002*($E159-P$9)/($E159-3*cc_D/7))/0.002)))^2)</f>
        <v/>
      </c>
      <c r="Q159">
        <f>MAX(-fyd_cc,MIN(fyd_cc,Es_cc*IF($E159&lt;=cc_D,0.0035*($E159-Q$9)/$E159,0.002*($E159-Q$9)/($E159-3*cc_D/7))))-fcd_cc*(1-(1-MAX(0,MIN(1,IF($E159&lt;=cc_D,0.0035*($E159-Q$9)/$E159,0.002*($E159-Q$9)/($E159-3*cc_D/7))/0.002)))^2)</f>
        <v/>
      </c>
      <c r="R159">
        <f>MAX(-fyd_cc,MIN(fyd_cc,Es_cc*IF($E159&lt;=cc_D,0.0035*($E159-R$9)/$E159,0.002*($E159-R$9)/($E159-3*cc_D/7))))-fcd_cc*(1-(1-MAX(0,MIN(1,IF($E159&lt;=cc_D,0.0035*($E159-R$9)/$E159,0.002*($E159-R$9)/($E159-3*cc_D/7))/0.002)))^2)</f>
        <v/>
      </c>
      <c r="S159">
        <f>MAX(-fyd_cc,MIN(fyd_cc,Es_cc*IF($E159&lt;=cc_D,0.0035*($E159-S$9)/$E159,0.002*($E159-S$9)/($E159-3*cc_D/7))))-fcd_cc*(1-(1-MAX(0,MIN(1,IF($E159&lt;=cc_D,0.0035*($E159-S$9)/$E159,0.002*($E159-S$9)/($E159-3*cc_D/7))/0.002)))^2)</f>
        <v/>
      </c>
      <c r="T159">
        <f>MAX(-fyd_cc,MIN(fyd_cc,Es_cc*IF($E159&lt;=cc_D,0.0035*($E159-T$9)/$E159,0.002*($E159-T$9)/($E159-3*cc_D/7))))-fcd_cc*(1-(1-MAX(0,MIN(1,IF($E159&lt;=cc_D,0.0035*($E159-T$9)/$E159,0.002*($E159-T$9)/($E159-3*cc_D/7))/0.002)))^2)</f>
        <v/>
      </c>
      <c r="U159">
        <f>MAX(-fyd_cc,MIN(fyd_cc,Es_cc*IF($E159&lt;=cc_D,0.0035*($E159-U$9)/$E159,0.002*($E159-U$9)/($E159-3*cc_D/7))))-fcd_cc*(1-(1-MAX(0,MIN(1,IF($E159&lt;=cc_D,0.0035*($E159-U$9)/$E159,0.002*($E159-U$9)/($E159-3*cc_D/7))/0.002)))^2)</f>
        <v/>
      </c>
      <c r="V159">
        <f>MAX(-fyd_cc,MIN(fyd_cc,Es_cc*IF($E159&lt;=cc_D,0.0035*($E159-V$9)/$E159,0.002*($E159-V$9)/($E159-3*cc_D/7))))-fcd_cc*(1-(1-MAX(0,MIN(1,IF($E159&lt;=cc_D,0.0035*($E159-V$9)/$E159,0.002*($E159-V$9)/($E159-3*cc_D/7))/0.002)))^2)</f>
        <v/>
      </c>
      <c r="W159">
        <f>MAX(-fyd_cc,MIN(fyd_cc,Es_cc*IF($E159&lt;=cc_D,0.0035*($E159-W$9)/$E159,0.002*($E159-W$9)/($E159-3*cc_D/7))))-fcd_cc*(1-(1-MAX(0,MIN(1,IF($E159&lt;=cc_D,0.0035*($E159-W$9)/$E159,0.002*($E159-W$9)/($E159-3*cc_D/7))/0.002)))^2)</f>
        <v/>
      </c>
      <c r="X159">
        <f>MAX(-fyd_cc,MIN(fyd_cc,Es_cc*IF($E159&lt;=cc_D,0.0035*($E159-X$9)/$E159,0.002*($E159-X$9)/($E159-3*cc_D/7))))-fcd_cc*(1-(1-MAX(0,MIN(1,IF($E159&lt;=cc_D,0.0035*($E159-X$9)/$E159,0.002*($E159-X$9)/($E159-3*cc_D/7))/0.002)))^2)</f>
        <v/>
      </c>
      <c r="Y159">
        <f>MAX(-fyd_cc,MIN(fyd_cc,Es_cc*IF($E159&lt;=cc_D,0.0035*($E159-Y$9)/$E159,0.002*($E159-Y$9)/($E159-3*cc_D/7))))-fcd_cc*(1-(1-MAX(0,MIN(1,IF($E159&lt;=cc_D,0.0035*($E159-Y$9)/$E159,0.002*($E159-Y$9)/($E159-3*cc_D/7))/0.002)))^2)</f>
        <v/>
      </c>
      <c r="Z159">
        <f>MAX(-fyd_cc,MIN(fyd_cc,Es_cc*IF($E159&lt;=cc_D,0.0035*($E159-Z$9)/$E159,0.002*($E159-Z$9)/($E159-3*cc_D/7))))-fcd_cc*(1-(1-MAX(0,MIN(1,IF($E159&lt;=cc_D,0.0035*($E159-Z$9)/$E159,0.002*($E159-Z$9)/($E159-3*cc_D/7))/0.002)))^2)</f>
        <v/>
      </c>
      <c r="AA159">
        <f>MAX(-fyd_cc,MIN(fyd_cc,Es_cc*IF($E159&lt;=cc_D,0.0035*($E159-AA$9)/$E159,0.002*($E159-AA$9)/($E159-3*cc_D/7))))-fcd_cc*(1-(1-MAX(0,MIN(1,IF($E159&lt;=cc_D,0.0035*($E159-AA$9)/$E159,0.002*($E159-AA$9)/($E159-3*cc_D/7))/0.002)))^2)</f>
        <v/>
      </c>
      <c r="AB159">
        <f>MAX(-fyd_cc,MIN(fyd_cc,Es_cc*IF($E159&lt;=cc_D,0.0035*($E159-AB$9)/$E159,0.002*($E159-AB$9)/($E159-3*cc_D/7))))-fcd_cc*(1-(1-MAX(0,MIN(1,IF($E159&lt;=cc_D,0.0035*($E159-AB$9)/$E159,0.002*($E159-AB$9)/($E159-3*cc_D/7))/0.002)))^2)</f>
        <v/>
      </c>
      <c r="AC159">
        <f>MAX(-fyd_cc,MIN(fyd_cc,Es_cc*IF($E159&lt;=cc_D,0.0035*($E159-AC$9)/$E159,0.002*($E159-AC$9)/($E159-3*cc_D/7))))-fcd_cc*(1-(1-MAX(0,MIN(1,IF($E159&lt;=cc_D,0.0035*($E159-AC$9)/$E159,0.002*($E159-AC$9)/($E159-3*cc_D/7))/0.002)))^2)</f>
        <v/>
      </c>
      <c r="AD159">
        <f>MAX(-fyd_cc,MIN(fyd_cc,Es_cc*IF($E159&lt;=cc_D,0.0035*($E159-AD$9)/$E159,0.002*($E159-AD$9)/($E159-3*cc_D/7))))-fcd_cc*(1-(1-MAX(0,MIN(1,IF($E159&lt;=cc_D,0.0035*($E159-AD$9)/$E159,0.002*($E159-AD$9)/($E159-3*cc_D/7))/0.002)))^2)</f>
        <v/>
      </c>
      <c r="AE159">
        <f>MAX(-fyd_cc,MIN(fyd_cc,Es_cc*IF($E159&lt;=cc_D,0.0035*($E159-AE$9)/$E159,0.002*($E159-AE$9)/($E159-3*cc_D/7))))-fcd_cc*(1-(1-MAX(0,MIN(1,IF($E159&lt;=cc_D,0.0035*($E159-AE$9)/$E159,0.002*($E159-AE$9)/($E159-3*cc_D/7))/0.002)))^2)</f>
        <v/>
      </c>
      <c r="AF159">
        <f>MAX(-fyd_cc,MIN(fyd_cc,Es_cc*IF($E159&lt;=cc_D,0.0035*($E159-AF$9)/$E159,0.002*($E159-AF$9)/($E159-3*cc_D/7))))-fcd_cc*(1-(1-MAX(0,MIN(1,IF($E159&lt;=cc_D,0.0035*($E159-AF$9)/$E159,0.002*($E159-AF$9)/($E159-3*cc_D/7))/0.002)))^2)</f>
        <v/>
      </c>
      <c r="AG159">
        <f>MAX(-fyd_cc,MIN(fyd_cc,Es_cc*IF($E159&lt;=cc_D,0.0035*($E159-AG$9)/$E159,0.002*($E159-AG$9)/($E159-3*cc_D/7))))-fcd_cc*(1-(1-MAX(0,MIN(1,IF($E159&lt;=cc_D,0.0035*($E159-AG$9)/$E159,0.002*($E159-AG$9)/($E159-3*cc_D/7))/0.002)))^2)</f>
        <v/>
      </c>
      <c r="BF159">
        <f>3*MIN($E159,cc_D)/7</f>
        <v/>
      </c>
      <c r="BG159">
        <f>$E159-$BF159</f>
        <v/>
      </c>
      <c r="BH159">
        <f>ACOS(MAX(-1,MIN(1,1-$BF159/(cc_D/2))))</f>
        <v/>
      </c>
      <c r="BI159">
        <f>ACOS(MAX(-1,MIN(1,1-MIN($E159,cc_D)/(cc_D/2))))</f>
        <v/>
      </c>
      <c r="BJ159">
        <f>((cc_D/2*(1-COS(($BH159+0*($BI159-$BH159)/12)))-$BF159)/$BG159)^2*SIN(($BH159+0*($BI159-$BH159)/12))^2</f>
        <v/>
      </c>
      <c r="BK159">
        <f>((cc_D/2*(1-COS(($BH159+1*($BI159-$BH159)/12)))-$BF159)/$BG159)^2*SIN(($BH159+1*($BI159-$BH159)/12))^2</f>
        <v/>
      </c>
      <c r="BL159">
        <f>((cc_D/2*(1-COS(($BH159+2*($BI159-$BH159)/12)))-$BF159)/$BG159)^2*SIN(($BH159+2*($BI159-$BH159)/12))^2</f>
        <v/>
      </c>
      <c r="BM159">
        <f>((cc_D/2*(1-COS(($BH159+3*($BI159-$BH159)/12)))-$BF159)/$BG159)^2*SIN(($BH159+3*($BI159-$BH159)/12))^2</f>
        <v/>
      </c>
      <c r="BN159">
        <f>((cc_D/2*(1-COS(($BH159+4*($BI159-$BH159)/12)))-$BF159)/$BG159)^2*SIN(($BH159+4*($BI159-$BH159)/12))^2</f>
        <v/>
      </c>
      <c r="BO159">
        <f>((cc_D/2*(1-COS(($BH159+5*($BI159-$BH159)/12)))-$BF159)/$BG159)^2*SIN(($BH159+5*($BI159-$BH159)/12))^2</f>
        <v/>
      </c>
      <c r="BP159">
        <f>((cc_D/2*(1-COS(($BH159+6*($BI159-$BH159)/12)))-$BF159)/$BG159)^2*SIN(($BH159+6*($BI159-$BH159)/12))^2</f>
        <v/>
      </c>
      <c r="BQ159">
        <f>((cc_D/2*(1-COS(($BH159+7*($BI159-$BH159)/12)))-$BF159)/$BG159)^2*SIN(($BH159+7*($BI159-$BH159)/12))^2</f>
        <v/>
      </c>
      <c r="BR159">
        <f>((cc_D/2*(1-COS(($BH159+8*($BI159-$BH159)/12)))-$BF159)/$BG159)^2*SIN(($BH159+8*($BI159-$BH159)/12))^2</f>
        <v/>
      </c>
      <c r="BS159">
        <f>((cc_D/2*(1-COS(($BH159+9*($BI159-$BH159)/12)))-$BF159)/$BG159)^2*SIN(($BH159+9*($BI159-$BH159)/12))^2</f>
        <v/>
      </c>
      <c r="BT159">
        <f>((cc_D/2*(1-COS(($BH159+10*($BI159-$BH159)/12)))-$BF159)/$BG159)^2*SIN(($BH159+10*($BI159-$BH159)/12))^2</f>
        <v/>
      </c>
      <c r="BU159">
        <f>((cc_D/2*(1-COS(($BH159+11*($BI159-$BH159)/12)))-$BF159)/$BG159)^2*SIN(($BH159+11*($BI159-$BH159)/12))^2</f>
        <v/>
      </c>
      <c r="BV159">
        <f>((cc_D/2*(1-COS(($BH159+12*($BI159-$BH159)/12)))-$BF159)/$BG159)^2*SIN(($BH159+12*($BI159-$BH159)/12))^2</f>
        <v/>
      </c>
      <c r="BW159">
        <f>BJ159*COS(($BH159+0*($BI159-$BH159)/12))</f>
        <v/>
      </c>
      <c r="BX159">
        <f>BK159*COS(($BH159+1*($BI159-$BH159)/12))</f>
        <v/>
      </c>
      <c r="BY159">
        <f>BL159*COS(($BH159+2*($BI159-$BH159)/12))</f>
        <v/>
      </c>
      <c r="BZ159">
        <f>BM159*COS(($BH159+3*($BI159-$BH159)/12))</f>
        <v/>
      </c>
      <c r="CA159">
        <f>BN159*COS(($BH159+4*($BI159-$BH159)/12))</f>
        <v/>
      </c>
      <c r="CB159">
        <f>BO159*COS(($BH159+5*($BI159-$BH159)/12))</f>
        <v/>
      </c>
      <c r="CC159">
        <f>BP159*COS(($BH159+6*($BI159-$BH159)/12))</f>
        <v/>
      </c>
      <c r="CD159">
        <f>BQ159*COS(($BH159+7*($BI159-$BH159)/12))</f>
        <v/>
      </c>
      <c r="CE159">
        <f>BR159*COS(($BH159+8*($BI159-$BH159)/12))</f>
        <v/>
      </c>
      <c r="CF159">
        <f>BS159*COS(($BH159+9*($BI159-$BH159)/12))</f>
        <v/>
      </c>
      <c r="CG159">
        <f>BT159*COS(($BH159+10*($BI159-$BH159)/12))</f>
        <v/>
      </c>
      <c r="CH159">
        <f>BU159*COS(($BH159+11*($BI159-$BH159)/12))</f>
        <v/>
      </c>
      <c r="CI159">
        <f>BV159*COS(($BH159+12*($BI159-$BH159)/12))</f>
        <v/>
      </c>
    </row>
    <row r="160">
      <c r="B160" s="65" t="n">
        <v>8</v>
      </c>
      <c r="C160" s="66">
        <f>IF($G159&lt;cc_NEd-1E-9*ABS(cc_NEd),($C159+$D159)/2,$C159)</f>
        <v/>
      </c>
      <c r="D160" s="66">
        <f>IF($G159&lt;cc_NEd-1E-9*ABS(cc_NEd),$D159,($C159+$D159)/2)</f>
        <v/>
      </c>
      <c r="E160" s="67">
        <f>cc_D*(($C160+$D160)/2)/(1-(($C160+$D160)/2))</f>
        <v/>
      </c>
      <c r="F160" s="68">
        <f>IF($E160&lt;=cc_D,3.5,2*$E160/($E160-3*cc_D/7))</f>
        <v/>
      </c>
      <c r="G160" s="67">
        <f>(fcd_cc*((cc_D/2)^2*($BI160-COS($BI160)*SIN($BI160))-2*(cc_D/2)^2*($BI160-$BH160)/12/3*SUMPRODUCT($BJ$4:$BV$4,$BJ160:$BV160))+SUMPRODUCT($J$5:$AG$5,$J160:$AG160))/1000</f>
        <v/>
      </c>
      <c r="H160" s="67">
        <f>(fcd_cc*(2/3*(cc_D/2)^3*SIN($BI160)^3-2*(cc_D/2)^3*($BI160-$BH160)/12/3*SUMPRODUCT($BW$4:$CI$4,$BW160:$CI160))+SUMPRODUCT($J$5:$AG$5,$J160:$AG160,$J$10:$AG$10))/1E6</f>
        <v/>
      </c>
      <c r="I160" s="67">
        <f>SUMPRODUCT($J$5:$AG$5,$J160:$AG160,$J$11:$AG$11)/1E6</f>
        <v/>
      </c>
      <c r="J160">
        <f>MAX(-fyd_cc,MIN(fyd_cc,Es_cc*IF($E160&lt;=cc_D,0.0035*($E160-J$9)/$E160,0.002*($E160-J$9)/($E160-3*cc_D/7))))-fcd_cc*(1-(1-MAX(0,MIN(1,IF($E160&lt;=cc_D,0.0035*($E160-J$9)/$E160,0.002*($E160-J$9)/($E160-3*cc_D/7))/0.002)))^2)</f>
        <v/>
      </c>
      <c r="K160">
        <f>MAX(-fyd_cc,MIN(fyd_cc,Es_cc*IF($E160&lt;=cc_D,0.0035*($E160-K$9)/$E160,0.002*($E160-K$9)/($E160-3*cc_D/7))))-fcd_cc*(1-(1-MAX(0,MIN(1,IF($E160&lt;=cc_D,0.0035*($E160-K$9)/$E160,0.002*($E160-K$9)/($E160-3*cc_D/7))/0.002)))^2)</f>
        <v/>
      </c>
      <c r="L160">
        <f>MAX(-fyd_cc,MIN(fyd_cc,Es_cc*IF($E160&lt;=cc_D,0.0035*($E160-L$9)/$E160,0.002*($E160-L$9)/($E160-3*cc_D/7))))-fcd_cc*(1-(1-MAX(0,MIN(1,IF($E160&lt;=cc_D,0.0035*($E160-L$9)/$E160,0.002*($E160-L$9)/($E160-3*cc_D/7))/0.002)))^2)</f>
        <v/>
      </c>
      <c r="M160">
        <f>MAX(-fyd_cc,MIN(fyd_cc,Es_cc*IF($E160&lt;=cc_D,0.0035*($E160-M$9)/$E160,0.002*($E160-M$9)/($E160-3*cc_D/7))))-fcd_cc*(1-(1-MAX(0,MIN(1,IF($E160&lt;=cc_D,0.0035*($E160-M$9)/$E160,0.002*($E160-M$9)/($E160-3*cc_D/7))/0.002)))^2)</f>
        <v/>
      </c>
      <c r="N160">
        <f>MAX(-fyd_cc,MIN(fyd_cc,Es_cc*IF($E160&lt;=cc_D,0.0035*($E160-N$9)/$E160,0.002*($E160-N$9)/($E160-3*cc_D/7))))-fcd_cc*(1-(1-MAX(0,MIN(1,IF($E160&lt;=cc_D,0.0035*($E160-N$9)/$E160,0.002*($E160-N$9)/($E160-3*cc_D/7))/0.002)))^2)</f>
        <v/>
      </c>
      <c r="O160">
        <f>MAX(-fyd_cc,MIN(fyd_cc,Es_cc*IF($E160&lt;=cc_D,0.0035*($E160-O$9)/$E160,0.002*($E160-O$9)/($E160-3*cc_D/7))))-fcd_cc*(1-(1-MAX(0,MIN(1,IF($E160&lt;=cc_D,0.0035*($E160-O$9)/$E160,0.002*($E160-O$9)/($E160-3*cc_D/7))/0.002)))^2)</f>
        <v/>
      </c>
      <c r="P160">
        <f>MAX(-fyd_cc,MIN(fyd_cc,Es_cc*IF($E160&lt;=cc_D,0.0035*($E160-P$9)/$E160,0.002*($E160-P$9)/($E160-3*cc_D/7))))-fcd_cc*(1-(1-MAX(0,MIN(1,IF($E160&lt;=cc_D,0.0035*($E160-P$9)/$E160,0.002*($E160-P$9)/($E160-3*cc_D/7))/0.002)))^2)</f>
        <v/>
      </c>
      <c r="Q160">
        <f>MAX(-fyd_cc,MIN(fyd_cc,Es_cc*IF($E160&lt;=cc_D,0.0035*($E160-Q$9)/$E160,0.002*($E160-Q$9)/($E160-3*cc_D/7))))-fcd_cc*(1-(1-MAX(0,MIN(1,IF($E160&lt;=cc_D,0.0035*($E160-Q$9)/$E160,0.002*($E160-Q$9)/($E160-3*cc_D/7))/0.002)))^2)</f>
        <v/>
      </c>
      <c r="R160">
        <f>MAX(-fyd_cc,MIN(fyd_cc,Es_cc*IF($E160&lt;=cc_D,0.0035*($E160-R$9)/$E160,0.002*($E160-R$9)/($E160-3*cc_D/7))))-fcd_cc*(1-(1-MAX(0,MIN(1,IF($E160&lt;=cc_D,0.0035*($E160-R$9)/$E160,0.002*($E160-R$9)/($E160-3*cc_D/7))/0.002)))^2)</f>
        <v/>
      </c>
      <c r="S160">
        <f>MAX(-fyd_cc,MIN(fyd_cc,Es_cc*IF($E160&lt;=cc_D,0.0035*($E160-S$9)/$E160,0.002*($E160-S$9)/($E160-3*cc_D/7))))-fcd_cc*(1-(1-MAX(0,MIN(1,IF($E160&lt;=cc_D,0.0035*($E160-S$9)/$E160,0.002*($E160-S$9)/($E160-3*cc_D/7))/0.002)))^2)</f>
        <v/>
      </c>
      <c r="T160">
        <f>MAX(-fyd_cc,MIN(fyd_cc,Es_cc*IF($E160&lt;=cc_D,0.0035*($E160-T$9)/$E160,0.002*($E160-T$9)/($E160-3*cc_D/7))))-fcd_cc*(1-(1-MAX(0,MIN(1,IF($E160&lt;=cc_D,0.0035*($E160-T$9)/$E160,0.002*($E160-T$9)/($E160-3*cc_D/7))/0.002)))^2)</f>
        <v/>
      </c>
      <c r="U160">
        <f>MAX(-fyd_cc,MIN(fyd_cc,Es_cc*IF($E160&lt;=cc_D,0.0035*($E160-U$9)/$E160,0.002*($E160-U$9)/($E160-3*cc_D/7))))-fcd_cc*(1-(1-MAX(0,MIN(1,IF($E160&lt;=cc_D,0.0035*($E160-U$9)/$E160,0.002*($E160-U$9)/($E160-3*cc_D/7))/0.002)))^2)</f>
        <v/>
      </c>
      <c r="V160">
        <f>MAX(-fyd_cc,MIN(fyd_cc,Es_cc*IF($E160&lt;=cc_D,0.0035*($E160-V$9)/$E160,0.002*($E160-V$9)/($E160-3*cc_D/7))))-fcd_cc*(1-(1-MAX(0,MIN(1,IF($E160&lt;=cc_D,0.0035*($E160-V$9)/$E160,0.002*($E160-V$9)/($E160-3*cc_D/7))/0.002)))^2)</f>
        <v/>
      </c>
      <c r="W160">
        <f>MAX(-fyd_cc,MIN(fyd_cc,Es_cc*IF($E160&lt;=cc_D,0.0035*($E160-W$9)/$E160,0.002*($E160-W$9)/($E160-3*cc_D/7))))-fcd_cc*(1-(1-MAX(0,MIN(1,IF($E160&lt;=cc_D,0.0035*($E160-W$9)/$E160,0.002*($E160-W$9)/($E160-3*cc_D/7))/0.002)))^2)</f>
        <v/>
      </c>
      <c r="X160">
        <f>MAX(-fyd_cc,MIN(fyd_cc,Es_cc*IF($E160&lt;=cc_D,0.0035*($E160-X$9)/$E160,0.002*($E160-X$9)/($E160-3*cc_D/7))))-fcd_cc*(1-(1-MAX(0,MIN(1,IF($E160&lt;=cc_D,0.0035*($E160-X$9)/$E160,0.002*($E160-X$9)/($E160-3*cc_D/7))/0.002)))^2)</f>
        <v/>
      </c>
      <c r="Y160">
        <f>MAX(-fyd_cc,MIN(fyd_cc,Es_cc*IF($E160&lt;=cc_D,0.0035*($E160-Y$9)/$E160,0.002*($E160-Y$9)/($E160-3*cc_D/7))))-fcd_cc*(1-(1-MAX(0,MIN(1,IF($E160&lt;=cc_D,0.0035*($E160-Y$9)/$E160,0.002*($E160-Y$9)/($E160-3*cc_D/7))/0.002)))^2)</f>
        <v/>
      </c>
      <c r="Z160">
        <f>MAX(-fyd_cc,MIN(fyd_cc,Es_cc*IF($E160&lt;=cc_D,0.0035*($E160-Z$9)/$E160,0.002*($E160-Z$9)/($E160-3*cc_D/7))))-fcd_cc*(1-(1-MAX(0,MIN(1,IF($E160&lt;=cc_D,0.0035*($E160-Z$9)/$E160,0.002*($E160-Z$9)/($E160-3*cc_D/7))/0.002)))^2)</f>
        <v/>
      </c>
      <c r="AA160">
        <f>MAX(-fyd_cc,MIN(fyd_cc,Es_cc*IF($E160&lt;=cc_D,0.0035*($E160-AA$9)/$E160,0.002*($E160-AA$9)/($E160-3*cc_D/7))))-fcd_cc*(1-(1-MAX(0,MIN(1,IF($E160&lt;=cc_D,0.0035*($E160-AA$9)/$E160,0.002*($E160-AA$9)/($E160-3*cc_D/7))/0.002)))^2)</f>
        <v/>
      </c>
      <c r="AB160">
        <f>MAX(-fyd_cc,MIN(fyd_cc,Es_cc*IF($E160&lt;=cc_D,0.0035*($E160-AB$9)/$E160,0.002*($E160-AB$9)/($E160-3*cc_D/7))))-fcd_cc*(1-(1-MAX(0,MIN(1,IF($E160&lt;=cc_D,0.0035*($E160-AB$9)/$E160,0.002*($E160-AB$9)/($E160-3*cc_D/7))/0.002)))^2)</f>
        <v/>
      </c>
      <c r="AC160">
        <f>MAX(-fyd_cc,MIN(fyd_cc,Es_cc*IF($E160&lt;=cc_D,0.0035*($E160-AC$9)/$E160,0.002*($E160-AC$9)/($E160-3*cc_D/7))))-fcd_cc*(1-(1-MAX(0,MIN(1,IF($E160&lt;=cc_D,0.0035*($E160-AC$9)/$E160,0.002*($E160-AC$9)/($E160-3*cc_D/7))/0.002)))^2)</f>
        <v/>
      </c>
      <c r="AD160">
        <f>MAX(-fyd_cc,MIN(fyd_cc,Es_cc*IF($E160&lt;=cc_D,0.0035*($E160-AD$9)/$E160,0.002*($E160-AD$9)/($E160-3*cc_D/7))))-fcd_cc*(1-(1-MAX(0,MIN(1,IF($E160&lt;=cc_D,0.0035*($E160-AD$9)/$E160,0.002*($E160-AD$9)/($E160-3*cc_D/7))/0.002)))^2)</f>
        <v/>
      </c>
      <c r="AE160">
        <f>MAX(-fyd_cc,MIN(fyd_cc,Es_cc*IF($E160&lt;=cc_D,0.0035*($E160-AE$9)/$E160,0.002*($E160-AE$9)/($E160-3*cc_D/7))))-fcd_cc*(1-(1-MAX(0,MIN(1,IF($E160&lt;=cc_D,0.0035*($E160-AE$9)/$E160,0.002*($E160-AE$9)/($E160-3*cc_D/7))/0.002)))^2)</f>
        <v/>
      </c>
      <c r="AF160">
        <f>MAX(-fyd_cc,MIN(fyd_cc,Es_cc*IF($E160&lt;=cc_D,0.0035*($E160-AF$9)/$E160,0.002*($E160-AF$9)/($E160-3*cc_D/7))))-fcd_cc*(1-(1-MAX(0,MIN(1,IF($E160&lt;=cc_D,0.0035*($E160-AF$9)/$E160,0.002*($E160-AF$9)/($E160-3*cc_D/7))/0.002)))^2)</f>
        <v/>
      </c>
      <c r="AG160">
        <f>MAX(-fyd_cc,MIN(fyd_cc,Es_cc*IF($E160&lt;=cc_D,0.0035*($E160-AG$9)/$E160,0.002*($E160-AG$9)/($E160-3*cc_D/7))))-fcd_cc*(1-(1-MAX(0,MIN(1,IF($E160&lt;=cc_D,0.0035*($E160-AG$9)/$E160,0.002*($E160-AG$9)/($E160-3*cc_D/7))/0.002)))^2)</f>
        <v/>
      </c>
      <c r="BF160">
        <f>3*MIN($E160,cc_D)/7</f>
        <v/>
      </c>
      <c r="BG160">
        <f>$E160-$BF160</f>
        <v/>
      </c>
      <c r="BH160">
        <f>ACOS(MAX(-1,MIN(1,1-$BF160/(cc_D/2))))</f>
        <v/>
      </c>
      <c r="BI160">
        <f>ACOS(MAX(-1,MIN(1,1-MIN($E160,cc_D)/(cc_D/2))))</f>
        <v/>
      </c>
      <c r="BJ160">
        <f>((cc_D/2*(1-COS(($BH160+0*($BI160-$BH160)/12)))-$BF160)/$BG160)^2*SIN(($BH160+0*($BI160-$BH160)/12))^2</f>
        <v/>
      </c>
      <c r="BK160">
        <f>((cc_D/2*(1-COS(($BH160+1*($BI160-$BH160)/12)))-$BF160)/$BG160)^2*SIN(($BH160+1*($BI160-$BH160)/12))^2</f>
        <v/>
      </c>
      <c r="BL160">
        <f>((cc_D/2*(1-COS(($BH160+2*($BI160-$BH160)/12)))-$BF160)/$BG160)^2*SIN(($BH160+2*($BI160-$BH160)/12))^2</f>
        <v/>
      </c>
      <c r="BM160">
        <f>((cc_D/2*(1-COS(($BH160+3*($BI160-$BH160)/12)))-$BF160)/$BG160)^2*SIN(($BH160+3*($BI160-$BH160)/12))^2</f>
        <v/>
      </c>
      <c r="BN160">
        <f>((cc_D/2*(1-COS(($BH160+4*($BI160-$BH160)/12)))-$BF160)/$BG160)^2*SIN(($BH160+4*($BI160-$BH160)/12))^2</f>
        <v/>
      </c>
      <c r="BO160">
        <f>((cc_D/2*(1-COS(($BH160+5*($BI160-$BH160)/12)))-$BF160)/$BG160)^2*SIN(($BH160+5*($BI160-$BH160)/12))^2</f>
        <v/>
      </c>
      <c r="BP160">
        <f>((cc_D/2*(1-COS(($BH160+6*($BI160-$BH160)/12)))-$BF160)/$BG160)^2*SIN(($BH160+6*($BI160-$BH160)/12))^2</f>
        <v/>
      </c>
      <c r="BQ160">
        <f>((cc_D/2*(1-COS(($BH160+7*($BI160-$BH160)/12)))-$BF160)/$BG160)^2*SIN(($BH160+7*($BI160-$BH160)/12))^2</f>
        <v/>
      </c>
      <c r="BR160">
        <f>((cc_D/2*(1-COS(($BH160+8*($BI160-$BH160)/12)))-$BF160)/$BG160)^2*SIN(($BH160+8*($BI160-$BH160)/12))^2</f>
        <v/>
      </c>
      <c r="BS160">
        <f>((cc_D/2*(1-COS(($BH160+9*($BI160-$BH160)/12)))-$BF160)/$BG160)^2*SIN(($BH160+9*($BI160-$BH160)/12))^2</f>
        <v/>
      </c>
      <c r="BT160">
        <f>((cc_D/2*(1-COS(($BH160+10*($BI160-$BH160)/12)))-$BF160)/$BG160)^2*SIN(($BH160+10*($BI160-$BH160)/12))^2</f>
        <v/>
      </c>
      <c r="BU160">
        <f>((cc_D/2*(1-COS(($BH160+11*($BI160-$BH160)/12)))-$BF160)/$BG160)^2*SIN(($BH160+11*($BI160-$BH160)/12))^2</f>
        <v/>
      </c>
      <c r="BV160">
        <f>((cc_D/2*(1-COS(($BH160+12*($BI160-$BH160)/12)))-$BF160)/$BG160)^2*SIN(($BH160+12*($BI160-$BH160)/12))^2</f>
        <v/>
      </c>
      <c r="BW160">
        <f>BJ160*COS(($BH160+0*($BI160-$BH160)/12))</f>
        <v/>
      </c>
      <c r="BX160">
        <f>BK160*COS(($BH160+1*($BI160-$BH160)/12))</f>
        <v/>
      </c>
      <c r="BY160">
        <f>BL160*COS(($BH160+2*($BI160-$BH160)/12))</f>
        <v/>
      </c>
      <c r="BZ160">
        <f>BM160*COS(($BH160+3*($BI160-$BH160)/12))</f>
        <v/>
      </c>
      <c r="CA160">
        <f>BN160*COS(($BH160+4*($BI160-$BH160)/12))</f>
        <v/>
      </c>
      <c r="CB160">
        <f>BO160*COS(($BH160+5*($BI160-$BH160)/12))</f>
        <v/>
      </c>
      <c r="CC160">
        <f>BP160*COS(($BH160+6*($BI160-$BH160)/12))</f>
        <v/>
      </c>
      <c r="CD160">
        <f>BQ160*COS(($BH160+7*($BI160-$BH160)/12))</f>
        <v/>
      </c>
      <c r="CE160">
        <f>BR160*COS(($BH160+8*($BI160-$BH160)/12))</f>
        <v/>
      </c>
      <c r="CF160">
        <f>BS160*COS(($BH160+9*($BI160-$BH160)/12))</f>
        <v/>
      </c>
      <c r="CG160">
        <f>BT160*COS(($BH160+10*($BI160-$BH160)/12))</f>
        <v/>
      </c>
      <c r="CH160">
        <f>BU160*COS(($BH160+11*($BI160-$BH160)/12))</f>
        <v/>
      </c>
      <c r="CI160">
        <f>BV160*COS(($BH160+12*($BI160-$BH160)/12))</f>
        <v/>
      </c>
    </row>
    <row r="161">
      <c r="B161" s="65" t="n">
        <v>9</v>
      </c>
      <c r="C161" s="66">
        <f>IF($G160&lt;cc_NEd-1E-9*ABS(cc_NEd),($C160+$D160)/2,$C160)</f>
        <v/>
      </c>
      <c r="D161" s="66">
        <f>IF($G160&lt;cc_NEd-1E-9*ABS(cc_NEd),$D160,($C160+$D160)/2)</f>
        <v/>
      </c>
      <c r="E161" s="67">
        <f>cc_D*(($C161+$D161)/2)/(1-(($C161+$D161)/2))</f>
        <v/>
      </c>
      <c r="F161" s="68">
        <f>IF($E161&lt;=cc_D,3.5,2*$E161/($E161-3*cc_D/7))</f>
        <v/>
      </c>
      <c r="G161" s="67">
        <f>(fcd_cc*((cc_D/2)^2*($BI161-COS($BI161)*SIN($BI161))-2*(cc_D/2)^2*($BI161-$BH161)/12/3*SUMPRODUCT($BJ$4:$BV$4,$BJ161:$BV161))+SUMPRODUCT($J$5:$AG$5,$J161:$AG161))/1000</f>
        <v/>
      </c>
      <c r="H161" s="67">
        <f>(fcd_cc*(2/3*(cc_D/2)^3*SIN($BI161)^3-2*(cc_D/2)^3*($BI161-$BH161)/12/3*SUMPRODUCT($BW$4:$CI$4,$BW161:$CI161))+SUMPRODUCT($J$5:$AG$5,$J161:$AG161,$J$10:$AG$10))/1E6</f>
        <v/>
      </c>
      <c r="I161" s="67">
        <f>SUMPRODUCT($J$5:$AG$5,$J161:$AG161,$J$11:$AG$11)/1E6</f>
        <v/>
      </c>
      <c r="J161">
        <f>MAX(-fyd_cc,MIN(fyd_cc,Es_cc*IF($E161&lt;=cc_D,0.0035*($E161-J$9)/$E161,0.002*($E161-J$9)/($E161-3*cc_D/7))))-fcd_cc*(1-(1-MAX(0,MIN(1,IF($E161&lt;=cc_D,0.0035*($E161-J$9)/$E161,0.002*($E161-J$9)/($E161-3*cc_D/7))/0.002)))^2)</f>
        <v/>
      </c>
      <c r="K161">
        <f>MAX(-fyd_cc,MIN(fyd_cc,Es_cc*IF($E161&lt;=cc_D,0.0035*($E161-K$9)/$E161,0.002*($E161-K$9)/($E161-3*cc_D/7))))-fcd_cc*(1-(1-MAX(0,MIN(1,IF($E161&lt;=cc_D,0.0035*($E161-K$9)/$E161,0.002*($E161-K$9)/($E161-3*cc_D/7))/0.002)))^2)</f>
        <v/>
      </c>
      <c r="L161">
        <f>MAX(-fyd_cc,MIN(fyd_cc,Es_cc*IF($E161&lt;=cc_D,0.0035*($E161-L$9)/$E161,0.002*($E161-L$9)/($E161-3*cc_D/7))))-fcd_cc*(1-(1-MAX(0,MIN(1,IF($E161&lt;=cc_D,0.0035*($E161-L$9)/$E161,0.002*($E161-L$9)/($E161-3*cc_D/7))/0.002)))^2)</f>
        <v/>
      </c>
      <c r="M161">
        <f>MAX(-fyd_cc,MIN(fyd_cc,Es_cc*IF($E161&lt;=cc_D,0.0035*($E161-M$9)/$E161,0.002*($E161-M$9)/($E161-3*cc_D/7))))-fcd_cc*(1-(1-MAX(0,MIN(1,IF($E161&lt;=cc_D,0.0035*($E161-M$9)/$E161,0.002*($E161-M$9)/($E161-3*cc_D/7))/0.002)))^2)</f>
        <v/>
      </c>
      <c r="N161">
        <f>MAX(-fyd_cc,MIN(fyd_cc,Es_cc*IF($E161&lt;=cc_D,0.0035*($E161-N$9)/$E161,0.002*($E161-N$9)/($E161-3*cc_D/7))))-fcd_cc*(1-(1-MAX(0,MIN(1,IF($E161&lt;=cc_D,0.0035*($E161-N$9)/$E161,0.002*($E161-N$9)/($E161-3*cc_D/7))/0.002)))^2)</f>
        <v/>
      </c>
      <c r="O161">
        <f>MAX(-fyd_cc,MIN(fyd_cc,Es_cc*IF($E161&lt;=cc_D,0.0035*($E161-O$9)/$E161,0.002*($E161-O$9)/($E161-3*cc_D/7))))-fcd_cc*(1-(1-MAX(0,MIN(1,IF($E161&lt;=cc_D,0.0035*($E161-O$9)/$E161,0.002*($E161-O$9)/($E161-3*cc_D/7))/0.002)))^2)</f>
        <v/>
      </c>
      <c r="P161">
        <f>MAX(-fyd_cc,MIN(fyd_cc,Es_cc*IF($E161&lt;=cc_D,0.0035*($E161-P$9)/$E161,0.002*($E161-P$9)/($E161-3*cc_D/7))))-fcd_cc*(1-(1-MAX(0,MIN(1,IF($E161&lt;=cc_D,0.0035*($E161-P$9)/$E161,0.002*($E161-P$9)/($E161-3*cc_D/7))/0.002)))^2)</f>
        <v/>
      </c>
      <c r="Q161">
        <f>MAX(-fyd_cc,MIN(fyd_cc,Es_cc*IF($E161&lt;=cc_D,0.0035*($E161-Q$9)/$E161,0.002*($E161-Q$9)/($E161-3*cc_D/7))))-fcd_cc*(1-(1-MAX(0,MIN(1,IF($E161&lt;=cc_D,0.0035*($E161-Q$9)/$E161,0.002*($E161-Q$9)/($E161-3*cc_D/7))/0.002)))^2)</f>
        <v/>
      </c>
      <c r="R161">
        <f>MAX(-fyd_cc,MIN(fyd_cc,Es_cc*IF($E161&lt;=cc_D,0.0035*($E161-R$9)/$E161,0.002*($E161-R$9)/($E161-3*cc_D/7))))-fcd_cc*(1-(1-MAX(0,MIN(1,IF($E161&lt;=cc_D,0.0035*($E161-R$9)/$E161,0.002*($E161-R$9)/($E161-3*cc_D/7))/0.002)))^2)</f>
        <v/>
      </c>
      <c r="S161">
        <f>MAX(-fyd_cc,MIN(fyd_cc,Es_cc*IF($E161&lt;=cc_D,0.0035*($E161-S$9)/$E161,0.002*($E161-S$9)/($E161-3*cc_D/7))))-fcd_cc*(1-(1-MAX(0,MIN(1,IF($E161&lt;=cc_D,0.0035*($E161-S$9)/$E161,0.002*($E161-S$9)/($E161-3*cc_D/7))/0.002)))^2)</f>
        <v/>
      </c>
      <c r="T161">
        <f>MAX(-fyd_cc,MIN(fyd_cc,Es_cc*IF($E161&lt;=cc_D,0.0035*($E161-T$9)/$E161,0.002*($E161-T$9)/($E161-3*cc_D/7))))-fcd_cc*(1-(1-MAX(0,MIN(1,IF($E161&lt;=cc_D,0.0035*($E161-T$9)/$E161,0.002*($E161-T$9)/($E161-3*cc_D/7))/0.002)))^2)</f>
        <v/>
      </c>
      <c r="U161">
        <f>MAX(-fyd_cc,MIN(fyd_cc,Es_cc*IF($E161&lt;=cc_D,0.0035*($E161-U$9)/$E161,0.002*($E161-U$9)/($E161-3*cc_D/7))))-fcd_cc*(1-(1-MAX(0,MIN(1,IF($E161&lt;=cc_D,0.0035*($E161-U$9)/$E161,0.002*($E161-U$9)/($E161-3*cc_D/7))/0.002)))^2)</f>
        <v/>
      </c>
      <c r="V161">
        <f>MAX(-fyd_cc,MIN(fyd_cc,Es_cc*IF($E161&lt;=cc_D,0.0035*($E161-V$9)/$E161,0.002*($E161-V$9)/($E161-3*cc_D/7))))-fcd_cc*(1-(1-MAX(0,MIN(1,IF($E161&lt;=cc_D,0.0035*($E161-V$9)/$E161,0.002*($E161-V$9)/($E161-3*cc_D/7))/0.002)))^2)</f>
        <v/>
      </c>
      <c r="W161">
        <f>MAX(-fyd_cc,MIN(fyd_cc,Es_cc*IF($E161&lt;=cc_D,0.0035*($E161-W$9)/$E161,0.002*($E161-W$9)/($E161-3*cc_D/7))))-fcd_cc*(1-(1-MAX(0,MIN(1,IF($E161&lt;=cc_D,0.0035*($E161-W$9)/$E161,0.002*($E161-W$9)/($E161-3*cc_D/7))/0.002)))^2)</f>
        <v/>
      </c>
      <c r="X161">
        <f>MAX(-fyd_cc,MIN(fyd_cc,Es_cc*IF($E161&lt;=cc_D,0.0035*($E161-X$9)/$E161,0.002*($E161-X$9)/($E161-3*cc_D/7))))-fcd_cc*(1-(1-MAX(0,MIN(1,IF($E161&lt;=cc_D,0.0035*($E161-X$9)/$E161,0.002*($E161-X$9)/($E161-3*cc_D/7))/0.002)))^2)</f>
        <v/>
      </c>
      <c r="Y161">
        <f>MAX(-fyd_cc,MIN(fyd_cc,Es_cc*IF($E161&lt;=cc_D,0.0035*($E161-Y$9)/$E161,0.002*($E161-Y$9)/($E161-3*cc_D/7))))-fcd_cc*(1-(1-MAX(0,MIN(1,IF($E161&lt;=cc_D,0.0035*($E161-Y$9)/$E161,0.002*($E161-Y$9)/($E161-3*cc_D/7))/0.002)))^2)</f>
        <v/>
      </c>
      <c r="Z161">
        <f>MAX(-fyd_cc,MIN(fyd_cc,Es_cc*IF($E161&lt;=cc_D,0.0035*($E161-Z$9)/$E161,0.002*($E161-Z$9)/($E161-3*cc_D/7))))-fcd_cc*(1-(1-MAX(0,MIN(1,IF($E161&lt;=cc_D,0.0035*($E161-Z$9)/$E161,0.002*($E161-Z$9)/($E161-3*cc_D/7))/0.002)))^2)</f>
        <v/>
      </c>
      <c r="AA161">
        <f>MAX(-fyd_cc,MIN(fyd_cc,Es_cc*IF($E161&lt;=cc_D,0.0035*($E161-AA$9)/$E161,0.002*($E161-AA$9)/($E161-3*cc_D/7))))-fcd_cc*(1-(1-MAX(0,MIN(1,IF($E161&lt;=cc_D,0.0035*($E161-AA$9)/$E161,0.002*($E161-AA$9)/($E161-3*cc_D/7))/0.002)))^2)</f>
        <v/>
      </c>
      <c r="AB161">
        <f>MAX(-fyd_cc,MIN(fyd_cc,Es_cc*IF($E161&lt;=cc_D,0.0035*($E161-AB$9)/$E161,0.002*($E161-AB$9)/($E161-3*cc_D/7))))-fcd_cc*(1-(1-MAX(0,MIN(1,IF($E161&lt;=cc_D,0.0035*($E161-AB$9)/$E161,0.002*($E161-AB$9)/($E161-3*cc_D/7))/0.002)))^2)</f>
        <v/>
      </c>
      <c r="AC161">
        <f>MAX(-fyd_cc,MIN(fyd_cc,Es_cc*IF($E161&lt;=cc_D,0.0035*($E161-AC$9)/$E161,0.002*($E161-AC$9)/($E161-3*cc_D/7))))-fcd_cc*(1-(1-MAX(0,MIN(1,IF($E161&lt;=cc_D,0.0035*($E161-AC$9)/$E161,0.002*($E161-AC$9)/($E161-3*cc_D/7))/0.002)))^2)</f>
        <v/>
      </c>
      <c r="AD161">
        <f>MAX(-fyd_cc,MIN(fyd_cc,Es_cc*IF($E161&lt;=cc_D,0.0035*($E161-AD$9)/$E161,0.002*($E161-AD$9)/($E161-3*cc_D/7))))-fcd_cc*(1-(1-MAX(0,MIN(1,IF($E161&lt;=cc_D,0.0035*($E161-AD$9)/$E161,0.002*($E161-AD$9)/($E161-3*cc_D/7))/0.002)))^2)</f>
        <v/>
      </c>
      <c r="AE161">
        <f>MAX(-fyd_cc,MIN(fyd_cc,Es_cc*IF($E161&lt;=cc_D,0.0035*($E161-AE$9)/$E161,0.002*($E161-AE$9)/($E161-3*cc_D/7))))-fcd_cc*(1-(1-MAX(0,MIN(1,IF($E161&lt;=cc_D,0.0035*($E161-AE$9)/$E161,0.002*($E161-AE$9)/($E161-3*cc_D/7))/0.002)))^2)</f>
        <v/>
      </c>
      <c r="AF161">
        <f>MAX(-fyd_cc,MIN(fyd_cc,Es_cc*IF($E161&lt;=cc_D,0.0035*($E161-AF$9)/$E161,0.002*($E161-AF$9)/($E161-3*cc_D/7))))-fcd_cc*(1-(1-MAX(0,MIN(1,IF($E161&lt;=cc_D,0.0035*($E161-AF$9)/$E161,0.002*($E161-AF$9)/($E161-3*cc_D/7))/0.002)))^2)</f>
        <v/>
      </c>
      <c r="AG161">
        <f>MAX(-fyd_cc,MIN(fyd_cc,Es_cc*IF($E161&lt;=cc_D,0.0035*($E161-AG$9)/$E161,0.002*($E161-AG$9)/($E161-3*cc_D/7))))-fcd_cc*(1-(1-MAX(0,MIN(1,IF($E161&lt;=cc_D,0.0035*($E161-AG$9)/$E161,0.002*($E161-AG$9)/($E161-3*cc_D/7))/0.002)))^2)</f>
        <v/>
      </c>
      <c r="BF161">
        <f>3*MIN($E161,cc_D)/7</f>
        <v/>
      </c>
      <c r="BG161">
        <f>$E161-$BF161</f>
        <v/>
      </c>
      <c r="BH161">
        <f>ACOS(MAX(-1,MIN(1,1-$BF161/(cc_D/2))))</f>
        <v/>
      </c>
      <c r="BI161">
        <f>ACOS(MAX(-1,MIN(1,1-MIN($E161,cc_D)/(cc_D/2))))</f>
        <v/>
      </c>
      <c r="BJ161">
        <f>((cc_D/2*(1-COS(($BH161+0*($BI161-$BH161)/12)))-$BF161)/$BG161)^2*SIN(($BH161+0*($BI161-$BH161)/12))^2</f>
        <v/>
      </c>
      <c r="BK161">
        <f>((cc_D/2*(1-COS(($BH161+1*($BI161-$BH161)/12)))-$BF161)/$BG161)^2*SIN(($BH161+1*($BI161-$BH161)/12))^2</f>
        <v/>
      </c>
      <c r="BL161">
        <f>((cc_D/2*(1-COS(($BH161+2*($BI161-$BH161)/12)))-$BF161)/$BG161)^2*SIN(($BH161+2*($BI161-$BH161)/12))^2</f>
        <v/>
      </c>
      <c r="BM161">
        <f>((cc_D/2*(1-COS(($BH161+3*($BI161-$BH161)/12)))-$BF161)/$BG161)^2*SIN(($BH161+3*($BI161-$BH161)/12))^2</f>
        <v/>
      </c>
      <c r="BN161">
        <f>((cc_D/2*(1-COS(($BH161+4*($BI161-$BH161)/12)))-$BF161)/$BG161)^2*SIN(($BH161+4*($BI161-$BH161)/12))^2</f>
        <v/>
      </c>
      <c r="BO161">
        <f>((cc_D/2*(1-COS(($BH161+5*($BI161-$BH161)/12)))-$BF161)/$BG161)^2*SIN(($BH161+5*($BI161-$BH161)/12))^2</f>
        <v/>
      </c>
      <c r="BP161">
        <f>((cc_D/2*(1-COS(($BH161+6*($BI161-$BH161)/12)))-$BF161)/$BG161)^2*SIN(($BH161+6*($BI161-$BH161)/12))^2</f>
        <v/>
      </c>
      <c r="BQ161">
        <f>((cc_D/2*(1-COS(($BH161+7*($BI161-$BH161)/12)))-$BF161)/$BG161)^2*SIN(($BH161+7*($BI161-$BH161)/12))^2</f>
        <v/>
      </c>
      <c r="BR161">
        <f>((cc_D/2*(1-COS(($BH161+8*($BI161-$BH161)/12)))-$BF161)/$BG161)^2*SIN(($BH161+8*($BI161-$BH161)/12))^2</f>
        <v/>
      </c>
      <c r="BS161">
        <f>((cc_D/2*(1-COS(($BH161+9*($BI161-$BH161)/12)))-$BF161)/$BG161)^2*SIN(($BH161+9*($BI161-$BH161)/12))^2</f>
        <v/>
      </c>
      <c r="BT161">
        <f>((cc_D/2*(1-COS(($BH161+10*($BI161-$BH161)/12)))-$BF161)/$BG161)^2*SIN(($BH161+10*($BI161-$BH161)/12))^2</f>
        <v/>
      </c>
      <c r="BU161">
        <f>((cc_D/2*(1-COS(($BH161+11*($BI161-$BH161)/12)))-$BF161)/$BG161)^2*SIN(($BH161+11*($BI161-$BH161)/12))^2</f>
        <v/>
      </c>
      <c r="BV161">
        <f>((cc_D/2*(1-COS(($BH161+12*($BI161-$BH161)/12)))-$BF161)/$BG161)^2*SIN(($BH161+12*($BI161-$BH161)/12))^2</f>
        <v/>
      </c>
      <c r="BW161">
        <f>BJ161*COS(($BH161+0*($BI161-$BH161)/12))</f>
        <v/>
      </c>
      <c r="BX161">
        <f>BK161*COS(($BH161+1*($BI161-$BH161)/12))</f>
        <v/>
      </c>
      <c r="BY161">
        <f>BL161*COS(($BH161+2*($BI161-$BH161)/12))</f>
        <v/>
      </c>
      <c r="BZ161">
        <f>BM161*COS(($BH161+3*($BI161-$BH161)/12))</f>
        <v/>
      </c>
      <c r="CA161">
        <f>BN161*COS(($BH161+4*($BI161-$BH161)/12))</f>
        <v/>
      </c>
      <c r="CB161">
        <f>BO161*COS(($BH161+5*($BI161-$BH161)/12))</f>
        <v/>
      </c>
      <c r="CC161">
        <f>BP161*COS(($BH161+6*($BI161-$BH161)/12))</f>
        <v/>
      </c>
      <c r="CD161">
        <f>BQ161*COS(($BH161+7*($BI161-$BH161)/12))</f>
        <v/>
      </c>
      <c r="CE161">
        <f>BR161*COS(($BH161+8*($BI161-$BH161)/12))</f>
        <v/>
      </c>
      <c r="CF161">
        <f>BS161*COS(($BH161+9*($BI161-$BH161)/12))</f>
        <v/>
      </c>
      <c r="CG161">
        <f>BT161*COS(($BH161+10*($BI161-$BH161)/12))</f>
        <v/>
      </c>
      <c r="CH161">
        <f>BU161*COS(($BH161+11*($BI161-$BH161)/12))</f>
        <v/>
      </c>
      <c r="CI161">
        <f>BV161*COS(($BH161+12*($BI161-$BH161)/12))</f>
        <v/>
      </c>
    </row>
    <row r="162">
      <c r="B162" s="65" t="n">
        <v>10</v>
      </c>
      <c r="C162" s="66">
        <f>IF($G161&lt;cc_NEd-1E-9*ABS(cc_NEd),($C161+$D161)/2,$C161)</f>
        <v/>
      </c>
      <c r="D162" s="66">
        <f>IF($G161&lt;cc_NEd-1E-9*ABS(cc_NEd),$D161,($C161+$D161)/2)</f>
        <v/>
      </c>
      <c r="E162" s="67">
        <f>cc_D*(($C162+$D162)/2)/(1-(($C162+$D162)/2))</f>
        <v/>
      </c>
      <c r="F162" s="68">
        <f>IF($E162&lt;=cc_D,3.5,2*$E162/($E162-3*cc_D/7))</f>
        <v/>
      </c>
      <c r="G162" s="67">
        <f>(fcd_cc*((cc_D/2)^2*($BI162-COS($BI162)*SIN($BI162))-2*(cc_D/2)^2*($BI162-$BH162)/12/3*SUMPRODUCT($BJ$4:$BV$4,$BJ162:$BV162))+SUMPRODUCT($J$5:$AG$5,$J162:$AG162))/1000</f>
        <v/>
      </c>
      <c r="H162" s="67">
        <f>(fcd_cc*(2/3*(cc_D/2)^3*SIN($BI162)^3-2*(cc_D/2)^3*($BI162-$BH162)/12/3*SUMPRODUCT($BW$4:$CI$4,$BW162:$CI162))+SUMPRODUCT($J$5:$AG$5,$J162:$AG162,$J$10:$AG$10))/1E6</f>
        <v/>
      </c>
      <c r="I162" s="67">
        <f>SUMPRODUCT($J$5:$AG$5,$J162:$AG162,$J$11:$AG$11)/1E6</f>
        <v/>
      </c>
      <c r="J162">
        <f>MAX(-fyd_cc,MIN(fyd_cc,Es_cc*IF($E162&lt;=cc_D,0.0035*($E162-J$9)/$E162,0.002*($E162-J$9)/($E162-3*cc_D/7))))-fcd_cc*(1-(1-MAX(0,MIN(1,IF($E162&lt;=cc_D,0.0035*($E162-J$9)/$E162,0.002*($E162-J$9)/($E162-3*cc_D/7))/0.002)))^2)</f>
        <v/>
      </c>
      <c r="K162">
        <f>MAX(-fyd_cc,MIN(fyd_cc,Es_cc*IF($E162&lt;=cc_D,0.0035*($E162-K$9)/$E162,0.002*($E162-K$9)/($E162-3*cc_D/7))))-fcd_cc*(1-(1-MAX(0,MIN(1,IF($E162&lt;=cc_D,0.0035*($E162-K$9)/$E162,0.002*($E162-K$9)/($E162-3*cc_D/7))/0.002)))^2)</f>
        <v/>
      </c>
      <c r="L162">
        <f>MAX(-fyd_cc,MIN(fyd_cc,Es_cc*IF($E162&lt;=cc_D,0.0035*($E162-L$9)/$E162,0.002*($E162-L$9)/($E162-3*cc_D/7))))-fcd_cc*(1-(1-MAX(0,MIN(1,IF($E162&lt;=cc_D,0.0035*($E162-L$9)/$E162,0.002*($E162-L$9)/($E162-3*cc_D/7))/0.002)))^2)</f>
        <v/>
      </c>
      <c r="M162">
        <f>MAX(-fyd_cc,MIN(fyd_cc,Es_cc*IF($E162&lt;=cc_D,0.0035*($E162-M$9)/$E162,0.002*($E162-M$9)/($E162-3*cc_D/7))))-fcd_cc*(1-(1-MAX(0,MIN(1,IF($E162&lt;=cc_D,0.0035*($E162-M$9)/$E162,0.002*($E162-M$9)/($E162-3*cc_D/7))/0.002)))^2)</f>
        <v/>
      </c>
      <c r="N162">
        <f>MAX(-fyd_cc,MIN(fyd_cc,Es_cc*IF($E162&lt;=cc_D,0.0035*($E162-N$9)/$E162,0.002*($E162-N$9)/($E162-3*cc_D/7))))-fcd_cc*(1-(1-MAX(0,MIN(1,IF($E162&lt;=cc_D,0.0035*($E162-N$9)/$E162,0.002*($E162-N$9)/($E162-3*cc_D/7))/0.002)))^2)</f>
        <v/>
      </c>
      <c r="O162">
        <f>MAX(-fyd_cc,MIN(fyd_cc,Es_cc*IF($E162&lt;=cc_D,0.0035*($E162-O$9)/$E162,0.002*($E162-O$9)/($E162-3*cc_D/7))))-fcd_cc*(1-(1-MAX(0,MIN(1,IF($E162&lt;=cc_D,0.0035*($E162-O$9)/$E162,0.002*($E162-O$9)/($E162-3*cc_D/7))/0.002)))^2)</f>
        <v/>
      </c>
      <c r="P162">
        <f>MAX(-fyd_cc,MIN(fyd_cc,Es_cc*IF($E162&lt;=cc_D,0.0035*($E162-P$9)/$E162,0.002*($E162-P$9)/($E162-3*cc_D/7))))-fcd_cc*(1-(1-MAX(0,MIN(1,IF($E162&lt;=cc_D,0.0035*($E162-P$9)/$E162,0.002*($E162-P$9)/($E162-3*cc_D/7))/0.002)))^2)</f>
        <v/>
      </c>
      <c r="Q162">
        <f>MAX(-fyd_cc,MIN(fyd_cc,Es_cc*IF($E162&lt;=cc_D,0.0035*($E162-Q$9)/$E162,0.002*($E162-Q$9)/($E162-3*cc_D/7))))-fcd_cc*(1-(1-MAX(0,MIN(1,IF($E162&lt;=cc_D,0.0035*($E162-Q$9)/$E162,0.002*($E162-Q$9)/($E162-3*cc_D/7))/0.002)))^2)</f>
        <v/>
      </c>
      <c r="R162">
        <f>MAX(-fyd_cc,MIN(fyd_cc,Es_cc*IF($E162&lt;=cc_D,0.0035*($E162-R$9)/$E162,0.002*($E162-R$9)/($E162-3*cc_D/7))))-fcd_cc*(1-(1-MAX(0,MIN(1,IF($E162&lt;=cc_D,0.0035*($E162-R$9)/$E162,0.002*($E162-R$9)/($E162-3*cc_D/7))/0.002)))^2)</f>
        <v/>
      </c>
      <c r="S162">
        <f>MAX(-fyd_cc,MIN(fyd_cc,Es_cc*IF($E162&lt;=cc_D,0.0035*($E162-S$9)/$E162,0.002*($E162-S$9)/($E162-3*cc_D/7))))-fcd_cc*(1-(1-MAX(0,MIN(1,IF($E162&lt;=cc_D,0.0035*($E162-S$9)/$E162,0.002*($E162-S$9)/($E162-3*cc_D/7))/0.002)))^2)</f>
        <v/>
      </c>
      <c r="T162">
        <f>MAX(-fyd_cc,MIN(fyd_cc,Es_cc*IF($E162&lt;=cc_D,0.0035*($E162-T$9)/$E162,0.002*($E162-T$9)/($E162-3*cc_D/7))))-fcd_cc*(1-(1-MAX(0,MIN(1,IF($E162&lt;=cc_D,0.0035*($E162-T$9)/$E162,0.002*($E162-T$9)/($E162-3*cc_D/7))/0.002)))^2)</f>
        <v/>
      </c>
      <c r="U162">
        <f>MAX(-fyd_cc,MIN(fyd_cc,Es_cc*IF($E162&lt;=cc_D,0.0035*($E162-U$9)/$E162,0.002*($E162-U$9)/($E162-3*cc_D/7))))-fcd_cc*(1-(1-MAX(0,MIN(1,IF($E162&lt;=cc_D,0.0035*($E162-U$9)/$E162,0.002*($E162-U$9)/($E162-3*cc_D/7))/0.002)))^2)</f>
        <v/>
      </c>
      <c r="V162">
        <f>MAX(-fyd_cc,MIN(fyd_cc,Es_cc*IF($E162&lt;=cc_D,0.0035*($E162-V$9)/$E162,0.002*($E162-V$9)/($E162-3*cc_D/7))))-fcd_cc*(1-(1-MAX(0,MIN(1,IF($E162&lt;=cc_D,0.0035*($E162-V$9)/$E162,0.002*($E162-V$9)/($E162-3*cc_D/7))/0.002)))^2)</f>
        <v/>
      </c>
      <c r="W162">
        <f>MAX(-fyd_cc,MIN(fyd_cc,Es_cc*IF($E162&lt;=cc_D,0.0035*($E162-W$9)/$E162,0.002*($E162-W$9)/($E162-3*cc_D/7))))-fcd_cc*(1-(1-MAX(0,MIN(1,IF($E162&lt;=cc_D,0.0035*($E162-W$9)/$E162,0.002*($E162-W$9)/($E162-3*cc_D/7))/0.002)))^2)</f>
        <v/>
      </c>
      <c r="X162">
        <f>MAX(-fyd_cc,MIN(fyd_cc,Es_cc*IF($E162&lt;=cc_D,0.0035*($E162-X$9)/$E162,0.002*($E162-X$9)/($E162-3*cc_D/7))))-fcd_cc*(1-(1-MAX(0,MIN(1,IF($E162&lt;=cc_D,0.0035*($E162-X$9)/$E162,0.002*($E162-X$9)/($E162-3*cc_D/7))/0.002)))^2)</f>
        <v/>
      </c>
      <c r="Y162">
        <f>MAX(-fyd_cc,MIN(fyd_cc,Es_cc*IF($E162&lt;=cc_D,0.0035*($E162-Y$9)/$E162,0.002*($E162-Y$9)/($E162-3*cc_D/7))))-fcd_cc*(1-(1-MAX(0,MIN(1,IF($E162&lt;=cc_D,0.0035*($E162-Y$9)/$E162,0.002*($E162-Y$9)/($E162-3*cc_D/7))/0.002)))^2)</f>
        <v/>
      </c>
      <c r="Z162">
        <f>MAX(-fyd_cc,MIN(fyd_cc,Es_cc*IF($E162&lt;=cc_D,0.0035*($E162-Z$9)/$E162,0.002*($E162-Z$9)/($E162-3*cc_D/7))))-fcd_cc*(1-(1-MAX(0,MIN(1,IF($E162&lt;=cc_D,0.0035*($E162-Z$9)/$E162,0.002*($E162-Z$9)/($E162-3*cc_D/7))/0.002)))^2)</f>
        <v/>
      </c>
      <c r="AA162">
        <f>MAX(-fyd_cc,MIN(fyd_cc,Es_cc*IF($E162&lt;=cc_D,0.0035*($E162-AA$9)/$E162,0.002*($E162-AA$9)/($E162-3*cc_D/7))))-fcd_cc*(1-(1-MAX(0,MIN(1,IF($E162&lt;=cc_D,0.0035*($E162-AA$9)/$E162,0.002*($E162-AA$9)/($E162-3*cc_D/7))/0.002)))^2)</f>
        <v/>
      </c>
      <c r="AB162">
        <f>MAX(-fyd_cc,MIN(fyd_cc,Es_cc*IF($E162&lt;=cc_D,0.0035*($E162-AB$9)/$E162,0.002*($E162-AB$9)/($E162-3*cc_D/7))))-fcd_cc*(1-(1-MAX(0,MIN(1,IF($E162&lt;=cc_D,0.0035*($E162-AB$9)/$E162,0.002*($E162-AB$9)/($E162-3*cc_D/7))/0.002)))^2)</f>
        <v/>
      </c>
      <c r="AC162">
        <f>MAX(-fyd_cc,MIN(fyd_cc,Es_cc*IF($E162&lt;=cc_D,0.0035*($E162-AC$9)/$E162,0.002*($E162-AC$9)/($E162-3*cc_D/7))))-fcd_cc*(1-(1-MAX(0,MIN(1,IF($E162&lt;=cc_D,0.0035*($E162-AC$9)/$E162,0.002*($E162-AC$9)/($E162-3*cc_D/7))/0.002)))^2)</f>
        <v/>
      </c>
      <c r="AD162">
        <f>MAX(-fyd_cc,MIN(fyd_cc,Es_cc*IF($E162&lt;=cc_D,0.0035*($E162-AD$9)/$E162,0.002*($E162-AD$9)/($E162-3*cc_D/7))))-fcd_cc*(1-(1-MAX(0,MIN(1,IF($E162&lt;=cc_D,0.0035*($E162-AD$9)/$E162,0.002*($E162-AD$9)/($E162-3*cc_D/7))/0.002)))^2)</f>
        <v/>
      </c>
      <c r="AE162">
        <f>MAX(-fyd_cc,MIN(fyd_cc,Es_cc*IF($E162&lt;=cc_D,0.0035*($E162-AE$9)/$E162,0.002*($E162-AE$9)/($E162-3*cc_D/7))))-fcd_cc*(1-(1-MAX(0,MIN(1,IF($E162&lt;=cc_D,0.0035*($E162-AE$9)/$E162,0.002*($E162-AE$9)/($E162-3*cc_D/7))/0.002)))^2)</f>
        <v/>
      </c>
      <c r="AF162">
        <f>MAX(-fyd_cc,MIN(fyd_cc,Es_cc*IF($E162&lt;=cc_D,0.0035*($E162-AF$9)/$E162,0.002*($E162-AF$9)/($E162-3*cc_D/7))))-fcd_cc*(1-(1-MAX(0,MIN(1,IF($E162&lt;=cc_D,0.0035*($E162-AF$9)/$E162,0.002*($E162-AF$9)/($E162-3*cc_D/7))/0.002)))^2)</f>
        <v/>
      </c>
      <c r="AG162">
        <f>MAX(-fyd_cc,MIN(fyd_cc,Es_cc*IF($E162&lt;=cc_D,0.0035*($E162-AG$9)/$E162,0.002*($E162-AG$9)/($E162-3*cc_D/7))))-fcd_cc*(1-(1-MAX(0,MIN(1,IF($E162&lt;=cc_D,0.0035*($E162-AG$9)/$E162,0.002*($E162-AG$9)/($E162-3*cc_D/7))/0.002)))^2)</f>
        <v/>
      </c>
      <c r="BF162">
        <f>3*MIN($E162,cc_D)/7</f>
        <v/>
      </c>
      <c r="BG162">
        <f>$E162-$BF162</f>
        <v/>
      </c>
      <c r="BH162">
        <f>ACOS(MAX(-1,MIN(1,1-$BF162/(cc_D/2))))</f>
        <v/>
      </c>
      <c r="BI162">
        <f>ACOS(MAX(-1,MIN(1,1-MIN($E162,cc_D)/(cc_D/2))))</f>
        <v/>
      </c>
      <c r="BJ162">
        <f>((cc_D/2*(1-COS(($BH162+0*($BI162-$BH162)/12)))-$BF162)/$BG162)^2*SIN(($BH162+0*($BI162-$BH162)/12))^2</f>
        <v/>
      </c>
      <c r="BK162">
        <f>((cc_D/2*(1-COS(($BH162+1*($BI162-$BH162)/12)))-$BF162)/$BG162)^2*SIN(($BH162+1*($BI162-$BH162)/12))^2</f>
        <v/>
      </c>
      <c r="BL162">
        <f>((cc_D/2*(1-COS(($BH162+2*($BI162-$BH162)/12)))-$BF162)/$BG162)^2*SIN(($BH162+2*($BI162-$BH162)/12))^2</f>
        <v/>
      </c>
      <c r="BM162">
        <f>((cc_D/2*(1-COS(($BH162+3*($BI162-$BH162)/12)))-$BF162)/$BG162)^2*SIN(($BH162+3*($BI162-$BH162)/12))^2</f>
        <v/>
      </c>
      <c r="BN162">
        <f>((cc_D/2*(1-COS(($BH162+4*($BI162-$BH162)/12)))-$BF162)/$BG162)^2*SIN(($BH162+4*($BI162-$BH162)/12))^2</f>
        <v/>
      </c>
      <c r="BO162">
        <f>((cc_D/2*(1-COS(($BH162+5*($BI162-$BH162)/12)))-$BF162)/$BG162)^2*SIN(($BH162+5*($BI162-$BH162)/12))^2</f>
        <v/>
      </c>
      <c r="BP162">
        <f>((cc_D/2*(1-COS(($BH162+6*($BI162-$BH162)/12)))-$BF162)/$BG162)^2*SIN(($BH162+6*($BI162-$BH162)/12))^2</f>
        <v/>
      </c>
      <c r="BQ162">
        <f>((cc_D/2*(1-COS(($BH162+7*($BI162-$BH162)/12)))-$BF162)/$BG162)^2*SIN(($BH162+7*($BI162-$BH162)/12))^2</f>
        <v/>
      </c>
      <c r="BR162">
        <f>((cc_D/2*(1-COS(($BH162+8*($BI162-$BH162)/12)))-$BF162)/$BG162)^2*SIN(($BH162+8*($BI162-$BH162)/12))^2</f>
        <v/>
      </c>
      <c r="BS162">
        <f>((cc_D/2*(1-COS(($BH162+9*($BI162-$BH162)/12)))-$BF162)/$BG162)^2*SIN(($BH162+9*($BI162-$BH162)/12))^2</f>
        <v/>
      </c>
      <c r="BT162">
        <f>((cc_D/2*(1-COS(($BH162+10*($BI162-$BH162)/12)))-$BF162)/$BG162)^2*SIN(($BH162+10*($BI162-$BH162)/12))^2</f>
        <v/>
      </c>
      <c r="BU162">
        <f>((cc_D/2*(1-COS(($BH162+11*($BI162-$BH162)/12)))-$BF162)/$BG162)^2*SIN(($BH162+11*($BI162-$BH162)/12))^2</f>
        <v/>
      </c>
      <c r="BV162">
        <f>((cc_D/2*(1-COS(($BH162+12*($BI162-$BH162)/12)))-$BF162)/$BG162)^2*SIN(($BH162+12*($BI162-$BH162)/12))^2</f>
        <v/>
      </c>
      <c r="BW162">
        <f>BJ162*COS(($BH162+0*($BI162-$BH162)/12))</f>
        <v/>
      </c>
      <c r="BX162">
        <f>BK162*COS(($BH162+1*($BI162-$BH162)/12))</f>
        <v/>
      </c>
      <c r="BY162">
        <f>BL162*COS(($BH162+2*($BI162-$BH162)/12))</f>
        <v/>
      </c>
      <c r="BZ162">
        <f>BM162*COS(($BH162+3*($BI162-$BH162)/12))</f>
        <v/>
      </c>
      <c r="CA162">
        <f>BN162*COS(($BH162+4*($BI162-$BH162)/12))</f>
        <v/>
      </c>
      <c r="CB162">
        <f>BO162*COS(($BH162+5*($BI162-$BH162)/12))</f>
        <v/>
      </c>
      <c r="CC162">
        <f>BP162*COS(($BH162+6*($BI162-$BH162)/12))</f>
        <v/>
      </c>
      <c r="CD162">
        <f>BQ162*COS(($BH162+7*($BI162-$BH162)/12))</f>
        <v/>
      </c>
      <c r="CE162">
        <f>BR162*COS(($BH162+8*($BI162-$BH162)/12))</f>
        <v/>
      </c>
      <c r="CF162">
        <f>BS162*COS(($BH162+9*($BI162-$BH162)/12))</f>
        <v/>
      </c>
      <c r="CG162">
        <f>BT162*COS(($BH162+10*($BI162-$BH162)/12))</f>
        <v/>
      </c>
      <c r="CH162">
        <f>BU162*COS(($BH162+11*($BI162-$BH162)/12))</f>
        <v/>
      </c>
      <c r="CI162">
        <f>BV162*COS(($BH162+12*($BI162-$BH162)/12))</f>
        <v/>
      </c>
    </row>
    <row r="163">
      <c r="B163" s="65" t="n">
        <v>11</v>
      </c>
      <c r="C163" s="66">
        <f>IF($G162&lt;cc_NEd-1E-9*ABS(cc_NEd),($C162+$D162)/2,$C162)</f>
        <v/>
      </c>
      <c r="D163" s="66">
        <f>IF($G162&lt;cc_NEd-1E-9*ABS(cc_NEd),$D162,($C162+$D162)/2)</f>
        <v/>
      </c>
      <c r="E163" s="67">
        <f>cc_D*(($C163+$D163)/2)/(1-(($C163+$D163)/2))</f>
        <v/>
      </c>
      <c r="F163" s="68">
        <f>IF($E163&lt;=cc_D,3.5,2*$E163/($E163-3*cc_D/7))</f>
        <v/>
      </c>
      <c r="G163" s="67">
        <f>(fcd_cc*((cc_D/2)^2*($BI163-COS($BI163)*SIN($BI163))-2*(cc_D/2)^2*($BI163-$BH163)/12/3*SUMPRODUCT($BJ$4:$BV$4,$BJ163:$BV163))+SUMPRODUCT($J$5:$AG$5,$J163:$AG163))/1000</f>
        <v/>
      </c>
      <c r="H163" s="67">
        <f>(fcd_cc*(2/3*(cc_D/2)^3*SIN($BI163)^3-2*(cc_D/2)^3*($BI163-$BH163)/12/3*SUMPRODUCT($BW$4:$CI$4,$BW163:$CI163))+SUMPRODUCT($J$5:$AG$5,$J163:$AG163,$J$10:$AG$10))/1E6</f>
        <v/>
      </c>
      <c r="I163" s="67">
        <f>SUMPRODUCT($J$5:$AG$5,$J163:$AG163,$J$11:$AG$11)/1E6</f>
        <v/>
      </c>
      <c r="J163">
        <f>MAX(-fyd_cc,MIN(fyd_cc,Es_cc*IF($E163&lt;=cc_D,0.0035*($E163-J$9)/$E163,0.002*($E163-J$9)/($E163-3*cc_D/7))))-fcd_cc*(1-(1-MAX(0,MIN(1,IF($E163&lt;=cc_D,0.0035*($E163-J$9)/$E163,0.002*($E163-J$9)/($E163-3*cc_D/7))/0.002)))^2)</f>
        <v/>
      </c>
      <c r="K163">
        <f>MAX(-fyd_cc,MIN(fyd_cc,Es_cc*IF($E163&lt;=cc_D,0.0035*($E163-K$9)/$E163,0.002*($E163-K$9)/($E163-3*cc_D/7))))-fcd_cc*(1-(1-MAX(0,MIN(1,IF($E163&lt;=cc_D,0.0035*($E163-K$9)/$E163,0.002*($E163-K$9)/($E163-3*cc_D/7))/0.002)))^2)</f>
        <v/>
      </c>
      <c r="L163">
        <f>MAX(-fyd_cc,MIN(fyd_cc,Es_cc*IF($E163&lt;=cc_D,0.0035*($E163-L$9)/$E163,0.002*($E163-L$9)/($E163-3*cc_D/7))))-fcd_cc*(1-(1-MAX(0,MIN(1,IF($E163&lt;=cc_D,0.0035*($E163-L$9)/$E163,0.002*($E163-L$9)/($E163-3*cc_D/7))/0.002)))^2)</f>
        <v/>
      </c>
      <c r="M163">
        <f>MAX(-fyd_cc,MIN(fyd_cc,Es_cc*IF($E163&lt;=cc_D,0.0035*($E163-M$9)/$E163,0.002*($E163-M$9)/($E163-3*cc_D/7))))-fcd_cc*(1-(1-MAX(0,MIN(1,IF($E163&lt;=cc_D,0.0035*($E163-M$9)/$E163,0.002*($E163-M$9)/($E163-3*cc_D/7))/0.002)))^2)</f>
        <v/>
      </c>
      <c r="N163">
        <f>MAX(-fyd_cc,MIN(fyd_cc,Es_cc*IF($E163&lt;=cc_D,0.0035*($E163-N$9)/$E163,0.002*($E163-N$9)/($E163-3*cc_D/7))))-fcd_cc*(1-(1-MAX(0,MIN(1,IF($E163&lt;=cc_D,0.0035*($E163-N$9)/$E163,0.002*($E163-N$9)/($E163-3*cc_D/7))/0.002)))^2)</f>
        <v/>
      </c>
      <c r="O163">
        <f>MAX(-fyd_cc,MIN(fyd_cc,Es_cc*IF($E163&lt;=cc_D,0.0035*($E163-O$9)/$E163,0.002*($E163-O$9)/($E163-3*cc_D/7))))-fcd_cc*(1-(1-MAX(0,MIN(1,IF($E163&lt;=cc_D,0.0035*($E163-O$9)/$E163,0.002*($E163-O$9)/($E163-3*cc_D/7))/0.002)))^2)</f>
        <v/>
      </c>
      <c r="P163">
        <f>MAX(-fyd_cc,MIN(fyd_cc,Es_cc*IF($E163&lt;=cc_D,0.0035*($E163-P$9)/$E163,0.002*($E163-P$9)/($E163-3*cc_D/7))))-fcd_cc*(1-(1-MAX(0,MIN(1,IF($E163&lt;=cc_D,0.0035*($E163-P$9)/$E163,0.002*($E163-P$9)/($E163-3*cc_D/7))/0.002)))^2)</f>
        <v/>
      </c>
      <c r="Q163">
        <f>MAX(-fyd_cc,MIN(fyd_cc,Es_cc*IF($E163&lt;=cc_D,0.0035*($E163-Q$9)/$E163,0.002*($E163-Q$9)/($E163-3*cc_D/7))))-fcd_cc*(1-(1-MAX(0,MIN(1,IF($E163&lt;=cc_D,0.0035*($E163-Q$9)/$E163,0.002*($E163-Q$9)/($E163-3*cc_D/7))/0.002)))^2)</f>
        <v/>
      </c>
      <c r="R163">
        <f>MAX(-fyd_cc,MIN(fyd_cc,Es_cc*IF($E163&lt;=cc_D,0.0035*($E163-R$9)/$E163,0.002*($E163-R$9)/($E163-3*cc_D/7))))-fcd_cc*(1-(1-MAX(0,MIN(1,IF($E163&lt;=cc_D,0.0035*($E163-R$9)/$E163,0.002*($E163-R$9)/($E163-3*cc_D/7))/0.002)))^2)</f>
        <v/>
      </c>
      <c r="S163">
        <f>MAX(-fyd_cc,MIN(fyd_cc,Es_cc*IF($E163&lt;=cc_D,0.0035*($E163-S$9)/$E163,0.002*($E163-S$9)/($E163-3*cc_D/7))))-fcd_cc*(1-(1-MAX(0,MIN(1,IF($E163&lt;=cc_D,0.0035*($E163-S$9)/$E163,0.002*($E163-S$9)/($E163-3*cc_D/7))/0.002)))^2)</f>
        <v/>
      </c>
      <c r="T163">
        <f>MAX(-fyd_cc,MIN(fyd_cc,Es_cc*IF($E163&lt;=cc_D,0.0035*($E163-T$9)/$E163,0.002*($E163-T$9)/($E163-3*cc_D/7))))-fcd_cc*(1-(1-MAX(0,MIN(1,IF($E163&lt;=cc_D,0.0035*($E163-T$9)/$E163,0.002*($E163-T$9)/($E163-3*cc_D/7))/0.002)))^2)</f>
        <v/>
      </c>
      <c r="U163">
        <f>MAX(-fyd_cc,MIN(fyd_cc,Es_cc*IF($E163&lt;=cc_D,0.0035*($E163-U$9)/$E163,0.002*($E163-U$9)/($E163-3*cc_D/7))))-fcd_cc*(1-(1-MAX(0,MIN(1,IF($E163&lt;=cc_D,0.0035*($E163-U$9)/$E163,0.002*($E163-U$9)/($E163-3*cc_D/7))/0.002)))^2)</f>
        <v/>
      </c>
      <c r="V163">
        <f>MAX(-fyd_cc,MIN(fyd_cc,Es_cc*IF($E163&lt;=cc_D,0.0035*($E163-V$9)/$E163,0.002*($E163-V$9)/($E163-3*cc_D/7))))-fcd_cc*(1-(1-MAX(0,MIN(1,IF($E163&lt;=cc_D,0.0035*($E163-V$9)/$E163,0.002*($E163-V$9)/($E163-3*cc_D/7))/0.002)))^2)</f>
        <v/>
      </c>
      <c r="W163">
        <f>MAX(-fyd_cc,MIN(fyd_cc,Es_cc*IF($E163&lt;=cc_D,0.0035*($E163-W$9)/$E163,0.002*($E163-W$9)/($E163-3*cc_D/7))))-fcd_cc*(1-(1-MAX(0,MIN(1,IF($E163&lt;=cc_D,0.0035*($E163-W$9)/$E163,0.002*($E163-W$9)/($E163-3*cc_D/7))/0.002)))^2)</f>
        <v/>
      </c>
      <c r="X163">
        <f>MAX(-fyd_cc,MIN(fyd_cc,Es_cc*IF($E163&lt;=cc_D,0.0035*($E163-X$9)/$E163,0.002*($E163-X$9)/($E163-3*cc_D/7))))-fcd_cc*(1-(1-MAX(0,MIN(1,IF($E163&lt;=cc_D,0.0035*($E163-X$9)/$E163,0.002*($E163-X$9)/($E163-3*cc_D/7))/0.002)))^2)</f>
        <v/>
      </c>
      <c r="Y163">
        <f>MAX(-fyd_cc,MIN(fyd_cc,Es_cc*IF($E163&lt;=cc_D,0.0035*($E163-Y$9)/$E163,0.002*($E163-Y$9)/($E163-3*cc_D/7))))-fcd_cc*(1-(1-MAX(0,MIN(1,IF($E163&lt;=cc_D,0.0035*($E163-Y$9)/$E163,0.002*($E163-Y$9)/($E163-3*cc_D/7))/0.002)))^2)</f>
        <v/>
      </c>
      <c r="Z163">
        <f>MAX(-fyd_cc,MIN(fyd_cc,Es_cc*IF($E163&lt;=cc_D,0.0035*($E163-Z$9)/$E163,0.002*($E163-Z$9)/($E163-3*cc_D/7))))-fcd_cc*(1-(1-MAX(0,MIN(1,IF($E163&lt;=cc_D,0.0035*($E163-Z$9)/$E163,0.002*($E163-Z$9)/($E163-3*cc_D/7))/0.002)))^2)</f>
        <v/>
      </c>
      <c r="AA163">
        <f>MAX(-fyd_cc,MIN(fyd_cc,Es_cc*IF($E163&lt;=cc_D,0.0035*($E163-AA$9)/$E163,0.002*($E163-AA$9)/($E163-3*cc_D/7))))-fcd_cc*(1-(1-MAX(0,MIN(1,IF($E163&lt;=cc_D,0.0035*($E163-AA$9)/$E163,0.002*($E163-AA$9)/($E163-3*cc_D/7))/0.002)))^2)</f>
        <v/>
      </c>
      <c r="AB163">
        <f>MAX(-fyd_cc,MIN(fyd_cc,Es_cc*IF($E163&lt;=cc_D,0.0035*($E163-AB$9)/$E163,0.002*($E163-AB$9)/($E163-3*cc_D/7))))-fcd_cc*(1-(1-MAX(0,MIN(1,IF($E163&lt;=cc_D,0.0035*($E163-AB$9)/$E163,0.002*($E163-AB$9)/($E163-3*cc_D/7))/0.002)))^2)</f>
        <v/>
      </c>
      <c r="AC163">
        <f>MAX(-fyd_cc,MIN(fyd_cc,Es_cc*IF($E163&lt;=cc_D,0.0035*($E163-AC$9)/$E163,0.002*($E163-AC$9)/($E163-3*cc_D/7))))-fcd_cc*(1-(1-MAX(0,MIN(1,IF($E163&lt;=cc_D,0.0035*($E163-AC$9)/$E163,0.002*($E163-AC$9)/($E163-3*cc_D/7))/0.002)))^2)</f>
        <v/>
      </c>
      <c r="AD163">
        <f>MAX(-fyd_cc,MIN(fyd_cc,Es_cc*IF($E163&lt;=cc_D,0.0035*($E163-AD$9)/$E163,0.002*($E163-AD$9)/($E163-3*cc_D/7))))-fcd_cc*(1-(1-MAX(0,MIN(1,IF($E163&lt;=cc_D,0.0035*($E163-AD$9)/$E163,0.002*($E163-AD$9)/($E163-3*cc_D/7))/0.002)))^2)</f>
        <v/>
      </c>
      <c r="AE163">
        <f>MAX(-fyd_cc,MIN(fyd_cc,Es_cc*IF($E163&lt;=cc_D,0.0035*($E163-AE$9)/$E163,0.002*($E163-AE$9)/($E163-3*cc_D/7))))-fcd_cc*(1-(1-MAX(0,MIN(1,IF($E163&lt;=cc_D,0.0035*($E163-AE$9)/$E163,0.002*($E163-AE$9)/($E163-3*cc_D/7))/0.002)))^2)</f>
        <v/>
      </c>
      <c r="AF163">
        <f>MAX(-fyd_cc,MIN(fyd_cc,Es_cc*IF($E163&lt;=cc_D,0.0035*($E163-AF$9)/$E163,0.002*($E163-AF$9)/($E163-3*cc_D/7))))-fcd_cc*(1-(1-MAX(0,MIN(1,IF($E163&lt;=cc_D,0.0035*($E163-AF$9)/$E163,0.002*($E163-AF$9)/($E163-3*cc_D/7))/0.002)))^2)</f>
        <v/>
      </c>
      <c r="AG163">
        <f>MAX(-fyd_cc,MIN(fyd_cc,Es_cc*IF($E163&lt;=cc_D,0.0035*($E163-AG$9)/$E163,0.002*($E163-AG$9)/($E163-3*cc_D/7))))-fcd_cc*(1-(1-MAX(0,MIN(1,IF($E163&lt;=cc_D,0.0035*($E163-AG$9)/$E163,0.002*($E163-AG$9)/($E163-3*cc_D/7))/0.002)))^2)</f>
        <v/>
      </c>
      <c r="BF163">
        <f>3*MIN($E163,cc_D)/7</f>
        <v/>
      </c>
      <c r="BG163">
        <f>$E163-$BF163</f>
        <v/>
      </c>
      <c r="BH163">
        <f>ACOS(MAX(-1,MIN(1,1-$BF163/(cc_D/2))))</f>
        <v/>
      </c>
      <c r="BI163">
        <f>ACOS(MAX(-1,MIN(1,1-MIN($E163,cc_D)/(cc_D/2))))</f>
        <v/>
      </c>
      <c r="BJ163">
        <f>((cc_D/2*(1-COS(($BH163+0*($BI163-$BH163)/12)))-$BF163)/$BG163)^2*SIN(($BH163+0*($BI163-$BH163)/12))^2</f>
        <v/>
      </c>
      <c r="BK163">
        <f>((cc_D/2*(1-COS(($BH163+1*($BI163-$BH163)/12)))-$BF163)/$BG163)^2*SIN(($BH163+1*($BI163-$BH163)/12))^2</f>
        <v/>
      </c>
      <c r="BL163">
        <f>((cc_D/2*(1-COS(($BH163+2*($BI163-$BH163)/12)))-$BF163)/$BG163)^2*SIN(($BH163+2*($BI163-$BH163)/12))^2</f>
        <v/>
      </c>
      <c r="BM163">
        <f>((cc_D/2*(1-COS(($BH163+3*($BI163-$BH163)/12)))-$BF163)/$BG163)^2*SIN(($BH163+3*($BI163-$BH163)/12))^2</f>
        <v/>
      </c>
      <c r="BN163">
        <f>((cc_D/2*(1-COS(($BH163+4*($BI163-$BH163)/12)))-$BF163)/$BG163)^2*SIN(($BH163+4*($BI163-$BH163)/12))^2</f>
        <v/>
      </c>
      <c r="BO163">
        <f>((cc_D/2*(1-COS(($BH163+5*($BI163-$BH163)/12)))-$BF163)/$BG163)^2*SIN(($BH163+5*($BI163-$BH163)/12))^2</f>
        <v/>
      </c>
      <c r="BP163">
        <f>((cc_D/2*(1-COS(($BH163+6*($BI163-$BH163)/12)))-$BF163)/$BG163)^2*SIN(($BH163+6*($BI163-$BH163)/12))^2</f>
        <v/>
      </c>
      <c r="BQ163">
        <f>((cc_D/2*(1-COS(($BH163+7*($BI163-$BH163)/12)))-$BF163)/$BG163)^2*SIN(($BH163+7*($BI163-$BH163)/12))^2</f>
        <v/>
      </c>
      <c r="BR163">
        <f>((cc_D/2*(1-COS(($BH163+8*($BI163-$BH163)/12)))-$BF163)/$BG163)^2*SIN(($BH163+8*($BI163-$BH163)/12))^2</f>
        <v/>
      </c>
      <c r="BS163">
        <f>((cc_D/2*(1-COS(($BH163+9*($BI163-$BH163)/12)))-$BF163)/$BG163)^2*SIN(($BH163+9*($BI163-$BH163)/12))^2</f>
        <v/>
      </c>
      <c r="BT163">
        <f>((cc_D/2*(1-COS(($BH163+10*($BI163-$BH163)/12)))-$BF163)/$BG163)^2*SIN(($BH163+10*($BI163-$BH163)/12))^2</f>
        <v/>
      </c>
      <c r="BU163">
        <f>((cc_D/2*(1-COS(($BH163+11*($BI163-$BH163)/12)))-$BF163)/$BG163)^2*SIN(($BH163+11*($BI163-$BH163)/12))^2</f>
        <v/>
      </c>
      <c r="BV163">
        <f>((cc_D/2*(1-COS(($BH163+12*($BI163-$BH163)/12)))-$BF163)/$BG163)^2*SIN(($BH163+12*($BI163-$BH163)/12))^2</f>
        <v/>
      </c>
      <c r="BW163">
        <f>BJ163*COS(($BH163+0*($BI163-$BH163)/12))</f>
        <v/>
      </c>
      <c r="BX163">
        <f>BK163*COS(($BH163+1*($BI163-$BH163)/12))</f>
        <v/>
      </c>
      <c r="BY163">
        <f>BL163*COS(($BH163+2*($BI163-$BH163)/12))</f>
        <v/>
      </c>
      <c r="BZ163">
        <f>BM163*COS(($BH163+3*($BI163-$BH163)/12))</f>
        <v/>
      </c>
      <c r="CA163">
        <f>BN163*COS(($BH163+4*($BI163-$BH163)/12))</f>
        <v/>
      </c>
      <c r="CB163">
        <f>BO163*COS(($BH163+5*($BI163-$BH163)/12))</f>
        <v/>
      </c>
      <c r="CC163">
        <f>BP163*COS(($BH163+6*($BI163-$BH163)/12))</f>
        <v/>
      </c>
      <c r="CD163">
        <f>BQ163*COS(($BH163+7*($BI163-$BH163)/12))</f>
        <v/>
      </c>
      <c r="CE163">
        <f>BR163*COS(($BH163+8*($BI163-$BH163)/12))</f>
        <v/>
      </c>
      <c r="CF163">
        <f>BS163*COS(($BH163+9*($BI163-$BH163)/12))</f>
        <v/>
      </c>
      <c r="CG163">
        <f>BT163*COS(($BH163+10*($BI163-$BH163)/12))</f>
        <v/>
      </c>
      <c r="CH163">
        <f>BU163*COS(($BH163+11*($BI163-$BH163)/12))</f>
        <v/>
      </c>
      <c r="CI163">
        <f>BV163*COS(($BH163+12*($BI163-$BH163)/12))</f>
        <v/>
      </c>
    </row>
    <row r="164">
      <c r="B164" s="65" t="n">
        <v>12</v>
      </c>
      <c r="C164" s="66">
        <f>IF($G163&lt;cc_NEd-1E-9*ABS(cc_NEd),($C163+$D163)/2,$C163)</f>
        <v/>
      </c>
      <c r="D164" s="66">
        <f>IF($G163&lt;cc_NEd-1E-9*ABS(cc_NEd),$D163,($C163+$D163)/2)</f>
        <v/>
      </c>
      <c r="E164" s="67">
        <f>cc_D*(($C164+$D164)/2)/(1-(($C164+$D164)/2))</f>
        <v/>
      </c>
      <c r="F164" s="68">
        <f>IF($E164&lt;=cc_D,3.5,2*$E164/($E164-3*cc_D/7))</f>
        <v/>
      </c>
      <c r="G164" s="67">
        <f>(fcd_cc*((cc_D/2)^2*($BI164-COS($BI164)*SIN($BI164))-2*(cc_D/2)^2*($BI164-$BH164)/12/3*SUMPRODUCT($BJ$4:$BV$4,$BJ164:$BV164))+SUMPRODUCT($J$5:$AG$5,$J164:$AG164))/1000</f>
        <v/>
      </c>
      <c r="H164" s="67">
        <f>(fcd_cc*(2/3*(cc_D/2)^3*SIN($BI164)^3-2*(cc_D/2)^3*($BI164-$BH164)/12/3*SUMPRODUCT($BW$4:$CI$4,$BW164:$CI164))+SUMPRODUCT($J$5:$AG$5,$J164:$AG164,$J$10:$AG$10))/1E6</f>
        <v/>
      </c>
      <c r="I164" s="67">
        <f>SUMPRODUCT($J$5:$AG$5,$J164:$AG164,$J$11:$AG$11)/1E6</f>
        <v/>
      </c>
      <c r="J164">
        <f>MAX(-fyd_cc,MIN(fyd_cc,Es_cc*IF($E164&lt;=cc_D,0.0035*($E164-J$9)/$E164,0.002*($E164-J$9)/($E164-3*cc_D/7))))-fcd_cc*(1-(1-MAX(0,MIN(1,IF($E164&lt;=cc_D,0.0035*($E164-J$9)/$E164,0.002*($E164-J$9)/($E164-3*cc_D/7))/0.002)))^2)</f>
        <v/>
      </c>
      <c r="K164">
        <f>MAX(-fyd_cc,MIN(fyd_cc,Es_cc*IF($E164&lt;=cc_D,0.0035*($E164-K$9)/$E164,0.002*($E164-K$9)/($E164-3*cc_D/7))))-fcd_cc*(1-(1-MAX(0,MIN(1,IF($E164&lt;=cc_D,0.0035*($E164-K$9)/$E164,0.002*($E164-K$9)/($E164-3*cc_D/7))/0.002)))^2)</f>
        <v/>
      </c>
      <c r="L164">
        <f>MAX(-fyd_cc,MIN(fyd_cc,Es_cc*IF($E164&lt;=cc_D,0.0035*($E164-L$9)/$E164,0.002*($E164-L$9)/($E164-3*cc_D/7))))-fcd_cc*(1-(1-MAX(0,MIN(1,IF($E164&lt;=cc_D,0.0035*($E164-L$9)/$E164,0.002*($E164-L$9)/($E164-3*cc_D/7))/0.002)))^2)</f>
        <v/>
      </c>
      <c r="M164">
        <f>MAX(-fyd_cc,MIN(fyd_cc,Es_cc*IF($E164&lt;=cc_D,0.0035*($E164-M$9)/$E164,0.002*($E164-M$9)/($E164-3*cc_D/7))))-fcd_cc*(1-(1-MAX(0,MIN(1,IF($E164&lt;=cc_D,0.0035*($E164-M$9)/$E164,0.002*($E164-M$9)/($E164-3*cc_D/7))/0.002)))^2)</f>
        <v/>
      </c>
      <c r="N164">
        <f>MAX(-fyd_cc,MIN(fyd_cc,Es_cc*IF($E164&lt;=cc_D,0.0035*($E164-N$9)/$E164,0.002*($E164-N$9)/($E164-3*cc_D/7))))-fcd_cc*(1-(1-MAX(0,MIN(1,IF($E164&lt;=cc_D,0.0035*($E164-N$9)/$E164,0.002*($E164-N$9)/($E164-3*cc_D/7))/0.002)))^2)</f>
        <v/>
      </c>
      <c r="O164">
        <f>MAX(-fyd_cc,MIN(fyd_cc,Es_cc*IF($E164&lt;=cc_D,0.0035*($E164-O$9)/$E164,0.002*($E164-O$9)/($E164-3*cc_D/7))))-fcd_cc*(1-(1-MAX(0,MIN(1,IF($E164&lt;=cc_D,0.0035*($E164-O$9)/$E164,0.002*($E164-O$9)/($E164-3*cc_D/7))/0.002)))^2)</f>
        <v/>
      </c>
      <c r="P164">
        <f>MAX(-fyd_cc,MIN(fyd_cc,Es_cc*IF($E164&lt;=cc_D,0.0035*($E164-P$9)/$E164,0.002*($E164-P$9)/($E164-3*cc_D/7))))-fcd_cc*(1-(1-MAX(0,MIN(1,IF($E164&lt;=cc_D,0.0035*($E164-P$9)/$E164,0.002*($E164-P$9)/($E164-3*cc_D/7))/0.002)))^2)</f>
        <v/>
      </c>
      <c r="Q164">
        <f>MAX(-fyd_cc,MIN(fyd_cc,Es_cc*IF($E164&lt;=cc_D,0.0035*($E164-Q$9)/$E164,0.002*($E164-Q$9)/($E164-3*cc_D/7))))-fcd_cc*(1-(1-MAX(0,MIN(1,IF($E164&lt;=cc_D,0.0035*($E164-Q$9)/$E164,0.002*($E164-Q$9)/($E164-3*cc_D/7))/0.002)))^2)</f>
        <v/>
      </c>
      <c r="R164">
        <f>MAX(-fyd_cc,MIN(fyd_cc,Es_cc*IF($E164&lt;=cc_D,0.0035*($E164-R$9)/$E164,0.002*($E164-R$9)/($E164-3*cc_D/7))))-fcd_cc*(1-(1-MAX(0,MIN(1,IF($E164&lt;=cc_D,0.0035*($E164-R$9)/$E164,0.002*($E164-R$9)/($E164-3*cc_D/7))/0.002)))^2)</f>
        <v/>
      </c>
      <c r="S164">
        <f>MAX(-fyd_cc,MIN(fyd_cc,Es_cc*IF($E164&lt;=cc_D,0.0035*($E164-S$9)/$E164,0.002*($E164-S$9)/($E164-3*cc_D/7))))-fcd_cc*(1-(1-MAX(0,MIN(1,IF($E164&lt;=cc_D,0.0035*($E164-S$9)/$E164,0.002*($E164-S$9)/($E164-3*cc_D/7))/0.002)))^2)</f>
        <v/>
      </c>
      <c r="T164">
        <f>MAX(-fyd_cc,MIN(fyd_cc,Es_cc*IF($E164&lt;=cc_D,0.0035*($E164-T$9)/$E164,0.002*($E164-T$9)/($E164-3*cc_D/7))))-fcd_cc*(1-(1-MAX(0,MIN(1,IF($E164&lt;=cc_D,0.0035*($E164-T$9)/$E164,0.002*($E164-T$9)/($E164-3*cc_D/7))/0.002)))^2)</f>
        <v/>
      </c>
      <c r="U164">
        <f>MAX(-fyd_cc,MIN(fyd_cc,Es_cc*IF($E164&lt;=cc_D,0.0035*($E164-U$9)/$E164,0.002*($E164-U$9)/($E164-3*cc_D/7))))-fcd_cc*(1-(1-MAX(0,MIN(1,IF($E164&lt;=cc_D,0.0035*($E164-U$9)/$E164,0.002*($E164-U$9)/($E164-3*cc_D/7))/0.002)))^2)</f>
        <v/>
      </c>
      <c r="V164">
        <f>MAX(-fyd_cc,MIN(fyd_cc,Es_cc*IF($E164&lt;=cc_D,0.0035*($E164-V$9)/$E164,0.002*($E164-V$9)/($E164-3*cc_D/7))))-fcd_cc*(1-(1-MAX(0,MIN(1,IF($E164&lt;=cc_D,0.0035*($E164-V$9)/$E164,0.002*($E164-V$9)/($E164-3*cc_D/7))/0.002)))^2)</f>
        <v/>
      </c>
      <c r="W164">
        <f>MAX(-fyd_cc,MIN(fyd_cc,Es_cc*IF($E164&lt;=cc_D,0.0035*($E164-W$9)/$E164,0.002*($E164-W$9)/($E164-3*cc_D/7))))-fcd_cc*(1-(1-MAX(0,MIN(1,IF($E164&lt;=cc_D,0.0035*($E164-W$9)/$E164,0.002*($E164-W$9)/($E164-3*cc_D/7))/0.002)))^2)</f>
        <v/>
      </c>
      <c r="X164">
        <f>MAX(-fyd_cc,MIN(fyd_cc,Es_cc*IF($E164&lt;=cc_D,0.0035*($E164-X$9)/$E164,0.002*($E164-X$9)/($E164-3*cc_D/7))))-fcd_cc*(1-(1-MAX(0,MIN(1,IF($E164&lt;=cc_D,0.0035*($E164-X$9)/$E164,0.002*($E164-X$9)/($E164-3*cc_D/7))/0.002)))^2)</f>
        <v/>
      </c>
      <c r="Y164">
        <f>MAX(-fyd_cc,MIN(fyd_cc,Es_cc*IF($E164&lt;=cc_D,0.0035*($E164-Y$9)/$E164,0.002*($E164-Y$9)/($E164-3*cc_D/7))))-fcd_cc*(1-(1-MAX(0,MIN(1,IF($E164&lt;=cc_D,0.0035*($E164-Y$9)/$E164,0.002*($E164-Y$9)/($E164-3*cc_D/7))/0.002)))^2)</f>
        <v/>
      </c>
      <c r="Z164">
        <f>MAX(-fyd_cc,MIN(fyd_cc,Es_cc*IF($E164&lt;=cc_D,0.0035*($E164-Z$9)/$E164,0.002*($E164-Z$9)/($E164-3*cc_D/7))))-fcd_cc*(1-(1-MAX(0,MIN(1,IF($E164&lt;=cc_D,0.0035*($E164-Z$9)/$E164,0.002*($E164-Z$9)/($E164-3*cc_D/7))/0.002)))^2)</f>
        <v/>
      </c>
      <c r="AA164">
        <f>MAX(-fyd_cc,MIN(fyd_cc,Es_cc*IF($E164&lt;=cc_D,0.0035*($E164-AA$9)/$E164,0.002*($E164-AA$9)/($E164-3*cc_D/7))))-fcd_cc*(1-(1-MAX(0,MIN(1,IF($E164&lt;=cc_D,0.0035*($E164-AA$9)/$E164,0.002*($E164-AA$9)/($E164-3*cc_D/7))/0.002)))^2)</f>
        <v/>
      </c>
      <c r="AB164">
        <f>MAX(-fyd_cc,MIN(fyd_cc,Es_cc*IF($E164&lt;=cc_D,0.0035*($E164-AB$9)/$E164,0.002*($E164-AB$9)/($E164-3*cc_D/7))))-fcd_cc*(1-(1-MAX(0,MIN(1,IF($E164&lt;=cc_D,0.0035*($E164-AB$9)/$E164,0.002*($E164-AB$9)/($E164-3*cc_D/7))/0.002)))^2)</f>
        <v/>
      </c>
      <c r="AC164">
        <f>MAX(-fyd_cc,MIN(fyd_cc,Es_cc*IF($E164&lt;=cc_D,0.0035*($E164-AC$9)/$E164,0.002*($E164-AC$9)/($E164-3*cc_D/7))))-fcd_cc*(1-(1-MAX(0,MIN(1,IF($E164&lt;=cc_D,0.0035*($E164-AC$9)/$E164,0.002*($E164-AC$9)/($E164-3*cc_D/7))/0.002)))^2)</f>
        <v/>
      </c>
      <c r="AD164">
        <f>MAX(-fyd_cc,MIN(fyd_cc,Es_cc*IF($E164&lt;=cc_D,0.0035*($E164-AD$9)/$E164,0.002*($E164-AD$9)/($E164-3*cc_D/7))))-fcd_cc*(1-(1-MAX(0,MIN(1,IF($E164&lt;=cc_D,0.0035*($E164-AD$9)/$E164,0.002*($E164-AD$9)/($E164-3*cc_D/7))/0.002)))^2)</f>
        <v/>
      </c>
      <c r="AE164">
        <f>MAX(-fyd_cc,MIN(fyd_cc,Es_cc*IF($E164&lt;=cc_D,0.0035*($E164-AE$9)/$E164,0.002*($E164-AE$9)/($E164-3*cc_D/7))))-fcd_cc*(1-(1-MAX(0,MIN(1,IF($E164&lt;=cc_D,0.0035*($E164-AE$9)/$E164,0.002*($E164-AE$9)/($E164-3*cc_D/7))/0.002)))^2)</f>
        <v/>
      </c>
      <c r="AF164">
        <f>MAX(-fyd_cc,MIN(fyd_cc,Es_cc*IF($E164&lt;=cc_D,0.0035*($E164-AF$9)/$E164,0.002*($E164-AF$9)/($E164-3*cc_D/7))))-fcd_cc*(1-(1-MAX(0,MIN(1,IF($E164&lt;=cc_D,0.0035*($E164-AF$9)/$E164,0.002*($E164-AF$9)/($E164-3*cc_D/7))/0.002)))^2)</f>
        <v/>
      </c>
      <c r="AG164">
        <f>MAX(-fyd_cc,MIN(fyd_cc,Es_cc*IF($E164&lt;=cc_D,0.0035*($E164-AG$9)/$E164,0.002*($E164-AG$9)/($E164-3*cc_D/7))))-fcd_cc*(1-(1-MAX(0,MIN(1,IF($E164&lt;=cc_D,0.0035*($E164-AG$9)/$E164,0.002*($E164-AG$9)/($E164-3*cc_D/7))/0.002)))^2)</f>
        <v/>
      </c>
      <c r="BF164">
        <f>3*MIN($E164,cc_D)/7</f>
        <v/>
      </c>
      <c r="BG164">
        <f>$E164-$BF164</f>
        <v/>
      </c>
      <c r="BH164">
        <f>ACOS(MAX(-1,MIN(1,1-$BF164/(cc_D/2))))</f>
        <v/>
      </c>
      <c r="BI164">
        <f>ACOS(MAX(-1,MIN(1,1-MIN($E164,cc_D)/(cc_D/2))))</f>
        <v/>
      </c>
      <c r="BJ164">
        <f>((cc_D/2*(1-COS(($BH164+0*($BI164-$BH164)/12)))-$BF164)/$BG164)^2*SIN(($BH164+0*($BI164-$BH164)/12))^2</f>
        <v/>
      </c>
      <c r="BK164">
        <f>((cc_D/2*(1-COS(($BH164+1*($BI164-$BH164)/12)))-$BF164)/$BG164)^2*SIN(($BH164+1*($BI164-$BH164)/12))^2</f>
        <v/>
      </c>
      <c r="BL164">
        <f>((cc_D/2*(1-COS(($BH164+2*($BI164-$BH164)/12)))-$BF164)/$BG164)^2*SIN(($BH164+2*($BI164-$BH164)/12))^2</f>
        <v/>
      </c>
      <c r="BM164">
        <f>((cc_D/2*(1-COS(($BH164+3*($BI164-$BH164)/12)))-$BF164)/$BG164)^2*SIN(($BH164+3*($BI164-$BH164)/12))^2</f>
        <v/>
      </c>
      <c r="BN164">
        <f>((cc_D/2*(1-COS(($BH164+4*($BI164-$BH164)/12)))-$BF164)/$BG164)^2*SIN(($BH164+4*($BI164-$BH164)/12))^2</f>
        <v/>
      </c>
      <c r="BO164">
        <f>((cc_D/2*(1-COS(($BH164+5*($BI164-$BH164)/12)))-$BF164)/$BG164)^2*SIN(($BH164+5*($BI164-$BH164)/12))^2</f>
        <v/>
      </c>
      <c r="BP164">
        <f>((cc_D/2*(1-COS(($BH164+6*($BI164-$BH164)/12)))-$BF164)/$BG164)^2*SIN(($BH164+6*($BI164-$BH164)/12))^2</f>
        <v/>
      </c>
      <c r="BQ164">
        <f>((cc_D/2*(1-COS(($BH164+7*($BI164-$BH164)/12)))-$BF164)/$BG164)^2*SIN(($BH164+7*($BI164-$BH164)/12))^2</f>
        <v/>
      </c>
      <c r="BR164">
        <f>((cc_D/2*(1-COS(($BH164+8*($BI164-$BH164)/12)))-$BF164)/$BG164)^2*SIN(($BH164+8*($BI164-$BH164)/12))^2</f>
        <v/>
      </c>
      <c r="BS164">
        <f>((cc_D/2*(1-COS(($BH164+9*($BI164-$BH164)/12)))-$BF164)/$BG164)^2*SIN(($BH164+9*($BI164-$BH164)/12))^2</f>
        <v/>
      </c>
      <c r="BT164">
        <f>((cc_D/2*(1-COS(($BH164+10*($BI164-$BH164)/12)))-$BF164)/$BG164)^2*SIN(($BH164+10*($BI164-$BH164)/12))^2</f>
        <v/>
      </c>
      <c r="BU164">
        <f>((cc_D/2*(1-COS(($BH164+11*($BI164-$BH164)/12)))-$BF164)/$BG164)^2*SIN(($BH164+11*($BI164-$BH164)/12))^2</f>
        <v/>
      </c>
      <c r="BV164">
        <f>((cc_D/2*(1-COS(($BH164+12*($BI164-$BH164)/12)))-$BF164)/$BG164)^2*SIN(($BH164+12*($BI164-$BH164)/12))^2</f>
        <v/>
      </c>
      <c r="BW164">
        <f>BJ164*COS(($BH164+0*($BI164-$BH164)/12))</f>
        <v/>
      </c>
      <c r="BX164">
        <f>BK164*COS(($BH164+1*($BI164-$BH164)/12))</f>
        <v/>
      </c>
      <c r="BY164">
        <f>BL164*COS(($BH164+2*($BI164-$BH164)/12))</f>
        <v/>
      </c>
      <c r="BZ164">
        <f>BM164*COS(($BH164+3*($BI164-$BH164)/12))</f>
        <v/>
      </c>
      <c r="CA164">
        <f>BN164*COS(($BH164+4*($BI164-$BH164)/12))</f>
        <v/>
      </c>
      <c r="CB164">
        <f>BO164*COS(($BH164+5*($BI164-$BH164)/12))</f>
        <v/>
      </c>
      <c r="CC164">
        <f>BP164*COS(($BH164+6*($BI164-$BH164)/12))</f>
        <v/>
      </c>
      <c r="CD164">
        <f>BQ164*COS(($BH164+7*($BI164-$BH164)/12))</f>
        <v/>
      </c>
      <c r="CE164">
        <f>BR164*COS(($BH164+8*($BI164-$BH164)/12))</f>
        <v/>
      </c>
      <c r="CF164">
        <f>BS164*COS(($BH164+9*($BI164-$BH164)/12))</f>
        <v/>
      </c>
      <c r="CG164">
        <f>BT164*COS(($BH164+10*($BI164-$BH164)/12))</f>
        <v/>
      </c>
      <c r="CH164">
        <f>BU164*COS(($BH164+11*($BI164-$BH164)/12))</f>
        <v/>
      </c>
      <c r="CI164">
        <f>BV164*COS(($BH164+12*($BI164-$BH164)/12))</f>
        <v/>
      </c>
    </row>
    <row r="165">
      <c r="B165" s="65" t="n">
        <v>13</v>
      </c>
      <c r="C165" s="66">
        <f>IF($G164&lt;cc_NEd-1E-9*ABS(cc_NEd),($C164+$D164)/2,$C164)</f>
        <v/>
      </c>
      <c r="D165" s="66">
        <f>IF($G164&lt;cc_NEd-1E-9*ABS(cc_NEd),$D164,($C164+$D164)/2)</f>
        <v/>
      </c>
      <c r="E165" s="67">
        <f>cc_D*(($C165+$D165)/2)/(1-(($C165+$D165)/2))</f>
        <v/>
      </c>
      <c r="F165" s="68">
        <f>IF($E165&lt;=cc_D,3.5,2*$E165/($E165-3*cc_D/7))</f>
        <v/>
      </c>
      <c r="G165" s="67">
        <f>(fcd_cc*((cc_D/2)^2*($BI165-COS($BI165)*SIN($BI165))-2*(cc_D/2)^2*($BI165-$BH165)/12/3*SUMPRODUCT($BJ$4:$BV$4,$BJ165:$BV165))+SUMPRODUCT($J$5:$AG$5,$J165:$AG165))/1000</f>
        <v/>
      </c>
      <c r="H165" s="67">
        <f>(fcd_cc*(2/3*(cc_D/2)^3*SIN($BI165)^3-2*(cc_D/2)^3*($BI165-$BH165)/12/3*SUMPRODUCT($BW$4:$CI$4,$BW165:$CI165))+SUMPRODUCT($J$5:$AG$5,$J165:$AG165,$J$10:$AG$10))/1E6</f>
        <v/>
      </c>
      <c r="I165" s="67">
        <f>SUMPRODUCT($J$5:$AG$5,$J165:$AG165,$J$11:$AG$11)/1E6</f>
        <v/>
      </c>
      <c r="J165">
        <f>MAX(-fyd_cc,MIN(fyd_cc,Es_cc*IF($E165&lt;=cc_D,0.0035*($E165-J$9)/$E165,0.002*($E165-J$9)/($E165-3*cc_D/7))))-fcd_cc*(1-(1-MAX(0,MIN(1,IF($E165&lt;=cc_D,0.0035*($E165-J$9)/$E165,0.002*($E165-J$9)/($E165-3*cc_D/7))/0.002)))^2)</f>
        <v/>
      </c>
      <c r="K165">
        <f>MAX(-fyd_cc,MIN(fyd_cc,Es_cc*IF($E165&lt;=cc_D,0.0035*($E165-K$9)/$E165,0.002*($E165-K$9)/($E165-3*cc_D/7))))-fcd_cc*(1-(1-MAX(0,MIN(1,IF($E165&lt;=cc_D,0.0035*($E165-K$9)/$E165,0.002*($E165-K$9)/($E165-3*cc_D/7))/0.002)))^2)</f>
        <v/>
      </c>
      <c r="L165">
        <f>MAX(-fyd_cc,MIN(fyd_cc,Es_cc*IF($E165&lt;=cc_D,0.0035*($E165-L$9)/$E165,0.002*($E165-L$9)/($E165-3*cc_D/7))))-fcd_cc*(1-(1-MAX(0,MIN(1,IF($E165&lt;=cc_D,0.0035*($E165-L$9)/$E165,0.002*($E165-L$9)/($E165-3*cc_D/7))/0.002)))^2)</f>
        <v/>
      </c>
      <c r="M165">
        <f>MAX(-fyd_cc,MIN(fyd_cc,Es_cc*IF($E165&lt;=cc_D,0.0035*($E165-M$9)/$E165,0.002*($E165-M$9)/($E165-3*cc_D/7))))-fcd_cc*(1-(1-MAX(0,MIN(1,IF($E165&lt;=cc_D,0.0035*($E165-M$9)/$E165,0.002*($E165-M$9)/($E165-3*cc_D/7))/0.002)))^2)</f>
        <v/>
      </c>
      <c r="N165">
        <f>MAX(-fyd_cc,MIN(fyd_cc,Es_cc*IF($E165&lt;=cc_D,0.0035*($E165-N$9)/$E165,0.002*($E165-N$9)/($E165-3*cc_D/7))))-fcd_cc*(1-(1-MAX(0,MIN(1,IF($E165&lt;=cc_D,0.0035*($E165-N$9)/$E165,0.002*($E165-N$9)/($E165-3*cc_D/7))/0.002)))^2)</f>
        <v/>
      </c>
      <c r="O165">
        <f>MAX(-fyd_cc,MIN(fyd_cc,Es_cc*IF($E165&lt;=cc_D,0.0035*($E165-O$9)/$E165,0.002*($E165-O$9)/($E165-3*cc_D/7))))-fcd_cc*(1-(1-MAX(0,MIN(1,IF($E165&lt;=cc_D,0.0035*($E165-O$9)/$E165,0.002*($E165-O$9)/($E165-3*cc_D/7))/0.002)))^2)</f>
        <v/>
      </c>
      <c r="P165">
        <f>MAX(-fyd_cc,MIN(fyd_cc,Es_cc*IF($E165&lt;=cc_D,0.0035*($E165-P$9)/$E165,0.002*($E165-P$9)/($E165-3*cc_D/7))))-fcd_cc*(1-(1-MAX(0,MIN(1,IF($E165&lt;=cc_D,0.0035*($E165-P$9)/$E165,0.002*($E165-P$9)/($E165-3*cc_D/7))/0.002)))^2)</f>
        <v/>
      </c>
      <c r="Q165">
        <f>MAX(-fyd_cc,MIN(fyd_cc,Es_cc*IF($E165&lt;=cc_D,0.0035*($E165-Q$9)/$E165,0.002*($E165-Q$9)/($E165-3*cc_D/7))))-fcd_cc*(1-(1-MAX(0,MIN(1,IF($E165&lt;=cc_D,0.0035*($E165-Q$9)/$E165,0.002*($E165-Q$9)/($E165-3*cc_D/7))/0.002)))^2)</f>
        <v/>
      </c>
      <c r="R165">
        <f>MAX(-fyd_cc,MIN(fyd_cc,Es_cc*IF($E165&lt;=cc_D,0.0035*($E165-R$9)/$E165,0.002*($E165-R$9)/($E165-3*cc_D/7))))-fcd_cc*(1-(1-MAX(0,MIN(1,IF($E165&lt;=cc_D,0.0035*($E165-R$9)/$E165,0.002*($E165-R$9)/($E165-3*cc_D/7))/0.002)))^2)</f>
        <v/>
      </c>
      <c r="S165">
        <f>MAX(-fyd_cc,MIN(fyd_cc,Es_cc*IF($E165&lt;=cc_D,0.0035*($E165-S$9)/$E165,0.002*($E165-S$9)/($E165-3*cc_D/7))))-fcd_cc*(1-(1-MAX(0,MIN(1,IF($E165&lt;=cc_D,0.0035*($E165-S$9)/$E165,0.002*($E165-S$9)/($E165-3*cc_D/7))/0.002)))^2)</f>
        <v/>
      </c>
      <c r="T165">
        <f>MAX(-fyd_cc,MIN(fyd_cc,Es_cc*IF($E165&lt;=cc_D,0.0035*($E165-T$9)/$E165,0.002*($E165-T$9)/($E165-3*cc_D/7))))-fcd_cc*(1-(1-MAX(0,MIN(1,IF($E165&lt;=cc_D,0.0035*($E165-T$9)/$E165,0.002*($E165-T$9)/($E165-3*cc_D/7))/0.002)))^2)</f>
        <v/>
      </c>
      <c r="U165">
        <f>MAX(-fyd_cc,MIN(fyd_cc,Es_cc*IF($E165&lt;=cc_D,0.0035*($E165-U$9)/$E165,0.002*($E165-U$9)/($E165-3*cc_D/7))))-fcd_cc*(1-(1-MAX(0,MIN(1,IF($E165&lt;=cc_D,0.0035*($E165-U$9)/$E165,0.002*($E165-U$9)/($E165-3*cc_D/7))/0.002)))^2)</f>
        <v/>
      </c>
      <c r="V165">
        <f>MAX(-fyd_cc,MIN(fyd_cc,Es_cc*IF($E165&lt;=cc_D,0.0035*($E165-V$9)/$E165,0.002*($E165-V$9)/($E165-3*cc_D/7))))-fcd_cc*(1-(1-MAX(0,MIN(1,IF($E165&lt;=cc_D,0.0035*($E165-V$9)/$E165,0.002*($E165-V$9)/($E165-3*cc_D/7))/0.002)))^2)</f>
        <v/>
      </c>
      <c r="W165">
        <f>MAX(-fyd_cc,MIN(fyd_cc,Es_cc*IF($E165&lt;=cc_D,0.0035*($E165-W$9)/$E165,0.002*($E165-W$9)/($E165-3*cc_D/7))))-fcd_cc*(1-(1-MAX(0,MIN(1,IF($E165&lt;=cc_D,0.0035*($E165-W$9)/$E165,0.002*($E165-W$9)/($E165-3*cc_D/7))/0.002)))^2)</f>
        <v/>
      </c>
      <c r="X165">
        <f>MAX(-fyd_cc,MIN(fyd_cc,Es_cc*IF($E165&lt;=cc_D,0.0035*($E165-X$9)/$E165,0.002*($E165-X$9)/($E165-3*cc_D/7))))-fcd_cc*(1-(1-MAX(0,MIN(1,IF($E165&lt;=cc_D,0.0035*($E165-X$9)/$E165,0.002*($E165-X$9)/($E165-3*cc_D/7))/0.002)))^2)</f>
        <v/>
      </c>
      <c r="Y165">
        <f>MAX(-fyd_cc,MIN(fyd_cc,Es_cc*IF($E165&lt;=cc_D,0.0035*($E165-Y$9)/$E165,0.002*($E165-Y$9)/($E165-3*cc_D/7))))-fcd_cc*(1-(1-MAX(0,MIN(1,IF($E165&lt;=cc_D,0.0035*($E165-Y$9)/$E165,0.002*($E165-Y$9)/($E165-3*cc_D/7))/0.002)))^2)</f>
        <v/>
      </c>
      <c r="Z165">
        <f>MAX(-fyd_cc,MIN(fyd_cc,Es_cc*IF($E165&lt;=cc_D,0.0035*($E165-Z$9)/$E165,0.002*($E165-Z$9)/($E165-3*cc_D/7))))-fcd_cc*(1-(1-MAX(0,MIN(1,IF($E165&lt;=cc_D,0.0035*($E165-Z$9)/$E165,0.002*($E165-Z$9)/($E165-3*cc_D/7))/0.002)))^2)</f>
        <v/>
      </c>
      <c r="AA165">
        <f>MAX(-fyd_cc,MIN(fyd_cc,Es_cc*IF($E165&lt;=cc_D,0.0035*($E165-AA$9)/$E165,0.002*($E165-AA$9)/($E165-3*cc_D/7))))-fcd_cc*(1-(1-MAX(0,MIN(1,IF($E165&lt;=cc_D,0.0035*($E165-AA$9)/$E165,0.002*($E165-AA$9)/($E165-3*cc_D/7))/0.002)))^2)</f>
        <v/>
      </c>
      <c r="AB165">
        <f>MAX(-fyd_cc,MIN(fyd_cc,Es_cc*IF($E165&lt;=cc_D,0.0035*($E165-AB$9)/$E165,0.002*($E165-AB$9)/($E165-3*cc_D/7))))-fcd_cc*(1-(1-MAX(0,MIN(1,IF($E165&lt;=cc_D,0.0035*($E165-AB$9)/$E165,0.002*($E165-AB$9)/($E165-3*cc_D/7))/0.002)))^2)</f>
        <v/>
      </c>
      <c r="AC165">
        <f>MAX(-fyd_cc,MIN(fyd_cc,Es_cc*IF($E165&lt;=cc_D,0.0035*($E165-AC$9)/$E165,0.002*($E165-AC$9)/($E165-3*cc_D/7))))-fcd_cc*(1-(1-MAX(0,MIN(1,IF($E165&lt;=cc_D,0.0035*($E165-AC$9)/$E165,0.002*($E165-AC$9)/($E165-3*cc_D/7))/0.002)))^2)</f>
        <v/>
      </c>
      <c r="AD165">
        <f>MAX(-fyd_cc,MIN(fyd_cc,Es_cc*IF($E165&lt;=cc_D,0.0035*($E165-AD$9)/$E165,0.002*($E165-AD$9)/($E165-3*cc_D/7))))-fcd_cc*(1-(1-MAX(0,MIN(1,IF($E165&lt;=cc_D,0.0035*($E165-AD$9)/$E165,0.002*($E165-AD$9)/($E165-3*cc_D/7))/0.002)))^2)</f>
        <v/>
      </c>
      <c r="AE165">
        <f>MAX(-fyd_cc,MIN(fyd_cc,Es_cc*IF($E165&lt;=cc_D,0.0035*($E165-AE$9)/$E165,0.002*($E165-AE$9)/($E165-3*cc_D/7))))-fcd_cc*(1-(1-MAX(0,MIN(1,IF($E165&lt;=cc_D,0.0035*($E165-AE$9)/$E165,0.002*($E165-AE$9)/($E165-3*cc_D/7))/0.002)))^2)</f>
        <v/>
      </c>
      <c r="AF165">
        <f>MAX(-fyd_cc,MIN(fyd_cc,Es_cc*IF($E165&lt;=cc_D,0.0035*($E165-AF$9)/$E165,0.002*($E165-AF$9)/($E165-3*cc_D/7))))-fcd_cc*(1-(1-MAX(0,MIN(1,IF($E165&lt;=cc_D,0.0035*($E165-AF$9)/$E165,0.002*($E165-AF$9)/($E165-3*cc_D/7))/0.002)))^2)</f>
        <v/>
      </c>
      <c r="AG165">
        <f>MAX(-fyd_cc,MIN(fyd_cc,Es_cc*IF($E165&lt;=cc_D,0.0035*($E165-AG$9)/$E165,0.002*($E165-AG$9)/($E165-3*cc_D/7))))-fcd_cc*(1-(1-MAX(0,MIN(1,IF($E165&lt;=cc_D,0.0035*($E165-AG$9)/$E165,0.002*($E165-AG$9)/($E165-3*cc_D/7))/0.002)))^2)</f>
        <v/>
      </c>
      <c r="BF165">
        <f>3*MIN($E165,cc_D)/7</f>
        <v/>
      </c>
      <c r="BG165">
        <f>$E165-$BF165</f>
        <v/>
      </c>
      <c r="BH165">
        <f>ACOS(MAX(-1,MIN(1,1-$BF165/(cc_D/2))))</f>
        <v/>
      </c>
      <c r="BI165">
        <f>ACOS(MAX(-1,MIN(1,1-MIN($E165,cc_D)/(cc_D/2))))</f>
        <v/>
      </c>
      <c r="BJ165">
        <f>((cc_D/2*(1-COS(($BH165+0*($BI165-$BH165)/12)))-$BF165)/$BG165)^2*SIN(($BH165+0*($BI165-$BH165)/12))^2</f>
        <v/>
      </c>
      <c r="BK165">
        <f>((cc_D/2*(1-COS(($BH165+1*($BI165-$BH165)/12)))-$BF165)/$BG165)^2*SIN(($BH165+1*($BI165-$BH165)/12))^2</f>
        <v/>
      </c>
      <c r="BL165">
        <f>((cc_D/2*(1-COS(($BH165+2*($BI165-$BH165)/12)))-$BF165)/$BG165)^2*SIN(($BH165+2*($BI165-$BH165)/12))^2</f>
        <v/>
      </c>
      <c r="BM165">
        <f>((cc_D/2*(1-COS(($BH165+3*($BI165-$BH165)/12)))-$BF165)/$BG165)^2*SIN(($BH165+3*($BI165-$BH165)/12))^2</f>
        <v/>
      </c>
      <c r="BN165">
        <f>((cc_D/2*(1-COS(($BH165+4*($BI165-$BH165)/12)))-$BF165)/$BG165)^2*SIN(($BH165+4*($BI165-$BH165)/12))^2</f>
        <v/>
      </c>
      <c r="BO165">
        <f>((cc_D/2*(1-COS(($BH165+5*($BI165-$BH165)/12)))-$BF165)/$BG165)^2*SIN(($BH165+5*($BI165-$BH165)/12))^2</f>
        <v/>
      </c>
      <c r="BP165">
        <f>((cc_D/2*(1-COS(($BH165+6*($BI165-$BH165)/12)))-$BF165)/$BG165)^2*SIN(($BH165+6*($BI165-$BH165)/12))^2</f>
        <v/>
      </c>
      <c r="BQ165">
        <f>((cc_D/2*(1-COS(($BH165+7*($BI165-$BH165)/12)))-$BF165)/$BG165)^2*SIN(($BH165+7*($BI165-$BH165)/12))^2</f>
        <v/>
      </c>
      <c r="BR165">
        <f>((cc_D/2*(1-COS(($BH165+8*($BI165-$BH165)/12)))-$BF165)/$BG165)^2*SIN(($BH165+8*($BI165-$BH165)/12))^2</f>
        <v/>
      </c>
      <c r="BS165">
        <f>((cc_D/2*(1-COS(($BH165+9*($BI165-$BH165)/12)))-$BF165)/$BG165)^2*SIN(($BH165+9*($BI165-$BH165)/12))^2</f>
        <v/>
      </c>
      <c r="BT165">
        <f>((cc_D/2*(1-COS(($BH165+10*($BI165-$BH165)/12)))-$BF165)/$BG165)^2*SIN(($BH165+10*($BI165-$BH165)/12))^2</f>
        <v/>
      </c>
      <c r="BU165">
        <f>((cc_D/2*(1-COS(($BH165+11*($BI165-$BH165)/12)))-$BF165)/$BG165)^2*SIN(($BH165+11*($BI165-$BH165)/12))^2</f>
        <v/>
      </c>
      <c r="BV165">
        <f>((cc_D/2*(1-COS(($BH165+12*($BI165-$BH165)/12)))-$BF165)/$BG165)^2*SIN(($BH165+12*($BI165-$BH165)/12))^2</f>
        <v/>
      </c>
      <c r="BW165">
        <f>BJ165*COS(($BH165+0*($BI165-$BH165)/12))</f>
        <v/>
      </c>
      <c r="BX165">
        <f>BK165*COS(($BH165+1*($BI165-$BH165)/12))</f>
        <v/>
      </c>
      <c r="BY165">
        <f>BL165*COS(($BH165+2*($BI165-$BH165)/12))</f>
        <v/>
      </c>
      <c r="BZ165">
        <f>BM165*COS(($BH165+3*($BI165-$BH165)/12))</f>
        <v/>
      </c>
      <c r="CA165">
        <f>BN165*COS(($BH165+4*($BI165-$BH165)/12))</f>
        <v/>
      </c>
      <c r="CB165">
        <f>BO165*COS(($BH165+5*($BI165-$BH165)/12))</f>
        <v/>
      </c>
      <c r="CC165">
        <f>BP165*COS(($BH165+6*($BI165-$BH165)/12))</f>
        <v/>
      </c>
      <c r="CD165">
        <f>BQ165*COS(($BH165+7*($BI165-$BH165)/12))</f>
        <v/>
      </c>
      <c r="CE165">
        <f>BR165*COS(($BH165+8*($BI165-$BH165)/12))</f>
        <v/>
      </c>
      <c r="CF165">
        <f>BS165*COS(($BH165+9*($BI165-$BH165)/12))</f>
        <v/>
      </c>
      <c r="CG165">
        <f>BT165*COS(($BH165+10*($BI165-$BH165)/12))</f>
        <v/>
      </c>
      <c r="CH165">
        <f>BU165*COS(($BH165+11*($BI165-$BH165)/12))</f>
        <v/>
      </c>
      <c r="CI165">
        <f>BV165*COS(($BH165+12*($BI165-$BH165)/12))</f>
        <v/>
      </c>
    </row>
    <row r="166">
      <c r="B166" s="65" t="n">
        <v>14</v>
      </c>
      <c r="C166" s="66">
        <f>IF($G165&lt;cc_NEd-1E-9*ABS(cc_NEd),($C165+$D165)/2,$C165)</f>
        <v/>
      </c>
      <c r="D166" s="66">
        <f>IF($G165&lt;cc_NEd-1E-9*ABS(cc_NEd),$D165,($C165+$D165)/2)</f>
        <v/>
      </c>
      <c r="E166" s="67">
        <f>cc_D*(($C166+$D166)/2)/(1-(($C166+$D166)/2))</f>
        <v/>
      </c>
      <c r="F166" s="68">
        <f>IF($E166&lt;=cc_D,3.5,2*$E166/($E166-3*cc_D/7))</f>
        <v/>
      </c>
      <c r="G166" s="67">
        <f>(fcd_cc*((cc_D/2)^2*($BI166-COS($BI166)*SIN($BI166))-2*(cc_D/2)^2*($BI166-$BH166)/12/3*SUMPRODUCT($BJ$4:$BV$4,$BJ166:$BV166))+SUMPRODUCT($J$5:$AG$5,$J166:$AG166))/1000</f>
        <v/>
      </c>
      <c r="H166" s="67">
        <f>(fcd_cc*(2/3*(cc_D/2)^3*SIN($BI166)^3-2*(cc_D/2)^3*($BI166-$BH166)/12/3*SUMPRODUCT($BW$4:$CI$4,$BW166:$CI166))+SUMPRODUCT($J$5:$AG$5,$J166:$AG166,$J$10:$AG$10))/1E6</f>
        <v/>
      </c>
      <c r="I166" s="67">
        <f>SUMPRODUCT($J$5:$AG$5,$J166:$AG166,$J$11:$AG$11)/1E6</f>
        <v/>
      </c>
      <c r="J166">
        <f>MAX(-fyd_cc,MIN(fyd_cc,Es_cc*IF($E166&lt;=cc_D,0.0035*($E166-J$9)/$E166,0.002*($E166-J$9)/($E166-3*cc_D/7))))-fcd_cc*(1-(1-MAX(0,MIN(1,IF($E166&lt;=cc_D,0.0035*($E166-J$9)/$E166,0.002*($E166-J$9)/($E166-3*cc_D/7))/0.002)))^2)</f>
        <v/>
      </c>
      <c r="K166">
        <f>MAX(-fyd_cc,MIN(fyd_cc,Es_cc*IF($E166&lt;=cc_D,0.0035*($E166-K$9)/$E166,0.002*($E166-K$9)/($E166-3*cc_D/7))))-fcd_cc*(1-(1-MAX(0,MIN(1,IF($E166&lt;=cc_D,0.0035*($E166-K$9)/$E166,0.002*($E166-K$9)/($E166-3*cc_D/7))/0.002)))^2)</f>
        <v/>
      </c>
      <c r="L166">
        <f>MAX(-fyd_cc,MIN(fyd_cc,Es_cc*IF($E166&lt;=cc_D,0.0035*($E166-L$9)/$E166,0.002*($E166-L$9)/($E166-3*cc_D/7))))-fcd_cc*(1-(1-MAX(0,MIN(1,IF($E166&lt;=cc_D,0.0035*($E166-L$9)/$E166,0.002*($E166-L$9)/($E166-3*cc_D/7))/0.002)))^2)</f>
        <v/>
      </c>
      <c r="M166">
        <f>MAX(-fyd_cc,MIN(fyd_cc,Es_cc*IF($E166&lt;=cc_D,0.0035*($E166-M$9)/$E166,0.002*($E166-M$9)/($E166-3*cc_D/7))))-fcd_cc*(1-(1-MAX(0,MIN(1,IF($E166&lt;=cc_D,0.0035*($E166-M$9)/$E166,0.002*($E166-M$9)/($E166-3*cc_D/7))/0.002)))^2)</f>
        <v/>
      </c>
      <c r="N166">
        <f>MAX(-fyd_cc,MIN(fyd_cc,Es_cc*IF($E166&lt;=cc_D,0.0035*($E166-N$9)/$E166,0.002*($E166-N$9)/($E166-3*cc_D/7))))-fcd_cc*(1-(1-MAX(0,MIN(1,IF($E166&lt;=cc_D,0.0035*($E166-N$9)/$E166,0.002*($E166-N$9)/($E166-3*cc_D/7))/0.002)))^2)</f>
        <v/>
      </c>
      <c r="O166">
        <f>MAX(-fyd_cc,MIN(fyd_cc,Es_cc*IF($E166&lt;=cc_D,0.0035*($E166-O$9)/$E166,0.002*($E166-O$9)/($E166-3*cc_D/7))))-fcd_cc*(1-(1-MAX(0,MIN(1,IF($E166&lt;=cc_D,0.0035*($E166-O$9)/$E166,0.002*($E166-O$9)/($E166-3*cc_D/7))/0.002)))^2)</f>
        <v/>
      </c>
      <c r="P166">
        <f>MAX(-fyd_cc,MIN(fyd_cc,Es_cc*IF($E166&lt;=cc_D,0.0035*($E166-P$9)/$E166,0.002*($E166-P$9)/($E166-3*cc_D/7))))-fcd_cc*(1-(1-MAX(0,MIN(1,IF($E166&lt;=cc_D,0.0035*($E166-P$9)/$E166,0.002*($E166-P$9)/($E166-3*cc_D/7))/0.002)))^2)</f>
        <v/>
      </c>
      <c r="Q166">
        <f>MAX(-fyd_cc,MIN(fyd_cc,Es_cc*IF($E166&lt;=cc_D,0.0035*($E166-Q$9)/$E166,0.002*($E166-Q$9)/($E166-3*cc_D/7))))-fcd_cc*(1-(1-MAX(0,MIN(1,IF($E166&lt;=cc_D,0.0035*($E166-Q$9)/$E166,0.002*($E166-Q$9)/($E166-3*cc_D/7))/0.002)))^2)</f>
        <v/>
      </c>
      <c r="R166">
        <f>MAX(-fyd_cc,MIN(fyd_cc,Es_cc*IF($E166&lt;=cc_D,0.0035*($E166-R$9)/$E166,0.002*($E166-R$9)/($E166-3*cc_D/7))))-fcd_cc*(1-(1-MAX(0,MIN(1,IF($E166&lt;=cc_D,0.0035*($E166-R$9)/$E166,0.002*($E166-R$9)/($E166-3*cc_D/7))/0.002)))^2)</f>
        <v/>
      </c>
      <c r="S166">
        <f>MAX(-fyd_cc,MIN(fyd_cc,Es_cc*IF($E166&lt;=cc_D,0.0035*($E166-S$9)/$E166,0.002*($E166-S$9)/($E166-3*cc_D/7))))-fcd_cc*(1-(1-MAX(0,MIN(1,IF($E166&lt;=cc_D,0.0035*($E166-S$9)/$E166,0.002*($E166-S$9)/($E166-3*cc_D/7))/0.002)))^2)</f>
        <v/>
      </c>
      <c r="T166">
        <f>MAX(-fyd_cc,MIN(fyd_cc,Es_cc*IF($E166&lt;=cc_D,0.0035*($E166-T$9)/$E166,0.002*($E166-T$9)/($E166-3*cc_D/7))))-fcd_cc*(1-(1-MAX(0,MIN(1,IF($E166&lt;=cc_D,0.0035*($E166-T$9)/$E166,0.002*($E166-T$9)/($E166-3*cc_D/7))/0.002)))^2)</f>
        <v/>
      </c>
      <c r="U166">
        <f>MAX(-fyd_cc,MIN(fyd_cc,Es_cc*IF($E166&lt;=cc_D,0.0035*($E166-U$9)/$E166,0.002*($E166-U$9)/($E166-3*cc_D/7))))-fcd_cc*(1-(1-MAX(0,MIN(1,IF($E166&lt;=cc_D,0.0035*($E166-U$9)/$E166,0.002*($E166-U$9)/($E166-3*cc_D/7))/0.002)))^2)</f>
        <v/>
      </c>
      <c r="V166">
        <f>MAX(-fyd_cc,MIN(fyd_cc,Es_cc*IF($E166&lt;=cc_D,0.0035*($E166-V$9)/$E166,0.002*($E166-V$9)/($E166-3*cc_D/7))))-fcd_cc*(1-(1-MAX(0,MIN(1,IF($E166&lt;=cc_D,0.0035*($E166-V$9)/$E166,0.002*($E166-V$9)/($E166-3*cc_D/7))/0.002)))^2)</f>
        <v/>
      </c>
      <c r="W166">
        <f>MAX(-fyd_cc,MIN(fyd_cc,Es_cc*IF($E166&lt;=cc_D,0.0035*($E166-W$9)/$E166,0.002*($E166-W$9)/($E166-3*cc_D/7))))-fcd_cc*(1-(1-MAX(0,MIN(1,IF($E166&lt;=cc_D,0.0035*($E166-W$9)/$E166,0.002*($E166-W$9)/($E166-3*cc_D/7))/0.002)))^2)</f>
        <v/>
      </c>
      <c r="X166">
        <f>MAX(-fyd_cc,MIN(fyd_cc,Es_cc*IF($E166&lt;=cc_D,0.0035*($E166-X$9)/$E166,0.002*($E166-X$9)/($E166-3*cc_D/7))))-fcd_cc*(1-(1-MAX(0,MIN(1,IF($E166&lt;=cc_D,0.0035*($E166-X$9)/$E166,0.002*($E166-X$9)/($E166-3*cc_D/7))/0.002)))^2)</f>
        <v/>
      </c>
      <c r="Y166">
        <f>MAX(-fyd_cc,MIN(fyd_cc,Es_cc*IF($E166&lt;=cc_D,0.0035*($E166-Y$9)/$E166,0.002*($E166-Y$9)/($E166-3*cc_D/7))))-fcd_cc*(1-(1-MAX(0,MIN(1,IF($E166&lt;=cc_D,0.0035*($E166-Y$9)/$E166,0.002*($E166-Y$9)/($E166-3*cc_D/7))/0.002)))^2)</f>
        <v/>
      </c>
      <c r="Z166">
        <f>MAX(-fyd_cc,MIN(fyd_cc,Es_cc*IF($E166&lt;=cc_D,0.0035*($E166-Z$9)/$E166,0.002*($E166-Z$9)/($E166-3*cc_D/7))))-fcd_cc*(1-(1-MAX(0,MIN(1,IF($E166&lt;=cc_D,0.0035*($E166-Z$9)/$E166,0.002*($E166-Z$9)/($E166-3*cc_D/7))/0.002)))^2)</f>
        <v/>
      </c>
      <c r="AA166">
        <f>MAX(-fyd_cc,MIN(fyd_cc,Es_cc*IF($E166&lt;=cc_D,0.0035*($E166-AA$9)/$E166,0.002*($E166-AA$9)/($E166-3*cc_D/7))))-fcd_cc*(1-(1-MAX(0,MIN(1,IF($E166&lt;=cc_D,0.0035*($E166-AA$9)/$E166,0.002*($E166-AA$9)/($E166-3*cc_D/7))/0.002)))^2)</f>
        <v/>
      </c>
      <c r="AB166">
        <f>MAX(-fyd_cc,MIN(fyd_cc,Es_cc*IF($E166&lt;=cc_D,0.0035*($E166-AB$9)/$E166,0.002*($E166-AB$9)/($E166-3*cc_D/7))))-fcd_cc*(1-(1-MAX(0,MIN(1,IF($E166&lt;=cc_D,0.0035*($E166-AB$9)/$E166,0.002*($E166-AB$9)/($E166-3*cc_D/7))/0.002)))^2)</f>
        <v/>
      </c>
      <c r="AC166">
        <f>MAX(-fyd_cc,MIN(fyd_cc,Es_cc*IF($E166&lt;=cc_D,0.0035*($E166-AC$9)/$E166,0.002*($E166-AC$9)/($E166-3*cc_D/7))))-fcd_cc*(1-(1-MAX(0,MIN(1,IF($E166&lt;=cc_D,0.0035*($E166-AC$9)/$E166,0.002*($E166-AC$9)/($E166-3*cc_D/7))/0.002)))^2)</f>
        <v/>
      </c>
      <c r="AD166">
        <f>MAX(-fyd_cc,MIN(fyd_cc,Es_cc*IF($E166&lt;=cc_D,0.0035*($E166-AD$9)/$E166,0.002*($E166-AD$9)/($E166-3*cc_D/7))))-fcd_cc*(1-(1-MAX(0,MIN(1,IF($E166&lt;=cc_D,0.0035*($E166-AD$9)/$E166,0.002*($E166-AD$9)/($E166-3*cc_D/7))/0.002)))^2)</f>
        <v/>
      </c>
      <c r="AE166">
        <f>MAX(-fyd_cc,MIN(fyd_cc,Es_cc*IF($E166&lt;=cc_D,0.0035*($E166-AE$9)/$E166,0.002*($E166-AE$9)/($E166-3*cc_D/7))))-fcd_cc*(1-(1-MAX(0,MIN(1,IF($E166&lt;=cc_D,0.0035*($E166-AE$9)/$E166,0.002*($E166-AE$9)/($E166-3*cc_D/7))/0.002)))^2)</f>
        <v/>
      </c>
      <c r="AF166">
        <f>MAX(-fyd_cc,MIN(fyd_cc,Es_cc*IF($E166&lt;=cc_D,0.0035*($E166-AF$9)/$E166,0.002*($E166-AF$9)/($E166-3*cc_D/7))))-fcd_cc*(1-(1-MAX(0,MIN(1,IF($E166&lt;=cc_D,0.0035*($E166-AF$9)/$E166,0.002*($E166-AF$9)/($E166-3*cc_D/7))/0.002)))^2)</f>
        <v/>
      </c>
      <c r="AG166">
        <f>MAX(-fyd_cc,MIN(fyd_cc,Es_cc*IF($E166&lt;=cc_D,0.0035*($E166-AG$9)/$E166,0.002*($E166-AG$9)/($E166-3*cc_D/7))))-fcd_cc*(1-(1-MAX(0,MIN(1,IF($E166&lt;=cc_D,0.0035*($E166-AG$9)/$E166,0.002*($E166-AG$9)/($E166-3*cc_D/7))/0.002)))^2)</f>
        <v/>
      </c>
      <c r="BF166">
        <f>3*MIN($E166,cc_D)/7</f>
        <v/>
      </c>
      <c r="BG166">
        <f>$E166-$BF166</f>
        <v/>
      </c>
      <c r="BH166">
        <f>ACOS(MAX(-1,MIN(1,1-$BF166/(cc_D/2))))</f>
        <v/>
      </c>
      <c r="BI166">
        <f>ACOS(MAX(-1,MIN(1,1-MIN($E166,cc_D)/(cc_D/2))))</f>
        <v/>
      </c>
      <c r="BJ166">
        <f>((cc_D/2*(1-COS(($BH166+0*($BI166-$BH166)/12)))-$BF166)/$BG166)^2*SIN(($BH166+0*($BI166-$BH166)/12))^2</f>
        <v/>
      </c>
      <c r="BK166">
        <f>((cc_D/2*(1-COS(($BH166+1*($BI166-$BH166)/12)))-$BF166)/$BG166)^2*SIN(($BH166+1*($BI166-$BH166)/12))^2</f>
        <v/>
      </c>
      <c r="BL166">
        <f>((cc_D/2*(1-COS(($BH166+2*($BI166-$BH166)/12)))-$BF166)/$BG166)^2*SIN(($BH166+2*($BI166-$BH166)/12))^2</f>
        <v/>
      </c>
      <c r="BM166">
        <f>((cc_D/2*(1-COS(($BH166+3*($BI166-$BH166)/12)))-$BF166)/$BG166)^2*SIN(($BH166+3*($BI166-$BH166)/12))^2</f>
        <v/>
      </c>
      <c r="BN166">
        <f>((cc_D/2*(1-COS(($BH166+4*($BI166-$BH166)/12)))-$BF166)/$BG166)^2*SIN(($BH166+4*($BI166-$BH166)/12))^2</f>
        <v/>
      </c>
      <c r="BO166">
        <f>((cc_D/2*(1-COS(($BH166+5*($BI166-$BH166)/12)))-$BF166)/$BG166)^2*SIN(($BH166+5*($BI166-$BH166)/12))^2</f>
        <v/>
      </c>
      <c r="BP166">
        <f>((cc_D/2*(1-COS(($BH166+6*($BI166-$BH166)/12)))-$BF166)/$BG166)^2*SIN(($BH166+6*($BI166-$BH166)/12))^2</f>
        <v/>
      </c>
      <c r="BQ166">
        <f>((cc_D/2*(1-COS(($BH166+7*($BI166-$BH166)/12)))-$BF166)/$BG166)^2*SIN(($BH166+7*($BI166-$BH166)/12))^2</f>
        <v/>
      </c>
      <c r="BR166">
        <f>((cc_D/2*(1-COS(($BH166+8*($BI166-$BH166)/12)))-$BF166)/$BG166)^2*SIN(($BH166+8*($BI166-$BH166)/12))^2</f>
        <v/>
      </c>
      <c r="BS166">
        <f>((cc_D/2*(1-COS(($BH166+9*($BI166-$BH166)/12)))-$BF166)/$BG166)^2*SIN(($BH166+9*($BI166-$BH166)/12))^2</f>
        <v/>
      </c>
      <c r="BT166">
        <f>((cc_D/2*(1-COS(($BH166+10*($BI166-$BH166)/12)))-$BF166)/$BG166)^2*SIN(($BH166+10*($BI166-$BH166)/12))^2</f>
        <v/>
      </c>
      <c r="BU166">
        <f>((cc_D/2*(1-COS(($BH166+11*($BI166-$BH166)/12)))-$BF166)/$BG166)^2*SIN(($BH166+11*($BI166-$BH166)/12))^2</f>
        <v/>
      </c>
      <c r="BV166">
        <f>((cc_D/2*(1-COS(($BH166+12*($BI166-$BH166)/12)))-$BF166)/$BG166)^2*SIN(($BH166+12*($BI166-$BH166)/12))^2</f>
        <v/>
      </c>
      <c r="BW166">
        <f>BJ166*COS(($BH166+0*($BI166-$BH166)/12))</f>
        <v/>
      </c>
      <c r="BX166">
        <f>BK166*COS(($BH166+1*($BI166-$BH166)/12))</f>
        <v/>
      </c>
      <c r="BY166">
        <f>BL166*COS(($BH166+2*($BI166-$BH166)/12))</f>
        <v/>
      </c>
      <c r="BZ166">
        <f>BM166*COS(($BH166+3*($BI166-$BH166)/12))</f>
        <v/>
      </c>
      <c r="CA166">
        <f>BN166*COS(($BH166+4*($BI166-$BH166)/12))</f>
        <v/>
      </c>
      <c r="CB166">
        <f>BO166*COS(($BH166+5*($BI166-$BH166)/12))</f>
        <v/>
      </c>
      <c r="CC166">
        <f>BP166*COS(($BH166+6*($BI166-$BH166)/12))</f>
        <v/>
      </c>
      <c r="CD166">
        <f>BQ166*COS(($BH166+7*($BI166-$BH166)/12))</f>
        <v/>
      </c>
      <c r="CE166">
        <f>BR166*COS(($BH166+8*($BI166-$BH166)/12))</f>
        <v/>
      </c>
      <c r="CF166">
        <f>BS166*COS(($BH166+9*($BI166-$BH166)/12))</f>
        <v/>
      </c>
      <c r="CG166">
        <f>BT166*COS(($BH166+10*($BI166-$BH166)/12))</f>
        <v/>
      </c>
      <c r="CH166">
        <f>BU166*COS(($BH166+11*($BI166-$BH166)/12))</f>
        <v/>
      </c>
      <c r="CI166">
        <f>BV166*COS(($BH166+12*($BI166-$BH166)/12))</f>
        <v/>
      </c>
    </row>
    <row r="167">
      <c r="B167" s="65" t="n">
        <v>15</v>
      </c>
      <c r="C167" s="66">
        <f>IF($G166&lt;cc_NEd-1E-9*ABS(cc_NEd),($C166+$D166)/2,$C166)</f>
        <v/>
      </c>
      <c r="D167" s="66">
        <f>IF($G166&lt;cc_NEd-1E-9*ABS(cc_NEd),$D166,($C166+$D166)/2)</f>
        <v/>
      </c>
      <c r="E167" s="67">
        <f>cc_D*(($C167+$D167)/2)/(1-(($C167+$D167)/2))</f>
        <v/>
      </c>
      <c r="F167" s="68">
        <f>IF($E167&lt;=cc_D,3.5,2*$E167/($E167-3*cc_D/7))</f>
        <v/>
      </c>
      <c r="G167" s="67">
        <f>(fcd_cc*((cc_D/2)^2*($BI167-COS($BI167)*SIN($BI167))-2*(cc_D/2)^2*($BI167-$BH167)/12/3*SUMPRODUCT($BJ$4:$BV$4,$BJ167:$BV167))+SUMPRODUCT($J$5:$AG$5,$J167:$AG167))/1000</f>
        <v/>
      </c>
      <c r="H167" s="67">
        <f>(fcd_cc*(2/3*(cc_D/2)^3*SIN($BI167)^3-2*(cc_D/2)^3*($BI167-$BH167)/12/3*SUMPRODUCT($BW$4:$CI$4,$BW167:$CI167))+SUMPRODUCT($J$5:$AG$5,$J167:$AG167,$J$10:$AG$10))/1E6</f>
        <v/>
      </c>
      <c r="I167" s="67">
        <f>SUMPRODUCT($J$5:$AG$5,$J167:$AG167,$J$11:$AG$11)/1E6</f>
        <v/>
      </c>
      <c r="J167">
        <f>MAX(-fyd_cc,MIN(fyd_cc,Es_cc*IF($E167&lt;=cc_D,0.0035*($E167-J$9)/$E167,0.002*($E167-J$9)/($E167-3*cc_D/7))))-fcd_cc*(1-(1-MAX(0,MIN(1,IF($E167&lt;=cc_D,0.0035*($E167-J$9)/$E167,0.002*($E167-J$9)/($E167-3*cc_D/7))/0.002)))^2)</f>
        <v/>
      </c>
      <c r="K167">
        <f>MAX(-fyd_cc,MIN(fyd_cc,Es_cc*IF($E167&lt;=cc_D,0.0035*($E167-K$9)/$E167,0.002*($E167-K$9)/($E167-3*cc_D/7))))-fcd_cc*(1-(1-MAX(0,MIN(1,IF($E167&lt;=cc_D,0.0035*($E167-K$9)/$E167,0.002*($E167-K$9)/($E167-3*cc_D/7))/0.002)))^2)</f>
        <v/>
      </c>
      <c r="L167">
        <f>MAX(-fyd_cc,MIN(fyd_cc,Es_cc*IF($E167&lt;=cc_D,0.0035*($E167-L$9)/$E167,0.002*($E167-L$9)/($E167-3*cc_D/7))))-fcd_cc*(1-(1-MAX(0,MIN(1,IF($E167&lt;=cc_D,0.0035*($E167-L$9)/$E167,0.002*($E167-L$9)/($E167-3*cc_D/7))/0.002)))^2)</f>
        <v/>
      </c>
      <c r="M167">
        <f>MAX(-fyd_cc,MIN(fyd_cc,Es_cc*IF($E167&lt;=cc_D,0.0035*($E167-M$9)/$E167,0.002*($E167-M$9)/($E167-3*cc_D/7))))-fcd_cc*(1-(1-MAX(0,MIN(1,IF($E167&lt;=cc_D,0.0035*($E167-M$9)/$E167,0.002*($E167-M$9)/($E167-3*cc_D/7))/0.002)))^2)</f>
        <v/>
      </c>
      <c r="N167">
        <f>MAX(-fyd_cc,MIN(fyd_cc,Es_cc*IF($E167&lt;=cc_D,0.0035*($E167-N$9)/$E167,0.002*($E167-N$9)/($E167-3*cc_D/7))))-fcd_cc*(1-(1-MAX(0,MIN(1,IF($E167&lt;=cc_D,0.0035*($E167-N$9)/$E167,0.002*($E167-N$9)/($E167-3*cc_D/7))/0.002)))^2)</f>
        <v/>
      </c>
      <c r="O167">
        <f>MAX(-fyd_cc,MIN(fyd_cc,Es_cc*IF($E167&lt;=cc_D,0.0035*($E167-O$9)/$E167,0.002*($E167-O$9)/($E167-3*cc_D/7))))-fcd_cc*(1-(1-MAX(0,MIN(1,IF($E167&lt;=cc_D,0.0035*($E167-O$9)/$E167,0.002*($E167-O$9)/($E167-3*cc_D/7))/0.002)))^2)</f>
        <v/>
      </c>
      <c r="P167">
        <f>MAX(-fyd_cc,MIN(fyd_cc,Es_cc*IF($E167&lt;=cc_D,0.0035*($E167-P$9)/$E167,0.002*($E167-P$9)/($E167-3*cc_D/7))))-fcd_cc*(1-(1-MAX(0,MIN(1,IF($E167&lt;=cc_D,0.0035*($E167-P$9)/$E167,0.002*($E167-P$9)/($E167-3*cc_D/7))/0.002)))^2)</f>
        <v/>
      </c>
      <c r="Q167">
        <f>MAX(-fyd_cc,MIN(fyd_cc,Es_cc*IF($E167&lt;=cc_D,0.0035*($E167-Q$9)/$E167,0.002*($E167-Q$9)/($E167-3*cc_D/7))))-fcd_cc*(1-(1-MAX(0,MIN(1,IF($E167&lt;=cc_D,0.0035*($E167-Q$9)/$E167,0.002*($E167-Q$9)/($E167-3*cc_D/7))/0.002)))^2)</f>
        <v/>
      </c>
      <c r="R167">
        <f>MAX(-fyd_cc,MIN(fyd_cc,Es_cc*IF($E167&lt;=cc_D,0.0035*($E167-R$9)/$E167,0.002*($E167-R$9)/($E167-3*cc_D/7))))-fcd_cc*(1-(1-MAX(0,MIN(1,IF($E167&lt;=cc_D,0.0035*($E167-R$9)/$E167,0.002*($E167-R$9)/($E167-3*cc_D/7))/0.002)))^2)</f>
        <v/>
      </c>
      <c r="S167">
        <f>MAX(-fyd_cc,MIN(fyd_cc,Es_cc*IF($E167&lt;=cc_D,0.0035*($E167-S$9)/$E167,0.002*($E167-S$9)/($E167-3*cc_D/7))))-fcd_cc*(1-(1-MAX(0,MIN(1,IF($E167&lt;=cc_D,0.0035*($E167-S$9)/$E167,0.002*($E167-S$9)/($E167-3*cc_D/7))/0.002)))^2)</f>
        <v/>
      </c>
      <c r="T167">
        <f>MAX(-fyd_cc,MIN(fyd_cc,Es_cc*IF($E167&lt;=cc_D,0.0035*($E167-T$9)/$E167,0.002*($E167-T$9)/($E167-3*cc_D/7))))-fcd_cc*(1-(1-MAX(0,MIN(1,IF($E167&lt;=cc_D,0.0035*($E167-T$9)/$E167,0.002*($E167-T$9)/($E167-3*cc_D/7))/0.002)))^2)</f>
        <v/>
      </c>
      <c r="U167">
        <f>MAX(-fyd_cc,MIN(fyd_cc,Es_cc*IF($E167&lt;=cc_D,0.0035*($E167-U$9)/$E167,0.002*($E167-U$9)/($E167-3*cc_D/7))))-fcd_cc*(1-(1-MAX(0,MIN(1,IF($E167&lt;=cc_D,0.0035*($E167-U$9)/$E167,0.002*($E167-U$9)/($E167-3*cc_D/7))/0.002)))^2)</f>
        <v/>
      </c>
      <c r="V167">
        <f>MAX(-fyd_cc,MIN(fyd_cc,Es_cc*IF($E167&lt;=cc_D,0.0035*($E167-V$9)/$E167,0.002*($E167-V$9)/($E167-3*cc_D/7))))-fcd_cc*(1-(1-MAX(0,MIN(1,IF($E167&lt;=cc_D,0.0035*($E167-V$9)/$E167,0.002*($E167-V$9)/($E167-3*cc_D/7))/0.002)))^2)</f>
        <v/>
      </c>
      <c r="W167">
        <f>MAX(-fyd_cc,MIN(fyd_cc,Es_cc*IF($E167&lt;=cc_D,0.0035*($E167-W$9)/$E167,0.002*($E167-W$9)/($E167-3*cc_D/7))))-fcd_cc*(1-(1-MAX(0,MIN(1,IF($E167&lt;=cc_D,0.0035*($E167-W$9)/$E167,0.002*($E167-W$9)/($E167-3*cc_D/7))/0.002)))^2)</f>
        <v/>
      </c>
      <c r="X167">
        <f>MAX(-fyd_cc,MIN(fyd_cc,Es_cc*IF($E167&lt;=cc_D,0.0035*($E167-X$9)/$E167,0.002*($E167-X$9)/($E167-3*cc_D/7))))-fcd_cc*(1-(1-MAX(0,MIN(1,IF($E167&lt;=cc_D,0.0035*($E167-X$9)/$E167,0.002*($E167-X$9)/($E167-3*cc_D/7))/0.002)))^2)</f>
        <v/>
      </c>
      <c r="Y167">
        <f>MAX(-fyd_cc,MIN(fyd_cc,Es_cc*IF($E167&lt;=cc_D,0.0035*($E167-Y$9)/$E167,0.002*($E167-Y$9)/($E167-3*cc_D/7))))-fcd_cc*(1-(1-MAX(0,MIN(1,IF($E167&lt;=cc_D,0.0035*($E167-Y$9)/$E167,0.002*($E167-Y$9)/($E167-3*cc_D/7))/0.002)))^2)</f>
        <v/>
      </c>
      <c r="Z167">
        <f>MAX(-fyd_cc,MIN(fyd_cc,Es_cc*IF($E167&lt;=cc_D,0.0035*($E167-Z$9)/$E167,0.002*($E167-Z$9)/($E167-3*cc_D/7))))-fcd_cc*(1-(1-MAX(0,MIN(1,IF($E167&lt;=cc_D,0.0035*($E167-Z$9)/$E167,0.002*($E167-Z$9)/($E167-3*cc_D/7))/0.002)))^2)</f>
        <v/>
      </c>
      <c r="AA167">
        <f>MAX(-fyd_cc,MIN(fyd_cc,Es_cc*IF($E167&lt;=cc_D,0.0035*($E167-AA$9)/$E167,0.002*($E167-AA$9)/($E167-3*cc_D/7))))-fcd_cc*(1-(1-MAX(0,MIN(1,IF($E167&lt;=cc_D,0.0035*($E167-AA$9)/$E167,0.002*($E167-AA$9)/($E167-3*cc_D/7))/0.002)))^2)</f>
        <v/>
      </c>
      <c r="AB167">
        <f>MAX(-fyd_cc,MIN(fyd_cc,Es_cc*IF($E167&lt;=cc_D,0.0035*($E167-AB$9)/$E167,0.002*($E167-AB$9)/($E167-3*cc_D/7))))-fcd_cc*(1-(1-MAX(0,MIN(1,IF($E167&lt;=cc_D,0.0035*($E167-AB$9)/$E167,0.002*($E167-AB$9)/($E167-3*cc_D/7))/0.002)))^2)</f>
        <v/>
      </c>
      <c r="AC167">
        <f>MAX(-fyd_cc,MIN(fyd_cc,Es_cc*IF($E167&lt;=cc_D,0.0035*($E167-AC$9)/$E167,0.002*($E167-AC$9)/($E167-3*cc_D/7))))-fcd_cc*(1-(1-MAX(0,MIN(1,IF($E167&lt;=cc_D,0.0035*($E167-AC$9)/$E167,0.002*($E167-AC$9)/($E167-3*cc_D/7))/0.002)))^2)</f>
        <v/>
      </c>
      <c r="AD167">
        <f>MAX(-fyd_cc,MIN(fyd_cc,Es_cc*IF($E167&lt;=cc_D,0.0035*($E167-AD$9)/$E167,0.002*($E167-AD$9)/($E167-3*cc_D/7))))-fcd_cc*(1-(1-MAX(0,MIN(1,IF($E167&lt;=cc_D,0.0035*($E167-AD$9)/$E167,0.002*($E167-AD$9)/($E167-3*cc_D/7))/0.002)))^2)</f>
        <v/>
      </c>
      <c r="AE167">
        <f>MAX(-fyd_cc,MIN(fyd_cc,Es_cc*IF($E167&lt;=cc_D,0.0035*($E167-AE$9)/$E167,0.002*($E167-AE$9)/($E167-3*cc_D/7))))-fcd_cc*(1-(1-MAX(0,MIN(1,IF($E167&lt;=cc_D,0.0035*($E167-AE$9)/$E167,0.002*($E167-AE$9)/($E167-3*cc_D/7))/0.002)))^2)</f>
        <v/>
      </c>
      <c r="AF167">
        <f>MAX(-fyd_cc,MIN(fyd_cc,Es_cc*IF($E167&lt;=cc_D,0.0035*($E167-AF$9)/$E167,0.002*($E167-AF$9)/($E167-3*cc_D/7))))-fcd_cc*(1-(1-MAX(0,MIN(1,IF($E167&lt;=cc_D,0.0035*($E167-AF$9)/$E167,0.002*($E167-AF$9)/($E167-3*cc_D/7))/0.002)))^2)</f>
        <v/>
      </c>
      <c r="AG167">
        <f>MAX(-fyd_cc,MIN(fyd_cc,Es_cc*IF($E167&lt;=cc_D,0.0035*($E167-AG$9)/$E167,0.002*($E167-AG$9)/($E167-3*cc_D/7))))-fcd_cc*(1-(1-MAX(0,MIN(1,IF($E167&lt;=cc_D,0.0035*($E167-AG$9)/$E167,0.002*($E167-AG$9)/($E167-3*cc_D/7))/0.002)))^2)</f>
        <v/>
      </c>
      <c r="BF167">
        <f>3*MIN($E167,cc_D)/7</f>
        <v/>
      </c>
      <c r="BG167">
        <f>$E167-$BF167</f>
        <v/>
      </c>
      <c r="BH167">
        <f>ACOS(MAX(-1,MIN(1,1-$BF167/(cc_D/2))))</f>
        <v/>
      </c>
      <c r="BI167">
        <f>ACOS(MAX(-1,MIN(1,1-MIN($E167,cc_D)/(cc_D/2))))</f>
        <v/>
      </c>
      <c r="BJ167">
        <f>((cc_D/2*(1-COS(($BH167+0*($BI167-$BH167)/12)))-$BF167)/$BG167)^2*SIN(($BH167+0*($BI167-$BH167)/12))^2</f>
        <v/>
      </c>
      <c r="BK167">
        <f>((cc_D/2*(1-COS(($BH167+1*($BI167-$BH167)/12)))-$BF167)/$BG167)^2*SIN(($BH167+1*($BI167-$BH167)/12))^2</f>
        <v/>
      </c>
      <c r="BL167">
        <f>((cc_D/2*(1-COS(($BH167+2*($BI167-$BH167)/12)))-$BF167)/$BG167)^2*SIN(($BH167+2*($BI167-$BH167)/12))^2</f>
        <v/>
      </c>
      <c r="BM167">
        <f>((cc_D/2*(1-COS(($BH167+3*($BI167-$BH167)/12)))-$BF167)/$BG167)^2*SIN(($BH167+3*($BI167-$BH167)/12))^2</f>
        <v/>
      </c>
      <c r="BN167">
        <f>((cc_D/2*(1-COS(($BH167+4*($BI167-$BH167)/12)))-$BF167)/$BG167)^2*SIN(($BH167+4*($BI167-$BH167)/12))^2</f>
        <v/>
      </c>
      <c r="BO167">
        <f>((cc_D/2*(1-COS(($BH167+5*($BI167-$BH167)/12)))-$BF167)/$BG167)^2*SIN(($BH167+5*($BI167-$BH167)/12))^2</f>
        <v/>
      </c>
      <c r="BP167">
        <f>((cc_D/2*(1-COS(($BH167+6*($BI167-$BH167)/12)))-$BF167)/$BG167)^2*SIN(($BH167+6*($BI167-$BH167)/12))^2</f>
        <v/>
      </c>
      <c r="BQ167">
        <f>((cc_D/2*(1-COS(($BH167+7*($BI167-$BH167)/12)))-$BF167)/$BG167)^2*SIN(($BH167+7*($BI167-$BH167)/12))^2</f>
        <v/>
      </c>
      <c r="BR167">
        <f>((cc_D/2*(1-COS(($BH167+8*($BI167-$BH167)/12)))-$BF167)/$BG167)^2*SIN(($BH167+8*($BI167-$BH167)/12))^2</f>
        <v/>
      </c>
      <c r="BS167">
        <f>((cc_D/2*(1-COS(($BH167+9*($BI167-$BH167)/12)))-$BF167)/$BG167)^2*SIN(($BH167+9*($BI167-$BH167)/12))^2</f>
        <v/>
      </c>
      <c r="BT167">
        <f>((cc_D/2*(1-COS(($BH167+10*($BI167-$BH167)/12)))-$BF167)/$BG167)^2*SIN(($BH167+10*($BI167-$BH167)/12))^2</f>
        <v/>
      </c>
      <c r="BU167">
        <f>((cc_D/2*(1-COS(($BH167+11*($BI167-$BH167)/12)))-$BF167)/$BG167)^2*SIN(($BH167+11*($BI167-$BH167)/12))^2</f>
        <v/>
      </c>
      <c r="BV167">
        <f>((cc_D/2*(1-COS(($BH167+12*($BI167-$BH167)/12)))-$BF167)/$BG167)^2*SIN(($BH167+12*($BI167-$BH167)/12))^2</f>
        <v/>
      </c>
      <c r="BW167">
        <f>BJ167*COS(($BH167+0*($BI167-$BH167)/12))</f>
        <v/>
      </c>
      <c r="BX167">
        <f>BK167*COS(($BH167+1*($BI167-$BH167)/12))</f>
        <v/>
      </c>
      <c r="BY167">
        <f>BL167*COS(($BH167+2*($BI167-$BH167)/12))</f>
        <v/>
      </c>
      <c r="BZ167">
        <f>BM167*COS(($BH167+3*($BI167-$BH167)/12))</f>
        <v/>
      </c>
      <c r="CA167">
        <f>BN167*COS(($BH167+4*($BI167-$BH167)/12))</f>
        <v/>
      </c>
      <c r="CB167">
        <f>BO167*COS(($BH167+5*($BI167-$BH167)/12))</f>
        <v/>
      </c>
      <c r="CC167">
        <f>BP167*COS(($BH167+6*($BI167-$BH167)/12))</f>
        <v/>
      </c>
      <c r="CD167">
        <f>BQ167*COS(($BH167+7*($BI167-$BH167)/12))</f>
        <v/>
      </c>
      <c r="CE167">
        <f>BR167*COS(($BH167+8*($BI167-$BH167)/12))</f>
        <v/>
      </c>
      <c r="CF167">
        <f>BS167*COS(($BH167+9*($BI167-$BH167)/12))</f>
        <v/>
      </c>
      <c r="CG167">
        <f>BT167*COS(($BH167+10*($BI167-$BH167)/12))</f>
        <v/>
      </c>
      <c r="CH167">
        <f>BU167*COS(($BH167+11*($BI167-$BH167)/12))</f>
        <v/>
      </c>
      <c r="CI167">
        <f>BV167*COS(($BH167+12*($BI167-$BH167)/12))</f>
        <v/>
      </c>
    </row>
    <row r="168">
      <c r="B168" s="65" t="n">
        <v>16</v>
      </c>
      <c r="C168" s="66">
        <f>IF($G167&lt;cc_NEd-1E-9*ABS(cc_NEd),($C167+$D167)/2,$C167)</f>
        <v/>
      </c>
      <c r="D168" s="66">
        <f>IF($G167&lt;cc_NEd-1E-9*ABS(cc_NEd),$D167,($C167+$D167)/2)</f>
        <v/>
      </c>
      <c r="E168" s="67">
        <f>cc_D*(($C168+$D168)/2)/(1-(($C168+$D168)/2))</f>
        <v/>
      </c>
      <c r="F168" s="68">
        <f>IF($E168&lt;=cc_D,3.5,2*$E168/($E168-3*cc_D/7))</f>
        <v/>
      </c>
      <c r="G168" s="67">
        <f>(fcd_cc*((cc_D/2)^2*($BI168-COS($BI168)*SIN($BI168))-2*(cc_D/2)^2*($BI168-$BH168)/12/3*SUMPRODUCT($BJ$4:$BV$4,$BJ168:$BV168))+SUMPRODUCT($J$5:$AG$5,$J168:$AG168))/1000</f>
        <v/>
      </c>
      <c r="H168" s="67">
        <f>(fcd_cc*(2/3*(cc_D/2)^3*SIN($BI168)^3-2*(cc_D/2)^3*($BI168-$BH168)/12/3*SUMPRODUCT($BW$4:$CI$4,$BW168:$CI168))+SUMPRODUCT($J$5:$AG$5,$J168:$AG168,$J$10:$AG$10))/1E6</f>
        <v/>
      </c>
      <c r="I168" s="67">
        <f>SUMPRODUCT($J$5:$AG$5,$J168:$AG168,$J$11:$AG$11)/1E6</f>
        <v/>
      </c>
      <c r="J168">
        <f>MAX(-fyd_cc,MIN(fyd_cc,Es_cc*IF($E168&lt;=cc_D,0.0035*($E168-J$9)/$E168,0.002*($E168-J$9)/($E168-3*cc_D/7))))-fcd_cc*(1-(1-MAX(0,MIN(1,IF($E168&lt;=cc_D,0.0035*($E168-J$9)/$E168,0.002*($E168-J$9)/($E168-3*cc_D/7))/0.002)))^2)</f>
        <v/>
      </c>
      <c r="K168">
        <f>MAX(-fyd_cc,MIN(fyd_cc,Es_cc*IF($E168&lt;=cc_D,0.0035*($E168-K$9)/$E168,0.002*($E168-K$9)/($E168-3*cc_D/7))))-fcd_cc*(1-(1-MAX(0,MIN(1,IF($E168&lt;=cc_D,0.0035*($E168-K$9)/$E168,0.002*($E168-K$9)/($E168-3*cc_D/7))/0.002)))^2)</f>
        <v/>
      </c>
      <c r="L168">
        <f>MAX(-fyd_cc,MIN(fyd_cc,Es_cc*IF($E168&lt;=cc_D,0.0035*($E168-L$9)/$E168,0.002*($E168-L$9)/($E168-3*cc_D/7))))-fcd_cc*(1-(1-MAX(0,MIN(1,IF($E168&lt;=cc_D,0.0035*($E168-L$9)/$E168,0.002*($E168-L$9)/($E168-3*cc_D/7))/0.002)))^2)</f>
        <v/>
      </c>
      <c r="M168">
        <f>MAX(-fyd_cc,MIN(fyd_cc,Es_cc*IF($E168&lt;=cc_D,0.0035*($E168-M$9)/$E168,0.002*($E168-M$9)/($E168-3*cc_D/7))))-fcd_cc*(1-(1-MAX(0,MIN(1,IF($E168&lt;=cc_D,0.0035*($E168-M$9)/$E168,0.002*($E168-M$9)/($E168-3*cc_D/7))/0.002)))^2)</f>
        <v/>
      </c>
      <c r="N168">
        <f>MAX(-fyd_cc,MIN(fyd_cc,Es_cc*IF($E168&lt;=cc_D,0.0035*($E168-N$9)/$E168,0.002*($E168-N$9)/($E168-3*cc_D/7))))-fcd_cc*(1-(1-MAX(0,MIN(1,IF($E168&lt;=cc_D,0.0035*($E168-N$9)/$E168,0.002*($E168-N$9)/($E168-3*cc_D/7))/0.002)))^2)</f>
        <v/>
      </c>
      <c r="O168">
        <f>MAX(-fyd_cc,MIN(fyd_cc,Es_cc*IF($E168&lt;=cc_D,0.0035*($E168-O$9)/$E168,0.002*($E168-O$9)/($E168-3*cc_D/7))))-fcd_cc*(1-(1-MAX(0,MIN(1,IF($E168&lt;=cc_D,0.0035*($E168-O$9)/$E168,0.002*($E168-O$9)/($E168-3*cc_D/7))/0.002)))^2)</f>
        <v/>
      </c>
      <c r="P168">
        <f>MAX(-fyd_cc,MIN(fyd_cc,Es_cc*IF($E168&lt;=cc_D,0.0035*($E168-P$9)/$E168,0.002*($E168-P$9)/($E168-3*cc_D/7))))-fcd_cc*(1-(1-MAX(0,MIN(1,IF($E168&lt;=cc_D,0.0035*($E168-P$9)/$E168,0.002*($E168-P$9)/($E168-3*cc_D/7))/0.002)))^2)</f>
        <v/>
      </c>
      <c r="Q168">
        <f>MAX(-fyd_cc,MIN(fyd_cc,Es_cc*IF($E168&lt;=cc_D,0.0035*($E168-Q$9)/$E168,0.002*($E168-Q$9)/($E168-3*cc_D/7))))-fcd_cc*(1-(1-MAX(0,MIN(1,IF($E168&lt;=cc_D,0.0035*($E168-Q$9)/$E168,0.002*($E168-Q$9)/($E168-3*cc_D/7))/0.002)))^2)</f>
        <v/>
      </c>
      <c r="R168">
        <f>MAX(-fyd_cc,MIN(fyd_cc,Es_cc*IF($E168&lt;=cc_D,0.0035*($E168-R$9)/$E168,0.002*($E168-R$9)/($E168-3*cc_D/7))))-fcd_cc*(1-(1-MAX(0,MIN(1,IF($E168&lt;=cc_D,0.0035*($E168-R$9)/$E168,0.002*($E168-R$9)/($E168-3*cc_D/7))/0.002)))^2)</f>
        <v/>
      </c>
      <c r="S168">
        <f>MAX(-fyd_cc,MIN(fyd_cc,Es_cc*IF($E168&lt;=cc_D,0.0035*($E168-S$9)/$E168,0.002*($E168-S$9)/($E168-3*cc_D/7))))-fcd_cc*(1-(1-MAX(0,MIN(1,IF($E168&lt;=cc_D,0.0035*($E168-S$9)/$E168,0.002*($E168-S$9)/($E168-3*cc_D/7))/0.002)))^2)</f>
        <v/>
      </c>
      <c r="T168">
        <f>MAX(-fyd_cc,MIN(fyd_cc,Es_cc*IF($E168&lt;=cc_D,0.0035*($E168-T$9)/$E168,0.002*($E168-T$9)/($E168-3*cc_D/7))))-fcd_cc*(1-(1-MAX(0,MIN(1,IF($E168&lt;=cc_D,0.0035*($E168-T$9)/$E168,0.002*($E168-T$9)/($E168-3*cc_D/7))/0.002)))^2)</f>
        <v/>
      </c>
      <c r="U168">
        <f>MAX(-fyd_cc,MIN(fyd_cc,Es_cc*IF($E168&lt;=cc_D,0.0035*($E168-U$9)/$E168,0.002*($E168-U$9)/($E168-3*cc_D/7))))-fcd_cc*(1-(1-MAX(0,MIN(1,IF($E168&lt;=cc_D,0.0035*($E168-U$9)/$E168,0.002*($E168-U$9)/($E168-3*cc_D/7))/0.002)))^2)</f>
        <v/>
      </c>
      <c r="V168">
        <f>MAX(-fyd_cc,MIN(fyd_cc,Es_cc*IF($E168&lt;=cc_D,0.0035*($E168-V$9)/$E168,0.002*($E168-V$9)/($E168-3*cc_D/7))))-fcd_cc*(1-(1-MAX(0,MIN(1,IF($E168&lt;=cc_D,0.0035*($E168-V$9)/$E168,0.002*($E168-V$9)/($E168-3*cc_D/7))/0.002)))^2)</f>
        <v/>
      </c>
      <c r="W168">
        <f>MAX(-fyd_cc,MIN(fyd_cc,Es_cc*IF($E168&lt;=cc_D,0.0035*($E168-W$9)/$E168,0.002*($E168-W$9)/($E168-3*cc_D/7))))-fcd_cc*(1-(1-MAX(0,MIN(1,IF($E168&lt;=cc_D,0.0035*($E168-W$9)/$E168,0.002*($E168-W$9)/($E168-3*cc_D/7))/0.002)))^2)</f>
        <v/>
      </c>
      <c r="X168">
        <f>MAX(-fyd_cc,MIN(fyd_cc,Es_cc*IF($E168&lt;=cc_D,0.0035*($E168-X$9)/$E168,0.002*($E168-X$9)/($E168-3*cc_D/7))))-fcd_cc*(1-(1-MAX(0,MIN(1,IF($E168&lt;=cc_D,0.0035*($E168-X$9)/$E168,0.002*($E168-X$9)/($E168-3*cc_D/7))/0.002)))^2)</f>
        <v/>
      </c>
      <c r="Y168">
        <f>MAX(-fyd_cc,MIN(fyd_cc,Es_cc*IF($E168&lt;=cc_D,0.0035*($E168-Y$9)/$E168,0.002*($E168-Y$9)/($E168-3*cc_D/7))))-fcd_cc*(1-(1-MAX(0,MIN(1,IF($E168&lt;=cc_D,0.0035*($E168-Y$9)/$E168,0.002*($E168-Y$9)/($E168-3*cc_D/7))/0.002)))^2)</f>
        <v/>
      </c>
      <c r="Z168">
        <f>MAX(-fyd_cc,MIN(fyd_cc,Es_cc*IF($E168&lt;=cc_D,0.0035*($E168-Z$9)/$E168,0.002*($E168-Z$9)/($E168-3*cc_D/7))))-fcd_cc*(1-(1-MAX(0,MIN(1,IF($E168&lt;=cc_D,0.0035*($E168-Z$9)/$E168,0.002*($E168-Z$9)/($E168-3*cc_D/7))/0.002)))^2)</f>
        <v/>
      </c>
      <c r="AA168">
        <f>MAX(-fyd_cc,MIN(fyd_cc,Es_cc*IF($E168&lt;=cc_D,0.0035*($E168-AA$9)/$E168,0.002*($E168-AA$9)/($E168-3*cc_D/7))))-fcd_cc*(1-(1-MAX(0,MIN(1,IF($E168&lt;=cc_D,0.0035*($E168-AA$9)/$E168,0.002*($E168-AA$9)/($E168-3*cc_D/7))/0.002)))^2)</f>
        <v/>
      </c>
      <c r="AB168">
        <f>MAX(-fyd_cc,MIN(fyd_cc,Es_cc*IF($E168&lt;=cc_D,0.0035*($E168-AB$9)/$E168,0.002*($E168-AB$9)/($E168-3*cc_D/7))))-fcd_cc*(1-(1-MAX(0,MIN(1,IF($E168&lt;=cc_D,0.0035*($E168-AB$9)/$E168,0.002*($E168-AB$9)/($E168-3*cc_D/7))/0.002)))^2)</f>
        <v/>
      </c>
      <c r="AC168">
        <f>MAX(-fyd_cc,MIN(fyd_cc,Es_cc*IF($E168&lt;=cc_D,0.0035*($E168-AC$9)/$E168,0.002*($E168-AC$9)/($E168-3*cc_D/7))))-fcd_cc*(1-(1-MAX(0,MIN(1,IF($E168&lt;=cc_D,0.0035*($E168-AC$9)/$E168,0.002*($E168-AC$9)/($E168-3*cc_D/7))/0.002)))^2)</f>
        <v/>
      </c>
      <c r="AD168">
        <f>MAX(-fyd_cc,MIN(fyd_cc,Es_cc*IF($E168&lt;=cc_D,0.0035*($E168-AD$9)/$E168,0.002*($E168-AD$9)/($E168-3*cc_D/7))))-fcd_cc*(1-(1-MAX(0,MIN(1,IF($E168&lt;=cc_D,0.0035*($E168-AD$9)/$E168,0.002*($E168-AD$9)/($E168-3*cc_D/7))/0.002)))^2)</f>
        <v/>
      </c>
      <c r="AE168">
        <f>MAX(-fyd_cc,MIN(fyd_cc,Es_cc*IF($E168&lt;=cc_D,0.0035*($E168-AE$9)/$E168,0.002*($E168-AE$9)/($E168-3*cc_D/7))))-fcd_cc*(1-(1-MAX(0,MIN(1,IF($E168&lt;=cc_D,0.0035*($E168-AE$9)/$E168,0.002*($E168-AE$9)/($E168-3*cc_D/7))/0.002)))^2)</f>
        <v/>
      </c>
      <c r="AF168">
        <f>MAX(-fyd_cc,MIN(fyd_cc,Es_cc*IF($E168&lt;=cc_D,0.0035*($E168-AF$9)/$E168,0.002*($E168-AF$9)/($E168-3*cc_D/7))))-fcd_cc*(1-(1-MAX(0,MIN(1,IF($E168&lt;=cc_D,0.0035*($E168-AF$9)/$E168,0.002*($E168-AF$9)/($E168-3*cc_D/7))/0.002)))^2)</f>
        <v/>
      </c>
      <c r="AG168">
        <f>MAX(-fyd_cc,MIN(fyd_cc,Es_cc*IF($E168&lt;=cc_D,0.0035*($E168-AG$9)/$E168,0.002*($E168-AG$9)/($E168-3*cc_D/7))))-fcd_cc*(1-(1-MAX(0,MIN(1,IF($E168&lt;=cc_D,0.0035*($E168-AG$9)/$E168,0.002*($E168-AG$9)/($E168-3*cc_D/7))/0.002)))^2)</f>
        <v/>
      </c>
      <c r="BF168">
        <f>3*MIN($E168,cc_D)/7</f>
        <v/>
      </c>
      <c r="BG168">
        <f>$E168-$BF168</f>
        <v/>
      </c>
      <c r="BH168">
        <f>ACOS(MAX(-1,MIN(1,1-$BF168/(cc_D/2))))</f>
        <v/>
      </c>
      <c r="BI168">
        <f>ACOS(MAX(-1,MIN(1,1-MIN($E168,cc_D)/(cc_D/2))))</f>
        <v/>
      </c>
      <c r="BJ168">
        <f>((cc_D/2*(1-COS(($BH168+0*($BI168-$BH168)/12)))-$BF168)/$BG168)^2*SIN(($BH168+0*($BI168-$BH168)/12))^2</f>
        <v/>
      </c>
      <c r="BK168">
        <f>((cc_D/2*(1-COS(($BH168+1*($BI168-$BH168)/12)))-$BF168)/$BG168)^2*SIN(($BH168+1*($BI168-$BH168)/12))^2</f>
        <v/>
      </c>
      <c r="BL168">
        <f>((cc_D/2*(1-COS(($BH168+2*($BI168-$BH168)/12)))-$BF168)/$BG168)^2*SIN(($BH168+2*($BI168-$BH168)/12))^2</f>
        <v/>
      </c>
      <c r="BM168">
        <f>((cc_D/2*(1-COS(($BH168+3*($BI168-$BH168)/12)))-$BF168)/$BG168)^2*SIN(($BH168+3*($BI168-$BH168)/12))^2</f>
        <v/>
      </c>
      <c r="BN168">
        <f>((cc_D/2*(1-COS(($BH168+4*($BI168-$BH168)/12)))-$BF168)/$BG168)^2*SIN(($BH168+4*($BI168-$BH168)/12))^2</f>
        <v/>
      </c>
      <c r="BO168">
        <f>((cc_D/2*(1-COS(($BH168+5*($BI168-$BH168)/12)))-$BF168)/$BG168)^2*SIN(($BH168+5*($BI168-$BH168)/12))^2</f>
        <v/>
      </c>
      <c r="BP168">
        <f>((cc_D/2*(1-COS(($BH168+6*($BI168-$BH168)/12)))-$BF168)/$BG168)^2*SIN(($BH168+6*($BI168-$BH168)/12))^2</f>
        <v/>
      </c>
      <c r="BQ168">
        <f>((cc_D/2*(1-COS(($BH168+7*($BI168-$BH168)/12)))-$BF168)/$BG168)^2*SIN(($BH168+7*($BI168-$BH168)/12))^2</f>
        <v/>
      </c>
      <c r="BR168">
        <f>((cc_D/2*(1-COS(($BH168+8*($BI168-$BH168)/12)))-$BF168)/$BG168)^2*SIN(($BH168+8*($BI168-$BH168)/12))^2</f>
        <v/>
      </c>
      <c r="BS168">
        <f>((cc_D/2*(1-COS(($BH168+9*($BI168-$BH168)/12)))-$BF168)/$BG168)^2*SIN(($BH168+9*($BI168-$BH168)/12))^2</f>
        <v/>
      </c>
      <c r="BT168">
        <f>((cc_D/2*(1-COS(($BH168+10*($BI168-$BH168)/12)))-$BF168)/$BG168)^2*SIN(($BH168+10*($BI168-$BH168)/12))^2</f>
        <v/>
      </c>
      <c r="BU168">
        <f>((cc_D/2*(1-COS(($BH168+11*($BI168-$BH168)/12)))-$BF168)/$BG168)^2*SIN(($BH168+11*($BI168-$BH168)/12))^2</f>
        <v/>
      </c>
      <c r="BV168">
        <f>((cc_D/2*(1-COS(($BH168+12*($BI168-$BH168)/12)))-$BF168)/$BG168)^2*SIN(($BH168+12*($BI168-$BH168)/12))^2</f>
        <v/>
      </c>
      <c r="BW168">
        <f>BJ168*COS(($BH168+0*($BI168-$BH168)/12))</f>
        <v/>
      </c>
      <c r="BX168">
        <f>BK168*COS(($BH168+1*($BI168-$BH168)/12))</f>
        <v/>
      </c>
      <c r="BY168">
        <f>BL168*COS(($BH168+2*($BI168-$BH168)/12))</f>
        <v/>
      </c>
      <c r="BZ168">
        <f>BM168*COS(($BH168+3*($BI168-$BH168)/12))</f>
        <v/>
      </c>
      <c r="CA168">
        <f>BN168*COS(($BH168+4*($BI168-$BH168)/12))</f>
        <v/>
      </c>
      <c r="CB168">
        <f>BO168*COS(($BH168+5*($BI168-$BH168)/12))</f>
        <v/>
      </c>
      <c r="CC168">
        <f>BP168*COS(($BH168+6*($BI168-$BH168)/12))</f>
        <v/>
      </c>
      <c r="CD168">
        <f>BQ168*COS(($BH168+7*($BI168-$BH168)/12))</f>
        <v/>
      </c>
      <c r="CE168">
        <f>BR168*COS(($BH168+8*($BI168-$BH168)/12))</f>
        <v/>
      </c>
      <c r="CF168">
        <f>BS168*COS(($BH168+9*($BI168-$BH168)/12))</f>
        <v/>
      </c>
      <c r="CG168">
        <f>BT168*COS(($BH168+10*($BI168-$BH168)/12))</f>
        <v/>
      </c>
      <c r="CH168">
        <f>BU168*COS(($BH168+11*($BI168-$BH168)/12))</f>
        <v/>
      </c>
      <c r="CI168">
        <f>BV168*COS(($BH168+12*($BI168-$BH168)/12))</f>
        <v/>
      </c>
    </row>
    <row r="169">
      <c r="B169" s="65" t="n">
        <v>17</v>
      </c>
      <c r="C169" s="66">
        <f>IF($G168&lt;cc_NEd-1E-9*ABS(cc_NEd),($C168+$D168)/2,$C168)</f>
        <v/>
      </c>
      <c r="D169" s="66">
        <f>IF($G168&lt;cc_NEd-1E-9*ABS(cc_NEd),$D168,($C168+$D168)/2)</f>
        <v/>
      </c>
      <c r="E169" s="67">
        <f>cc_D*(($C169+$D169)/2)/(1-(($C169+$D169)/2))</f>
        <v/>
      </c>
      <c r="F169" s="68">
        <f>IF($E169&lt;=cc_D,3.5,2*$E169/($E169-3*cc_D/7))</f>
        <v/>
      </c>
      <c r="G169" s="67">
        <f>(fcd_cc*((cc_D/2)^2*($BI169-COS($BI169)*SIN($BI169))-2*(cc_D/2)^2*($BI169-$BH169)/12/3*SUMPRODUCT($BJ$4:$BV$4,$BJ169:$BV169))+SUMPRODUCT($J$5:$AG$5,$J169:$AG169))/1000</f>
        <v/>
      </c>
      <c r="H169" s="67">
        <f>(fcd_cc*(2/3*(cc_D/2)^3*SIN($BI169)^3-2*(cc_D/2)^3*($BI169-$BH169)/12/3*SUMPRODUCT($BW$4:$CI$4,$BW169:$CI169))+SUMPRODUCT($J$5:$AG$5,$J169:$AG169,$J$10:$AG$10))/1E6</f>
        <v/>
      </c>
      <c r="I169" s="67">
        <f>SUMPRODUCT($J$5:$AG$5,$J169:$AG169,$J$11:$AG$11)/1E6</f>
        <v/>
      </c>
      <c r="J169">
        <f>MAX(-fyd_cc,MIN(fyd_cc,Es_cc*IF($E169&lt;=cc_D,0.0035*($E169-J$9)/$E169,0.002*($E169-J$9)/($E169-3*cc_D/7))))-fcd_cc*(1-(1-MAX(0,MIN(1,IF($E169&lt;=cc_D,0.0035*($E169-J$9)/$E169,0.002*($E169-J$9)/($E169-3*cc_D/7))/0.002)))^2)</f>
        <v/>
      </c>
      <c r="K169">
        <f>MAX(-fyd_cc,MIN(fyd_cc,Es_cc*IF($E169&lt;=cc_D,0.0035*($E169-K$9)/$E169,0.002*($E169-K$9)/($E169-3*cc_D/7))))-fcd_cc*(1-(1-MAX(0,MIN(1,IF($E169&lt;=cc_D,0.0035*($E169-K$9)/$E169,0.002*($E169-K$9)/($E169-3*cc_D/7))/0.002)))^2)</f>
        <v/>
      </c>
      <c r="L169">
        <f>MAX(-fyd_cc,MIN(fyd_cc,Es_cc*IF($E169&lt;=cc_D,0.0035*($E169-L$9)/$E169,0.002*($E169-L$9)/($E169-3*cc_D/7))))-fcd_cc*(1-(1-MAX(0,MIN(1,IF($E169&lt;=cc_D,0.0035*($E169-L$9)/$E169,0.002*($E169-L$9)/($E169-3*cc_D/7))/0.002)))^2)</f>
        <v/>
      </c>
      <c r="M169">
        <f>MAX(-fyd_cc,MIN(fyd_cc,Es_cc*IF($E169&lt;=cc_D,0.0035*($E169-M$9)/$E169,0.002*($E169-M$9)/($E169-3*cc_D/7))))-fcd_cc*(1-(1-MAX(0,MIN(1,IF($E169&lt;=cc_D,0.0035*($E169-M$9)/$E169,0.002*($E169-M$9)/($E169-3*cc_D/7))/0.002)))^2)</f>
        <v/>
      </c>
      <c r="N169">
        <f>MAX(-fyd_cc,MIN(fyd_cc,Es_cc*IF($E169&lt;=cc_D,0.0035*($E169-N$9)/$E169,0.002*($E169-N$9)/($E169-3*cc_D/7))))-fcd_cc*(1-(1-MAX(0,MIN(1,IF($E169&lt;=cc_D,0.0035*($E169-N$9)/$E169,0.002*($E169-N$9)/($E169-3*cc_D/7))/0.002)))^2)</f>
        <v/>
      </c>
      <c r="O169">
        <f>MAX(-fyd_cc,MIN(fyd_cc,Es_cc*IF($E169&lt;=cc_D,0.0035*($E169-O$9)/$E169,0.002*($E169-O$9)/($E169-3*cc_D/7))))-fcd_cc*(1-(1-MAX(0,MIN(1,IF($E169&lt;=cc_D,0.0035*($E169-O$9)/$E169,0.002*($E169-O$9)/($E169-3*cc_D/7))/0.002)))^2)</f>
        <v/>
      </c>
      <c r="P169">
        <f>MAX(-fyd_cc,MIN(fyd_cc,Es_cc*IF($E169&lt;=cc_D,0.0035*($E169-P$9)/$E169,0.002*($E169-P$9)/($E169-3*cc_D/7))))-fcd_cc*(1-(1-MAX(0,MIN(1,IF($E169&lt;=cc_D,0.0035*($E169-P$9)/$E169,0.002*($E169-P$9)/($E169-3*cc_D/7))/0.002)))^2)</f>
        <v/>
      </c>
      <c r="Q169">
        <f>MAX(-fyd_cc,MIN(fyd_cc,Es_cc*IF($E169&lt;=cc_D,0.0035*($E169-Q$9)/$E169,0.002*($E169-Q$9)/($E169-3*cc_D/7))))-fcd_cc*(1-(1-MAX(0,MIN(1,IF($E169&lt;=cc_D,0.0035*($E169-Q$9)/$E169,0.002*($E169-Q$9)/($E169-3*cc_D/7))/0.002)))^2)</f>
        <v/>
      </c>
      <c r="R169">
        <f>MAX(-fyd_cc,MIN(fyd_cc,Es_cc*IF($E169&lt;=cc_D,0.0035*($E169-R$9)/$E169,0.002*($E169-R$9)/($E169-3*cc_D/7))))-fcd_cc*(1-(1-MAX(0,MIN(1,IF($E169&lt;=cc_D,0.0035*($E169-R$9)/$E169,0.002*($E169-R$9)/($E169-3*cc_D/7))/0.002)))^2)</f>
        <v/>
      </c>
      <c r="S169">
        <f>MAX(-fyd_cc,MIN(fyd_cc,Es_cc*IF($E169&lt;=cc_D,0.0035*($E169-S$9)/$E169,0.002*($E169-S$9)/($E169-3*cc_D/7))))-fcd_cc*(1-(1-MAX(0,MIN(1,IF($E169&lt;=cc_D,0.0035*($E169-S$9)/$E169,0.002*($E169-S$9)/($E169-3*cc_D/7))/0.002)))^2)</f>
        <v/>
      </c>
      <c r="T169">
        <f>MAX(-fyd_cc,MIN(fyd_cc,Es_cc*IF($E169&lt;=cc_D,0.0035*($E169-T$9)/$E169,0.002*($E169-T$9)/($E169-3*cc_D/7))))-fcd_cc*(1-(1-MAX(0,MIN(1,IF($E169&lt;=cc_D,0.0035*($E169-T$9)/$E169,0.002*($E169-T$9)/($E169-3*cc_D/7))/0.002)))^2)</f>
        <v/>
      </c>
      <c r="U169">
        <f>MAX(-fyd_cc,MIN(fyd_cc,Es_cc*IF($E169&lt;=cc_D,0.0035*($E169-U$9)/$E169,0.002*($E169-U$9)/($E169-3*cc_D/7))))-fcd_cc*(1-(1-MAX(0,MIN(1,IF($E169&lt;=cc_D,0.0035*($E169-U$9)/$E169,0.002*($E169-U$9)/($E169-3*cc_D/7))/0.002)))^2)</f>
        <v/>
      </c>
      <c r="V169">
        <f>MAX(-fyd_cc,MIN(fyd_cc,Es_cc*IF($E169&lt;=cc_D,0.0035*($E169-V$9)/$E169,0.002*($E169-V$9)/($E169-3*cc_D/7))))-fcd_cc*(1-(1-MAX(0,MIN(1,IF($E169&lt;=cc_D,0.0035*($E169-V$9)/$E169,0.002*($E169-V$9)/($E169-3*cc_D/7))/0.002)))^2)</f>
        <v/>
      </c>
      <c r="W169">
        <f>MAX(-fyd_cc,MIN(fyd_cc,Es_cc*IF($E169&lt;=cc_D,0.0035*($E169-W$9)/$E169,0.002*($E169-W$9)/($E169-3*cc_D/7))))-fcd_cc*(1-(1-MAX(0,MIN(1,IF($E169&lt;=cc_D,0.0035*($E169-W$9)/$E169,0.002*($E169-W$9)/($E169-3*cc_D/7))/0.002)))^2)</f>
        <v/>
      </c>
      <c r="X169">
        <f>MAX(-fyd_cc,MIN(fyd_cc,Es_cc*IF($E169&lt;=cc_D,0.0035*($E169-X$9)/$E169,0.002*($E169-X$9)/($E169-3*cc_D/7))))-fcd_cc*(1-(1-MAX(0,MIN(1,IF($E169&lt;=cc_D,0.0035*($E169-X$9)/$E169,0.002*($E169-X$9)/($E169-3*cc_D/7))/0.002)))^2)</f>
        <v/>
      </c>
      <c r="Y169">
        <f>MAX(-fyd_cc,MIN(fyd_cc,Es_cc*IF($E169&lt;=cc_D,0.0035*($E169-Y$9)/$E169,0.002*($E169-Y$9)/($E169-3*cc_D/7))))-fcd_cc*(1-(1-MAX(0,MIN(1,IF($E169&lt;=cc_D,0.0035*($E169-Y$9)/$E169,0.002*($E169-Y$9)/($E169-3*cc_D/7))/0.002)))^2)</f>
        <v/>
      </c>
      <c r="Z169">
        <f>MAX(-fyd_cc,MIN(fyd_cc,Es_cc*IF($E169&lt;=cc_D,0.0035*($E169-Z$9)/$E169,0.002*($E169-Z$9)/($E169-3*cc_D/7))))-fcd_cc*(1-(1-MAX(0,MIN(1,IF($E169&lt;=cc_D,0.0035*($E169-Z$9)/$E169,0.002*($E169-Z$9)/($E169-3*cc_D/7))/0.002)))^2)</f>
        <v/>
      </c>
      <c r="AA169">
        <f>MAX(-fyd_cc,MIN(fyd_cc,Es_cc*IF($E169&lt;=cc_D,0.0035*($E169-AA$9)/$E169,0.002*($E169-AA$9)/($E169-3*cc_D/7))))-fcd_cc*(1-(1-MAX(0,MIN(1,IF($E169&lt;=cc_D,0.0035*($E169-AA$9)/$E169,0.002*($E169-AA$9)/($E169-3*cc_D/7))/0.002)))^2)</f>
        <v/>
      </c>
      <c r="AB169">
        <f>MAX(-fyd_cc,MIN(fyd_cc,Es_cc*IF($E169&lt;=cc_D,0.0035*($E169-AB$9)/$E169,0.002*($E169-AB$9)/($E169-3*cc_D/7))))-fcd_cc*(1-(1-MAX(0,MIN(1,IF($E169&lt;=cc_D,0.0035*($E169-AB$9)/$E169,0.002*($E169-AB$9)/($E169-3*cc_D/7))/0.002)))^2)</f>
        <v/>
      </c>
      <c r="AC169">
        <f>MAX(-fyd_cc,MIN(fyd_cc,Es_cc*IF($E169&lt;=cc_D,0.0035*($E169-AC$9)/$E169,0.002*($E169-AC$9)/($E169-3*cc_D/7))))-fcd_cc*(1-(1-MAX(0,MIN(1,IF($E169&lt;=cc_D,0.0035*($E169-AC$9)/$E169,0.002*($E169-AC$9)/($E169-3*cc_D/7))/0.002)))^2)</f>
        <v/>
      </c>
      <c r="AD169">
        <f>MAX(-fyd_cc,MIN(fyd_cc,Es_cc*IF($E169&lt;=cc_D,0.0035*($E169-AD$9)/$E169,0.002*($E169-AD$9)/($E169-3*cc_D/7))))-fcd_cc*(1-(1-MAX(0,MIN(1,IF($E169&lt;=cc_D,0.0035*($E169-AD$9)/$E169,0.002*($E169-AD$9)/($E169-3*cc_D/7))/0.002)))^2)</f>
        <v/>
      </c>
      <c r="AE169">
        <f>MAX(-fyd_cc,MIN(fyd_cc,Es_cc*IF($E169&lt;=cc_D,0.0035*($E169-AE$9)/$E169,0.002*($E169-AE$9)/($E169-3*cc_D/7))))-fcd_cc*(1-(1-MAX(0,MIN(1,IF($E169&lt;=cc_D,0.0035*($E169-AE$9)/$E169,0.002*($E169-AE$9)/($E169-3*cc_D/7))/0.002)))^2)</f>
        <v/>
      </c>
      <c r="AF169">
        <f>MAX(-fyd_cc,MIN(fyd_cc,Es_cc*IF($E169&lt;=cc_D,0.0035*($E169-AF$9)/$E169,0.002*($E169-AF$9)/($E169-3*cc_D/7))))-fcd_cc*(1-(1-MAX(0,MIN(1,IF($E169&lt;=cc_D,0.0035*($E169-AF$9)/$E169,0.002*($E169-AF$9)/($E169-3*cc_D/7))/0.002)))^2)</f>
        <v/>
      </c>
      <c r="AG169">
        <f>MAX(-fyd_cc,MIN(fyd_cc,Es_cc*IF($E169&lt;=cc_D,0.0035*($E169-AG$9)/$E169,0.002*($E169-AG$9)/($E169-3*cc_D/7))))-fcd_cc*(1-(1-MAX(0,MIN(1,IF($E169&lt;=cc_D,0.0035*($E169-AG$9)/$E169,0.002*($E169-AG$9)/($E169-3*cc_D/7))/0.002)))^2)</f>
        <v/>
      </c>
      <c r="BF169">
        <f>3*MIN($E169,cc_D)/7</f>
        <v/>
      </c>
      <c r="BG169">
        <f>$E169-$BF169</f>
        <v/>
      </c>
      <c r="BH169">
        <f>ACOS(MAX(-1,MIN(1,1-$BF169/(cc_D/2))))</f>
        <v/>
      </c>
      <c r="BI169">
        <f>ACOS(MAX(-1,MIN(1,1-MIN($E169,cc_D)/(cc_D/2))))</f>
        <v/>
      </c>
      <c r="BJ169">
        <f>((cc_D/2*(1-COS(($BH169+0*($BI169-$BH169)/12)))-$BF169)/$BG169)^2*SIN(($BH169+0*($BI169-$BH169)/12))^2</f>
        <v/>
      </c>
      <c r="BK169">
        <f>((cc_D/2*(1-COS(($BH169+1*($BI169-$BH169)/12)))-$BF169)/$BG169)^2*SIN(($BH169+1*($BI169-$BH169)/12))^2</f>
        <v/>
      </c>
      <c r="BL169">
        <f>((cc_D/2*(1-COS(($BH169+2*($BI169-$BH169)/12)))-$BF169)/$BG169)^2*SIN(($BH169+2*($BI169-$BH169)/12))^2</f>
        <v/>
      </c>
      <c r="BM169">
        <f>((cc_D/2*(1-COS(($BH169+3*($BI169-$BH169)/12)))-$BF169)/$BG169)^2*SIN(($BH169+3*($BI169-$BH169)/12))^2</f>
        <v/>
      </c>
      <c r="BN169">
        <f>((cc_D/2*(1-COS(($BH169+4*($BI169-$BH169)/12)))-$BF169)/$BG169)^2*SIN(($BH169+4*($BI169-$BH169)/12))^2</f>
        <v/>
      </c>
      <c r="BO169">
        <f>((cc_D/2*(1-COS(($BH169+5*($BI169-$BH169)/12)))-$BF169)/$BG169)^2*SIN(($BH169+5*($BI169-$BH169)/12))^2</f>
        <v/>
      </c>
      <c r="BP169">
        <f>((cc_D/2*(1-COS(($BH169+6*($BI169-$BH169)/12)))-$BF169)/$BG169)^2*SIN(($BH169+6*($BI169-$BH169)/12))^2</f>
        <v/>
      </c>
      <c r="BQ169">
        <f>((cc_D/2*(1-COS(($BH169+7*($BI169-$BH169)/12)))-$BF169)/$BG169)^2*SIN(($BH169+7*($BI169-$BH169)/12))^2</f>
        <v/>
      </c>
      <c r="BR169">
        <f>((cc_D/2*(1-COS(($BH169+8*($BI169-$BH169)/12)))-$BF169)/$BG169)^2*SIN(($BH169+8*($BI169-$BH169)/12))^2</f>
        <v/>
      </c>
      <c r="BS169">
        <f>((cc_D/2*(1-COS(($BH169+9*($BI169-$BH169)/12)))-$BF169)/$BG169)^2*SIN(($BH169+9*($BI169-$BH169)/12))^2</f>
        <v/>
      </c>
      <c r="BT169">
        <f>((cc_D/2*(1-COS(($BH169+10*($BI169-$BH169)/12)))-$BF169)/$BG169)^2*SIN(($BH169+10*($BI169-$BH169)/12))^2</f>
        <v/>
      </c>
      <c r="BU169">
        <f>((cc_D/2*(1-COS(($BH169+11*($BI169-$BH169)/12)))-$BF169)/$BG169)^2*SIN(($BH169+11*($BI169-$BH169)/12))^2</f>
        <v/>
      </c>
      <c r="BV169">
        <f>((cc_D/2*(1-COS(($BH169+12*($BI169-$BH169)/12)))-$BF169)/$BG169)^2*SIN(($BH169+12*($BI169-$BH169)/12))^2</f>
        <v/>
      </c>
      <c r="BW169">
        <f>BJ169*COS(($BH169+0*($BI169-$BH169)/12))</f>
        <v/>
      </c>
      <c r="BX169">
        <f>BK169*COS(($BH169+1*($BI169-$BH169)/12))</f>
        <v/>
      </c>
      <c r="BY169">
        <f>BL169*COS(($BH169+2*($BI169-$BH169)/12))</f>
        <v/>
      </c>
      <c r="BZ169">
        <f>BM169*COS(($BH169+3*($BI169-$BH169)/12))</f>
        <v/>
      </c>
      <c r="CA169">
        <f>BN169*COS(($BH169+4*($BI169-$BH169)/12))</f>
        <v/>
      </c>
      <c r="CB169">
        <f>BO169*COS(($BH169+5*($BI169-$BH169)/12))</f>
        <v/>
      </c>
      <c r="CC169">
        <f>BP169*COS(($BH169+6*($BI169-$BH169)/12))</f>
        <v/>
      </c>
      <c r="CD169">
        <f>BQ169*COS(($BH169+7*($BI169-$BH169)/12))</f>
        <v/>
      </c>
      <c r="CE169">
        <f>BR169*COS(($BH169+8*($BI169-$BH169)/12))</f>
        <v/>
      </c>
      <c r="CF169">
        <f>BS169*COS(($BH169+9*($BI169-$BH169)/12))</f>
        <v/>
      </c>
      <c r="CG169">
        <f>BT169*COS(($BH169+10*($BI169-$BH169)/12))</f>
        <v/>
      </c>
      <c r="CH169">
        <f>BU169*COS(($BH169+11*($BI169-$BH169)/12))</f>
        <v/>
      </c>
      <c r="CI169">
        <f>BV169*COS(($BH169+12*($BI169-$BH169)/12))</f>
        <v/>
      </c>
    </row>
    <row r="170">
      <c r="B170" s="65" t="n">
        <v>18</v>
      </c>
      <c r="C170" s="66">
        <f>IF($G169&lt;cc_NEd-1E-9*ABS(cc_NEd),($C169+$D169)/2,$C169)</f>
        <v/>
      </c>
      <c r="D170" s="66">
        <f>IF($G169&lt;cc_NEd-1E-9*ABS(cc_NEd),$D169,($C169+$D169)/2)</f>
        <v/>
      </c>
      <c r="E170" s="67">
        <f>cc_D*(($C170+$D170)/2)/(1-(($C170+$D170)/2))</f>
        <v/>
      </c>
      <c r="F170" s="68">
        <f>IF($E170&lt;=cc_D,3.5,2*$E170/($E170-3*cc_D/7))</f>
        <v/>
      </c>
      <c r="G170" s="67">
        <f>(fcd_cc*((cc_D/2)^2*($BI170-COS($BI170)*SIN($BI170))-2*(cc_D/2)^2*($BI170-$BH170)/12/3*SUMPRODUCT($BJ$4:$BV$4,$BJ170:$BV170))+SUMPRODUCT($J$5:$AG$5,$J170:$AG170))/1000</f>
        <v/>
      </c>
      <c r="H170" s="67">
        <f>(fcd_cc*(2/3*(cc_D/2)^3*SIN($BI170)^3-2*(cc_D/2)^3*($BI170-$BH170)/12/3*SUMPRODUCT($BW$4:$CI$4,$BW170:$CI170))+SUMPRODUCT($J$5:$AG$5,$J170:$AG170,$J$10:$AG$10))/1E6</f>
        <v/>
      </c>
      <c r="I170" s="67">
        <f>SUMPRODUCT($J$5:$AG$5,$J170:$AG170,$J$11:$AG$11)/1E6</f>
        <v/>
      </c>
      <c r="J170">
        <f>MAX(-fyd_cc,MIN(fyd_cc,Es_cc*IF($E170&lt;=cc_D,0.0035*($E170-J$9)/$E170,0.002*($E170-J$9)/($E170-3*cc_D/7))))-fcd_cc*(1-(1-MAX(0,MIN(1,IF($E170&lt;=cc_D,0.0035*($E170-J$9)/$E170,0.002*($E170-J$9)/($E170-3*cc_D/7))/0.002)))^2)</f>
        <v/>
      </c>
      <c r="K170">
        <f>MAX(-fyd_cc,MIN(fyd_cc,Es_cc*IF($E170&lt;=cc_D,0.0035*($E170-K$9)/$E170,0.002*($E170-K$9)/($E170-3*cc_D/7))))-fcd_cc*(1-(1-MAX(0,MIN(1,IF($E170&lt;=cc_D,0.0035*($E170-K$9)/$E170,0.002*($E170-K$9)/($E170-3*cc_D/7))/0.002)))^2)</f>
        <v/>
      </c>
      <c r="L170">
        <f>MAX(-fyd_cc,MIN(fyd_cc,Es_cc*IF($E170&lt;=cc_D,0.0035*($E170-L$9)/$E170,0.002*($E170-L$9)/($E170-3*cc_D/7))))-fcd_cc*(1-(1-MAX(0,MIN(1,IF($E170&lt;=cc_D,0.0035*($E170-L$9)/$E170,0.002*($E170-L$9)/($E170-3*cc_D/7))/0.002)))^2)</f>
        <v/>
      </c>
      <c r="M170">
        <f>MAX(-fyd_cc,MIN(fyd_cc,Es_cc*IF($E170&lt;=cc_D,0.0035*($E170-M$9)/$E170,0.002*($E170-M$9)/($E170-3*cc_D/7))))-fcd_cc*(1-(1-MAX(0,MIN(1,IF($E170&lt;=cc_D,0.0035*($E170-M$9)/$E170,0.002*($E170-M$9)/($E170-3*cc_D/7))/0.002)))^2)</f>
        <v/>
      </c>
      <c r="N170">
        <f>MAX(-fyd_cc,MIN(fyd_cc,Es_cc*IF($E170&lt;=cc_D,0.0035*($E170-N$9)/$E170,0.002*($E170-N$9)/($E170-3*cc_D/7))))-fcd_cc*(1-(1-MAX(0,MIN(1,IF($E170&lt;=cc_D,0.0035*($E170-N$9)/$E170,0.002*($E170-N$9)/($E170-3*cc_D/7))/0.002)))^2)</f>
        <v/>
      </c>
      <c r="O170">
        <f>MAX(-fyd_cc,MIN(fyd_cc,Es_cc*IF($E170&lt;=cc_D,0.0035*($E170-O$9)/$E170,0.002*($E170-O$9)/($E170-3*cc_D/7))))-fcd_cc*(1-(1-MAX(0,MIN(1,IF($E170&lt;=cc_D,0.0035*($E170-O$9)/$E170,0.002*($E170-O$9)/($E170-3*cc_D/7))/0.002)))^2)</f>
        <v/>
      </c>
      <c r="P170">
        <f>MAX(-fyd_cc,MIN(fyd_cc,Es_cc*IF($E170&lt;=cc_D,0.0035*($E170-P$9)/$E170,0.002*($E170-P$9)/($E170-3*cc_D/7))))-fcd_cc*(1-(1-MAX(0,MIN(1,IF($E170&lt;=cc_D,0.0035*($E170-P$9)/$E170,0.002*($E170-P$9)/($E170-3*cc_D/7))/0.002)))^2)</f>
        <v/>
      </c>
      <c r="Q170">
        <f>MAX(-fyd_cc,MIN(fyd_cc,Es_cc*IF($E170&lt;=cc_D,0.0035*($E170-Q$9)/$E170,0.002*($E170-Q$9)/($E170-3*cc_D/7))))-fcd_cc*(1-(1-MAX(0,MIN(1,IF($E170&lt;=cc_D,0.0035*($E170-Q$9)/$E170,0.002*($E170-Q$9)/($E170-3*cc_D/7))/0.002)))^2)</f>
        <v/>
      </c>
      <c r="R170">
        <f>MAX(-fyd_cc,MIN(fyd_cc,Es_cc*IF($E170&lt;=cc_D,0.0035*($E170-R$9)/$E170,0.002*($E170-R$9)/($E170-3*cc_D/7))))-fcd_cc*(1-(1-MAX(0,MIN(1,IF($E170&lt;=cc_D,0.0035*($E170-R$9)/$E170,0.002*($E170-R$9)/($E170-3*cc_D/7))/0.002)))^2)</f>
        <v/>
      </c>
      <c r="S170">
        <f>MAX(-fyd_cc,MIN(fyd_cc,Es_cc*IF($E170&lt;=cc_D,0.0035*($E170-S$9)/$E170,0.002*($E170-S$9)/($E170-3*cc_D/7))))-fcd_cc*(1-(1-MAX(0,MIN(1,IF($E170&lt;=cc_D,0.0035*($E170-S$9)/$E170,0.002*($E170-S$9)/($E170-3*cc_D/7))/0.002)))^2)</f>
        <v/>
      </c>
      <c r="T170">
        <f>MAX(-fyd_cc,MIN(fyd_cc,Es_cc*IF($E170&lt;=cc_D,0.0035*($E170-T$9)/$E170,0.002*($E170-T$9)/($E170-3*cc_D/7))))-fcd_cc*(1-(1-MAX(0,MIN(1,IF($E170&lt;=cc_D,0.0035*($E170-T$9)/$E170,0.002*($E170-T$9)/($E170-3*cc_D/7))/0.002)))^2)</f>
        <v/>
      </c>
      <c r="U170">
        <f>MAX(-fyd_cc,MIN(fyd_cc,Es_cc*IF($E170&lt;=cc_D,0.0035*($E170-U$9)/$E170,0.002*($E170-U$9)/($E170-3*cc_D/7))))-fcd_cc*(1-(1-MAX(0,MIN(1,IF($E170&lt;=cc_D,0.0035*($E170-U$9)/$E170,0.002*($E170-U$9)/($E170-3*cc_D/7))/0.002)))^2)</f>
        <v/>
      </c>
      <c r="V170">
        <f>MAX(-fyd_cc,MIN(fyd_cc,Es_cc*IF($E170&lt;=cc_D,0.0035*($E170-V$9)/$E170,0.002*($E170-V$9)/($E170-3*cc_D/7))))-fcd_cc*(1-(1-MAX(0,MIN(1,IF($E170&lt;=cc_D,0.0035*($E170-V$9)/$E170,0.002*($E170-V$9)/($E170-3*cc_D/7))/0.002)))^2)</f>
        <v/>
      </c>
      <c r="W170">
        <f>MAX(-fyd_cc,MIN(fyd_cc,Es_cc*IF($E170&lt;=cc_D,0.0035*($E170-W$9)/$E170,0.002*($E170-W$9)/($E170-3*cc_D/7))))-fcd_cc*(1-(1-MAX(0,MIN(1,IF($E170&lt;=cc_D,0.0035*($E170-W$9)/$E170,0.002*($E170-W$9)/($E170-3*cc_D/7))/0.002)))^2)</f>
        <v/>
      </c>
      <c r="X170">
        <f>MAX(-fyd_cc,MIN(fyd_cc,Es_cc*IF($E170&lt;=cc_D,0.0035*($E170-X$9)/$E170,0.002*($E170-X$9)/($E170-3*cc_D/7))))-fcd_cc*(1-(1-MAX(0,MIN(1,IF($E170&lt;=cc_D,0.0035*($E170-X$9)/$E170,0.002*($E170-X$9)/($E170-3*cc_D/7))/0.002)))^2)</f>
        <v/>
      </c>
      <c r="Y170">
        <f>MAX(-fyd_cc,MIN(fyd_cc,Es_cc*IF($E170&lt;=cc_D,0.0035*($E170-Y$9)/$E170,0.002*($E170-Y$9)/($E170-3*cc_D/7))))-fcd_cc*(1-(1-MAX(0,MIN(1,IF($E170&lt;=cc_D,0.0035*($E170-Y$9)/$E170,0.002*($E170-Y$9)/($E170-3*cc_D/7))/0.002)))^2)</f>
        <v/>
      </c>
      <c r="Z170">
        <f>MAX(-fyd_cc,MIN(fyd_cc,Es_cc*IF($E170&lt;=cc_D,0.0035*($E170-Z$9)/$E170,0.002*($E170-Z$9)/($E170-3*cc_D/7))))-fcd_cc*(1-(1-MAX(0,MIN(1,IF($E170&lt;=cc_D,0.0035*($E170-Z$9)/$E170,0.002*($E170-Z$9)/($E170-3*cc_D/7))/0.002)))^2)</f>
        <v/>
      </c>
      <c r="AA170">
        <f>MAX(-fyd_cc,MIN(fyd_cc,Es_cc*IF($E170&lt;=cc_D,0.0035*($E170-AA$9)/$E170,0.002*($E170-AA$9)/($E170-3*cc_D/7))))-fcd_cc*(1-(1-MAX(0,MIN(1,IF($E170&lt;=cc_D,0.0035*($E170-AA$9)/$E170,0.002*($E170-AA$9)/($E170-3*cc_D/7))/0.002)))^2)</f>
        <v/>
      </c>
      <c r="AB170">
        <f>MAX(-fyd_cc,MIN(fyd_cc,Es_cc*IF($E170&lt;=cc_D,0.0035*($E170-AB$9)/$E170,0.002*($E170-AB$9)/($E170-3*cc_D/7))))-fcd_cc*(1-(1-MAX(0,MIN(1,IF($E170&lt;=cc_D,0.0035*($E170-AB$9)/$E170,0.002*($E170-AB$9)/($E170-3*cc_D/7))/0.002)))^2)</f>
        <v/>
      </c>
      <c r="AC170">
        <f>MAX(-fyd_cc,MIN(fyd_cc,Es_cc*IF($E170&lt;=cc_D,0.0035*($E170-AC$9)/$E170,0.002*($E170-AC$9)/($E170-3*cc_D/7))))-fcd_cc*(1-(1-MAX(0,MIN(1,IF($E170&lt;=cc_D,0.0035*($E170-AC$9)/$E170,0.002*($E170-AC$9)/($E170-3*cc_D/7))/0.002)))^2)</f>
        <v/>
      </c>
      <c r="AD170">
        <f>MAX(-fyd_cc,MIN(fyd_cc,Es_cc*IF($E170&lt;=cc_D,0.0035*($E170-AD$9)/$E170,0.002*($E170-AD$9)/($E170-3*cc_D/7))))-fcd_cc*(1-(1-MAX(0,MIN(1,IF($E170&lt;=cc_D,0.0035*($E170-AD$9)/$E170,0.002*($E170-AD$9)/($E170-3*cc_D/7))/0.002)))^2)</f>
        <v/>
      </c>
      <c r="AE170">
        <f>MAX(-fyd_cc,MIN(fyd_cc,Es_cc*IF($E170&lt;=cc_D,0.0035*($E170-AE$9)/$E170,0.002*($E170-AE$9)/($E170-3*cc_D/7))))-fcd_cc*(1-(1-MAX(0,MIN(1,IF($E170&lt;=cc_D,0.0035*($E170-AE$9)/$E170,0.002*($E170-AE$9)/($E170-3*cc_D/7))/0.002)))^2)</f>
        <v/>
      </c>
      <c r="AF170">
        <f>MAX(-fyd_cc,MIN(fyd_cc,Es_cc*IF($E170&lt;=cc_D,0.0035*($E170-AF$9)/$E170,0.002*($E170-AF$9)/($E170-3*cc_D/7))))-fcd_cc*(1-(1-MAX(0,MIN(1,IF($E170&lt;=cc_D,0.0035*($E170-AF$9)/$E170,0.002*($E170-AF$9)/($E170-3*cc_D/7))/0.002)))^2)</f>
        <v/>
      </c>
      <c r="AG170">
        <f>MAX(-fyd_cc,MIN(fyd_cc,Es_cc*IF($E170&lt;=cc_D,0.0035*($E170-AG$9)/$E170,0.002*($E170-AG$9)/($E170-3*cc_D/7))))-fcd_cc*(1-(1-MAX(0,MIN(1,IF($E170&lt;=cc_D,0.0035*($E170-AG$9)/$E170,0.002*($E170-AG$9)/($E170-3*cc_D/7))/0.002)))^2)</f>
        <v/>
      </c>
      <c r="BF170">
        <f>3*MIN($E170,cc_D)/7</f>
        <v/>
      </c>
      <c r="BG170">
        <f>$E170-$BF170</f>
        <v/>
      </c>
      <c r="BH170">
        <f>ACOS(MAX(-1,MIN(1,1-$BF170/(cc_D/2))))</f>
        <v/>
      </c>
      <c r="BI170">
        <f>ACOS(MAX(-1,MIN(1,1-MIN($E170,cc_D)/(cc_D/2))))</f>
        <v/>
      </c>
      <c r="BJ170">
        <f>((cc_D/2*(1-COS(($BH170+0*($BI170-$BH170)/12)))-$BF170)/$BG170)^2*SIN(($BH170+0*($BI170-$BH170)/12))^2</f>
        <v/>
      </c>
      <c r="BK170">
        <f>((cc_D/2*(1-COS(($BH170+1*($BI170-$BH170)/12)))-$BF170)/$BG170)^2*SIN(($BH170+1*($BI170-$BH170)/12))^2</f>
        <v/>
      </c>
      <c r="BL170">
        <f>((cc_D/2*(1-COS(($BH170+2*($BI170-$BH170)/12)))-$BF170)/$BG170)^2*SIN(($BH170+2*($BI170-$BH170)/12))^2</f>
        <v/>
      </c>
      <c r="BM170">
        <f>((cc_D/2*(1-COS(($BH170+3*($BI170-$BH170)/12)))-$BF170)/$BG170)^2*SIN(($BH170+3*($BI170-$BH170)/12))^2</f>
        <v/>
      </c>
      <c r="BN170">
        <f>((cc_D/2*(1-COS(($BH170+4*($BI170-$BH170)/12)))-$BF170)/$BG170)^2*SIN(($BH170+4*($BI170-$BH170)/12))^2</f>
        <v/>
      </c>
      <c r="BO170">
        <f>((cc_D/2*(1-COS(($BH170+5*($BI170-$BH170)/12)))-$BF170)/$BG170)^2*SIN(($BH170+5*($BI170-$BH170)/12))^2</f>
        <v/>
      </c>
      <c r="BP170">
        <f>((cc_D/2*(1-COS(($BH170+6*($BI170-$BH170)/12)))-$BF170)/$BG170)^2*SIN(($BH170+6*($BI170-$BH170)/12))^2</f>
        <v/>
      </c>
      <c r="BQ170">
        <f>((cc_D/2*(1-COS(($BH170+7*($BI170-$BH170)/12)))-$BF170)/$BG170)^2*SIN(($BH170+7*($BI170-$BH170)/12))^2</f>
        <v/>
      </c>
      <c r="BR170">
        <f>((cc_D/2*(1-COS(($BH170+8*($BI170-$BH170)/12)))-$BF170)/$BG170)^2*SIN(($BH170+8*($BI170-$BH170)/12))^2</f>
        <v/>
      </c>
      <c r="BS170">
        <f>((cc_D/2*(1-COS(($BH170+9*($BI170-$BH170)/12)))-$BF170)/$BG170)^2*SIN(($BH170+9*($BI170-$BH170)/12))^2</f>
        <v/>
      </c>
      <c r="BT170">
        <f>((cc_D/2*(1-COS(($BH170+10*($BI170-$BH170)/12)))-$BF170)/$BG170)^2*SIN(($BH170+10*($BI170-$BH170)/12))^2</f>
        <v/>
      </c>
      <c r="BU170">
        <f>((cc_D/2*(1-COS(($BH170+11*($BI170-$BH170)/12)))-$BF170)/$BG170)^2*SIN(($BH170+11*($BI170-$BH170)/12))^2</f>
        <v/>
      </c>
      <c r="BV170">
        <f>((cc_D/2*(1-COS(($BH170+12*($BI170-$BH170)/12)))-$BF170)/$BG170)^2*SIN(($BH170+12*($BI170-$BH170)/12))^2</f>
        <v/>
      </c>
      <c r="BW170">
        <f>BJ170*COS(($BH170+0*($BI170-$BH170)/12))</f>
        <v/>
      </c>
      <c r="BX170">
        <f>BK170*COS(($BH170+1*($BI170-$BH170)/12))</f>
        <v/>
      </c>
      <c r="BY170">
        <f>BL170*COS(($BH170+2*($BI170-$BH170)/12))</f>
        <v/>
      </c>
      <c r="BZ170">
        <f>BM170*COS(($BH170+3*($BI170-$BH170)/12))</f>
        <v/>
      </c>
      <c r="CA170">
        <f>BN170*COS(($BH170+4*($BI170-$BH170)/12))</f>
        <v/>
      </c>
      <c r="CB170">
        <f>BO170*COS(($BH170+5*($BI170-$BH170)/12))</f>
        <v/>
      </c>
      <c r="CC170">
        <f>BP170*COS(($BH170+6*($BI170-$BH170)/12))</f>
        <v/>
      </c>
      <c r="CD170">
        <f>BQ170*COS(($BH170+7*($BI170-$BH170)/12))</f>
        <v/>
      </c>
      <c r="CE170">
        <f>BR170*COS(($BH170+8*($BI170-$BH170)/12))</f>
        <v/>
      </c>
      <c r="CF170">
        <f>BS170*COS(($BH170+9*($BI170-$BH170)/12))</f>
        <v/>
      </c>
      <c r="CG170">
        <f>BT170*COS(($BH170+10*($BI170-$BH170)/12))</f>
        <v/>
      </c>
      <c r="CH170">
        <f>BU170*COS(($BH170+11*($BI170-$BH170)/12))</f>
        <v/>
      </c>
      <c r="CI170">
        <f>BV170*COS(($BH170+12*($BI170-$BH170)/12))</f>
        <v/>
      </c>
    </row>
    <row r="171">
      <c r="B171" s="65" t="n">
        <v>19</v>
      </c>
      <c r="C171" s="66">
        <f>IF($G170&lt;cc_NEd-1E-9*ABS(cc_NEd),($C170+$D170)/2,$C170)</f>
        <v/>
      </c>
      <c r="D171" s="66">
        <f>IF($G170&lt;cc_NEd-1E-9*ABS(cc_NEd),$D170,($C170+$D170)/2)</f>
        <v/>
      </c>
      <c r="E171" s="67">
        <f>cc_D*(($C171+$D171)/2)/(1-(($C171+$D171)/2))</f>
        <v/>
      </c>
      <c r="F171" s="68">
        <f>IF($E171&lt;=cc_D,3.5,2*$E171/($E171-3*cc_D/7))</f>
        <v/>
      </c>
      <c r="G171" s="67">
        <f>(fcd_cc*((cc_D/2)^2*($BI171-COS($BI171)*SIN($BI171))-2*(cc_D/2)^2*($BI171-$BH171)/12/3*SUMPRODUCT($BJ$4:$BV$4,$BJ171:$BV171))+SUMPRODUCT($J$5:$AG$5,$J171:$AG171))/1000</f>
        <v/>
      </c>
      <c r="H171" s="67">
        <f>(fcd_cc*(2/3*(cc_D/2)^3*SIN($BI171)^3-2*(cc_D/2)^3*($BI171-$BH171)/12/3*SUMPRODUCT($BW$4:$CI$4,$BW171:$CI171))+SUMPRODUCT($J$5:$AG$5,$J171:$AG171,$J$10:$AG$10))/1E6</f>
        <v/>
      </c>
      <c r="I171" s="67">
        <f>SUMPRODUCT($J$5:$AG$5,$J171:$AG171,$J$11:$AG$11)/1E6</f>
        <v/>
      </c>
      <c r="J171">
        <f>MAX(-fyd_cc,MIN(fyd_cc,Es_cc*IF($E171&lt;=cc_D,0.0035*($E171-J$9)/$E171,0.002*($E171-J$9)/($E171-3*cc_D/7))))-fcd_cc*(1-(1-MAX(0,MIN(1,IF($E171&lt;=cc_D,0.0035*($E171-J$9)/$E171,0.002*($E171-J$9)/($E171-3*cc_D/7))/0.002)))^2)</f>
        <v/>
      </c>
      <c r="K171">
        <f>MAX(-fyd_cc,MIN(fyd_cc,Es_cc*IF($E171&lt;=cc_D,0.0035*($E171-K$9)/$E171,0.002*($E171-K$9)/($E171-3*cc_D/7))))-fcd_cc*(1-(1-MAX(0,MIN(1,IF($E171&lt;=cc_D,0.0035*($E171-K$9)/$E171,0.002*($E171-K$9)/($E171-3*cc_D/7))/0.002)))^2)</f>
        <v/>
      </c>
      <c r="L171">
        <f>MAX(-fyd_cc,MIN(fyd_cc,Es_cc*IF($E171&lt;=cc_D,0.0035*($E171-L$9)/$E171,0.002*($E171-L$9)/($E171-3*cc_D/7))))-fcd_cc*(1-(1-MAX(0,MIN(1,IF($E171&lt;=cc_D,0.0035*($E171-L$9)/$E171,0.002*($E171-L$9)/($E171-3*cc_D/7))/0.002)))^2)</f>
        <v/>
      </c>
      <c r="M171">
        <f>MAX(-fyd_cc,MIN(fyd_cc,Es_cc*IF($E171&lt;=cc_D,0.0035*($E171-M$9)/$E171,0.002*($E171-M$9)/($E171-3*cc_D/7))))-fcd_cc*(1-(1-MAX(0,MIN(1,IF($E171&lt;=cc_D,0.0035*($E171-M$9)/$E171,0.002*($E171-M$9)/($E171-3*cc_D/7))/0.002)))^2)</f>
        <v/>
      </c>
      <c r="N171">
        <f>MAX(-fyd_cc,MIN(fyd_cc,Es_cc*IF($E171&lt;=cc_D,0.0035*($E171-N$9)/$E171,0.002*($E171-N$9)/($E171-3*cc_D/7))))-fcd_cc*(1-(1-MAX(0,MIN(1,IF($E171&lt;=cc_D,0.0035*($E171-N$9)/$E171,0.002*($E171-N$9)/($E171-3*cc_D/7))/0.002)))^2)</f>
        <v/>
      </c>
      <c r="O171">
        <f>MAX(-fyd_cc,MIN(fyd_cc,Es_cc*IF($E171&lt;=cc_D,0.0035*($E171-O$9)/$E171,0.002*($E171-O$9)/($E171-3*cc_D/7))))-fcd_cc*(1-(1-MAX(0,MIN(1,IF($E171&lt;=cc_D,0.0035*($E171-O$9)/$E171,0.002*($E171-O$9)/($E171-3*cc_D/7))/0.002)))^2)</f>
        <v/>
      </c>
      <c r="P171">
        <f>MAX(-fyd_cc,MIN(fyd_cc,Es_cc*IF($E171&lt;=cc_D,0.0035*($E171-P$9)/$E171,0.002*($E171-P$9)/($E171-3*cc_D/7))))-fcd_cc*(1-(1-MAX(0,MIN(1,IF($E171&lt;=cc_D,0.0035*($E171-P$9)/$E171,0.002*($E171-P$9)/($E171-3*cc_D/7))/0.002)))^2)</f>
        <v/>
      </c>
      <c r="Q171">
        <f>MAX(-fyd_cc,MIN(fyd_cc,Es_cc*IF($E171&lt;=cc_D,0.0035*($E171-Q$9)/$E171,0.002*($E171-Q$9)/($E171-3*cc_D/7))))-fcd_cc*(1-(1-MAX(0,MIN(1,IF($E171&lt;=cc_D,0.0035*($E171-Q$9)/$E171,0.002*($E171-Q$9)/($E171-3*cc_D/7))/0.002)))^2)</f>
        <v/>
      </c>
      <c r="R171">
        <f>MAX(-fyd_cc,MIN(fyd_cc,Es_cc*IF($E171&lt;=cc_D,0.0035*($E171-R$9)/$E171,0.002*($E171-R$9)/($E171-3*cc_D/7))))-fcd_cc*(1-(1-MAX(0,MIN(1,IF($E171&lt;=cc_D,0.0035*($E171-R$9)/$E171,0.002*($E171-R$9)/($E171-3*cc_D/7))/0.002)))^2)</f>
        <v/>
      </c>
      <c r="S171">
        <f>MAX(-fyd_cc,MIN(fyd_cc,Es_cc*IF($E171&lt;=cc_D,0.0035*($E171-S$9)/$E171,0.002*($E171-S$9)/($E171-3*cc_D/7))))-fcd_cc*(1-(1-MAX(0,MIN(1,IF($E171&lt;=cc_D,0.0035*($E171-S$9)/$E171,0.002*($E171-S$9)/($E171-3*cc_D/7))/0.002)))^2)</f>
        <v/>
      </c>
      <c r="T171">
        <f>MAX(-fyd_cc,MIN(fyd_cc,Es_cc*IF($E171&lt;=cc_D,0.0035*($E171-T$9)/$E171,0.002*($E171-T$9)/($E171-3*cc_D/7))))-fcd_cc*(1-(1-MAX(0,MIN(1,IF($E171&lt;=cc_D,0.0035*($E171-T$9)/$E171,0.002*($E171-T$9)/($E171-3*cc_D/7))/0.002)))^2)</f>
        <v/>
      </c>
      <c r="U171">
        <f>MAX(-fyd_cc,MIN(fyd_cc,Es_cc*IF($E171&lt;=cc_D,0.0035*($E171-U$9)/$E171,0.002*($E171-U$9)/($E171-3*cc_D/7))))-fcd_cc*(1-(1-MAX(0,MIN(1,IF($E171&lt;=cc_D,0.0035*($E171-U$9)/$E171,0.002*($E171-U$9)/($E171-3*cc_D/7))/0.002)))^2)</f>
        <v/>
      </c>
      <c r="V171">
        <f>MAX(-fyd_cc,MIN(fyd_cc,Es_cc*IF($E171&lt;=cc_D,0.0035*($E171-V$9)/$E171,0.002*($E171-V$9)/($E171-3*cc_D/7))))-fcd_cc*(1-(1-MAX(0,MIN(1,IF($E171&lt;=cc_D,0.0035*($E171-V$9)/$E171,0.002*($E171-V$9)/($E171-3*cc_D/7))/0.002)))^2)</f>
        <v/>
      </c>
      <c r="W171">
        <f>MAX(-fyd_cc,MIN(fyd_cc,Es_cc*IF($E171&lt;=cc_D,0.0035*($E171-W$9)/$E171,0.002*($E171-W$9)/($E171-3*cc_D/7))))-fcd_cc*(1-(1-MAX(0,MIN(1,IF($E171&lt;=cc_D,0.0035*($E171-W$9)/$E171,0.002*($E171-W$9)/($E171-3*cc_D/7))/0.002)))^2)</f>
        <v/>
      </c>
      <c r="X171">
        <f>MAX(-fyd_cc,MIN(fyd_cc,Es_cc*IF($E171&lt;=cc_D,0.0035*($E171-X$9)/$E171,0.002*($E171-X$9)/($E171-3*cc_D/7))))-fcd_cc*(1-(1-MAX(0,MIN(1,IF($E171&lt;=cc_D,0.0035*($E171-X$9)/$E171,0.002*($E171-X$9)/($E171-3*cc_D/7))/0.002)))^2)</f>
        <v/>
      </c>
      <c r="Y171">
        <f>MAX(-fyd_cc,MIN(fyd_cc,Es_cc*IF($E171&lt;=cc_D,0.0035*($E171-Y$9)/$E171,0.002*($E171-Y$9)/($E171-3*cc_D/7))))-fcd_cc*(1-(1-MAX(0,MIN(1,IF($E171&lt;=cc_D,0.0035*($E171-Y$9)/$E171,0.002*($E171-Y$9)/($E171-3*cc_D/7))/0.002)))^2)</f>
        <v/>
      </c>
      <c r="Z171">
        <f>MAX(-fyd_cc,MIN(fyd_cc,Es_cc*IF($E171&lt;=cc_D,0.0035*($E171-Z$9)/$E171,0.002*($E171-Z$9)/($E171-3*cc_D/7))))-fcd_cc*(1-(1-MAX(0,MIN(1,IF($E171&lt;=cc_D,0.0035*($E171-Z$9)/$E171,0.002*($E171-Z$9)/($E171-3*cc_D/7))/0.002)))^2)</f>
        <v/>
      </c>
      <c r="AA171">
        <f>MAX(-fyd_cc,MIN(fyd_cc,Es_cc*IF($E171&lt;=cc_D,0.0035*($E171-AA$9)/$E171,0.002*($E171-AA$9)/($E171-3*cc_D/7))))-fcd_cc*(1-(1-MAX(0,MIN(1,IF($E171&lt;=cc_D,0.0035*($E171-AA$9)/$E171,0.002*($E171-AA$9)/($E171-3*cc_D/7))/0.002)))^2)</f>
        <v/>
      </c>
      <c r="AB171">
        <f>MAX(-fyd_cc,MIN(fyd_cc,Es_cc*IF($E171&lt;=cc_D,0.0035*($E171-AB$9)/$E171,0.002*($E171-AB$9)/($E171-3*cc_D/7))))-fcd_cc*(1-(1-MAX(0,MIN(1,IF($E171&lt;=cc_D,0.0035*($E171-AB$9)/$E171,0.002*($E171-AB$9)/($E171-3*cc_D/7))/0.002)))^2)</f>
        <v/>
      </c>
      <c r="AC171">
        <f>MAX(-fyd_cc,MIN(fyd_cc,Es_cc*IF($E171&lt;=cc_D,0.0035*($E171-AC$9)/$E171,0.002*($E171-AC$9)/($E171-3*cc_D/7))))-fcd_cc*(1-(1-MAX(0,MIN(1,IF($E171&lt;=cc_D,0.0035*($E171-AC$9)/$E171,0.002*($E171-AC$9)/($E171-3*cc_D/7))/0.002)))^2)</f>
        <v/>
      </c>
      <c r="AD171">
        <f>MAX(-fyd_cc,MIN(fyd_cc,Es_cc*IF($E171&lt;=cc_D,0.0035*($E171-AD$9)/$E171,0.002*($E171-AD$9)/($E171-3*cc_D/7))))-fcd_cc*(1-(1-MAX(0,MIN(1,IF($E171&lt;=cc_D,0.0035*($E171-AD$9)/$E171,0.002*($E171-AD$9)/($E171-3*cc_D/7))/0.002)))^2)</f>
        <v/>
      </c>
      <c r="AE171">
        <f>MAX(-fyd_cc,MIN(fyd_cc,Es_cc*IF($E171&lt;=cc_D,0.0035*($E171-AE$9)/$E171,0.002*($E171-AE$9)/($E171-3*cc_D/7))))-fcd_cc*(1-(1-MAX(0,MIN(1,IF($E171&lt;=cc_D,0.0035*($E171-AE$9)/$E171,0.002*($E171-AE$9)/($E171-3*cc_D/7))/0.002)))^2)</f>
        <v/>
      </c>
      <c r="AF171">
        <f>MAX(-fyd_cc,MIN(fyd_cc,Es_cc*IF($E171&lt;=cc_D,0.0035*($E171-AF$9)/$E171,0.002*($E171-AF$9)/($E171-3*cc_D/7))))-fcd_cc*(1-(1-MAX(0,MIN(1,IF($E171&lt;=cc_D,0.0035*($E171-AF$9)/$E171,0.002*($E171-AF$9)/($E171-3*cc_D/7))/0.002)))^2)</f>
        <v/>
      </c>
      <c r="AG171">
        <f>MAX(-fyd_cc,MIN(fyd_cc,Es_cc*IF($E171&lt;=cc_D,0.0035*($E171-AG$9)/$E171,0.002*($E171-AG$9)/($E171-3*cc_D/7))))-fcd_cc*(1-(1-MAX(0,MIN(1,IF($E171&lt;=cc_D,0.0035*($E171-AG$9)/$E171,0.002*($E171-AG$9)/($E171-3*cc_D/7))/0.002)))^2)</f>
        <v/>
      </c>
      <c r="BF171">
        <f>3*MIN($E171,cc_D)/7</f>
        <v/>
      </c>
      <c r="BG171">
        <f>$E171-$BF171</f>
        <v/>
      </c>
      <c r="BH171">
        <f>ACOS(MAX(-1,MIN(1,1-$BF171/(cc_D/2))))</f>
        <v/>
      </c>
      <c r="BI171">
        <f>ACOS(MAX(-1,MIN(1,1-MIN($E171,cc_D)/(cc_D/2))))</f>
        <v/>
      </c>
      <c r="BJ171">
        <f>((cc_D/2*(1-COS(($BH171+0*($BI171-$BH171)/12)))-$BF171)/$BG171)^2*SIN(($BH171+0*($BI171-$BH171)/12))^2</f>
        <v/>
      </c>
      <c r="BK171">
        <f>((cc_D/2*(1-COS(($BH171+1*($BI171-$BH171)/12)))-$BF171)/$BG171)^2*SIN(($BH171+1*($BI171-$BH171)/12))^2</f>
        <v/>
      </c>
      <c r="BL171">
        <f>((cc_D/2*(1-COS(($BH171+2*($BI171-$BH171)/12)))-$BF171)/$BG171)^2*SIN(($BH171+2*($BI171-$BH171)/12))^2</f>
        <v/>
      </c>
      <c r="BM171">
        <f>((cc_D/2*(1-COS(($BH171+3*($BI171-$BH171)/12)))-$BF171)/$BG171)^2*SIN(($BH171+3*($BI171-$BH171)/12))^2</f>
        <v/>
      </c>
      <c r="BN171">
        <f>((cc_D/2*(1-COS(($BH171+4*($BI171-$BH171)/12)))-$BF171)/$BG171)^2*SIN(($BH171+4*($BI171-$BH171)/12))^2</f>
        <v/>
      </c>
      <c r="BO171">
        <f>((cc_D/2*(1-COS(($BH171+5*($BI171-$BH171)/12)))-$BF171)/$BG171)^2*SIN(($BH171+5*($BI171-$BH171)/12))^2</f>
        <v/>
      </c>
      <c r="BP171">
        <f>((cc_D/2*(1-COS(($BH171+6*($BI171-$BH171)/12)))-$BF171)/$BG171)^2*SIN(($BH171+6*($BI171-$BH171)/12))^2</f>
        <v/>
      </c>
      <c r="BQ171">
        <f>((cc_D/2*(1-COS(($BH171+7*($BI171-$BH171)/12)))-$BF171)/$BG171)^2*SIN(($BH171+7*($BI171-$BH171)/12))^2</f>
        <v/>
      </c>
      <c r="BR171">
        <f>((cc_D/2*(1-COS(($BH171+8*($BI171-$BH171)/12)))-$BF171)/$BG171)^2*SIN(($BH171+8*($BI171-$BH171)/12))^2</f>
        <v/>
      </c>
      <c r="BS171">
        <f>((cc_D/2*(1-COS(($BH171+9*($BI171-$BH171)/12)))-$BF171)/$BG171)^2*SIN(($BH171+9*($BI171-$BH171)/12))^2</f>
        <v/>
      </c>
      <c r="BT171">
        <f>((cc_D/2*(1-COS(($BH171+10*($BI171-$BH171)/12)))-$BF171)/$BG171)^2*SIN(($BH171+10*($BI171-$BH171)/12))^2</f>
        <v/>
      </c>
      <c r="BU171">
        <f>((cc_D/2*(1-COS(($BH171+11*($BI171-$BH171)/12)))-$BF171)/$BG171)^2*SIN(($BH171+11*($BI171-$BH171)/12))^2</f>
        <v/>
      </c>
      <c r="BV171">
        <f>((cc_D/2*(1-COS(($BH171+12*($BI171-$BH171)/12)))-$BF171)/$BG171)^2*SIN(($BH171+12*($BI171-$BH171)/12))^2</f>
        <v/>
      </c>
      <c r="BW171">
        <f>BJ171*COS(($BH171+0*($BI171-$BH171)/12))</f>
        <v/>
      </c>
      <c r="BX171">
        <f>BK171*COS(($BH171+1*($BI171-$BH171)/12))</f>
        <v/>
      </c>
      <c r="BY171">
        <f>BL171*COS(($BH171+2*($BI171-$BH171)/12))</f>
        <v/>
      </c>
      <c r="BZ171">
        <f>BM171*COS(($BH171+3*($BI171-$BH171)/12))</f>
        <v/>
      </c>
      <c r="CA171">
        <f>BN171*COS(($BH171+4*($BI171-$BH171)/12))</f>
        <v/>
      </c>
      <c r="CB171">
        <f>BO171*COS(($BH171+5*($BI171-$BH171)/12))</f>
        <v/>
      </c>
      <c r="CC171">
        <f>BP171*COS(($BH171+6*($BI171-$BH171)/12))</f>
        <v/>
      </c>
      <c r="CD171">
        <f>BQ171*COS(($BH171+7*($BI171-$BH171)/12))</f>
        <v/>
      </c>
      <c r="CE171">
        <f>BR171*COS(($BH171+8*($BI171-$BH171)/12))</f>
        <v/>
      </c>
      <c r="CF171">
        <f>BS171*COS(($BH171+9*($BI171-$BH171)/12))</f>
        <v/>
      </c>
      <c r="CG171">
        <f>BT171*COS(($BH171+10*($BI171-$BH171)/12))</f>
        <v/>
      </c>
      <c r="CH171">
        <f>BU171*COS(($BH171+11*($BI171-$BH171)/12))</f>
        <v/>
      </c>
      <c r="CI171">
        <f>BV171*COS(($BH171+12*($BI171-$BH171)/12))</f>
        <v/>
      </c>
    </row>
    <row r="172">
      <c r="B172" s="65" t="n">
        <v>20</v>
      </c>
      <c r="C172" s="66">
        <f>IF($G171&lt;cc_NEd-1E-9*ABS(cc_NEd),($C171+$D171)/2,$C171)</f>
        <v/>
      </c>
      <c r="D172" s="66">
        <f>IF($G171&lt;cc_NEd-1E-9*ABS(cc_NEd),$D171,($C171+$D171)/2)</f>
        <v/>
      </c>
      <c r="E172" s="67">
        <f>cc_D*(($C172+$D172)/2)/(1-(($C172+$D172)/2))</f>
        <v/>
      </c>
      <c r="F172" s="68">
        <f>IF($E172&lt;=cc_D,3.5,2*$E172/($E172-3*cc_D/7))</f>
        <v/>
      </c>
      <c r="G172" s="67">
        <f>(fcd_cc*((cc_D/2)^2*($BI172-COS($BI172)*SIN($BI172))-2*(cc_D/2)^2*($BI172-$BH172)/12/3*SUMPRODUCT($BJ$4:$BV$4,$BJ172:$BV172))+SUMPRODUCT($J$5:$AG$5,$J172:$AG172))/1000</f>
        <v/>
      </c>
      <c r="H172" s="67">
        <f>(fcd_cc*(2/3*(cc_D/2)^3*SIN($BI172)^3-2*(cc_D/2)^3*($BI172-$BH172)/12/3*SUMPRODUCT($BW$4:$CI$4,$BW172:$CI172))+SUMPRODUCT($J$5:$AG$5,$J172:$AG172,$J$10:$AG$10))/1E6</f>
        <v/>
      </c>
      <c r="I172" s="67">
        <f>SUMPRODUCT($J$5:$AG$5,$J172:$AG172,$J$11:$AG$11)/1E6</f>
        <v/>
      </c>
      <c r="J172">
        <f>MAX(-fyd_cc,MIN(fyd_cc,Es_cc*IF($E172&lt;=cc_D,0.0035*($E172-J$9)/$E172,0.002*($E172-J$9)/($E172-3*cc_D/7))))-fcd_cc*(1-(1-MAX(0,MIN(1,IF($E172&lt;=cc_D,0.0035*($E172-J$9)/$E172,0.002*($E172-J$9)/($E172-3*cc_D/7))/0.002)))^2)</f>
        <v/>
      </c>
      <c r="K172">
        <f>MAX(-fyd_cc,MIN(fyd_cc,Es_cc*IF($E172&lt;=cc_D,0.0035*($E172-K$9)/$E172,0.002*($E172-K$9)/($E172-3*cc_D/7))))-fcd_cc*(1-(1-MAX(0,MIN(1,IF($E172&lt;=cc_D,0.0035*($E172-K$9)/$E172,0.002*($E172-K$9)/($E172-3*cc_D/7))/0.002)))^2)</f>
        <v/>
      </c>
      <c r="L172">
        <f>MAX(-fyd_cc,MIN(fyd_cc,Es_cc*IF($E172&lt;=cc_D,0.0035*($E172-L$9)/$E172,0.002*($E172-L$9)/($E172-3*cc_D/7))))-fcd_cc*(1-(1-MAX(0,MIN(1,IF($E172&lt;=cc_D,0.0035*($E172-L$9)/$E172,0.002*($E172-L$9)/($E172-3*cc_D/7))/0.002)))^2)</f>
        <v/>
      </c>
      <c r="M172">
        <f>MAX(-fyd_cc,MIN(fyd_cc,Es_cc*IF($E172&lt;=cc_D,0.0035*($E172-M$9)/$E172,0.002*($E172-M$9)/($E172-3*cc_D/7))))-fcd_cc*(1-(1-MAX(0,MIN(1,IF($E172&lt;=cc_D,0.0035*($E172-M$9)/$E172,0.002*($E172-M$9)/($E172-3*cc_D/7))/0.002)))^2)</f>
        <v/>
      </c>
      <c r="N172">
        <f>MAX(-fyd_cc,MIN(fyd_cc,Es_cc*IF($E172&lt;=cc_D,0.0035*($E172-N$9)/$E172,0.002*($E172-N$9)/($E172-3*cc_D/7))))-fcd_cc*(1-(1-MAX(0,MIN(1,IF($E172&lt;=cc_D,0.0035*($E172-N$9)/$E172,0.002*($E172-N$9)/($E172-3*cc_D/7))/0.002)))^2)</f>
        <v/>
      </c>
      <c r="O172">
        <f>MAX(-fyd_cc,MIN(fyd_cc,Es_cc*IF($E172&lt;=cc_D,0.0035*($E172-O$9)/$E172,0.002*($E172-O$9)/($E172-3*cc_D/7))))-fcd_cc*(1-(1-MAX(0,MIN(1,IF($E172&lt;=cc_D,0.0035*($E172-O$9)/$E172,0.002*($E172-O$9)/($E172-3*cc_D/7))/0.002)))^2)</f>
        <v/>
      </c>
      <c r="P172">
        <f>MAX(-fyd_cc,MIN(fyd_cc,Es_cc*IF($E172&lt;=cc_D,0.0035*($E172-P$9)/$E172,0.002*($E172-P$9)/($E172-3*cc_D/7))))-fcd_cc*(1-(1-MAX(0,MIN(1,IF($E172&lt;=cc_D,0.0035*($E172-P$9)/$E172,0.002*($E172-P$9)/($E172-3*cc_D/7))/0.002)))^2)</f>
        <v/>
      </c>
      <c r="Q172">
        <f>MAX(-fyd_cc,MIN(fyd_cc,Es_cc*IF($E172&lt;=cc_D,0.0035*($E172-Q$9)/$E172,0.002*($E172-Q$9)/($E172-3*cc_D/7))))-fcd_cc*(1-(1-MAX(0,MIN(1,IF($E172&lt;=cc_D,0.0035*($E172-Q$9)/$E172,0.002*($E172-Q$9)/($E172-3*cc_D/7))/0.002)))^2)</f>
        <v/>
      </c>
      <c r="R172">
        <f>MAX(-fyd_cc,MIN(fyd_cc,Es_cc*IF($E172&lt;=cc_D,0.0035*($E172-R$9)/$E172,0.002*($E172-R$9)/($E172-3*cc_D/7))))-fcd_cc*(1-(1-MAX(0,MIN(1,IF($E172&lt;=cc_D,0.0035*($E172-R$9)/$E172,0.002*($E172-R$9)/($E172-3*cc_D/7))/0.002)))^2)</f>
        <v/>
      </c>
      <c r="S172">
        <f>MAX(-fyd_cc,MIN(fyd_cc,Es_cc*IF($E172&lt;=cc_D,0.0035*($E172-S$9)/$E172,0.002*($E172-S$9)/($E172-3*cc_D/7))))-fcd_cc*(1-(1-MAX(0,MIN(1,IF($E172&lt;=cc_D,0.0035*($E172-S$9)/$E172,0.002*($E172-S$9)/($E172-3*cc_D/7))/0.002)))^2)</f>
        <v/>
      </c>
      <c r="T172">
        <f>MAX(-fyd_cc,MIN(fyd_cc,Es_cc*IF($E172&lt;=cc_D,0.0035*($E172-T$9)/$E172,0.002*($E172-T$9)/($E172-3*cc_D/7))))-fcd_cc*(1-(1-MAX(0,MIN(1,IF($E172&lt;=cc_D,0.0035*($E172-T$9)/$E172,0.002*($E172-T$9)/($E172-3*cc_D/7))/0.002)))^2)</f>
        <v/>
      </c>
      <c r="U172">
        <f>MAX(-fyd_cc,MIN(fyd_cc,Es_cc*IF($E172&lt;=cc_D,0.0035*($E172-U$9)/$E172,0.002*($E172-U$9)/($E172-3*cc_D/7))))-fcd_cc*(1-(1-MAX(0,MIN(1,IF($E172&lt;=cc_D,0.0035*($E172-U$9)/$E172,0.002*($E172-U$9)/($E172-3*cc_D/7))/0.002)))^2)</f>
        <v/>
      </c>
      <c r="V172">
        <f>MAX(-fyd_cc,MIN(fyd_cc,Es_cc*IF($E172&lt;=cc_D,0.0035*($E172-V$9)/$E172,0.002*($E172-V$9)/($E172-3*cc_D/7))))-fcd_cc*(1-(1-MAX(0,MIN(1,IF($E172&lt;=cc_D,0.0035*($E172-V$9)/$E172,0.002*($E172-V$9)/($E172-3*cc_D/7))/0.002)))^2)</f>
        <v/>
      </c>
      <c r="W172">
        <f>MAX(-fyd_cc,MIN(fyd_cc,Es_cc*IF($E172&lt;=cc_D,0.0035*($E172-W$9)/$E172,0.002*($E172-W$9)/($E172-3*cc_D/7))))-fcd_cc*(1-(1-MAX(0,MIN(1,IF($E172&lt;=cc_D,0.0035*($E172-W$9)/$E172,0.002*($E172-W$9)/($E172-3*cc_D/7))/0.002)))^2)</f>
        <v/>
      </c>
      <c r="X172">
        <f>MAX(-fyd_cc,MIN(fyd_cc,Es_cc*IF($E172&lt;=cc_D,0.0035*($E172-X$9)/$E172,0.002*($E172-X$9)/($E172-3*cc_D/7))))-fcd_cc*(1-(1-MAX(0,MIN(1,IF($E172&lt;=cc_D,0.0035*($E172-X$9)/$E172,0.002*($E172-X$9)/($E172-3*cc_D/7))/0.002)))^2)</f>
        <v/>
      </c>
      <c r="Y172">
        <f>MAX(-fyd_cc,MIN(fyd_cc,Es_cc*IF($E172&lt;=cc_D,0.0035*($E172-Y$9)/$E172,0.002*($E172-Y$9)/($E172-3*cc_D/7))))-fcd_cc*(1-(1-MAX(0,MIN(1,IF($E172&lt;=cc_D,0.0035*($E172-Y$9)/$E172,0.002*($E172-Y$9)/($E172-3*cc_D/7))/0.002)))^2)</f>
        <v/>
      </c>
      <c r="Z172">
        <f>MAX(-fyd_cc,MIN(fyd_cc,Es_cc*IF($E172&lt;=cc_D,0.0035*($E172-Z$9)/$E172,0.002*($E172-Z$9)/($E172-3*cc_D/7))))-fcd_cc*(1-(1-MAX(0,MIN(1,IF($E172&lt;=cc_D,0.0035*($E172-Z$9)/$E172,0.002*($E172-Z$9)/($E172-3*cc_D/7))/0.002)))^2)</f>
        <v/>
      </c>
      <c r="AA172">
        <f>MAX(-fyd_cc,MIN(fyd_cc,Es_cc*IF($E172&lt;=cc_D,0.0035*($E172-AA$9)/$E172,0.002*($E172-AA$9)/($E172-3*cc_D/7))))-fcd_cc*(1-(1-MAX(0,MIN(1,IF($E172&lt;=cc_D,0.0035*($E172-AA$9)/$E172,0.002*($E172-AA$9)/($E172-3*cc_D/7))/0.002)))^2)</f>
        <v/>
      </c>
      <c r="AB172">
        <f>MAX(-fyd_cc,MIN(fyd_cc,Es_cc*IF($E172&lt;=cc_D,0.0035*($E172-AB$9)/$E172,0.002*($E172-AB$9)/($E172-3*cc_D/7))))-fcd_cc*(1-(1-MAX(0,MIN(1,IF($E172&lt;=cc_D,0.0035*($E172-AB$9)/$E172,0.002*($E172-AB$9)/($E172-3*cc_D/7))/0.002)))^2)</f>
        <v/>
      </c>
      <c r="AC172">
        <f>MAX(-fyd_cc,MIN(fyd_cc,Es_cc*IF($E172&lt;=cc_D,0.0035*($E172-AC$9)/$E172,0.002*($E172-AC$9)/($E172-3*cc_D/7))))-fcd_cc*(1-(1-MAX(0,MIN(1,IF($E172&lt;=cc_D,0.0035*($E172-AC$9)/$E172,0.002*($E172-AC$9)/($E172-3*cc_D/7))/0.002)))^2)</f>
        <v/>
      </c>
      <c r="AD172">
        <f>MAX(-fyd_cc,MIN(fyd_cc,Es_cc*IF($E172&lt;=cc_D,0.0035*($E172-AD$9)/$E172,0.002*($E172-AD$9)/($E172-3*cc_D/7))))-fcd_cc*(1-(1-MAX(0,MIN(1,IF($E172&lt;=cc_D,0.0035*($E172-AD$9)/$E172,0.002*($E172-AD$9)/($E172-3*cc_D/7))/0.002)))^2)</f>
        <v/>
      </c>
      <c r="AE172">
        <f>MAX(-fyd_cc,MIN(fyd_cc,Es_cc*IF($E172&lt;=cc_D,0.0035*($E172-AE$9)/$E172,0.002*($E172-AE$9)/($E172-3*cc_D/7))))-fcd_cc*(1-(1-MAX(0,MIN(1,IF($E172&lt;=cc_D,0.0035*($E172-AE$9)/$E172,0.002*($E172-AE$9)/($E172-3*cc_D/7))/0.002)))^2)</f>
        <v/>
      </c>
      <c r="AF172">
        <f>MAX(-fyd_cc,MIN(fyd_cc,Es_cc*IF($E172&lt;=cc_D,0.0035*($E172-AF$9)/$E172,0.002*($E172-AF$9)/($E172-3*cc_D/7))))-fcd_cc*(1-(1-MAX(0,MIN(1,IF($E172&lt;=cc_D,0.0035*($E172-AF$9)/$E172,0.002*($E172-AF$9)/($E172-3*cc_D/7))/0.002)))^2)</f>
        <v/>
      </c>
      <c r="AG172">
        <f>MAX(-fyd_cc,MIN(fyd_cc,Es_cc*IF($E172&lt;=cc_D,0.0035*($E172-AG$9)/$E172,0.002*($E172-AG$9)/($E172-3*cc_D/7))))-fcd_cc*(1-(1-MAX(0,MIN(1,IF($E172&lt;=cc_D,0.0035*($E172-AG$9)/$E172,0.002*($E172-AG$9)/($E172-3*cc_D/7))/0.002)))^2)</f>
        <v/>
      </c>
      <c r="BF172">
        <f>3*MIN($E172,cc_D)/7</f>
        <v/>
      </c>
      <c r="BG172">
        <f>$E172-$BF172</f>
        <v/>
      </c>
      <c r="BH172">
        <f>ACOS(MAX(-1,MIN(1,1-$BF172/(cc_D/2))))</f>
        <v/>
      </c>
      <c r="BI172">
        <f>ACOS(MAX(-1,MIN(1,1-MIN($E172,cc_D)/(cc_D/2))))</f>
        <v/>
      </c>
      <c r="BJ172">
        <f>((cc_D/2*(1-COS(($BH172+0*($BI172-$BH172)/12)))-$BF172)/$BG172)^2*SIN(($BH172+0*($BI172-$BH172)/12))^2</f>
        <v/>
      </c>
      <c r="BK172">
        <f>((cc_D/2*(1-COS(($BH172+1*($BI172-$BH172)/12)))-$BF172)/$BG172)^2*SIN(($BH172+1*($BI172-$BH172)/12))^2</f>
        <v/>
      </c>
      <c r="BL172">
        <f>((cc_D/2*(1-COS(($BH172+2*($BI172-$BH172)/12)))-$BF172)/$BG172)^2*SIN(($BH172+2*($BI172-$BH172)/12))^2</f>
        <v/>
      </c>
      <c r="BM172">
        <f>((cc_D/2*(1-COS(($BH172+3*($BI172-$BH172)/12)))-$BF172)/$BG172)^2*SIN(($BH172+3*($BI172-$BH172)/12))^2</f>
        <v/>
      </c>
      <c r="BN172">
        <f>((cc_D/2*(1-COS(($BH172+4*($BI172-$BH172)/12)))-$BF172)/$BG172)^2*SIN(($BH172+4*($BI172-$BH172)/12))^2</f>
        <v/>
      </c>
      <c r="BO172">
        <f>((cc_D/2*(1-COS(($BH172+5*($BI172-$BH172)/12)))-$BF172)/$BG172)^2*SIN(($BH172+5*($BI172-$BH172)/12))^2</f>
        <v/>
      </c>
      <c r="BP172">
        <f>((cc_D/2*(1-COS(($BH172+6*($BI172-$BH172)/12)))-$BF172)/$BG172)^2*SIN(($BH172+6*($BI172-$BH172)/12))^2</f>
        <v/>
      </c>
      <c r="BQ172">
        <f>((cc_D/2*(1-COS(($BH172+7*($BI172-$BH172)/12)))-$BF172)/$BG172)^2*SIN(($BH172+7*($BI172-$BH172)/12))^2</f>
        <v/>
      </c>
      <c r="BR172">
        <f>((cc_D/2*(1-COS(($BH172+8*($BI172-$BH172)/12)))-$BF172)/$BG172)^2*SIN(($BH172+8*($BI172-$BH172)/12))^2</f>
        <v/>
      </c>
      <c r="BS172">
        <f>((cc_D/2*(1-COS(($BH172+9*($BI172-$BH172)/12)))-$BF172)/$BG172)^2*SIN(($BH172+9*($BI172-$BH172)/12))^2</f>
        <v/>
      </c>
      <c r="BT172">
        <f>((cc_D/2*(1-COS(($BH172+10*($BI172-$BH172)/12)))-$BF172)/$BG172)^2*SIN(($BH172+10*($BI172-$BH172)/12))^2</f>
        <v/>
      </c>
      <c r="BU172">
        <f>((cc_D/2*(1-COS(($BH172+11*($BI172-$BH172)/12)))-$BF172)/$BG172)^2*SIN(($BH172+11*($BI172-$BH172)/12))^2</f>
        <v/>
      </c>
      <c r="BV172">
        <f>((cc_D/2*(1-COS(($BH172+12*($BI172-$BH172)/12)))-$BF172)/$BG172)^2*SIN(($BH172+12*($BI172-$BH172)/12))^2</f>
        <v/>
      </c>
      <c r="BW172">
        <f>BJ172*COS(($BH172+0*($BI172-$BH172)/12))</f>
        <v/>
      </c>
      <c r="BX172">
        <f>BK172*COS(($BH172+1*($BI172-$BH172)/12))</f>
        <v/>
      </c>
      <c r="BY172">
        <f>BL172*COS(($BH172+2*($BI172-$BH172)/12))</f>
        <v/>
      </c>
      <c r="BZ172">
        <f>BM172*COS(($BH172+3*($BI172-$BH172)/12))</f>
        <v/>
      </c>
      <c r="CA172">
        <f>BN172*COS(($BH172+4*($BI172-$BH172)/12))</f>
        <v/>
      </c>
      <c r="CB172">
        <f>BO172*COS(($BH172+5*($BI172-$BH172)/12))</f>
        <v/>
      </c>
      <c r="CC172">
        <f>BP172*COS(($BH172+6*($BI172-$BH172)/12))</f>
        <v/>
      </c>
      <c r="CD172">
        <f>BQ172*COS(($BH172+7*($BI172-$BH172)/12))</f>
        <v/>
      </c>
      <c r="CE172">
        <f>BR172*COS(($BH172+8*($BI172-$BH172)/12))</f>
        <v/>
      </c>
      <c r="CF172">
        <f>BS172*COS(($BH172+9*($BI172-$BH172)/12))</f>
        <v/>
      </c>
      <c r="CG172">
        <f>BT172*COS(($BH172+10*($BI172-$BH172)/12))</f>
        <v/>
      </c>
      <c r="CH172">
        <f>BU172*COS(($BH172+11*($BI172-$BH172)/12))</f>
        <v/>
      </c>
      <c r="CI172">
        <f>BV172*COS(($BH172+12*($BI172-$BH172)/12))</f>
        <v/>
      </c>
    </row>
    <row r="173">
      <c r="B173" s="65" t="n">
        <v>21</v>
      </c>
      <c r="C173" s="66">
        <f>IF($G172&lt;cc_NEd-1E-9*ABS(cc_NEd),($C172+$D172)/2,$C172)</f>
        <v/>
      </c>
      <c r="D173" s="66">
        <f>IF($G172&lt;cc_NEd-1E-9*ABS(cc_NEd),$D172,($C172+$D172)/2)</f>
        <v/>
      </c>
      <c r="E173" s="67">
        <f>cc_D*(($C173+$D173)/2)/(1-(($C173+$D173)/2))</f>
        <v/>
      </c>
      <c r="F173" s="68">
        <f>IF($E173&lt;=cc_D,3.5,2*$E173/($E173-3*cc_D/7))</f>
        <v/>
      </c>
      <c r="G173" s="67">
        <f>(fcd_cc*((cc_D/2)^2*($BI173-COS($BI173)*SIN($BI173))-2*(cc_D/2)^2*($BI173-$BH173)/12/3*SUMPRODUCT($BJ$4:$BV$4,$BJ173:$BV173))+SUMPRODUCT($J$5:$AG$5,$J173:$AG173))/1000</f>
        <v/>
      </c>
      <c r="H173" s="67">
        <f>(fcd_cc*(2/3*(cc_D/2)^3*SIN($BI173)^3-2*(cc_D/2)^3*($BI173-$BH173)/12/3*SUMPRODUCT($BW$4:$CI$4,$BW173:$CI173))+SUMPRODUCT($J$5:$AG$5,$J173:$AG173,$J$10:$AG$10))/1E6</f>
        <v/>
      </c>
      <c r="I173" s="67">
        <f>SUMPRODUCT($J$5:$AG$5,$J173:$AG173,$J$11:$AG$11)/1E6</f>
        <v/>
      </c>
      <c r="J173">
        <f>MAX(-fyd_cc,MIN(fyd_cc,Es_cc*IF($E173&lt;=cc_D,0.0035*($E173-J$9)/$E173,0.002*($E173-J$9)/($E173-3*cc_D/7))))-fcd_cc*(1-(1-MAX(0,MIN(1,IF($E173&lt;=cc_D,0.0035*($E173-J$9)/$E173,0.002*($E173-J$9)/($E173-3*cc_D/7))/0.002)))^2)</f>
        <v/>
      </c>
      <c r="K173">
        <f>MAX(-fyd_cc,MIN(fyd_cc,Es_cc*IF($E173&lt;=cc_D,0.0035*($E173-K$9)/$E173,0.002*($E173-K$9)/($E173-3*cc_D/7))))-fcd_cc*(1-(1-MAX(0,MIN(1,IF($E173&lt;=cc_D,0.0035*($E173-K$9)/$E173,0.002*($E173-K$9)/($E173-3*cc_D/7))/0.002)))^2)</f>
        <v/>
      </c>
      <c r="L173">
        <f>MAX(-fyd_cc,MIN(fyd_cc,Es_cc*IF($E173&lt;=cc_D,0.0035*($E173-L$9)/$E173,0.002*($E173-L$9)/($E173-3*cc_D/7))))-fcd_cc*(1-(1-MAX(0,MIN(1,IF($E173&lt;=cc_D,0.0035*($E173-L$9)/$E173,0.002*($E173-L$9)/($E173-3*cc_D/7))/0.002)))^2)</f>
        <v/>
      </c>
      <c r="M173">
        <f>MAX(-fyd_cc,MIN(fyd_cc,Es_cc*IF($E173&lt;=cc_D,0.0035*($E173-M$9)/$E173,0.002*($E173-M$9)/($E173-3*cc_D/7))))-fcd_cc*(1-(1-MAX(0,MIN(1,IF($E173&lt;=cc_D,0.0035*($E173-M$9)/$E173,0.002*($E173-M$9)/($E173-3*cc_D/7))/0.002)))^2)</f>
        <v/>
      </c>
      <c r="N173">
        <f>MAX(-fyd_cc,MIN(fyd_cc,Es_cc*IF($E173&lt;=cc_D,0.0035*($E173-N$9)/$E173,0.002*($E173-N$9)/($E173-3*cc_D/7))))-fcd_cc*(1-(1-MAX(0,MIN(1,IF($E173&lt;=cc_D,0.0035*($E173-N$9)/$E173,0.002*($E173-N$9)/($E173-3*cc_D/7))/0.002)))^2)</f>
        <v/>
      </c>
      <c r="O173">
        <f>MAX(-fyd_cc,MIN(fyd_cc,Es_cc*IF($E173&lt;=cc_D,0.0035*($E173-O$9)/$E173,0.002*($E173-O$9)/($E173-3*cc_D/7))))-fcd_cc*(1-(1-MAX(0,MIN(1,IF($E173&lt;=cc_D,0.0035*($E173-O$9)/$E173,0.002*($E173-O$9)/($E173-3*cc_D/7))/0.002)))^2)</f>
        <v/>
      </c>
      <c r="P173">
        <f>MAX(-fyd_cc,MIN(fyd_cc,Es_cc*IF($E173&lt;=cc_D,0.0035*($E173-P$9)/$E173,0.002*($E173-P$9)/($E173-3*cc_D/7))))-fcd_cc*(1-(1-MAX(0,MIN(1,IF($E173&lt;=cc_D,0.0035*($E173-P$9)/$E173,0.002*($E173-P$9)/($E173-3*cc_D/7))/0.002)))^2)</f>
        <v/>
      </c>
      <c r="Q173">
        <f>MAX(-fyd_cc,MIN(fyd_cc,Es_cc*IF($E173&lt;=cc_D,0.0035*($E173-Q$9)/$E173,0.002*($E173-Q$9)/($E173-3*cc_D/7))))-fcd_cc*(1-(1-MAX(0,MIN(1,IF($E173&lt;=cc_D,0.0035*($E173-Q$9)/$E173,0.002*($E173-Q$9)/($E173-3*cc_D/7))/0.002)))^2)</f>
        <v/>
      </c>
      <c r="R173">
        <f>MAX(-fyd_cc,MIN(fyd_cc,Es_cc*IF($E173&lt;=cc_D,0.0035*($E173-R$9)/$E173,0.002*($E173-R$9)/($E173-3*cc_D/7))))-fcd_cc*(1-(1-MAX(0,MIN(1,IF($E173&lt;=cc_D,0.0035*($E173-R$9)/$E173,0.002*($E173-R$9)/($E173-3*cc_D/7))/0.002)))^2)</f>
        <v/>
      </c>
      <c r="S173">
        <f>MAX(-fyd_cc,MIN(fyd_cc,Es_cc*IF($E173&lt;=cc_D,0.0035*($E173-S$9)/$E173,0.002*($E173-S$9)/($E173-3*cc_D/7))))-fcd_cc*(1-(1-MAX(0,MIN(1,IF($E173&lt;=cc_D,0.0035*($E173-S$9)/$E173,0.002*($E173-S$9)/($E173-3*cc_D/7))/0.002)))^2)</f>
        <v/>
      </c>
      <c r="T173">
        <f>MAX(-fyd_cc,MIN(fyd_cc,Es_cc*IF($E173&lt;=cc_D,0.0035*($E173-T$9)/$E173,0.002*($E173-T$9)/($E173-3*cc_D/7))))-fcd_cc*(1-(1-MAX(0,MIN(1,IF($E173&lt;=cc_D,0.0035*($E173-T$9)/$E173,0.002*($E173-T$9)/($E173-3*cc_D/7))/0.002)))^2)</f>
        <v/>
      </c>
      <c r="U173">
        <f>MAX(-fyd_cc,MIN(fyd_cc,Es_cc*IF($E173&lt;=cc_D,0.0035*($E173-U$9)/$E173,0.002*($E173-U$9)/($E173-3*cc_D/7))))-fcd_cc*(1-(1-MAX(0,MIN(1,IF($E173&lt;=cc_D,0.0035*($E173-U$9)/$E173,0.002*($E173-U$9)/($E173-3*cc_D/7))/0.002)))^2)</f>
        <v/>
      </c>
      <c r="V173">
        <f>MAX(-fyd_cc,MIN(fyd_cc,Es_cc*IF($E173&lt;=cc_D,0.0035*($E173-V$9)/$E173,0.002*($E173-V$9)/($E173-3*cc_D/7))))-fcd_cc*(1-(1-MAX(0,MIN(1,IF($E173&lt;=cc_D,0.0035*($E173-V$9)/$E173,0.002*($E173-V$9)/($E173-3*cc_D/7))/0.002)))^2)</f>
        <v/>
      </c>
      <c r="W173">
        <f>MAX(-fyd_cc,MIN(fyd_cc,Es_cc*IF($E173&lt;=cc_D,0.0035*($E173-W$9)/$E173,0.002*($E173-W$9)/($E173-3*cc_D/7))))-fcd_cc*(1-(1-MAX(0,MIN(1,IF($E173&lt;=cc_D,0.0035*($E173-W$9)/$E173,0.002*($E173-W$9)/($E173-3*cc_D/7))/0.002)))^2)</f>
        <v/>
      </c>
      <c r="X173">
        <f>MAX(-fyd_cc,MIN(fyd_cc,Es_cc*IF($E173&lt;=cc_D,0.0035*($E173-X$9)/$E173,0.002*($E173-X$9)/($E173-3*cc_D/7))))-fcd_cc*(1-(1-MAX(0,MIN(1,IF($E173&lt;=cc_D,0.0035*($E173-X$9)/$E173,0.002*($E173-X$9)/($E173-3*cc_D/7))/0.002)))^2)</f>
        <v/>
      </c>
      <c r="Y173">
        <f>MAX(-fyd_cc,MIN(fyd_cc,Es_cc*IF($E173&lt;=cc_D,0.0035*($E173-Y$9)/$E173,0.002*($E173-Y$9)/($E173-3*cc_D/7))))-fcd_cc*(1-(1-MAX(0,MIN(1,IF($E173&lt;=cc_D,0.0035*($E173-Y$9)/$E173,0.002*($E173-Y$9)/($E173-3*cc_D/7))/0.002)))^2)</f>
        <v/>
      </c>
      <c r="Z173">
        <f>MAX(-fyd_cc,MIN(fyd_cc,Es_cc*IF($E173&lt;=cc_D,0.0035*($E173-Z$9)/$E173,0.002*($E173-Z$9)/($E173-3*cc_D/7))))-fcd_cc*(1-(1-MAX(0,MIN(1,IF($E173&lt;=cc_D,0.0035*($E173-Z$9)/$E173,0.002*($E173-Z$9)/($E173-3*cc_D/7))/0.002)))^2)</f>
        <v/>
      </c>
      <c r="AA173">
        <f>MAX(-fyd_cc,MIN(fyd_cc,Es_cc*IF($E173&lt;=cc_D,0.0035*($E173-AA$9)/$E173,0.002*($E173-AA$9)/($E173-3*cc_D/7))))-fcd_cc*(1-(1-MAX(0,MIN(1,IF($E173&lt;=cc_D,0.0035*($E173-AA$9)/$E173,0.002*($E173-AA$9)/($E173-3*cc_D/7))/0.002)))^2)</f>
        <v/>
      </c>
      <c r="AB173">
        <f>MAX(-fyd_cc,MIN(fyd_cc,Es_cc*IF($E173&lt;=cc_D,0.0035*($E173-AB$9)/$E173,0.002*($E173-AB$9)/($E173-3*cc_D/7))))-fcd_cc*(1-(1-MAX(0,MIN(1,IF($E173&lt;=cc_D,0.0035*($E173-AB$9)/$E173,0.002*($E173-AB$9)/($E173-3*cc_D/7))/0.002)))^2)</f>
        <v/>
      </c>
      <c r="AC173">
        <f>MAX(-fyd_cc,MIN(fyd_cc,Es_cc*IF($E173&lt;=cc_D,0.0035*($E173-AC$9)/$E173,0.002*($E173-AC$9)/($E173-3*cc_D/7))))-fcd_cc*(1-(1-MAX(0,MIN(1,IF($E173&lt;=cc_D,0.0035*($E173-AC$9)/$E173,0.002*($E173-AC$9)/($E173-3*cc_D/7))/0.002)))^2)</f>
        <v/>
      </c>
      <c r="AD173">
        <f>MAX(-fyd_cc,MIN(fyd_cc,Es_cc*IF($E173&lt;=cc_D,0.0035*($E173-AD$9)/$E173,0.002*($E173-AD$9)/($E173-3*cc_D/7))))-fcd_cc*(1-(1-MAX(0,MIN(1,IF($E173&lt;=cc_D,0.0035*($E173-AD$9)/$E173,0.002*($E173-AD$9)/($E173-3*cc_D/7))/0.002)))^2)</f>
        <v/>
      </c>
      <c r="AE173">
        <f>MAX(-fyd_cc,MIN(fyd_cc,Es_cc*IF($E173&lt;=cc_D,0.0035*($E173-AE$9)/$E173,0.002*($E173-AE$9)/($E173-3*cc_D/7))))-fcd_cc*(1-(1-MAX(0,MIN(1,IF($E173&lt;=cc_D,0.0035*($E173-AE$9)/$E173,0.002*($E173-AE$9)/($E173-3*cc_D/7))/0.002)))^2)</f>
        <v/>
      </c>
      <c r="AF173">
        <f>MAX(-fyd_cc,MIN(fyd_cc,Es_cc*IF($E173&lt;=cc_D,0.0035*($E173-AF$9)/$E173,0.002*($E173-AF$9)/($E173-3*cc_D/7))))-fcd_cc*(1-(1-MAX(0,MIN(1,IF($E173&lt;=cc_D,0.0035*($E173-AF$9)/$E173,0.002*($E173-AF$9)/($E173-3*cc_D/7))/0.002)))^2)</f>
        <v/>
      </c>
      <c r="AG173">
        <f>MAX(-fyd_cc,MIN(fyd_cc,Es_cc*IF($E173&lt;=cc_D,0.0035*($E173-AG$9)/$E173,0.002*($E173-AG$9)/($E173-3*cc_D/7))))-fcd_cc*(1-(1-MAX(0,MIN(1,IF($E173&lt;=cc_D,0.0035*($E173-AG$9)/$E173,0.002*($E173-AG$9)/($E173-3*cc_D/7))/0.002)))^2)</f>
        <v/>
      </c>
      <c r="BF173">
        <f>3*MIN($E173,cc_D)/7</f>
        <v/>
      </c>
      <c r="BG173">
        <f>$E173-$BF173</f>
        <v/>
      </c>
      <c r="BH173">
        <f>ACOS(MAX(-1,MIN(1,1-$BF173/(cc_D/2))))</f>
        <v/>
      </c>
      <c r="BI173">
        <f>ACOS(MAX(-1,MIN(1,1-MIN($E173,cc_D)/(cc_D/2))))</f>
        <v/>
      </c>
      <c r="BJ173">
        <f>((cc_D/2*(1-COS(($BH173+0*($BI173-$BH173)/12)))-$BF173)/$BG173)^2*SIN(($BH173+0*($BI173-$BH173)/12))^2</f>
        <v/>
      </c>
      <c r="BK173">
        <f>((cc_D/2*(1-COS(($BH173+1*($BI173-$BH173)/12)))-$BF173)/$BG173)^2*SIN(($BH173+1*($BI173-$BH173)/12))^2</f>
        <v/>
      </c>
      <c r="BL173">
        <f>((cc_D/2*(1-COS(($BH173+2*($BI173-$BH173)/12)))-$BF173)/$BG173)^2*SIN(($BH173+2*($BI173-$BH173)/12))^2</f>
        <v/>
      </c>
      <c r="BM173">
        <f>((cc_D/2*(1-COS(($BH173+3*($BI173-$BH173)/12)))-$BF173)/$BG173)^2*SIN(($BH173+3*($BI173-$BH173)/12))^2</f>
        <v/>
      </c>
      <c r="BN173">
        <f>((cc_D/2*(1-COS(($BH173+4*($BI173-$BH173)/12)))-$BF173)/$BG173)^2*SIN(($BH173+4*($BI173-$BH173)/12))^2</f>
        <v/>
      </c>
      <c r="BO173">
        <f>((cc_D/2*(1-COS(($BH173+5*($BI173-$BH173)/12)))-$BF173)/$BG173)^2*SIN(($BH173+5*($BI173-$BH173)/12))^2</f>
        <v/>
      </c>
      <c r="BP173">
        <f>((cc_D/2*(1-COS(($BH173+6*($BI173-$BH173)/12)))-$BF173)/$BG173)^2*SIN(($BH173+6*($BI173-$BH173)/12))^2</f>
        <v/>
      </c>
      <c r="BQ173">
        <f>((cc_D/2*(1-COS(($BH173+7*($BI173-$BH173)/12)))-$BF173)/$BG173)^2*SIN(($BH173+7*($BI173-$BH173)/12))^2</f>
        <v/>
      </c>
      <c r="BR173">
        <f>((cc_D/2*(1-COS(($BH173+8*($BI173-$BH173)/12)))-$BF173)/$BG173)^2*SIN(($BH173+8*($BI173-$BH173)/12))^2</f>
        <v/>
      </c>
      <c r="BS173">
        <f>((cc_D/2*(1-COS(($BH173+9*($BI173-$BH173)/12)))-$BF173)/$BG173)^2*SIN(($BH173+9*($BI173-$BH173)/12))^2</f>
        <v/>
      </c>
      <c r="BT173">
        <f>((cc_D/2*(1-COS(($BH173+10*($BI173-$BH173)/12)))-$BF173)/$BG173)^2*SIN(($BH173+10*($BI173-$BH173)/12))^2</f>
        <v/>
      </c>
      <c r="BU173">
        <f>((cc_D/2*(1-COS(($BH173+11*($BI173-$BH173)/12)))-$BF173)/$BG173)^2*SIN(($BH173+11*($BI173-$BH173)/12))^2</f>
        <v/>
      </c>
      <c r="BV173">
        <f>((cc_D/2*(1-COS(($BH173+12*($BI173-$BH173)/12)))-$BF173)/$BG173)^2*SIN(($BH173+12*($BI173-$BH173)/12))^2</f>
        <v/>
      </c>
      <c r="BW173">
        <f>BJ173*COS(($BH173+0*($BI173-$BH173)/12))</f>
        <v/>
      </c>
      <c r="BX173">
        <f>BK173*COS(($BH173+1*($BI173-$BH173)/12))</f>
        <v/>
      </c>
      <c r="BY173">
        <f>BL173*COS(($BH173+2*($BI173-$BH173)/12))</f>
        <v/>
      </c>
      <c r="BZ173">
        <f>BM173*COS(($BH173+3*($BI173-$BH173)/12))</f>
        <v/>
      </c>
      <c r="CA173">
        <f>BN173*COS(($BH173+4*($BI173-$BH173)/12))</f>
        <v/>
      </c>
      <c r="CB173">
        <f>BO173*COS(($BH173+5*($BI173-$BH173)/12))</f>
        <v/>
      </c>
      <c r="CC173">
        <f>BP173*COS(($BH173+6*($BI173-$BH173)/12))</f>
        <v/>
      </c>
      <c r="CD173">
        <f>BQ173*COS(($BH173+7*($BI173-$BH173)/12))</f>
        <v/>
      </c>
      <c r="CE173">
        <f>BR173*COS(($BH173+8*($BI173-$BH173)/12))</f>
        <v/>
      </c>
      <c r="CF173">
        <f>BS173*COS(($BH173+9*($BI173-$BH173)/12))</f>
        <v/>
      </c>
      <c r="CG173">
        <f>BT173*COS(($BH173+10*($BI173-$BH173)/12))</f>
        <v/>
      </c>
      <c r="CH173">
        <f>BU173*COS(($BH173+11*($BI173-$BH173)/12))</f>
        <v/>
      </c>
      <c r="CI173">
        <f>BV173*COS(($BH173+12*($BI173-$BH173)/12))</f>
        <v/>
      </c>
    </row>
    <row r="174">
      <c r="B174" s="65" t="n">
        <v>22</v>
      </c>
      <c r="C174" s="66">
        <f>IF($G173&lt;cc_NEd-1E-9*ABS(cc_NEd),($C173+$D173)/2,$C173)</f>
        <v/>
      </c>
      <c r="D174" s="66">
        <f>IF($G173&lt;cc_NEd-1E-9*ABS(cc_NEd),$D173,($C173+$D173)/2)</f>
        <v/>
      </c>
      <c r="E174" s="67">
        <f>cc_D*(($C174+$D174)/2)/(1-(($C174+$D174)/2))</f>
        <v/>
      </c>
      <c r="F174" s="68">
        <f>IF($E174&lt;=cc_D,3.5,2*$E174/($E174-3*cc_D/7))</f>
        <v/>
      </c>
      <c r="G174" s="67">
        <f>(fcd_cc*((cc_D/2)^2*($BI174-COS($BI174)*SIN($BI174))-2*(cc_D/2)^2*($BI174-$BH174)/12/3*SUMPRODUCT($BJ$4:$BV$4,$BJ174:$BV174))+SUMPRODUCT($J$5:$AG$5,$J174:$AG174))/1000</f>
        <v/>
      </c>
      <c r="H174" s="67">
        <f>(fcd_cc*(2/3*(cc_D/2)^3*SIN($BI174)^3-2*(cc_D/2)^3*($BI174-$BH174)/12/3*SUMPRODUCT($BW$4:$CI$4,$BW174:$CI174))+SUMPRODUCT($J$5:$AG$5,$J174:$AG174,$J$10:$AG$10))/1E6</f>
        <v/>
      </c>
      <c r="I174" s="67">
        <f>SUMPRODUCT($J$5:$AG$5,$J174:$AG174,$J$11:$AG$11)/1E6</f>
        <v/>
      </c>
      <c r="J174">
        <f>MAX(-fyd_cc,MIN(fyd_cc,Es_cc*IF($E174&lt;=cc_D,0.0035*($E174-J$9)/$E174,0.002*($E174-J$9)/($E174-3*cc_D/7))))-fcd_cc*(1-(1-MAX(0,MIN(1,IF($E174&lt;=cc_D,0.0035*($E174-J$9)/$E174,0.002*($E174-J$9)/($E174-3*cc_D/7))/0.002)))^2)</f>
        <v/>
      </c>
      <c r="K174">
        <f>MAX(-fyd_cc,MIN(fyd_cc,Es_cc*IF($E174&lt;=cc_D,0.0035*($E174-K$9)/$E174,0.002*($E174-K$9)/($E174-3*cc_D/7))))-fcd_cc*(1-(1-MAX(0,MIN(1,IF($E174&lt;=cc_D,0.0035*($E174-K$9)/$E174,0.002*($E174-K$9)/($E174-3*cc_D/7))/0.002)))^2)</f>
        <v/>
      </c>
      <c r="L174">
        <f>MAX(-fyd_cc,MIN(fyd_cc,Es_cc*IF($E174&lt;=cc_D,0.0035*($E174-L$9)/$E174,0.002*($E174-L$9)/($E174-3*cc_D/7))))-fcd_cc*(1-(1-MAX(0,MIN(1,IF($E174&lt;=cc_D,0.0035*($E174-L$9)/$E174,0.002*($E174-L$9)/($E174-3*cc_D/7))/0.002)))^2)</f>
        <v/>
      </c>
      <c r="M174">
        <f>MAX(-fyd_cc,MIN(fyd_cc,Es_cc*IF($E174&lt;=cc_D,0.0035*($E174-M$9)/$E174,0.002*($E174-M$9)/($E174-3*cc_D/7))))-fcd_cc*(1-(1-MAX(0,MIN(1,IF($E174&lt;=cc_D,0.0035*($E174-M$9)/$E174,0.002*($E174-M$9)/($E174-3*cc_D/7))/0.002)))^2)</f>
        <v/>
      </c>
      <c r="N174">
        <f>MAX(-fyd_cc,MIN(fyd_cc,Es_cc*IF($E174&lt;=cc_D,0.0035*($E174-N$9)/$E174,0.002*($E174-N$9)/($E174-3*cc_D/7))))-fcd_cc*(1-(1-MAX(0,MIN(1,IF($E174&lt;=cc_D,0.0035*($E174-N$9)/$E174,0.002*($E174-N$9)/($E174-3*cc_D/7))/0.002)))^2)</f>
        <v/>
      </c>
      <c r="O174">
        <f>MAX(-fyd_cc,MIN(fyd_cc,Es_cc*IF($E174&lt;=cc_D,0.0035*($E174-O$9)/$E174,0.002*($E174-O$9)/($E174-3*cc_D/7))))-fcd_cc*(1-(1-MAX(0,MIN(1,IF($E174&lt;=cc_D,0.0035*($E174-O$9)/$E174,0.002*($E174-O$9)/($E174-3*cc_D/7))/0.002)))^2)</f>
        <v/>
      </c>
      <c r="P174">
        <f>MAX(-fyd_cc,MIN(fyd_cc,Es_cc*IF($E174&lt;=cc_D,0.0035*($E174-P$9)/$E174,0.002*($E174-P$9)/($E174-3*cc_D/7))))-fcd_cc*(1-(1-MAX(0,MIN(1,IF($E174&lt;=cc_D,0.0035*($E174-P$9)/$E174,0.002*($E174-P$9)/($E174-3*cc_D/7))/0.002)))^2)</f>
        <v/>
      </c>
      <c r="Q174">
        <f>MAX(-fyd_cc,MIN(fyd_cc,Es_cc*IF($E174&lt;=cc_D,0.0035*($E174-Q$9)/$E174,0.002*($E174-Q$9)/($E174-3*cc_D/7))))-fcd_cc*(1-(1-MAX(0,MIN(1,IF($E174&lt;=cc_D,0.0035*($E174-Q$9)/$E174,0.002*($E174-Q$9)/($E174-3*cc_D/7))/0.002)))^2)</f>
        <v/>
      </c>
      <c r="R174">
        <f>MAX(-fyd_cc,MIN(fyd_cc,Es_cc*IF($E174&lt;=cc_D,0.0035*($E174-R$9)/$E174,0.002*($E174-R$9)/($E174-3*cc_D/7))))-fcd_cc*(1-(1-MAX(0,MIN(1,IF($E174&lt;=cc_D,0.0035*($E174-R$9)/$E174,0.002*($E174-R$9)/($E174-3*cc_D/7))/0.002)))^2)</f>
        <v/>
      </c>
      <c r="S174">
        <f>MAX(-fyd_cc,MIN(fyd_cc,Es_cc*IF($E174&lt;=cc_D,0.0035*($E174-S$9)/$E174,0.002*($E174-S$9)/($E174-3*cc_D/7))))-fcd_cc*(1-(1-MAX(0,MIN(1,IF($E174&lt;=cc_D,0.0035*($E174-S$9)/$E174,0.002*($E174-S$9)/($E174-3*cc_D/7))/0.002)))^2)</f>
        <v/>
      </c>
      <c r="T174">
        <f>MAX(-fyd_cc,MIN(fyd_cc,Es_cc*IF($E174&lt;=cc_D,0.0035*($E174-T$9)/$E174,0.002*($E174-T$9)/($E174-3*cc_D/7))))-fcd_cc*(1-(1-MAX(0,MIN(1,IF($E174&lt;=cc_D,0.0035*($E174-T$9)/$E174,0.002*($E174-T$9)/($E174-3*cc_D/7))/0.002)))^2)</f>
        <v/>
      </c>
      <c r="U174">
        <f>MAX(-fyd_cc,MIN(fyd_cc,Es_cc*IF($E174&lt;=cc_D,0.0035*($E174-U$9)/$E174,0.002*($E174-U$9)/($E174-3*cc_D/7))))-fcd_cc*(1-(1-MAX(0,MIN(1,IF($E174&lt;=cc_D,0.0035*($E174-U$9)/$E174,0.002*($E174-U$9)/($E174-3*cc_D/7))/0.002)))^2)</f>
        <v/>
      </c>
      <c r="V174">
        <f>MAX(-fyd_cc,MIN(fyd_cc,Es_cc*IF($E174&lt;=cc_D,0.0035*($E174-V$9)/$E174,0.002*($E174-V$9)/($E174-3*cc_D/7))))-fcd_cc*(1-(1-MAX(0,MIN(1,IF($E174&lt;=cc_D,0.0035*($E174-V$9)/$E174,0.002*($E174-V$9)/($E174-3*cc_D/7))/0.002)))^2)</f>
        <v/>
      </c>
      <c r="W174">
        <f>MAX(-fyd_cc,MIN(fyd_cc,Es_cc*IF($E174&lt;=cc_D,0.0035*($E174-W$9)/$E174,0.002*($E174-W$9)/($E174-3*cc_D/7))))-fcd_cc*(1-(1-MAX(0,MIN(1,IF($E174&lt;=cc_D,0.0035*($E174-W$9)/$E174,0.002*($E174-W$9)/($E174-3*cc_D/7))/0.002)))^2)</f>
        <v/>
      </c>
      <c r="X174">
        <f>MAX(-fyd_cc,MIN(fyd_cc,Es_cc*IF($E174&lt;=cc_D,0.0035*($E174-X$9)/$E174,0.002*($E174-X$9)/($E174-3*cc_D/7))))-fcd_cc*(1-(1-MAX(0,MIN(1,IF($E174&lt;=cc_D,0.0035*($E174-X$9)/$E174,0.002*($E174-X$9)/($E174-3*cc_D/7))/0.002)))^2)</f>
        <v/>
      </c>
      <c r="Y174">
        <f>MAX(-fyd_cc,MIN(fyd_cc,Es_cc*IF($E174&lt;=cc_D,0.0035*($E174-Y$9)/$E174,0.002*($E174-Y$9)/($E174-3*cc_D/7))))-fcd_cc*(1-(1-MAX(0,MIN(1,IF($E174&lt;=cc_D,0.0035*($E174-Y$9)/$E174,0.002*($E174-Y$9)/($E174-3*cc_D/7))/0.002)))^2)</f>
        <v/>
      </c>
      <c r="Z174">
        <f>MAX(-fyd_cc,MIN(fyd_cc,Es_cc*IF($E174&lt;=cc_D,0.0035*($E174-Z$9)/$E174,0.002*($E174-Z$9)/($E174-3*cc_D/7))))-fcd_cc*(1-(1-MAX(0,MIN(1,IF($E174&lt;=cc_D,0.0035*($E174-Z$9)/$E174,0.002*($E174-Z$9)/($E174-3*cc_D/7))/0.002)))^2)</f>
        <v/>
      </c>
      <c r="AA174">
        <f>MAX(-fyd_cc,MIN(fyd_cc,Es_cc*IF($E174&lt;=cc_D,0.0035*($E174-AA$9)/$E174,0.002*($E174-AA$9)/($E174-3*cc_D/7))))-fcd_cc*(1-(1-MAX(0,MIN(1,IF($E174&lt;=cc_D,0.0035*($E174-AA$9)/$E174,0.002*($E174-AA$9)/($E174-3*cc_D/7))/0.002)))^2)</f>
        <v/>
      </c>
      <c r="AB174">
        <f>MAX(-fyd_cc,MIN(fyd_cc,Es_cc*IF($E174&lt;=cc_D,0.0035*($E174-AB$9)/$E174,0.002*($E174-AB$9)/($E174-3*cc_D/7))))-fcd_cc*(1-(1-MAX(0,MIN(1,IF($E174&lt;=cc_D,0.0035*($E174-AB$9)/$E174,0.002*($E174-AB$9)/($E174-3*cc_D/7))/0.002)))^2)</f>
        <v/>
      </c>
      <c r="AC174">
        <f>MAX(-fyd_cc,MIN(fyd_cc,Es_cc*IF($E174&lt;=cc_D,0.0035*($E174-AC$9)/$E174,0.002*($E174-AC$9)/($E174-3*cc_D/7))))-fcd_cc*(1-(1-MAX(0,MIN(1,IF($E174&lt;=cc_D,0.0035*($E174-AC$9)/$E174,0.002*($E174-AC$9)/($E174-3*cc_D/7))/0.002)))^2)</f>
        <v/>
      </c>
      <c r="AD174">
        <f>MAX(-fyd_cc,MIN(fyd_cc,Es_cc*IF($E174&lt;=cc_D,0.0035*($E174-AD$9)/$E174,0.002*($E174-AD$9)/($E174-3*cc_D/7))))-fcd_cc*(1-(1-MAX(0,MIN(1,IF($E174&lt;=cc_D,0.0035*($E174-AD$9)/$E174,0.002*($E174-AD$9)/($E174-3*cc_D/7))/0.002)))^2)</f>
        <v/>
      </c>
      <c r="AE174">
        <f>MAX(-fyd_cc,MIN(fyd_cc,Es_cc*IF($E174&lt;=cc_D,0.0035*($E174-AE$9)/$E174,0.002*($E174-AE$9)/($E174-3*cc_D/7))))-fcd_cc*(1-(1-MAX(0,MIN(1,IF($E174&lt;=cc_D,0.0035*($E174-AE$9)/$E174,0.002*($E174-AE$9)/($E174-3*cc_D/7))/0.002)))^2)</f>
        <v/>
      </c>
      <c r="AF174">
        <f>MAX(-fyd_cc,MIN(fyd_cc,Es_cc*IF($E174&lt;=cc_D,0.0035*($E174-AF$9)/$E174,0.002*($E174-AF$9)/($E174-3*cc_D/7))))-fcd_cc*(1-(1-MAX(0,MIN(1,IF($E174&lt;=cc_D,0.0035*($E174-AF$9)/$E174,0.002*($E174-AF$9)/($E174-3*cc_D/7))/0.002)))^2)</f>
        <v/>
      </c>
      <c r="AG174">
        <f>MAX(-fyd_cc,MIN(fyd_cc,Es_cc*IF($E174&lt;=cc_D,0.0035*($E174-AG$9)/$E174,0.002*($E174-AG$9)/($E174-3*cc_D/7))))-fcd_cc*(1-(1-MAX(0,MIN(1,IF($E174&lt;=cc_D,0.0035*($E174-AG$9)/$E174,0.002*($E174-AG$9)/($E174-3*cc_D/7))/0.002)))^2)</f>
        <v/>
      </c>
      <c r="BF174">
        <f>3*MIN($E174,cc_D)/7</f>
        <v/>
      </c>
      <c r="BG174">
        <f>$E174-$BF174</f>
        <v/>
      </c>
      <c r="BH174">
        <f>ACOS(MAX(-1,MIN(1,1-$BF174/(cc_D/2))))</f>
        <v/>
      </c>
      <c r="BI174">
        <f>ACOS(MAX(-1,MIN(1,1-MIN($E174,cc_D)/(cc_D/2))))</f>
        <v/>
      </c>
      <c r="BJ174">
        <f>((cc_D/2*(1-COS(($BH174+0*($BI174-$BH174)/12)))-$BF174)/$BG174)^2*SIN(($BH174+0*($BI174-$BH174)/12))^2</f>
        <v/>
      </c>
      <c r="BK174">
        <f>((cc_D/2*(1-COS(($BH174+1*($BI174-$BH174)/12)))-$BF174)/$BG174)^2*SIN(($BH174+1*($BI174-$BH174)/12))^2</f>
        <v/>
      </c>
      <c r="BL174">
        <f>((cc_D/2*(1-COS(($BH174+2*($BI174-$BH174)/12)))-$BF174)/$BG174)^2*SIN(($BH174+2*($BI174-$BH174)/12))^2</f>
        <v/>
      </c>
      <c r="BM174">
        <f>((cc_D/2*(1-COS(($BH174+3*($BI174-$BH174)/12)))-$BF174)/$BG174)^2*SIN(($BH174+3*($BI174-$BH174)/12))^2</f>
        <v/>
      </c>
      <c r="BN174">
        <f>((cc_D/2*(1-COS(($BH174+4*($BI174-$BH174)/12)))-$BF174)/$BG174)^2*SIN(($BH174+4*($BI174-$BH174)/12))^2</f>
        <v/>
      </c>
      <c r="BO174">
        <f>((cc_D/2*(1-COS(($BH174+5*($BI174-$BH174)/12)))-$BF174)/$BG174)^2*SIN(($BH174+5*($BI174-$BH174)/12))^2</f>
        <v/>
      </c>
      <c r="BP174">
        <f>((cc_D/2*(1-COS(($BH174+6*($BI174-$BH174)/12)))-$BF174)/$BG174)^2*SIN(($BH174+6*($BI174-$BH174)/12))^2</f>
        <v/>
      </c>
      <c r="BQ174">
        <f>((cc_D/2*(1-COS(($BH174+7*($BI174-$BH174)/12)))-$BF174)/$BG174)^2*SIN(($BH174+7*($BI174-$BH174)/12))^2</f>
        <v/>
      </c>
      <c r="BR174">
        <f>((cc_D/2*(1-COS(($BH174+8*($BI174-$BH174)/12)))-$BF174)/$BG174)^2*SIN(($BH174+8*($BI174-$BH174)/12))^2</f>
        <v/>
      </c>
      <c r="BS174">
        <f>((cc_D/2*(1-COS(($BH174+9*($BI174-$BH174)/12)))-$BF174)/$BG174)^2*SIN(($BH174+9*($BI174-$BH174)/12))^2</f>
        <v/>
      </c>
      <c r="BT174">
        <f>((cc_D/2*(1-COS(($BH174+10*($BI174-$BH174)/12)))-$BF174)/$BG174)^2*SIN(($BH174+10*($BI174-$BH174)/12))^2</f>
        <v/>
      </c>
      <c r="BU174">
        <f>((cc_D/2*(1-COS(($BH174+11*($BI174-$BH174)/12)))-$BF174)/$BG174)^2*SIN(($BH174+11*($BI174-$BH174)/12))^2</f>
        <v/>
      </c>
      <c r="BV174">
        <f>((cc_D/2*(1-COS(($BH174+12*($BI174-$BH174)/12)))-$BF174)/$BG174)^2*SIN(($BH174+12*($BI174-$BH174)/12))^2</f>
        <v/>
      </c>
      <c r="BW174">
        <f>BJ174*COS(($BH174+0*($BI174-$BH174)/12))</f>
        <v/>
      </c>
      <c r="BX174">
        <f>BK174*COS(($BH174+1*($BI174-$BH174)/12))</f>
        <v/>
      </c>
      <c r="BY174">
        <f>BL174*COS(($BH174+2*($BI174-$BH174)/12))</f>
        <v/>
      </c>
      <c r="BZ174">
        <f>BM174*COS(($BH174+3*($BI174-$BH174)/12))</f>
        <v/>
      </c>
      <c r="CA174">
        <f>BN174*COS(($BH174+4*($BI174-$BH174)/12))</f>
        <v/>
      </c>
      <c r="CB174">
        <f>BO174*COS(($BH174+5*($BI174-$BH174)/12))</f>
        <v/>
      </c>
      <c r="CC174">
        <f>BP174*COS(($BH174+6*($BI174-$BH174)/12))</f>
        <v/>
      </c>
      <c r="CD174">
        <f>BQ174*COS(($BH174+7*($BI174-$BH174)/12))</f>
        <v/>
      </c>
      <c r="CE174">
        <f>BR174*COS(($BH174+8*($BI174-$BH174)/12))</f>
        <v/>
      </c>
      <c r="CF174">
        <f>BS174*COS(($BH174+9*($BI174-$BH174)/12))</f>
        <v/>
      </c>
      <c r="CG174">
        <f>BT174*COS(($BH174+10*($BI174-$BH174)/12))</f>
        <v/>
      </c>
      <c r="CH174">
        <f>BU174*COS(($BH174+11*($BI174-$BH174)/12))</f>
        <v/>
      </c>
      <c r="CI174">
        <f>BV174*COS(($BH174+12*($BI174-$BH174)/12))</f>
        <v/>
      </c>
    </row>
    <row r="175">
      <c r="B175" s="65" t="n">
        <v>23</v>
      </c>
      <c r="C175" s="66">
        <f>IF($G174&lt;cc_NEd-1E-9*ABS(cc_NEd),($C174+$D174)/2,$C174)</f>
        <v/>
      </c>
      <c r="D175" s="66">
        <f>IF($G174&lt;cc_NEd-1E-9*ABS(cc_NEd),$D174,($C174+$D174)/2)</f>
        <v/>
      </c>
      <c r="E175" s="67">
        <f>cc_D*(($C175+$D175)/2)/(1-(($C175+$D175)/2))</f>
        <v/>
      </c>
      <c r="F175" s="68">
        <f>IF($E175&lt;=cc_D,3.5,2*$E175/($E175-3*cc_D/7))</f>
        <v/>
      </c>
      <c r="G175" s="67">
        <f>(fcd_cc*((cc_D/2)^2*($BI175-COS($BI175)*SIN($BI175))-2*(cc_D/2)^2*($BI175-$BH175)/12/3*SUMPRODUCT($BJ$4:$BV$4,$BJ175:$BV175))+SUMPRODUCT($J$5:$AG$5,$J175:$AG175))/1000</f>
        <v/>
      </c>
      <c r="H175" s="67">
        <f>(fcd_cc*(2/3*(cc_D/2)^3*SIN($BI175)^3-2*(cc_D/2)^3*($BI175-$BH175)/12/3*SUMPRODUCT($BW$4:$CI$4,$BW175:$CI175))+SUMPRODUCT($J$5:$AG$5,$J175:$AG175,$J$10:$AG$10))/1E6</f>
        <v/>
      </c>
      <c r="I175" s="67">
        <f>SUMPRODUCT($J$5:$AG$5,$J175:$AG175,$J$11:$AG$11)/1E6</f>
        <v/>
      </c>
      <c r="J175">
        <f>MAX(-fyd_cc,MIN(fyd_cc,Es_cc*IF($E175&lt;=cc_D,0.0035*($E175-J$9)/$E175,0.002*($E175-J$9)/($E175-3*cc_D/7))))-fcd_cc*(1-(1-MAX(0,MIN(1,IF($E175&lt;=cc_D,0.0035*($E175-J$9)/$E175,0.002*($E175-J$9)/($E175-3*cc_D/7))/0.002)))^2)</f>
        <v/>
      </c>
      <c r="K175">
        <f>MAX(-fyd_cc,MIN(fyd_cc,Es_cc*IF($E175&lt;=cc_D,0.0035*($E175-K$9)/$E175,0.002*($E175-K$9)/($E175-3*cc_D/7))))-fcd_cc*(1-(1-MAX(0,MIN(1,IF($E175&lt;=cc_D,0.0035*($E175-K$9)/$E175,0.002*($E175-K$9)/($E175-3*cc_D/7))/0.002)))^2)</f>
        <v/>
      </c>
      <c r="L175">
        <f>MAX(-fyd_cc,MIN(fyd_cc,Es_cc*IF($E175&lt;=cc_D,0.0035*($E175-L$9)/$E175,0.002*($E175-L$9)/($E175-3*cc_D/7))))-fcd_cc*(1-(1-MAX(0,MIN(1,IF($E175&lt;=cc_D,0.0035*($E175-L$9)/$E175,0.002*($E175-L$9)/($E175-3*cc_D/7))/0.002)))^2)</f>
        <v/>
      </c>
      <c r="M175">
        <f>MAX(-fyd_cc,MIN(fyd_cc,Es_cc*IF($E175&lt;=cc_D,0.0035*($E175-M$9)/$E175,0.002*($E175-M$9)/($E175-3*cc_D/7))))-fcd_cc*(1-(1-MAX(0,MIN(1,IF($E175&lt;=cc_D,0.0035*($E175-M$9)/$E175,0.002*($E175-M$9)/($E175-3*cc_D/7))/0.002)))^2)</f>
        <v/>
      </c>
      <c r="N175">
        <f>MAX(-fyd_cc,MIN(fyd_cc,Es_cc*IF($E175&lt;=cc_D,0.0035*($E175-N$9)/$E175,0.002*($E175-N$9)/($E175-3*cc_D/7))))-fcd_cc*(1-(1-MAX(0,MIN(1,IF($E175&lt;=cc_D,0.0035*($E175-N$9)/$E175,0.002*($E175-N$9)/($E175-3*cc_D/7))/0.002)))^2)</f>
        <v/>
      </c>
      <c r="O175">
        <f>MAX(-fyd_cc,MIN(fyd_cc,Es_cc*IF($E175&lt;=cc_D,0.0035*($E175-O$9)/$E175,0.002*($E175-O$9)/($E175-3*cc_D/7))))-fcd_cc*(1-(1-MAX(0,MIN(1,IF($E175&lt;=cc_D,0.0035*($E175-O$9)/$E175,0.002*($E175-O$9)/($E175-3*cc_D/7))/0.002)))^2)</f>
        <v/>
      </c>
      <c r="P175">
        <f>MAX(-fyd_cc,MIN(fyd_cc,Es_cc*IF($E175&lt;=cc_D,0.0035*($E175-P$9)/$E175,0.002*($E175-P$9)/($E175-3*cc_D/7))))-fcd_cc*(1-(1-MAX(0,MIN(1,IF($E175&lt;=cc_D,0.0035*($E175-P$9)/$E175,0.002*($E175-P$9)/($E175-3*cc_D/7))/0.002)))^2)</f>
        <v/>
      </c>
      <c r="Q175">
        <f>MAX(-fyd_cc,MIN(fyd_cc,Es_cc*IF($E175&lt;=cc_D,0.0035*($E175-Q$9)/$E175,0.002*($E175-Q$9)/($E175-3*cc_D/7))))-fcd_cc*(1-(1-MAX(0,MIN(1,IF($E175&lt;=cc_D,0.0035*($E175-Q$9)/$E175,0.002*($E175-Q$9)/($E175-3*cc_D/7))/0.002)))^2)</f>
        <v/>
      </c>
      <c r="R175">
        <f>MAX(-fyd_cc,MIN(fyd_cc,Es_cc*IF($E175&lt;=cc_D,0.0035*($E175-R$9)/$E175,0.002*($E175-R$9)/($E175-3*cc_D/7))))-fcd_cc*(1-(1-MAX(0,MIN(1,IF($E175&lt;=cc_D,0.0035*($E175-R$9)/$E175,0.002*($E175-R$9)/($E175-3*cc_D/7))/0.002)))^2)</f>
        <v/>
      </c>
      <c r="S175">
        <f>MAX(-fyd_cc,MIN(fyd_cc,Es_cc*IF($E175&lt;=cc_D,0.0035*($E175-S$9)/$E175,0.002*($E175-S$9)/($E175-3*cc_D/7))))-fcd_cc*(1-(1-MAX(0,MIN(1,IF($E175&lt;=cc_D,0.0035*($E175-S$9)/$E175,0.002*($E175-S$9)/($E175-3*cc_D/7))/0.002)))^2)</f>
        <v/>
      </c>
      <c r="T175">
        <f>MAX(-fyd_cc,MIN(fyd_cc,Es_cc*IF($E175&lt;=cc_D,0.0035*($E175-T$9)/$E175,0.002*($E175-T$9)/($E175-3*cc_D/7))))-fcd_cc*(1-(1-MAX(0,MIN(1,IF($E175&lt;=cc_D,0.0035*($E175-T$9)/$E175,0.002*($E175-T$9)/($E175-3*cc_D/7))/0.002)))^2)</f>
        <v/>
      </c>
      <c r="U175">
        <f>MAX(-fyd_cc,MIN(fyd_cc,Es_cc*IF($E175&lt;=cc_D,0.0035*($E175-U$9)/$E175,0.002*($E175-U$9)/($E175-3*cc_D/7))))-fcd_cc*(1-(1-MAX(0,MIN(1,IF($E175&lt;=cc_D,0.0035*($E175-U$9)/$E175,0.002*($E175-U$9)/($E175-3*cc_D/7))/0.002)))^2)</f>
        <v/>
      </c>
      <c r="V175">
        <f>MAX(-fyd_cc,MIN(fyd_cc,Es_cc*IF($E175&lt;=cc_D,0.0035*($E175-V$9)/$E175,0.002*($E175-V$9)/($E175-3*cc_D/7))))-fcd_cc*(1-(1-MAX(0,MIN(1,IF($E175&lt;=cc_D,0.0035*($E175-V$9)/$E175,0.002*($E175-V$9)/($E175-3*cc_D/7))/0.002)))^2)</f>
        <v/>
      </c>
      <c r="W175">
        <f>MAX(-fyd_cc,MIN(fyd_cc,Es_cc*IF($E175&lt;=cc_D,0.0035*($E175-W$9)/$E175,0.002*($E175-W$9)/($E175-3*cc_D/7))))-fcd_cc*(1-(1-MAX(0,MIN(1,IF($E175&lt;=cc_D,0.0035*($E175-W$9)/$E175,0.002*($E175-W$9)/($E175-3*cc_D/7))/0.002)))^2)</f>
        <v/>
      </c>
      <c r="X175">
        <f>MAX(-fyd_cc,MIN(fyd_cc,Es_cc*IF($E175&lt;=cc_D,0.0035*($E175-X$9)/$E175,0.002*($E175-X$9)/($E175-3*cc_D/7))))-fcd_cc*(1-(1-MAX(0,MIN(1,IF($E175&lt;=cc_D,0.0035*($E175-X$9)/$E175,0.002*($E175-X$9)/($E175-3*cc_D/7))/0.002)))^2)</f>
        <v/>
      </c>
      <c r="Y175">
        <f>MAX(-fyd_cc,MIN(fyd_cc,Es_cc*IF($E175&lt;=cc_D,0.0035*($E175-Y$9)/$E175,0.002*($E175-Y$9)/($E175-3*cc_D/7))))-fcd_cc*(1-(1-MAX(0,MIN(1,IF($E175&lt;=cc_D,0.0035*($E175-Y$9)/$E175,0.002*($E175-Y$9)/($E175-3*cc_D/7))/0.002)))^2)</f>
        <v/>
      </c>
      <c r="Z175">
        <f>MAX(-fyd_cc,MIN(fyd_cc,Es_cc*IF($E175&lt;=cc_D,0.0035*($E175-Z$9)/$E175,0.002*($E175-Z$9)/($E175-3*cc_D/7))))-fcd_cc*(1-(1-MAX(0,MIN(1,IF($E175&lt;=cc_D,0.0035*($E175-Z$9)/$E175,0.002*($E175-Z$9)/($E175-3*cc_D/7))/0.002)))^2)</f>
        <v/>
      </c>
      <c r="AA175">
        <f>MAX(-fyd_cc,MIN(fyd_cc,Es_cc*IF($E175&lt;=cc_D,0.0035*($E175-AA$9)/$E175,0.002*($E175-AA$9)/($E175-3*cc_D/7))))-fcd_cc*(1-(1-MAX(0,MIN(1,IF($E175&lt;=cc_D,0.0035*($E175-AA$9)/$E175,0.002*($E175-AA$9)/($E175-3*cc_D/7))/0.002)))^2)</f>
        <v/>
      </c>
      <c r="AB175">
        <f>MAX(-fyd_cc,MIN(fyd_cc,Es_cc*IF($E175&lt;=cc_D,0.0035*($E175-AB$9)/$E175,0.002*($E175-AB$9)/($E175-3*cc_D/7))))-fcd_cc*(1-(1-MAX(0,MIN(1,IF($E175&lt;=cc_D,0.0035*($E175-AB$9)/$E175,0.002*($E175-AB$9)/($E175-3*cc_D/7))/0.002)))^2)</f>
        <v/>
      </c>
      <c r="AC175">
        <f>MAX(-fyd_cc,MIN(fyd_cc,Es_cc*IF($E175&lt;=cc_D,0.0035*($E175-AC$9)/$E175,0.002*($E175-AC$9)/($E175-3*cc_D/7))))-fcd_cc*(1-(1-MAX(0,MIN(1,IF($E175&lt;=cc_D,0.0035*($E175-AC$9)/$E175,0.002*($E175-AC$9)/($E175-3*cc_D/7))/0.002)))^2)</f>
        <v/>
      </c>
      <c r="AD175">
        <f>MAX(-fyd_cc,MIN(fyd_cc,Es_cc*IF($E175&lt;=cc_D,0.0035*($E175-AD$9)/$E175,0.002*($E175-AD$9)/($E175-3*cc_D/7))))-fcd_cc*(1-(1-MAX(0,MIN(1,IF($E175&lt;=cc_D,0.0035*($E175-AD$9)/$E175,0.002*($E175-AD$9)/($E175-3*cc_D/7))/0.002)))^2)</f>
        <v/>
      </c>
      <c r="AE175">
        <f>MAX(-fyd_cc,MIN(fyd_cc,Es_cc*IF($E175&lt;=cc_D,0.0035*($E175-AE$9)/$E175,0.002*($E175-AE$9)/($E175-3*cc_D/7))))-fcd_cc*(1-(1-MAX(0,MIN(1,IF($E175&lt;=cc_D,0.0035*($E175-AE$9)/$E175,0.002*($E175-AE$9)/($E175-3*cc_D/7))/0.002)))^2)</f>
        <v/>
      </c>
      <c r="AF175">
        <f>MAX(-fyd_cc,MIN(fyd_cc,Es_cc*IF($E175&lt;=cc_D,0.0035*($E175-AF$9)/$E175,0.002*($E175-AF$9)/($E175-3*cc_D/7))))-fcd_cc*(1-(1-MAX(0,MIN(1,IF($E175&lt;=cc_D,0.0035*($E175-AF$9)/$E175,0.002*($E175-AF$9)/($E175-3*cc_D/7))/0.002)))^2)</f>
        <v/>
      </c>
      <c r="AG175">
        <f>MAX(-fyd_cc,MIN(fyd_cc,Es_cc*IF($E175&lt;=cc_D,0.0035*($E175-AG$9)/$E175,0.002*($E175-AG$9)/($E175-3*cc_D/7))))-fcd_cc*(1-(1-MAX(0,MIN(1,IF($E175&lt;=cc_D,0.0035*($E175-AG$9)/$E175,0.002*($E175-AG$9)/($E175-3*cc_D/7))/0.002)))^2)</f>
        <v/>
      </c>
      <c r="BF175">
        <f>3*MIN($E175,cc_D)/7</f>
        <v/>
      </c>
      <c r="BG175">
        <f>$E175-$BF175</f>
        <v/>
      </c>
      <c r="BH175">
        <f>ACOS(MAX(-1,MIN(1,1-$BF175/(cc_D/2))))</f>
        <v/>
      </c>
      <c r="BI175">
        <f>ACOS(MAX(-1,MIN(1,1-MIN($E175,cc_D)/(cc_D/2))))</f>
        <v/>
      </c>
      <c r="BJ175">
        <f>((cc_D/2*(1-COS(($BH175+0*($BI175-$BH175)/12)))-$BF175)/$BG175)^2*SIN(($BH175+0*($BI175-$BH175)/12))^2</f>
        <v/>
      </c>
      <c r="BK175">
        <f>((cc_D/2*(1-COS(($BH175+1*($BI175-$BH175)/12)))-$BF175)/$BG175)^2*SIN(($BH175+1*($BI175-$BH175)/12))^2</f>
        <v/>
      </c>
      <c r="BL175">
        <f>((cc_D/2*(1-COS(($BH175+2*($BI175-$BH175)/12)))-$BF175)/$BG175)^2*SIN(($BH175+2*($BI175-$BH175)/12))^2</f>
        <v/>
      </c>
      <c r="BM175">
        <f>((cc_D/2*(1-COS(($BH175+3*($BI175-$BH175)/12)))-$BF175)/$BG175)^2*SIN(($BH175+3*($BI175-$BH175)/12))^2</f>
        <v/>
      </c>
      <c r="BN175">
        <f>((cc_D/2*(1-COS(($BH175+4*($BI175-$BH175)/12)))-$BF175)/$BG175)^2*SIN(($BH175+4*($BI175-$BH175)/12))^2</f>
        <v/>
      </c>
      <c r="BO175">
        <f>((cc_D/2*(1-COS(($BH175+5*($BI175-$BH175)/12)))-$BF175)/$BG175)^2*SIN(($BH175+5*($BI175-$BH175)/12))^2</f>
        <v/>
      </c>
      <c r="BP175">
        <f>((cc_D/2*(1-COS(($BH175+6*($BI175-$BH175)/12)))-$BF175)/$BG175)^2*SIN(($BH175+6*($BI175-$BH175)/12))^2</f>
        <v/>
      </c>
      <c r="BQ175">
        <f>((cc_D/2*(1-COS(($BH175+7*($BI175-$BH175)/12)))-$BF175)/$BG175)^2*SIN(($BH175+7*($BI175-$BH175)/12))^2</f>
        <v/>
      </c>
      <c r="BR175">
        <f>((cc_D/2*(1-COS(($BH175+8*($BI175-$BH175)/12)))-$BF175)/$BG175)^2*SIN(($BH175+8*($BI175-$BH175)/12))^2</f>
        <v/>
      </c>
      <c r="BS175">
        <f>((cc_D/2*(1-COS(($BH175+9*($BI175-$BH175)/12)))-$BF175)/$BG175)^2*SIN(($BH175+9*($BI175-$BH175)/12))^2</f>
        <v/>
      </c>
      <c r="BT175">
        <f>((cc_D/2*(1-COS(($BH175+10*($BI175-$BH175)/12)))-$BF175)/$BG175)^2*SIN(($BH175+10*($BI175-$BH175)/12))^2</f>
        <v/>
      </c>
      <c r="BU175">
        <f>((cc_D/2*(1-COS(($BH175+11*($BI175-$BH175)/12)))-$BF175)/$BG175)^2*SIN(($BH175+11*($BI175-$BH175)/12))^2</f>
        <v/>
      </c>
      <c r="BV175">
        <f>((cc_D/2*(1-COS(($BH175+12*($BI175-$BH175)/12)))-$BF175)/$BG175)^2*SIN(($BH175+12*($BI175-$BH175)/12))^2</f>
        <v/>
      </c>
      <c r="BW175">
        <f>BJ175*COS(($BH175+0*($BI175-$BH175)/12))</f>
        <v/>
      </c>
      <c r="BX175">
        <f>BK175*COS(($BH175+1*($BI175-$BH175)/12))</f>
        <v/>
      </c>
      <c r="BY175">
        <f>BL175*COS(($BH175+2*($BI175-$BH175)/12))</f>
        <v/>
      </c>
      <c r="BZ175">
        <f>BM175*COS(($BH175+3*($BI175-$BH175)/12))</f>
        <v/>
      </c>
      <c r="CA175">
        <f>BN175*COS(($BH175+4*($BI175-$BH175)/12))</f>
        <v/>
      </c>
      <c r="CB175">
        <f>BO175*COS(($BH175+5*($BI175-$BH175)/12))</f>
        <v/>
      </c>
      <c r="CC175">
        <f>BP175*COS(($BH175+6*($BI175-$BH175)/12))</f>
        <v/>
      </c>
      <c r="CD175">
        <f>BQ175*COS(($BH175+7*($BI175-$BH175)/12))</f>
        <v/>
      </c>
      <c r="CE175">
        <f>BR175*COS(($BH175+8*($BI175-$BH175)/12))</f>
        <v/>
      </c>
      <c r="CF175">
        <f>BS175*COS(($BH175+9*($BI175-$BH175)/12))</f>
        <v/>
      </c>
      <c r="CG175">
        <f>BT175*COS(($BH175+10*($BI175-$BH175)/12))</f>
        <v/>
      </c>
      <c r="CH175">
        <f>BU175*COS(($BH175+11*($BI175-$BH175)/12))</f>
        <v/>
      </c>
      <c r="CI175">
        <f>BV175*COS(($BH175+12*($BI175-$BH175)/12))</f>
        <v/>
      </c>
    </row>
    <row r="176">
      <c r="B176" s="65" t="n">
        <v>24</v>
      </c>
      <c r="C176" s="66">
        <f>IF($G175&lt;cc_NEd-1E-9*ABS(cc_NEd),($C175+$D175)/2,$C175)</f>
        <v/>
      </c>
      <c r="D176" s="66">
        <f>IF($G175&lt;cc_NEd-1E-9*ABS(cc_NEd),$D175,($C175+$D175)/2)</f>
        <v/>
      </c>
      <c r="E176" s="67">
        <f>cc_D*(($C176+$D176)/2)/(1-(($C176+$D176)/2))</f>
        <v/>
      </c>
      <c r="F176" s="68">
        <f>IF($E176&lt;=cc_D,3.5,2*$E176/($E176-3*cc_D/7))</f>
        <v/>
      </c>
      <c r="G176" s="67">
        <f>(fcd_cc*((cc_D/2)^2*($BI176-COS($BI176)*SIN($BI176))-2*(cc_D/2)^2*($BI176-$BH176)/12/3*SUMPRODUCT($BJ$4:$BV$4,$BJ176:$BV176))+SUMPRODUCT($J$5:$AG$5,$J176:$AG176))/1000</f>
        <v/>
      </c>
      <c r="H176" s="67">
        <f>(fcd_cc*(2/3*(cc_D/2)^3*SIN($BI176)^3-2*(cc_D/2)^3*($BI176-$BH176)/12/3*SUMPRODUCT($BW$4:$CI$4,$BW176:$CI176))+SUMPRODUCT($J$5:$AG$5,$J176:$AG176,$J$10:$AG$10))/1E6</f>
        <v/>
      </c>
      <c r="I176" s="67">
        <f>SUMPRODUCT($J$5:$AG$5,$J176:$AG176,$J$11:$AG$11)/1E6</f>
        <v/>
      </c>
      <c r="J176">
        <f>MAX(-fyd_cc,MIN(fyd_cc,Es_cc*IF($E176&lt;=cc_D,0.0035*($E176-J$9)/$E176,0.002*($E176-J$9)/($E176-3*cc_D/7))))-fcd_cc*(1-(1-MAX(0,MIN(1,IF($E176&lt;=cc_D,0.0035*($E176-J$9)/$E176,0.002*($E176-J$9)/($E176-3*cc_D/7))/0.002)))^2)</f>
        <v/>
      </c>
      <c r="K176">
        <f>MAX(-fyd_cc,MIN(fyd_cc,Es_cc*IF($E176&lt;=cc_D,0.0035*($E176-K$9)/$E176,0.002*($E176-K$9)/($E176-3*cc_D/7))))-fcd_cc*(1-(1-MAX(0,MIN(1,IF($E176&lt;=cc_D,0.0035*($E176-K$9)/$E176,0.002*($E176-K$9)/($E176-3*cc_D/7))/0.002)))^2)</f>
        <v/>
      </c>
      <c r="L176">
        <f>MAX(-fyd_cc,MIN(fyd_cc,Es_cc*IF($E176&lt;=cc_D,0.0035*($E176-L$9)/$E176,0.002*($E176-L$9)/($E176-3*cc_D/7))))-fcd_cc*(1-(1-MAX(0,MIN(1,IF($E176&lt;=cc_D,0.0035*($E176-L$9)/$E176,0.002*($E176-L$9)/($E176-3*cc_D/7))/0.002)))^2)</f>
        <v/>
      </c>
      <c r="M176">
        <f>MAX(-fyd_cc,MIN(fyd_cc,Es_cc*IF($E176&lt;=cc_D,0.0035*($E176-M$9)/$E176,0.002*($E176-M$9)/($E176-3*cc_D/7))))-fcd_cc*(1-(1-MAX(0,MIN(1,IF($E176&lt;=cc_D,0.0035*($E176-M$9)/$E176,0.002*($E176-M$9)/($E176-3*cc_D/7))/0.002)))^2)</f>
        <v/>
      </c>
      <c r="N176">
        <f>MAX(-fyd_cc,MIN(fyd_cc,Es_cc*IF($E176&lt;=cc_D,0.0035*($E176-N$9)/$E176,0.002*($E176-N$9)/($E176-3*cc_D/7))))-fcd_cc*(1-(1-MAX(0,MIN(1,IF($E176&lt;=cc_D,0.0035*($E176-N$9)/$E176,0.002*($E176-N$9)/($E176-3*cc_D/7))/0.002)))^2)</f>
        <v/>
      </c>
      <c r="O176">
        <f>MAX(-fyd_cc,MIN(fyd_cc,Es_cc*IF($E176&lt;=cc_D,0.0035*($E176-O$9)/$E176,0.002*($E176-O$9)/($E176-3*cc_D/7))))-fcd_cc*(1-(1-MAX(0,MIN(1,IF($E176&lt;=cc_D,0.0035*($E176-O$9)/$E176,0.002*($E176-O$9)/($E176-3*cc_D/7))/0.002)))^2)</f>
        <v/>
      </c>
      <c r="P176">
        <f>MAX(-fyd_cc,MIN(fyd_cc,Es_cc*IF($E176&lt;=cc_D,0.0035*($E176-P$9)/$E176,0.002*($E176-P$9)/($E176-3*cc_D/7))))-fcd_cc*(1-(1-MAX(0,MIN(1,IF($E176&lt;=cc_D,0.0035*($E176-P$9)/$E176,0.002*($E176-P$9)/($E176-3*cc_D/7))/0.002)))^2)</f>
        <v/>
      </c>
      <c r="Q176">
        <f>MAX(-fyd_cc,MIN(fyd_cc,Es_cc*IF($E176&lt;=cc_D,0.0035*($E176-Q$9)/$E176,0.002*($E176-Q$9)/($E176-3*cc_D/7))))-fcd_cc*(1-(1-MAX(0,MIN(1,IF($E176&lt;=cc_D,0.0035*($E176-Q$9)/$E176,0.002*($E176-Q$9)/($E176-3*cc_D/7))/0.002)))^2)</f>
        <v/>
      </c>
      <c r="R176">
        <f>MAX(-fyd_cc,MIN(fyd_cc,Es_cc*IF($E176&lt;=cc_D,0.0035*($E176-R$9)/$E176,0.002*($E176-R$9)/($E176-3*cc_D/7))))-fcd_cc*(1-(1-MAX(0,MIN(1,IF($E176&lt;=cc_D,0.0035*($E176-R$9)/$E176,0.002*($E176-R$9)/($E176-3*cc_D/7))/0.002)))^2)</f>
        <v/>
      </c>
      <c r="S176">
        <f>MAX(-fyd_cc,MIN(fyd_cc,Es_cc*IF($E176&lt;=cc_D,0.0035*($E176-S$9)/$E176,0.002*($E176-S$9)/($E176-3*cc_D/7))))-fcd_cc*(1-(1-MAX(0,MIN(1,IF($E176&lt;=cc_D,0.0035*($E176-S$9)/$E176,0.002*($E176-S$9)/($E176-3*cc_D/7))/0.002)))^2)</f>
        <v/>
      </c>
      <c r="T176">
        <f>MAX(-fyd_cc,MIN(fyd_cc,Es_cc*IF($E176&lt;=cc_D,0.0035*($E176-T$9)/$E176,0.002*($E176-T$9)/($E176-3*cc_D/7))))-fcd_cc*(1-(1-MAX(0,MIN(1,IF($E176&lt;=cc_D,0.0035*($E176-T$9)/$E176,0.002*($E176-T$9)/($E176-3*cc_D/7))/0.002)))^2)</f>
        <v/>
      </c>
      <c r="U176">
        <f>MAX(-fyd_cc,MIN(fyd_cc,Es_cc*IF($E176&lt;=cc_D,0.0035*($E176-U$9)/$E176,0.002*($E176-U$9)/($E176-3*cc_D/7))))-fcd_cc*(1-(1-MAX(0,MIN(1,IF($E176&lt;=cc_D,0.0035*($E176-U$9)/$E176,0.002*($E176-U$9)/($E176-3*cc_D/7))/0.002)))^2)</f>
        <v/>
      </c>
      <c r="V176">
        <f>MAX(-fyd_cc,MIN(fyd_cc,Es_cc*IF($E176&lt;=cc_D,0.0035*($E176-V$9)/$E176,0.002*($E176-V$9)/($E176-3*cc_D/7))))-fcd_cc*(1-(1-MAX(0,MIN(1,IF($E176&lt;=cc_D,0.0035*($E176-V$9)/$E176,0.002*($E176-V$9)/($E176-3*cc_D/7))/0.002)))^2)</f>
        <v/>
      </c>
      <c r="W176">
        <f>MAX(-fyd_cc,MIN(fyd_cc,Es_cc*IF($E176&lt;=cc_D,0.0035*($E176-W$9)/$E176,0.002*($E176-W$9)/($E176-3*cc_D/7))))-fcd_cc*(1-(1-MAX(0,MIN(1,IF($E176&lt;=cc_D,0.0035*($E176-W$9)/$E176,0.002*($E176-W$9)/($E176-3*cc_D/7))/0.002)))^2)</f>
        <v/>
      </c>
      <c r="X176">
        <f>MAX(-fyd_cc,MIN(fyd_cc,Es_cc*IF($E176&lt;=cc_D,0.0035*($E176-X$9)/$E176,0.002*($E176-X$9)/($E176-3*cc_D/7))))-fcd_cc*(1-(1-MAX(0,MIN(1,IF($E176&lt;=cc_D,0.0035*($E176-X$9)/$E176,0.002*($E176-X$9)/($E176-3*cc_D/7))/0.002)))^2)</f>
        <v/>
      </c>
      <c r="Y176">
        <f>MAX(-fyd_cc,MIN(fyd_cc,Es_cc*IF($E176&lt;=cc_D,0.0035*($E176-Y$9)/$E176,0.002*($E176-Y$9)/($E176-3*cc_D/7))))-fcd_cc*(1-(1-MAX(0,MIN(1,IF($E176&lt;=cc_D,0.0035*($E176-Y$9)/$E176,0.002*($E176-Y$9)/($E176-3*cc_D/7))/0.002)))^2)</f>
        <v/>
      </c>
      <c r="Z176">
        <f>MAX(-fyd_cc,MIN(fyd_cc,Es_cc*IF($E176&lt;=cc_D,0.0035*($E176-Z$9)/$E176,0.002*($E176-Z$9)/($E176-3*cc_D/7))))-fcd_cc*(1-(1-MAX(0,MIN(1,IF($E176&lt;=cc_D,0.0035*($E176-Z$9)/$E176,0.002*($E176-Z$9)/($E176-3*cc_D/7))/0.002)))^2)</f>
        <v/>
      </c>
      <c r="AA176">
        <f>MAX(-fyd_cc,MIN(fyd_cc,Es_cc*IF($E176&lt;=cc_D,0.0035*($E176-AA$9)/$E176,0.002*($E176-AA$9)/($E176-3*cc_D/7))))-fcd_cc*(1-(1-MAX(0,MIN(1,IF($E176&lt;=cc_D,0.0035*($E176-AA$9)/$E176,0.002*($E176-AA$9)/($E176-3*cc_D/7))/0.002)))^2)</f>
        <v/>
      </c>
      <c r="AB176">
        <f>MAX(-fyd_cc,MIN(fyd_cc,Es_cc*IF($E176&lt;=cc_D,0.0035*($E176-AB$9)/$E176,0.002*($E176-AB$9)/($E176-3*cc_D/7))))-fcd_cc*(1-(1-MAX(0,MIN(1,IF($E176&lt;=cc_D,0.0035*($E176-AB$9)/$E176,0.002*($E176-AB$9)/($E176-3*cc_D/7))/0.002)))^2)</f>
        <v/>
      </c>
      <c r="AC176">
        <f>MAX(-fyd_cc,MIN(fyd_cc,Es_cc*IF($E176&lt;=cc_D,0.0035*($E176-AC$9)/$E176,0.002*($E176-AC$9)/($E176-3*cc_D/7))))-fcd_cc*(1-(1-MAX(0,MIN(1,IF($E176&lt;=cc_D,0.0035*($E176-AC$9)/$E176,0.002*($E176-AC$9)/($E176-3*cc_D/7))/0.002)))^2)</f>
        <v/>
      </c>
      <c r="AD176">
        <f>MAX(-fyd_cc,MIN(fyd_cc,Es_cc*IF($E176&lt;=cc_D,0.0035*($E176-AD$9)/$E176,0.002*($E176-AD$9)/($E176-3*cc_D/7))))-fcd_cc*(1-(1-MAX(0,MIN(1,IF($E176&lt;=cc_D,0.0035*($E176-AD$9)/$E176,0.002*($E176-AD$9)/($E176-3*cc_D/7))/0.002)))^2)</f>
        <v/>
      </c>
      <c r="AE176">
        <f>MAX(-fyd_cc,MIN(fyd_cc,Es_cc*IF($E176&lt;=cc_D,0.0035*($E176-AE$9)/$E176,0.002*($E176-AE$9)/($E176-3*cc_D/7))))-fcd_cc*(1-(1-MAX(0,MIN(1,IF($E176&lt;=cc_D,0.0035*($E176-AE$9)/$E176,0.002*($E176-AE$9)/($E176-3*cc_D/7))/0.002)))^2)</f>
        <v/>
      </c>
      <c r="AF176">
        <f>MAX(-fyd_cc,MIN(fyd_cc,Es_cc*IF($E176&lt;=cc_D,0.0035*($E176-AF$9)/$E176,0.002*($E176-AF$9)/($E176-3*cc_D/7))))-fcd_cc*(1-(1-MAX(0,MIN(1,IF($E176&lt;=cc_D,0.0035*($E176-AF$9)/$E176,0.002*($E176-AF$9)/($E176-3*cc_D/7))/0.002)))^2)</f>
        <v/>
      </c>
      <c r="AG176">
        <f>MAX(-fyd_cc,MIN(fyd_cc,Es_cc*IF($E176&lt;=cc_D,0.0035*($E176-AG$9)/$E176,0.002*($E176-AG$9)/($E176-3*cc_D/7))))-fcd_cc*(1-(1-MAX(0,MIN(1,IF($E176&lt;=cc_D,0.0035*($E176-AG$9)/$E176,0.002*($E176-AG$9)/($E176-3*cc_D/7))/0.002)))^2)</f>
        <v/>
      </c>
      <c r="BF176">
        <f>3*MIN($E176,cc_D)/7</f>
        <v/>
      </c>
      <c r="BG176">
        <f>$E176-$BF176</f>
        <v/>
      </c>
      <c r="BH176">
        <f>ACOS(MAX(-1,MIN(1,1-$BF176/(cc_D/2))))</f>
        <v/>
      </c>
      <c r="BI176">
        <f>ACOS(MAX(-1,MIN(1,1-MIN($E176,cc_D)/(cc_D/2))))</f>
        <v/>
      </c>
      <c r="BJ176">
        <f>((cc_D/2*(1-COS(($BH176+0*($BI176-$BH176)/12)))-$BF176)/$BG176)^2*SIN(($BH176+0*($BI176-$BH176)/12))^2</f>
        <v/>
      </c>
      <c r="BK176">
        <f>((cc_D/2*(1-COS(($BH176+1*($BI176-$BH176)/12)))-$BF176)/$BG176)^2*SIN(($BH176+1*($BI176-$BH176)/12))^2</f>
        <v/>
      </c>
      <c r="BL176">
        <f>((cc_D/2*(1-COS(($BH176+2*($BI176-$BH176)/12)))-$BF176)/$BG176)^2*SIN(($BH176+2*($BI176-$BH176)/12))^2</f>
        <v/>
      </c>
      <c r="BM176">
        <f>((cc_D/2*(1-COS(($BH176+3*($BI176-$BH176)/12)))-$BF176)/$BG176)^2*SIN(($BH176+3*($BI176-$BH176)/12))^2</f>
        <v/>
      </c>
      <c r="BN176">
        <f>((cc_D/2*(1-COS(($BH176+4*($BI176-$BH176)/12)))-$BF176)/$BG176)^2*SIN(($BH176+4*($BI176-$BH176)/12))^2</f>
        <v/>
      </c>
      <c r="BO176">
        <f>((cc_D/2*(1-COS(($BH176+5*($BI176-$BH176)/12)))-$BF176)/$BG176)^2*SIN(($BH176+5*($BI176-$BH176)/12))^2</f>
        <v/>
      </c>
      <c r="BP176">
        <f>((cc_D/2*(1-COS(($BH176+6*($BI176-$BH176)/12)))-$BF176)/$BG176)^2*SIN(($BH176+6*($BI176-$BH176)/12))^2</f>
        <v/>
      </c>
      <c r="BQ176">
        <f>((cc_D/2*(1-COS(($BH176+7*($BI176-$BH176)/12)))-$BF176)/$BG176)^2*SIN(($BH176+7*($BI176-$BH176)/12))^2</f>
        <v/>
      </c>
      <c r="BR176">
        <f>((cc_D/2*(1-COS(($BH176+8*($BI176-$BH176)/12)))-$BF176)/$BG176)^2*SIN(($BH176+8*($BI176-$BH176)/12))^2</f>
        <v/>
      </c>
      <c r="BS176">
        <f>((cc_D/2*(1-COS(($BH176+9*($BI176-$BH176)/12)))-$BF176)/$BG176)^2*SIN(($BH176+9*($BI176-$BH176)/12))^2</f>
        <v/>
      </c>
      <c r="BT176">
        <f>((cc_D/2*(1-COS(($BH176+10*($BI176-$BH176)/12)))-$BF176)/$BG176)^2*SIN(($BH176+10*($BI176-$BH176)/12))^2</f>
        <v/>
      </c>
      <c r="BU176">
        <f>((cc_D/2*(1-COS(($BH176+11*($BI176-$BH176)/12)))-$BF176)/$BG176)^2*SIN(($BH176+11*($BI176-$BH176)/12))^2</f>
        <v/>
      </c>
      <c r="BV176">
        <f>((cc_D/2*(1-COS(($BH176+12*($BI176-$BH176)/12)))-$BF176)/$BG176)^2*SIN(($BH176+12*($BI176-$BH176)/12))^2</f>
        <v/>
      </c>
      <c r="BW176">
        <f>BJ176*COS(($BH176+0*($BI176-$BH176)/12))</f>
        <v/>
      </c>
      <c r="BX176">
        <f>BK176*COS(($BH176+1*($BI176-$BH176)/12))</f>
        <v/>
      </c>
      <c r="BY176">
        <f>BL176*COS(($BH176+2*($BI176-$BH176)/12))</f>
        <v/>
      </c>
      <c r="BZ176">
        <f>BM176*COS(($BH176+3*($BI176-$BH176)/12))</f>
        <v/>
      </c>
      <c r="CA176">
        <f>BN176*COS(($BH176+4*($BI176-$BH176)/12))</f>
        <v/>
      </c>
      <c r="CB176">
        <f>BO176*COS(($BH176+5*($BI176-$BH176)/12))</f>
        <v/>
      </c>
      <c r="CC176">
        <f>BP176*COS(($BH176+6*($BI176-$BH176)/12))</f>
        <v/>
      </c>
      <c r="CD176">
        <f>BQ176*COS(($BH176+7*($BI176-$BH176)/12))</f>
        <v/>
      </c>
      <c r="CE176">
        <f>BR176*COS(($BH176+8*($BI176-$BH176)/12))</f>
        <v/>
      </c>
      <c r="CF176">
        <f>BS176*COS(($BH176+9*($BI176-$BH176)/12))</f>
        <v/>
      </c>
      <c r="CG176">
        <f>BT176*COS(($BH176+10*($BI176-$BH176)/12))</f>
        <v/>
      </c>
      <c r="CH176">
        <f>BU176*COS(($BH176+11*($BI176-$BH176)/12))</f>
        <v/>
      </c>
      <c r="CI176">
        <f>BV176*COS(($BH176+12*($BI176-$BH176)/12))</f>
        <v/>
      </c>
    </row>
    <row r="177">
      <c r="B177" s="65" t="n">
        <v>25</v>
      </c>
      <c r="C177" s="66">
        <f>IF($G176&lt;cc_NEd-1E-9*ABS(cc_NEd),($C176+$D176)/2,$C176)</f>
        <v/>
      </c>
      <c r="D177" s="66">
        <f>IF($G176&lt;cc_NEd-1E-9*ABS(cc_NEd),$D176,($C176+$D176)/2)</f>
        <v/>
      </c>
      <c r="E177" s="67">
        <f>cc_D*(($C177+$D177)/2)/(1-(($C177+$D177)/2))</f>
        <v/>
      </c>
      <c r="F177" s="68">
        <f>IF($E177&lt;=cc_D,3.5,2*$E177/($E177-3*cc_D/7))</f>
        <v/>
      </c>
      <c r="G177" s="67">
        <f>(fcd_cc*((cc_D/2)^2*($BI177-COS($BI177)*SIN($BI177))-2*(cc_D/2)^2*($BI177-$BH177)/12/3*SUMPRODUCT($BJ$4:$BV$4,$BJ177:$BV177))+SUMPRODUCT($J$5:$AG$5,$J177:$AG177))/1000</f>
        <v/>
      </c>
      <c r="H177" s="67">
        <f>(fcd_cc*(2/3*(cc_D/2)^3*SIN($BI177)^3-2*(cc_D/2)^3*($BI177-$BH177)/12/3*SUMPRODUCT($BW$4:$CI$4,$BW177:$CI177))+SUMPRODUCT($J$5:$AG$5,$J177:$AG177,$J$10:$AG$10))/1E6</f>
        <v/>
      </c>
      <c r="I177" s="67">
        <f>SUMPRODUCT($J$5:$AG$5,$J177:$AG177,$J$11:$AG$11)/1E6</f>
        <v/>
      </c>
      <c r="J177">
        <f>MAX(-fyd_cc,MIN(fyd_cc,Es_cc*IF($E177&lt;=cc_D,0.0035*($E177-J$9)/$E177,0.002*($E177-J$9)/($E177-3*cc_D/7))))-fcd_cc*(1-(1-MAX(0,MIN(1,IF($E177&lt;=cc_D,0.0035*($E177-J$9)/$E177,0.002*($E177-J$9)/($E177-3*cc_D/7))/0.002)))^2)</f>
        <v/>
      </c>
      <c r="K177">
        <f>MAX(-fyd_cc,MIN(fyd_cc,Es_cc*IF($E177&lt;=cc_D,0.0035*($E177-K$9)/$E177,0.002*($E177-K$9)/($E177-3*cc_D/7))))-fcd_cc*(1-(1-MAX(0,MIN(1,IF($E177&lt;=cc_D,0.0035*($E177-K$9)/$E177,0.002*($E177-K$9)/($E177-3*cc_D/7))/0.002)))^2)</f>
        <v/>
      </c>
      <c r="L177">
        <f>MAX(-fyd_cc,MIN(fyd_cc,Es_cc*IF($E177&lt;=cc_D,0.0035*($E177-L$9)/$E177,0.002*($E177-L$9)/($E177-3*cc_D/7))))-fcd_cc*(1-(1-MAX(0,MIN(1,IF($E177&lt;=cc_D,0.0035*($E177-L$9)/$E177,0.002*($E177-L$9)/($E177-3*cc_D/7))/0.002)))^2)</f>
        <v/>
      </c>
      <c r="M177">
        <f>MAX(-fyd_cc,MIN(fyd_cc,Es_cc*IF($E177&lt;=cc_D,0.0035*($E177-M$9)/$E177,0.002*($E177-M$9)/($E177-3*cc_D/7))))-fcd_cc*(1-(1-MAX(0,MIN(1,IF($E177&lt;=cc_D,0.0035*($E177-M$9)/$E177,0.002*($E177-M$9)/($E177-3*cc_D/7))/0.002)))^2)</f>
        <v/>
      </c>
      <c r="N177">
        <f>MAX(-fyd_cc,MIN(fyd_cc,Es_cc*IF($E177&lt;=cc_D,0.0035*($E177-N$9)/$E177,0.002*($E177-N$9)/($E177-3*cc_D/7))))-fcd_cc*(1-(1-MAX(0,MIN(1,IF($E177&lt;=cc_D,0.0035*($E177-N$9)/$E177,0.002*($E177-N$9)/($E177-3*cc_D/7))/0.002)))^2)</f>
        <v/>
      </c>
      <c r="O177">
        <f>MAX(-fyd_cc,MIN(fyd_cc,Es_cc*IF($E177&lt;=cc_D,0.0035*($E177-O$9)/$E177,0.002*($E177-O$9)/($E177-3*cc_D/7))))-fcd_cc*(1-(1-MAX(0,MIN(1,IF($E177&lt;=cc_D,0.0035*($E177-O$9)/$E177,0.002*($E177-O$9)/($E177-3*cc_D/7))/0.002)))^2)</f>
        <v/>
      </c>
      <c r="P177">
        <f>MAX(-fyd_cc,MIN(fyd_cc,Es_cc*IF($E177&lt;=cc_D,0.0035*($E177-P$9)/$E177,0.002*($E177-P$9)/($E177-3*cc_D/7))))-fcd_cc*(1-(1-MAX(0,MIN(1,IF($E177&lt;=cc_D,0.0035*($E177-P$9)/$E177,0.002*($E177-P$9)/($E177-3*cc_D/7))/0.002)))^2)</f>
        <v/>
      </c>
      <c r="Q177">
        <f>MAX(-fyd_cc,MIN(fyd_cc,Es_cc*IF($E177&lt;=cc_D,0.0035*($E177-Q$9)/$E177,0.002*($E177-Q$9)/($E177-3*cc_D/7))))-fcd_cc*(1-(1-MAX(0,MIN(1,IF($E177&lt;=cc_D,0.0035*($E177-Q$9)/$E177,0.002*($E177-Q$9)/($E177-3*cc_D/7))/0.002)))^2)</f>
        <v/>
      </c>
      <c r="R177">
        <f>MAX(-fyd_cc,MIN(fyd_cc,Es_cc*IF($E177&lt;=cc_D,0.0035*($E177-R$9)/$E177,0.002*($E177-R$9)/($E177-3*cc_D/7))))-fcd_cc*(1-(1-MAX(0,MIN(1,IF($E177&lt;=cc_D,0.0035*($E177-R$9)/$E177,0.002*($E177-R$9)/($E177-3*cc_D/7))/0.002)))^2)</f>
        <v/>
      </c>
      <c r="S177">
        <f>MAX(-fyd_cc,MIN(fyd_cc,Es_cc*IF($E177&lt;=cc_D,0.0035*($E177-S$9)/$E177,0.002*($E177-S$9)/($E177-3*cc_D/7))))-fcd_cc*(1-(1-MAX(0,MIN(1,IF($E177&lt;=cc_D,0.0035*($E177-S$9)/$E177,0.002*($E177-S$9)/($E177-3*cc_D/7))/0.002)))^2)</f>
        <v/>
      </c>
      <c r="T177">
        <f>MAX(-fyd_cc,MIN(fyd_cc,Es_cc*IF($E177&lt;=cc_D,0.0035*($E177-T$9)/$E177,0.002*($E177-T$9)/($E177-3*cc_D/7))))-fcd_cc*(1-(1-MAX(0,MIN(1,IF($E177&lt;=cc_D,0.0035*($E177-T$9)/$E177,0.002*($E177-T$9)/($E177-3*cc_D/7))/0.002)))^2)</f>
        <v/>
      </c>
      <c r="U177">
        <f>MAX(-fyd_cc,MIN(fyd_cc,Es_cc*IF($E177&lt;=cc_D,0.0035*($E177-U$9)/$E177,0.002*($E177-U$9)/($E177-3*cc_D/7))))-fcd_cc*(1-(1-MAX(0,MIN(1,IF($E177&lt;=cc_D,0.0035*($E177-U$9)/$E177,0.002*($E177-U$9)/($E177-3*cc_D/7))/0.002)))^2)</f>
        <v/>
      </c>
      <c r="V177">
        <f>MAX(-fyd_cc,MIN(fyd_cc,Es_cc*IF($E177&lt;=cc_D,0.0035*($E177-V$9)/$E177,0.002*($E177-V$9)/($E177-3*cc_D/7))))-fcd_cc*(1-(1-MAX(0,MIN(1,IF($E177&lt;=cc_D,0.0035*($E177-V$9)/$E177,0.002*($E177-V$9)/($E177-3*cc_D/7))/0.002)))^2)</f>
        <v/>
      </c>
      <c r="W177">
        <f>MAX(-fyd_cc,MIN(fyd_cc,Es_cc*IF($E177&lt;=cc_D,0.0035*($E177-W$9)/$E177,0.002*($E177-W$9)/($E177-3*cc_D/7))))-fcd_cc*(1-(1-MAX(0,MIN(1,IF($E177&lt;=cc_D,0.0035*($E177-W$9)/$E177,0.002*($E177-W$9)/($E177-3*cc_D/7))/0.002)))^2)</f>
        <v/>
      </c>
      <c r="X177">
        <f>MAX(-fyd_cc,MIN(fyd_cc,Es_cc*IF($E177&lt;=cc_D,0.0035*($E177-X$9)/$E177,0.002*($E177-X$9)/($E177-3*cc_D/7))))-fcd_cc*(1-(1-MAX(0,MIN(1,IF($E177&lt;=cc_D,0.0035*($E177-X$9)/$E177,0.002*($E177-X$9)/($E177-3*cc_D/7))/0.002)))^2)</f>
        <v/>
      </c>
      <c r="Y177">
        <f>MAX(-fyd_cc,MIN(fyd_cc,Es_cc*IF($E177&lt;=cc_D,0.0035*($E177-Y$9)/$E177,0.002*($E177-Y$9)/($E177-3*cc_D/7))))-fcd_cc*(1-(1-MAX(0,MIN(1,IF($E177&lt;=cc_D,0.0035*($E177-Y$9)/$E177,0.002*($E177-Y$9)/($E177-3*cc_D/7))/0.002)))^2)</f>
        <v/>
      </c>
      <c r="Z177">
        <f>MAX(-fyd_cc,MIN(fyd_cc,Es_cc*IF($E177&lt;=cc_D,0.0035*($E177-Z$9)/$E177,0.002*($E177-Z$9)/($E177-3*cc_D/7))))-fcd_cc*(1-(1-MAX(0,MIN(1,IF($E177&lt;=cc_D,0.0035*($E177-Z$9)/$E177,0.002*($E177-Z$9)/($E177-3*cc_D/7))/0.002)))^2)</f>
        <v/>
      </c>
      <c r="AA177">
        <f>MAX(-fyd_cc,MIN(fyd_cc,Es_cc*IF($E177&lt;=cc_D,0.0035*($E177-AA$9)/$E177,0.002*($E177-AA$9)/($E177-3*cc_D/7))))-fcd_cc*(1-(1-MAX(0,MIN(1,IF($E177&lt;=cc_D,0.0035*($E177-AA$9)/$E177,0.002*($E177-AA$9)/($E177-3*cc_D/7))/0.002)))^2)</f>
        <v/>
      </c>
      <c r="AB177">
        <f>MAX(-fyd_cc,MIN(fyd_cc,Es_cc*IF($E177&lt;=cc_D,0.0035*($E177-AB$9)/$E177,0.002*($E177-AB$9)/($E177-3*cc_D/7))))-fcd_cc*(1-(1-MAX(0,MIN(1,IF($E177&lt;=cc_D,0.0035*($E177-AB$9)/$E177,0.002*($E177-AB$9)/($E177-3*cc_D/7))/0.002)))^2)</f>
        <v/>
      </c>
      <c r="AC177">
        <f>MAX(-fyd_cc,MIN(fyd_cc,Es_cc*IF($E177&lt;=cc_D,0.0035*($E177-AC$9)/$E177,0.002*($E177-AC$9)/($E177-3*cc_D/7))))-fcd_cc*(1-(1-MAX(0,MIN(1,IF($E177&lt;=cc_D,0.0035*($E177-AC$9)/$E177,0.002*($E177-AC$9)/($E177-3*cc_D/7))/0.002)))^2)</f>
        <v/>
      </c>
      <c r="AD177">
        <f>MAX(-fyd_cc,MIN(fyd_cc,Es_cc*IF($E177&lt;=cc_D,0.0035*($E177-AD$9)/$E177,0.002*($E177-AD$9)/($E177-3*cc_D/7))))-fcd_cc*(1-(1-MAX(0,MIN(1,IF($E177&lt;=cc_D,0.0035*($E177-AD$9)/$E177,0.002*($E177-AD$9)/($E177-3*cc_D/7))/0.002)))^2)</f>
        <v/>
      </c>
      <c r="AE177">
        <f>MAX(-fyd_cc,MIN(fyd_cc,Es_cc*IF($E177&lt;=cc_D,0.0035*($E177-AE$9)/$E177,0.002*($E177-AE$9)/($E177-3*cc_D/7))))-fcd_cc*(1-(1-MAX(0,MIN(1,IF($E177&lt;=cc_D,0.0035*($E177-AE$9)/$E177,0.002*($E177-AE$9)/($E177-3*cc_D/7))/0.002)))^2)</f>
        <v/>
      </c>
      <c r="AF177">
        <f>MAX(-fyd_cc,MIN(fyd_cc,Es_cc*IF($E177&lt;=cc_D,0.0035*($E177-AF$9)/$E177,0.002*($E177-AF$9)/($E177-3*cc_D/7))))-fcd_cc*(1-(1-MAX(0,MIN(1,IF($E177&lt;=cc_D,0.0035*($E177-AF$9)/$E177,0.002*($E177-AF$9)/($E177-3*cc_D/7))/0.002)))^2)</f>
        <v/>
      </c>
      <c r="AG177">
        <f>MAX(-fyd_cc,MIN(fyd_cc,Es_cc*IF($E177&lt;=cc_D,0.0035*($E177-AG$9)/$E177,0.002*($E177-AG$9)/($E177-3*cc_D/7))))-fcd_cc*(1-(1-MAX(0,MIN(1,IF($E177&lt;=cc_D,0.0035*($E177-AG$9)/$E177,0.002*($E177-AG$9)/($E177-3*cc_D/7))/0.002)))^2)</f>
        <v/>
      </c>
      <c r="BF177">
        <f>3*MIN($E177,cc_D)/7</f>
        <v/>
      </c>
      <c r="BG177">
        <f>$E177-$BF177</f>
        <v/>
      </c>
      <c r="BH177">
        <f>ACOS(MAX(-1,MIN(1,1-$BF177/(cc_D/2))))</f>
        <v/>
      </c>
      <c r="BI177">
        <f>ACOS(MAX(-1,MIN(1,1-MIN($E177,cc_D)/(cc_D/2))))</f>
        <v/>
      </c>
      <c r="BJ177">
        <f>((cc_D/2*(1-COS(($BH177+0*($BI177-$BH177)/12)))-$BF177)/$BG177)^2*SIN(($BH177+0*($BI177-$BH177)/12))^2</f>
        <v/>
      </c>
      <c r="BK177">
        <f>((cc_D/2*(1-COS(($BH177+1*($BI177-$BH177)/12)))-$BF177)/$BG177)^2*SIN(($BH177+1*($BI177-$BH177)/12))^2</f>
        <v/>
      </c>
      <c r="BL177">
        <f>((cc_D/2*(1-COS(($BH177+2*($BI177-$BH177)/12)))-$BF177)/$BG177)^2*SIN(($BH177+2*($BI177-$BH177)/12))^2</f>
        <v/>
      </c>
      <c r="BM177">
        <f>((cc_D/2*(1-COS(($BH177+3*($BI177-$BH177)/12)))-$BF177)/$BG177)^2*SIN(($BH177+3*($BI177-$BH177)/12))^2</f>
        <v/>
      </c>
      <c r="BN177">
        <f>((cc_D/2*(1-COS(($BH177+4*($BI177-$BH177)/12)))-$BF177)/$BG177)^2*SIN(($BH177+4*($BI177-$BH177)/12))^2</f>
        <v/>
      </c>
      <c r="BO177">
        <f>((cc_D/2*(1-COS(($BH177+5*($BI177-$BH177)/12)))-$BF177)/$BG177)^2*SIN(($BH177+5*($BI177-$BH177)/12))^2</f>
        <v/>
      </c>
      <c r="BP177">
        <f>((cc_D/2*(1-COS(($BH177+6*($BI177-$BH177)/12)))-$BF177)/$BG177)^2*SIN(($BH177+6*($BI177-$BH177)/12))^2</f>
        <v/>
      </c>
      <c r="BQ177">
        <f>((cc_D/2*(1-COS(($BH177+7*($BI177-$BH177)/12)))-$BF177)/$BG177)^2*SIN(($BH177+7*($BI177-$BH177)/12))^2</f>
        <v/>
      </c>
      <c r="BR177">
        <f>((cc_D/2*(1-COS(($BH177+8*($BI177-$BH177)/12)))-$BF177)/$BG177)^2*SIN(($BH177+8*($BI177-$BH177)/12))^2</f>
        <v/>
      </c>
      <c r="BS177">
        <f>((cc_D/2*(1-COS(($BH177+9*($BI177-$BH177)/12)))-$BF177)/$BG177)^2*SIN(($BH177+9*($BI177-$BH177)/12))^2</f>
        <v/>
      </c>
      <c r="BT177">
        <f>((cc_D/2*(1-COS(($BH177+10*($BI177-$BH177)/12)))-$BF177)/$BG177)^2*SIN(($BH177+10*($BI177-$BH177)/12))^2</f>
        <v/>
      </c>
      <c r="BU177">
        <f>((cc_D/2*(1-COS(($BH177+11*($BI177-$BH177)/12)))-$BF177)/$BG177)^2*SIN(($BH177+11*($BI177-$BH177)/12))^2</f>
        <v/>
      </c>
      <c r="BV177">
        <f>((cc_D/2*(1-COS(($BH177+12*($BI177-$BH177)/12)))-$BF177)/$BG177)^2*SIN(($BH177+12*($BI177-$BH177)/12))^2</f>
        <v/>
      </c>
      <c r="BW177">
        <f>BJ177*COS(($BH177+0*($BI177-$BH177)/12))</f>
        <v/>
      </c>
      <c r="BX177">
        <f>BK177*COS(($BH177+1*($BI177-$BH177)/12))</f>
        <v/>
      </c>
      <c r="BY177">
        <f>BL177*COS(($BH177+2*($BI177-$BH177)/12))</f>
        <v/>
      </c>
      <c r="BZ177">
        <f>BM177*COS(($BH177+3*($BI177-$BH177)/12))</f>
        <v/>
      </c>
      <c r="CA177">
        <f>BN177*COS(($BH177+4*($BI177-$BH177)/12))</f>
        <v/>
      </c>
      <c r="CB177">
        <f>BO177*COS(($BH177+5*($BI177-$BH177)/12))</f>
        <v/>
      </c>
      <c r="CC177">
        <f>BP177*COS(($BH177+6*($BI177-$BH177)/12))</f>
        <v/>
      </c>
      <c r="CD177">
        <f>BQ177*COS(($BH177+7*($BI177-$BH177)/12))</f>
        <v/>
      </c>
      <c r="CE177">
        <f>BR177*COS(($BH177+8*($BI177-$BH177)/12))</f>
        <v/>
      </c>
      <c r="CF177">
        <f>BS177*COS(($BH177+9*($BI177-$BH177)/12))</f>
        <v/>
      </c>
      <c r="CG177">
        <f>BT177*COS(($BH177+10*($BI177-$BH177)/12))</f>
        <v/>
      </c>
      <c r="CH177">
        <f>BU177*COS(($BH177+11*($BI177-$BH177)/12))</f>
        <v/>
      </c>
      <c r="CI177">
        <f>BV177*COS(($BH177+12*($BI177-$BH177)/12))</f>
        <v/>
      </c>
    </row>
    <row r="178">
      <c r="B178" s="65" t="n">
        <v>26</v>
      </c>
      <c r="C178" s="66">
        <f>IF($G177&lt;cc_NEd-1E-9*ABS(cc_NEd),($C177+$D177)/2,$C177)</f>
        <v/>
      </c>
      <c r="D178" s="66">
        <f>IF($G177&lt;cc_NEd-1E-9*ABS(cc_NEd),$D177,($C177+$D177)/2)</f>
        <v/>
      </c>
      <c r="E178" s="67">
        <f>cc_D*(($C178+$D178)/2)/(1-(($C178+$D178)/2))</f>
        <v/>
      </c>
      <c r="F178" s="68">
        <f>IF($E178&lt;=cc_D,3.5,2*$E178/($E178-3*cc_D/7))</f>
        <v/>
      </c>
      <c r="G178" s="67">
        <f>(fcd_cc*((cc_D/2)^2*($BI178-COS($BI178)*SIN($BI178))-2*(cc_D/2)^2*($BI178-$BH178)/12/3*SUMPRODUCT($BJ$4:$BV$4,$BJ178:$BV178))+SUMPRODUCT($J$5:$AG$5,$J178:$AG178))/1000</f>
        <v/>
      </c>
      <c r="H178" s="67">
        <f>(fcd_cc*(2/3*(cc_D/2)^3*SIN($BI178)^3-2*(cc_D/2)^3*($BI178-$BH178)/12/3*SUMPRODUCT($BW$4:$CI$4,$BW178:$CI178))+SUMPRODUCT($J$5:$AG$5,$J178:$AG178,$J$10:$AG$10))/1E6</f>
        <v/>
      </c>
      <c r="I178" s="67">
        <f>SUMPRODUCT($J$5:$AG$5,$J178:$AG178,$J$11:$AG$11)/1E6</f>
        <v/>
      </c>
      <c r="J178">
        <f>MAX(-fyd_cc,MIN(fyd_cc,Es_cc*IF($E178&lt;=cc_D,0.0035*($E178-J$9)/$E178,0.002*($E178-J$9)/($E178-3*cc_D/7))))-fcd_cc*(1-(1-MAX(0,MIN(1,IF($E178&lt;=cc_D,0.0035*($E178-J$9)/$E178,0.002*($E178-J$9)/($E178-3*cc_D/7))/0.002)))^2)</f>
        <v/>
      </c>
      <c r="K178">
        <f>MAX(-fyd_cc,MIN(fyd_cc,Es_cc*IF($E178&lt;=cc_D,0.0035*($E178-K$9)/$E178,0.002*($E178-K$9)/($E178-3*cc_D/7))))-fcd_cc*(1-(1-MAX(0,MIN(1,IF($E178&lt;=cc_D,0.0035*($E178-K$9)/$E178,0.002*($E178-K$9)/($E178-3*cc_D/7))/0.002)))^2)</f>
        <v/>
      </c>
      <c r="L178">
        <f>MAX(-fyd_cc,MIN(fyd_cc,Es_cc*IF($E178&lt;=cc_D,0.0035*($E178-L$9)/$E178,0.002*($E178-L$9)/($E178-3*cc_D/7))))-fcd_cc*(1-(1-MAX(0,MIN(1,IF($E178&lt;=cc_D,0.0035*($E178-L$9)/$E178,0.002*($E178-L$9)/($E178-3*cc_D/7))/0.002)))^2)</f>
        <v/>
      </c>
      <c r="M178">
        <f>MAX(-fyd_cc,MIN(fyd_cc,Es_cc*IF($E178&lt;=cc_D,0.0035*($E178-M$9)/$E178,0.002*($E178-M$9)/($E178-3*cc_D/7))))-fcd_cc*(1-(1-MAX(0,MIN(1,IF($E178&lt;=cc_D,0.0035*($E178-M$9)/$E178,0.002*($E178-M$9)/($E178-3*cc_D/7))/0.002)))^2)</f>
        <v/>
      </c>
      <c r="N178">
        <f>MAX(-fyd_cc,MIN(fyd_cc,Es_cc*IF($E178&lt;=cc_D,0.0035*($E178-N$9)/$E178,0.002*($E178-N$9)/($E178-3*cc_D/7))))-fcd_cc*(1-(1-MAX(0,MIN(1,IF($E178&lt;=cc_D,0.0035*($E178-N$9)/$E178,0.002*($E178-N$9)/($E178-3*cc_D/7))/0.002)))^2)</f>
        <v/>
      </c>
      <c r="O178">
        <f>MAX(-fyd_cc,MIN(fyd_cc,Es_cc*IF($E178&lt;=cc_D,0.0035*($E178-O$9)/$E178,0.002*($E178-O$9)/($E178-3*cc_D/7))))-fcd_cc*(1-(1-MAX(0,MIN(1,IF($E178&lt;=cc_D,0.0035*($E178-O$9)/$E178,0.002*($E178-O$9)/($E178-3*cc_D/7))/0.002)))^2)</f>
        <v/>
      </c>
      <c r="P178">
        <f>MAX(-fyd_cc,MIN(fyd_cc,Es_cc*IF($E178&lt;=cc_D,0.0035*($E178-P$9)/$E178,0.002*($E178-P$9)/($E178-3*cc_D/7))))-fcd_cc*(1-(1-MAX(0,MIN(1,IF($E178&lt;=cc_D,0.0035*($E178-P$9)/$E178,0.002*($E178-P$9)/($E178-3*cc_D/7))/0.002)))^2)</f>
        <v/>
      </c>
      <c r="Q178">
        <f>MAX(-fyd_cc,MIN(fyd_cc,Es_cc*IF($E178&lt;=cc_D,0.0035*($E178-Q$9)/$E178,0.002*($E178-Q$9)/($E178-3*cc_D/7))))-fcd_cc*(1-(1-MAX(0,MIN(1,IF($E178&lt;=cc_D,0.0035*($E178-Q$9)/$E178,0.002*($E178-Q$9)/($E178-3*cc_D/7))/0.002)))^2)</f>
        <v/>
      </c>
      <c r="R178">
        <f>MAX(-fyd_cc,MIN(fyd_cc,Es_cc*IF($E178&lt;=cc_D,0.0035*($E178-R$9)/$E178,0.002*($E178-R$9)/($E178-3*cc_D/7))))-fcd_cc*(1-(1-MAX(0,MIN(1,IF($E178&lt;=cc_D,0.0035*($E178-R$9)/$E178,0.002*($E178-R$9)/($E178-3*cc_D/7))/0.002)))^2)</f>
        <v/>
      </c>
      <c r="S178">
        <f>MAX(-fyd_cc,MIN(fyd_cc,Es_cc*IF($E178&lt;=cc_D,0.0035*($E178-S$9)/$E178,0.002*($E178-S$9)/($E178-3*cc_D/7))))-fcd_cc*(1-(1-MAX(0,MIN(1,IF($E178&lt;=cc_D,0.0035*($E178-S$9)/$E178,0.002*($E178-S$9)/($E178-3*cc_D/7))/0.002)))^2)</f>
        <v/>
      </c>
      <c r="T178">
        <f>MAX(-fyd_cc,MIN(fyd_cc,Es_cc*IF($E178&lt;=cc_D,0.0035*($E178-T$9)/$E178,0.002*($E178-T$9)/($E178-3*cc_D/7))))-fcd_cc*(1-(1-MAX(0,MIN(1,IF($E178&lt;=cc_D,0.0035*($E178-T$9)/$E178,0.002*($E178-T$9)/($E178-3*cc_D/7))/0.002)))^2)</f>
        <v/>
      </c>
      <c r="U178">
        <f>MAX(-fyd_cc,MIN(fyd_cc,Es_cc*IF($E178&lt;=cc_D,0.0035*($E178-U$9)/$E178,0.002*($E178-U$9)/($E178-3*cc_D/7))))-fcd_cc*(1-(1-MAX(0,MIN(1,IF($E178&lt;=cc_D,0.0035*($E178-U$9)/$E178,0.002*($E178-U$9)/($E178-3*cc_D/7))/0.002)))^2)</f>
        <v/>
      </c>
      <c r="V178">
        <f>MAX(-fyd_cc,MIN(fyd_cc,Es_cc*IF($E178&lt;=cc_D,0.0035*($E178-V$9)/$E178,0.002*($E178-V$9)/($E178-3*cc_D/7))))-fcd_cc*(1-(1-MAX(0,MIN(1,IF($E178&lt;=cc_D,0.0035*($E178-V$9)/$E178,0.002*($E178-V$9)/($E178-3*cc_D/7))/0.002)))^2)</f>
        <v/>
      </c>
      <c r="W178">
        <f>MAX(-fyd_cc,MIN(fyd_cc,Es_cc*IF($E178&lt;=cc_D,0.0035*($E178-W$9)/$E178,0.002*($E178-W$9)/($E178-3*cc_D/7))))-fcd_cc*(1-(1-MAX(0,MIN(1,IF($E178&lt;=cc_D,0.0035*($E178-W$9)/$E178,0.002*($E178-W$9)/($E178-3*cc_D/7))/0.002)))^2)</f>
        <v/>
      </c>
      <c r="X178">
        <f>MAX(-fyd_cc,MIN(fyd_cc,Es_cc*IF($E178&lt;=cc_D,0.0035*($E178-X$9)/$E178,0.002*($E178-X$9)/($E178-3*cc_D/7))))-fcd_cc*(1-(1-MAX(0,MIN(1,IF($E178&lt;=cc_D,0.0035*($E178-X$9)/$E178,0.002*($E178-X$9)/($E178-3*cc_D/7))/0.002)))^2)</f>
        <v/>
      </c>
      <c r="Y178">
        <f>MAX(-fyd_cc,MIN(fyd_cc,Es_cc*IF($E178&lt;=cc_D,0.0035*($E178-Y$9)/$E178,0.002*($E178-Y$9)/($E178-3*cc_D/7))))-fcd_cc*(1-(1-MAX(0,MIN(1,IF($E178&lt;=cc_D,0.0035*($E178-Y$9)/$E178,0.002*($E178-Y$9)/($E178-3*cc_D/7))/0.002)))^2)</f>
        <v/>
      </c>
      <c r="Z178">
        <f>MAX(-fyd_cc,MIN(fyd_cc,Es_cc*IF($E178&lt;=cc_D,0.0035*($E178-Z$9)/$E178,0.002*($E178-Z$9)/($E178-3*cc_D/7))))-fcd_cc*(1-(1-MAX(0,MIN(1,IF($E178&lt;=cc_D,0.0035*($E178-Z$9)/$E178,0.002*($E178-Z$9)/($E178-3*cc_D/7))/0.002)))^2)</f>
        <v/>
      </c>
      <c r="AA178">
        <f>MAX(-fyd_cc,MIN(fyd_cc,Es_cc*IF($E178&lt;=cc_D,0.0035*($E178-AA$9)/$E178,0.002*($E178-AA$9)/($E178-3*cc_D/7))))-fcd_cc*(1-(1-MAX(0,MIN(1,IF($E178&lt;=cc_D,0.0035*($E178-AA$9)/$E178,0.002*($E178-AA$9)/($E178-3*cc_D/7))/0.002)))^2)</f>
        <v/>
      </c>
      <c r="AB178">
        <f>MAX(-fyd_cc,MIN(fyd_cc,Es_cc*IF($E178&lt;=cc_D,0.0035*($E178-AB$9)/$E178,0.002*($E178-AB$9)/($E178-3*cc_D/7))))-fcd_cc*(1-(1-MAX(0,MIN(1,IF($E178&lt;=cc_D,0.0035*($E178-AB$9)/$E178,0.002*($E178-AB$9)/($E178-3*cc_D/7))/0.002)))^2)</f>
        <v/>
      </c>
      <c r="AC178">
        <f>MAX(-fyd_cc,MIN(fyd_cc,Es_cc*IF($E178&lt;=cc_D,0.0035*($E178-AC$9)/$E178,0.002*($E178-AC$9)/($E178-3*cc_D/7))))-fcd_cc*(1-(1-MAX(0,MIN(1,IF($E178&lt;=cc_D,0.0035*($E178-AC$9)/$E178,0.002*($E178-AC$9)/($E178-3*cc_D/7))/0.002)))^2)</f>
        <v/>
      </c>
      <c r="AD178">
        <f>MAX(-fyd_cc,MIN(fyd_cc,Es_cc*IF($E178&lt;=cc_D,0.0035*($E178-AD$9)/$E178,0.002*($E178-AD$9)/($E178-3*cc_D/7))))-fcd_cc*(1-(1-MAX(0,MIN(1,IF($E178&lt;=cc_D,0.0035*($E178-AD$9)/$E178,0.002*($E178-AD$9)/($E178-3*cc_D/7))/0.002)))^2)</f>
        <v/>
      </c>
      <c r="AE178">
        <f>MAX(-fyd_cc,MIN(fyd_cc,Es_cc*IF($E178&lt;=cc_D,0.0035*($E178-AE$9)/$E178,0.002*($E178-AE$9)/($E178-3*cc_D/7))))-fcd_cc*(1-(1-MAX(0,MIN(1,IF($E178&lt;=cc_D,0.0035*($E178-AE$9)/$E178,0.002*($E178-AE$9)/($E178-3*cc_D/7))/0.002)))^2)</f>
        <v/>
      </c>
      <c r="AF178">
        <f>MAX(-fyd_cc,MIN(fyd_cc,Es_cc*IF($E178&lt;=cc_D,0.0035*($E178-AF$9)/$E178,0.002*($E178-AF$9)/($E178-3*cc_D/7))))-fcd_cc*(1-(1-MAX(0,MIN(1,IF($E178&lt;=cc_D,0.0035*($E178-AF$9)/$E178,0.002*($E178-AF$9)/($E178-3*cc_D/7))/0.002)))^2)</f>
        <v/>
      </c>
      <c r="AG178">
        <f>MAX(-fyd_cc,MIN(fyd_cc,Es_cc*IF($E178&lt;=cc_D,0.0035*($E178-AG$9)/$E178,0.002*($E178-AG$9)/($E178-3*cc_D/7))))-fcd_cc*(1-(1-MAX(0,MIN(1,IF($E178&lt;=cc_D,0.0035*($E178-AG$9)/$E178,0.002*($E178-AG$9)/($E178-3*cc_D/7))/0.002)))^2)</f>
        <v/>
      </c>
      <c r="BF178">
        <f>3*MIN($E178,cc_D)/7</f>
        <v/>
      </c>
      <c r="BG178">
        <f>$E178-$BF178</f>
        <v/>
      </c>
      <c r="BH178">
        <f>ACOS(MAX(-1,MIN(1,1-$BF178/(cc_D/2))))</f>
        <v/>
      </c>
      <c r="BI178">
        <f>ACOS(MAX(-1,MIN(1,1-MIN($E178,cc_D)/(cc_D/2))))</f>
        <v/>
      </c>
      <c r="BJ178">
        <f>((cc_D/2*(1-COS(($BH178+0*($BI178-$BH178)/12)))-$BF178)/$BG178)^2*SIN(($BH178+0*($BI178-$BH178)/12))^2</f>
        <v/>
      </c>
      <c r="BK178">
        <f>((cc_D/2*(1-COS(($BH178+1*($BI178-$BH178)/12)))-$BF178)/$BG178)^2*SIN(($BH178+1*($BI178-$BH178)/12))^2</f>
        <v/>
      </c>
      <c r="BL178">
        <f>((cc_D/2*(1-COS(($BH178+2*($BI178-$BH178)/12)))-$BF178)/$BG178)^2*SIN(($BH178+2*($BI178-$BH178)/12))^2</f>
        <v/>
      </c>
      <c r="BM178">
        <f>((cc_D/2*(1-COS(($BH178+3*($BI178-$BH178)/12)))-$BF178)/$BG178)^2*SIN(($BH178+3*($BI178-$BH178)/12))^2</f>
        <v/>
      </c>
      <c r="BN178">
        <f>((cc_D/2*(1-COS(($BH178+4*($BI178-$BH178)/12)))-$BF178)/$BG178)^2*SIN(($BH178+4*($BI178-$BH178)/12))^2</f>
        <v/>
      </c>
      <c r="BO178">
        <f>((cc_D/2*(1-COS(($BH178+5*($BI178-$BH178)/12)))-$BF178)/$BG178)^2*SIN(($BH178+5*($BI178-$BH178)/12))^2</f>
        <v/>
      </c>
      <c r="BP178">
        <f>((cc_D/2*(1-COS(($BH178+6*($BI178-$BH178)/12)))-$BF178)/$BG178)^2*SIN(($BH178+6*($BI178-$BH178)/12))^2</f>
        <v/>
      </c>
      <c r="BQ178">
        <f>((cc_D/2*(1-COS(($BH178+7*($BI178-$BH178)/12)))-$BF178)/$BG178)^2*SIN(($BH178+7*($BI178-$BH178)/12))^2</f>
        <v/>
      </c>
      <c r="BR178">
        <f>((cc_D/2*(1-COS(($BH178+8*($BI178-$BH178)/12)))-$BF178)/$BG178)^2*SIN(($BH178+8*($BI178-$BH178)/12))^2</f>
        <v/>
      </c>
      <c r="BS178">
        <f>((cc_D/2*(1-COS(($BH178+9*($BI178-$BH178)/12)))-$BF178)/$BG178)^2*SIN(($BH178+9*($BI178-$BH178)/12))^2</f>
        <v/>
      </c>
      <c r="BT178">
        <f>((cc_D/2*(1-COS(($BH178+10*($BI178-$BH178)/12)))-$BF178)/$BG178)^2*SIN(($BH178+10*($BI178-$BH178)/12))^2</f>
        <v/>
      </c>
      <c r="BU178">
        <f>((cc_D/2*(1-COS(($BH178+11*($BI178-$BH178)/12)))-$BF178)/$BG178)^2*SIN(($BH178+11*($BI178-$BH178)/12))^2</f>
        <v/>
      </c>
      <c r="BV178">
        <f>((cc_D/2*(1-COS(($BH178+12*($BI178-$BH178)/12)))-$BF178)/$BG178)^2*SIN(($BH178+12*($BI178-$BH178)/12))^2</f>
        <v/>
      </c>
      <c r="BW178">
        <f>BJ178*COS(($BH178+0*($BI178-$BH178)/12))</f>
        <v/>
      </c>
      <c r="BX178">
        <f>BK178*COS(($BH178+1*($BI178-$BH178)/12))</f>
        <v/>
      </c>
      <c r="BY178">
        <f>BL178*COS(($BH178+2*($BI178-$BH178)/12))</f>
        <v/>
      </c>
      <c r="BZ178">
        <f>BM178*COS(($BH178+3*($BI178-$BH178)/12))</f>
        <v/>
      </c>
      <c r="CA178">
        <f>BN178*COS(($BH178+4*($BI178-$BH178)/12))</f>
        <v/>
      </c>
      <c r="CB178">
        <f>BO178*COS(($BH178+5*($BI178-$BH178)/12))</f>
        <v/>
      </c>
      <c r="CC178">
        <f>BP178*COS(($BH178+6*($BI178-$BH178)/12))</f>
        <v/>
      </c>
      <c r="CD178">
        <f>BQ178*COS(($BH178+7*($BI178-$BH178)/12))</f>
        <v/>
      </c>
      <c r="CE178">
        <f>BR178*COS(($BH178+8*($BI178-$BH178)/12))</f>
        <v/>
      </c>
      <c r="CF178">
        <f>BS178*COS(($BH178+9*($BI178-$BH178)/12))</f>
        <v/>
      </c>
      <c r="CG178">
        <f>BT178*COS(($BH178+10*($BI178-$BH178)/12))</f>
        <v/>
      </c>
      <c r="CH178">
        <f>BU178*COS(($BH178+11*($BI178-$BH178)/12))</f>
        <v/>
      </c>
      <c r="CI178">
        <f>BV178*COS(($BH178+12*($BI178-$BH178)/12))</f>
        <v/>
      </c>
    </row>
    <row r="179">
      <c r="B179" s="65" t="n">
        <v>27</v>
      </c>
      <c r="C179" s="66">
        <f>IF($G178&lt;cc_NEd-1E-9*ABS(cc_NEd),($C178+$D178)/2,$C178)</f>
        <v/>
      </c>
      <c r="D179" s="66">
        <f>IF($G178&lt;cc_NEd-1E-9*ABS(cc_NEd),$D178,($C178+$D178)/2)</f>
        <v/>
      </c>
      <c r="E179" s="67">
        <f>cc_D*(($C179+$D179)/2)/(1-(($C179+$D179)/2))</f>
        <v/>
      </c>
      <c r="F179" s="68">
        <f>IF($E179&lt;=cc_D,3.5,2*$E179/($E179-3*cc_D/7))</f>
        <v/>
      </c>
      <c r="G179" s="67">
        <f>(fcd_cc*((cc_D/2)^2*($BI179-COS($BI179)*SIN($BI179))-2*(cc_D/2)^2*($BI179-$BH179)/12/3*SUMPRODUCT($BJ$4:$BV$4,$BJ179:$BV179))+SUMPRODUCT($J$5:$AG$5,$J179:$AG179))/1000</f>
        <v/>
      </c>
      <c r="H179" s="67">
        <f>(fcd_cc*(2/3*(cc_D/2)^3*SIN($BI179)^3-2*(cc_D/2)^3*($BI179-$BH179)/12/3*SUMPRODUCT($BW$4:$CI$4,$BW179:$CI179))+SUMPRODUCT($J$5:$AG$5,$J179:$AG179,$J$10:$AG$10))/1E6</f>
        <v/>
      </c>
      <c r="I179" s="67">
        <f>SUMPRODUCT($J$5:$AG$5,$J179:$AG179,$J$11:$AG$11)/1E6</f>
        <v/>
      </c>
      <c r="J179">
        <f>MAX(-fyd_cc,MIN(fyd_cc,Es_cc*IF($E179&lt;=cc_D,0.0035*($E179-J$9)/$E179,0.002*($E179-J$9)/($E179-3*cc_D/7))))-fcd_cc*(1-(1-MAX(0,MIN(1,IF($E179&lt;=cc_D,0.0035*($E179-J$9)/$E179,0.002*($E179-J$9)/($E179-3*cc_D/7))/0.002)))^2)</f>
        <v/>
      </c>
      <c r="K179">
        <f>MAX(-fyd_cc,MIN(fyd_cc,Es_cc*IF($E179&lt;=cc_D,0.0035*($E179-K$9)/$E179,0.002*($E179-K$9)/($E179-3*cc_D/7))))-fcd_cc*(1-(1-MAX(0,MIN(1,IF($E179&lt;=cc_D,0.0035*($E179-K$9)/$E179,0.002*($E179-K$9)/($E179-3*cc_D/7))/0.002)))^2)</f>
        <v/>
      </c>
      <c r="L179">
        <f>MAX(-fyd_cc,MIN(fyd_cc,Es_cc*IF($E179&lt;=cc_D,0.0035*($E179-L$9)/$E179,0.002*($E179-L$9)/($E179-3*cc_D/7))))-fcd_cc*(1-(1-MAX(0,MIN(1,IF($E179&lt;=cc_D,0.0035*($E179-L$9)/$E179,0.002*($E179-L$9)/($E179-3*cc_D/7))/0.002)))^2)</f>
        <v/>
      </c>
      <c r="M179">
        <f>MAX(-fyd_cc,MIN(fyd_cc,Es_cc*IF($E179&lt;=cc_D,0.0035*($E179-M$9)/$E179,0.002*($E179-M$9)/($E179-3*cc_D/7))))-fcd_cc*(1-(1-MAX(0,MIN(1,IF($E179&lt;=cc_D,0.0035*($E179-M$9)/$E179,0.002*($E179-M$9)/($E179-3*cc_D/7))/0.002)))^2)</f>
        <v/>
      </c>
      <c r="N179">
        <f>MAX(-fyd_cc,MIN(fyd_cc,Es_cc*IF($E179&lt;=cc_D,0.0035*($E179-N$9)/$E179,0.002*($E179-N$9)/($E179-3*cc_D/7))))-fcd_cc*(1-(1-MAX(0,MIN(1,IF($E179&lt;=cc_D,0.0035*($E179-N$9)/$E179,0.002*($E179-N$9)/($E179-3*cc_D/7))/0.002)))^2)</f>
        <v/>
      </c>
      <c r="O179">
        <f>MAX(-fyd_cc,MIN(fyd_cc,Es_cc*IF($E179&lt;=cc_D,0.0035*($E179-O$9)/$E179,0.002*($E179-O$9)/($E179-3*cc_D/7))))-fcd_cc*(1-(1-MAX(0,MIN(1,IF($E179&lt;=cc_D,0.0035*($E179-O$9)/$E179,0.002*($E179-O$9)/($E179-3*cc_D/7))/0.002)))^2)</f>
        <v/>
      </c>
      <c r="P179">
        <f>MAX(-fyd_cc,MIN(fyd_cc,Es_cc*IF($E179&lt;=cc_D,0.0035*($E179-P$9)/$E179,0.002*($E179-P$9)/($E179-3*cc_D/7))))-fcd_cc*(1-(1-MAX(0,MIN(1,IF($E179&lt;=cc_D,0.0035*($E179-P$9)/$E179,0.002*($E179-P$9)/($E179-3*cc_D/7))/0.002)))^2)</f>
        <v/>
      </c>
      <c r="Q179">
        <f>MAX(-fyd_cc,MIN(fyd_cc,Es_cc*IF($E179&lt;=cc_D,0.0035*($E179-Q$9)/$E179,0.002*($E179-Q$9)/($E179-3*cc_D/7))))-fcd_cc*(1-(1-MAX(0,MIN(1,IF($E179&lt;=cc_D,0.0035*($E179-Q$9)/$E179,0.002*($E179-Q$9)/($E179-3*cc_D/7))/0.002)))^2)</f>
        <v/>
      </c>
      <c r="R179">
        <f>MAX(-fyd_cc,MIN(fyd_cc,Es_cc*IF($E179&lt;=cc_D,0.0035*($E179-R$9)/$E179,0.002*($E179-R$9)/($E179-3*cc_D/7))))-fcd_cc*(1-(1-MAX(0,MIN(1,IF($E179&lt;=cc_D,0.0035*($E179-R$9)/$E179,0.002*($E179-R$9)/($E179-3*cc_D/7))/0.002)))^2)</f>
        <v/>
      </c>
      <c r="S179">
        <f>MAX(-fyd_cc,MIN(fyd_cc,Es_cc*IF($E179&lt;=cc_D,0.0035*($E179-S$9)/$E179,0.002*($E179-S$9)/($E179-3*cc_D/7))))-fcd_cc*(1-(1-MAX(0,MIN(1,IF($E179&lt;=cc_D,0.0035*($E179-S$9)/$E179,0.002*($E179-S$9)/($E179-3*cc_D/7))/0.002)))^2)</f>
        <v/>
      </c>
      <c r="T179">
        <f>MAX(-fyd_cc,MIN(fyd_cc,Es_cc*IF($E179&lt;=cc_D,0.0035*($E179-T$9)/$E179,0.002*($E179-T$9)/($E179-3*cc_D/7))))-fcd_cc*(1-(1-MAX(0,MIN(1,IF($E179&lt;=cc_D,0.0035*($E179-T$9)/$E179,0.002*($E179-T$9)/($E179-3*cc_D/7))/0.002)))^2)</f>
        <v/>
      </c>
      <c r="U179">
        <f>MAX(-fyd_cc,MIN(fyd_cc,Es_cc*IF($E179&lt;=cc_D,0.0035*($E179-U$9)/$E179,0.002*($E179-U$9)/($E179-3*cc_D/7))))-fcd_cc*(1-(1-MAX(0,MIN(1,IF($E179&lt;=cc_D,0.0035*($E179-U$9)/$E179,0.002*($E179-U$9)/($E179-3*cc_D/7))/0.002)))^2)</f>
        <v/>
      </c>
      <c r="V179">
        <f>MAX(-fyd_cc,MIN(fyd_cc,Es_cc*IF($E179&lt;=cc_D,0.0035*($E179-V$9)/$E179,0.002*($E179-V$9)/($E179-3*cc_D/7))))-fcd_cc*(1-(1-MAX(0,MIN(1,IF($E179&lt;=cc_D,0.0035*($E179-V$9)/$E179,0.002*($E179-V$9)/($E179-3*cc_D/7))/0.002)))^2)</f>
        <v/>
      </c>
      <c r="W179">
        <f>MAX(-fyd_cc,MIN(fyd_cc,Es_cc*IF($E179&lt;=cc_D,0.0035*($E179-W$9)/$E179,0.002*($E179-W$9)/($E179-3*cc_D/7))))-fcd_cc*(1-(1-MAX(0,MIN(1,IF($E179&lt;=cc_D,0.0035*($E179-W$9)/$E179,0.002*($E179-W$9)/($E179-3*cc_D/7))/0.002)))^2)</f>
        <v/>
      </c>
      <c r="X179">
        <f>MAX(-fyd_cc,MIN(fyd_cc,Es_cc*IF($E179&lt;=cc_D,0.0035*($E179-X$9)/$E179,0.002*($E179-X$9)/($E179-3*cc_D/7))))-fcd_cc*(1-(1-MAX(0,MIN(1,IF($E179&lt;=cc_D,0.0035*($E179-X$9)/$E179,0.002*($E179-X$9)/($E179-3*cc_D/7))/0.002)))^2)</f>
        <v/>
      </c>
      <c r="Y179">
        <f>MAX(-fyd_cc,MIN(fyd_cc,Es_cc*IF($E179&lt;=cc_D,0.0035*($E179-Y$9)/$E179,0.002*($E179-Y$9)/($E179-3*cc_D/7))))-fcd_cc*(1-(1-MAX(0,MIN(1,IF($E179&lt;=cc_D,0.0035*($E179-Y$9)/$E179,0.002*($E179-Y$9)/($E179-3*cc_D/7))/0.002)))^2)</f>
        <v/>
      </c>
      <c r="Z179">
        <f>MAX(-fyd_cc,MIN(fyd_cc,Es_cc*IF($E179&lt;=cc_D,0.0035*($E179-Z$9)/$E179,0.002*($E179-Z$9)/($E179-3*cc_D/7))))-fcd_cc*(1-(1-MAX(0,MIN(1,IF($E179&lt;=cc_D,0.0035*($E179-Z$9)/$E179,0.002*($E179-Z$9)/($E179-3*cc_D/7))/0.002)))^2)</f>
        <v/>
      </c>
      <c r="AA179">
        <f>MAX(-fyd_cc,MIN(fyd_cc,Es_cc*IF($E179&lt;=cc_D,0.0035*($E179-AA$9)/$E179,0.002*($E179-AA$9)/($E179-3*cc_D/7))))-fcd_cc*(1-(1-MAX(0,MIN(1,IF($E179&lt;=cc_D,0.0035*($E179-AA$9)/$E179,0.002*($E179-AA$9)/($E179-3*cc_D/7))/0.002)))^2)</f>
        <v/>
      </c>
      <c r="AB179">
        <f>MAX(-fyd_cc,MIN(fyd_cc,Es_cc*IF($E179&lt;=cc_D,0.0035*($E179-AB$9)/$E179,0.002*($E179-AB$9)/($E179-3*cc_D/7))))-fcd_cc*(1-(1-MAX(0,MIN(1,IF($E179&lt;=cc_D,0.0035*($E179-AB$9)/$E179,0.002*($E179-AB$9)/($E179-3*cc_D/7))/0.002)))^2)</f>
        <v/>
      </c>
      <c r="AC179">
        <f>MAX(-fyd_cc,MIN(fyd_cc,Es_cc*IF($E179&lt;=cc_D,0.0035*($E179-AC$9)/$E179,0.002*($E179-AC$9)/($E179-3*cc_D/7))))-fcd_cc*(1-(1-MAX(0,MIN(1,IF($E179&lt;=cc_D,0.0035*($E179-AC$9)/$E179,0.002*($E179-AC$9)/($E179-3*cc_D/7))/0.002)))^2)</f>
        <v/>
      </c>
      <c r="AD179">
        <f>MAX(-fyd_cc,MIN(fyd_cc,Es_cc*IF($E179&lt;=cc_D,0.0035*($E179-AD$9)/$E179,0.002*($E179-AD$9)/($E179-3*cc_D/7))))-fcd_cc*(1-(1-MAX(0,MIN(1,IF($E179&lt;=cc_D,0.0035*($E179-AD$9)/$E179,0.002*($E179-AD$9)/($E179-3*cc_D/7))/0.002)))^2)</f>
        <v/>
      </c>
      <c r="AE179">
        <f>MAX(-fyd_cc,MIN(fyd_cc,Es_cc*IF($E179&lt;=cc_D,0.0035*($E179-AE$9)/$E179,0.002*($E179-AE$9)/($E179-3*cc_D/7))))-fcd_cc*(1-(1-MAX(0,MIN(1,IF($E179&lt;=cc_D,0.0035*($E179-AE$9)/$E179,0.002*($E179-AE$9)/($E179-3*cc_D/7))/0.002)))^2)</f>
        <v/>
      </c>
      <c r="AF179">
        <f>MAX(-fyd_cc,MIN(fyd_cc,Es_cc*IF($E179&lt;=cc_D,0.0035*($E179-AF$9)/$E179,0.002*($E179-AF$9)/($E179-3*cc_D/7))))-fcd_cc*(1-(1-MAX(0,MIN(1,IF($E179&lt;=cc_D,0.0035*($E179-AF$9)/$E179,0.002*($E179-AF$9)/($E179-3*cc_D/7))/0.002)))^2)</f>
        <v/>
      </c>
      <c r="AG179">
        <f>MAX(-fyd_cc,MIN(fyd_cc,Es_cc*IF($E179&lt;=cc_D,0.0035*($E179-AG$9)/$E179,0.002*($E179-AG$9)/($E179-3*cc_D/7))))-fcd_cc*(1-(1-MAX(0,MIN(1,IF($E179&lt;=cc_D,0.0035*($E179-AG$9)/$E179,0.002*($E179-AG$9)/($E179-3*cc_D/7))/0.002)))^2)</f>
        <v/>
      </c>
      <c r="BF179">
        <f>3*MIN($E179,cc_D)/7</f>
        <v/>
      </c>
      <c r="BG179">
        <f>$E179-$BF179</f>
        <v/>
      </c>
      <c r="BH179">
        <f>ACOS(MAX(-1,MIN(1,1-$BF179/(cc_D/2))))</f>
        <v/>
      </c>
      <c r="BI179">
        <f>ACOS(MAX(-1,MIN(1,1-MIN($E179,cc_D)/(cc_D/2))))</f>
        <v/>
      </c>
      <c r="BJ179">
        <f>((cc_D/2*(1-COS(($BH179+0*($BI179-$BH179)/12)))-$BF179)/$BG179)^2*SIN(($BH179+0*($BI179-$BH179)/12))^2</f>
        <v/>
      </c>
      <c r="BK179">
        <f>((cc_D/2*(1-COS(($BH179+1*($BI179-$BH179)/12)))-$BF179)/$BG179)^2*SIN(($BH179+1*($BI179-$BH179)/12))^2</f>
        <v/>
      </c>
      <c r="BL179">
        <f>((cc_D/2*(1-COS(($BH179+2*($BI179-$BH179)/12)))-$BF179)/$BG179)^2*SIN(($BH179+2*($BI179-$BH179)/12))^2</f>
        <v/>
      </c>
      <c r="BM179">
        <f>((cc_D/2*(1-COS(($BH179+3*($BI179-$BH179)/12)))-$BF179)/$BG179)^2*SIN(($BH179+3*($BI179-$BH179)/12))^2</f>
        <v/>
      </c>
      <c r="BN179">
        <f>((cc_D/2*(1-COS(($BH179+4*($BI179-$BH179)/12)))-$BF179)/$BG179)^2*SIN(($BH179+4*($BI179-$BH179)/12))^2</f>
        <v/>
      </c>
      <c r="BO179">
        <f>((cc_D/2*(1-COS(($BH179+5*($BI179-$BH179)/12)))-$BF179)/$BG179)^2*SIN(($BH179+5*($BI179-$BH179)/12))^2</f>
        <v/>
      </c>
      <c r="BP179">
        <f>((cc_D/2*(1-COS(($BH179+6*($BI179-$BH179)/12)))-$BF179)/$BG179)^2*SIN(($BH179+6*($BI179-$BH179)/12))^2</f>
        <v/>
      </c>
      <c r="BQ179">
        <f>((cc_D/2*(1-COS(($BH179+7*($BI179-$BH179)/12)))-$BF179)/$BG179)^2*SIN(($BH179+7*($BI179-$BH179)/12))^2</f>
        <v/>
      </c>
      <c r="BR179">
        <f>((cc_D/2*(1-COS(($BH179+8*($BI179-$BH179)/12)))-$BF179)/$BG179)^2*SIN(($BH179+8*($BI179-$BH179)/12))^2</f>
        <v/>
      </c>
      <c r="BS179">
        <f>((cc_D/2*(1-COS(($BH179+9*($BI179-$BH179)/12)))-$BF179)/$BG179)^2*SIN(($BH179+9*($BI179-$BH179)/12))^2</f>
        <v/>
      </c>
      <c r="BT179">
        <f>((cc_D/2*(1-COS(($BH179+10*($BI179-$BH179)/12)))-$BF179)/$BG179)^2*SIN(($BH179+10*($BI179-$BH179)/12))^2</f>
        <v/>
      </c>
      <c r="BU179">
        <f>((cc_D/2*(1-COS(($BH179+11*($BI179-$BH179)/12)))-$BF179)/$BG179)^2*SIN(($BH179+11*($BI179-$BH179)/12))^2</f>
        <v/>
      </c>
      <c r="BV179">
        <f>((cc_D/2*(1-COS(($BH179+12*($BI179-$BH179)/12)))-$BF179)/$BG179)^2*SIN(($BH179+12*($BI179-$BH179)/12))^2</f>
        <v/>
      </c>
      <c r="BW179">
        <f>BJ179*COS(($BH179+0*($BI179-$BH179)/12))</f>
        <v/>
      </c>
      <c r="BX179">
        <f>BK179*COS(($BH179+1*($BI179-$BH179)/12))</f>
        <v/>
      </c>
      <c r="BY179">
        <f>BL179*COS(($BH179+2*($BI179-$BH179)/12))</f>
        <v/>
      </c>
      <c r="BZ179">
        <f>BM179*COS(($BH179+3*($BI179-$BH179)/12))</f>
        <v/>
      </c>
      <c r="CA179">
        <f>BN179*COS(($BH179+4*($BI179-$BH179)/12))</f>
        <v/>
      </c>
      <c r="CB179">
        <f>BO179*COS(($BH179+5*($BI179-$BH179)/12))</f>
        <v/>
      </c>
      <c r="CC179">
        <f>BP179*COS(($BH179+6*($BI179-$BH179)/12))</f>
        <v/>
      </c>
      <c r="CD179">
        <f>BQ179*COS(($BH179+7*($BI179-$BH179)/12))</f>
        <v/>
      </c>
      <c r="CE179">
        <f>BR179*COS(($BH179+8*($BI179-$BH179)/12))</f>
        <v/>
      </c>
      <c r="CF179">
        <f>BS179*COS(($BH179+9*($BI179-$BH179)/12))</f>
        <v/>
      </c>
      <c r="CG179">
        <f>BT179*COS(($BH179+10*($BI179-$BH179)/12))</f>
        <v/>
      </c>
      <c r="CH179">
        <f>BU179*COS(($BH179+11*($BI179-$BH179)/12))</f>
        <v/>
      </c>
      <c r="CI179">
        <f>BV179*COS(($BH179+12*($BI179-$BH179)/12))</f>
        <v/>
      </c>
    </row>
    <row r="180">
      <c r="B180" s="65" t="n">
        <v>28</v>
      </c>
      <c r="C180" s="66">
        <f>IF($G179&lt;cc_NEd-1E-9*ABS(cc_NEd),($C179+$D179)/2,$C179)</f>
        <v/>
      </c>
      <c r="D180" s="66">
        <f>IF($G179&lt;cc_NEd-1E-9*ABS(cc_NEd),$D179,($C179+$D179)/2)</f>
        <v/>
      </c>
      <c r="E180" s="67">
        <f>cc_D*(($C180+$D180)/2)/(1-(($C180+$D180)/2))</f>
        <v/>
      </c>
      <c r="F180" s="68">
        <f>IF($E180&lt;=cc_D,3.5,2*$E180/($E180-3*cc_D/7))</f>
        <v/>
      </c>
      <c r="G180" s="67">
        <f>(fcd_cc*((cc_D/2)^2*($BI180-COS($BI180)*SIN($BI180))-2*(cc_D/2)^2*($BI180-$BH180)/12/3*SUMPRODUCT($BJ$4:$BV$4,$BJ180:$BV180))+SUMPRODUCT($J$5:$AG$5,$J180:$AG180))/1000</f>
        <v/>
      </c>
      <c r="H180" s="67">
        <f>(fcd_cc*(2/3*(cc_D/2)^3*SIN($BI180)^3-2*(cc_D/2)^3*($BI180-$BH180)/12/3*SUMPRODUCT($BW$4:$CI$4,$BW180:$CI180))+SUMPRODUCT($J$5:$AG$5,$J180:$AG180,$J$10:$AG$10))/1E6</f>
        <v/>
      </c>
      <c r="I180" s="67">
        <f>SUMPRODUCT($J$5:$AG$5,$J180:$AG180,$J$11:$AG$11)/1E6</f>
        <v/>
      </c>
      <c r="J180">
        <f>MAX(-fyd_cc,MIN(fyd_cc,Es_cc*IF($E180&lt;=cc_D,0.0035*($E180-J$9)/$E180,0.002*($E180-J$9)/($E180-3*cc_D/7))))-fcd_cc*(1-(1-MAX(0,MIN(1,IF($E180&lt;=cc_D,0.0035*($E180-J$9)/$E180,0.002*($E180-J$9)/($E180-3*cc_D/7))/0.002)))^2)</f>
        <v/>
      </c>
      <c r="K180">
        <f>MAX(-fyd_cc,MIN(fyd_cc,Es_cc*IF($E180&lt;=cc_D,0.0035*($E180-K$9)/$E180,0.002*($E180-K$9)/($E180-3*cc_D/7))))-fcd_cc*(1-(1-MAX(0,MIN(1,IF($E180&lt;=cc_D,0.0035*($E180-K$9)/$E180,0.002*($E180-K$9)/($E180-3*cc_D/7))/0.002)))^2)</f>
        <v/>
      </c>
      <c r="L180">
        <f>MAX(-fyd_cc,MIN(fyd_cc,Es_cc*IF($E180&lt;=cc_D,0.0035*($E180-L$9)/$E180,0.002*($E180-L$9)/($E180-3*cc_D/7))))-fcd_cc*(1-(1-MAX(0,MIN(1,IF($E180&lt;=cc_D,0.0035*($E180-L$9)/$E180,0.002*($E180-L$9)/($E180-3*cc_D/7))/0.002)))^2)</f>
        <v/>
      </c>
      <c r="M180">
        <f>MAX(-fyd_cc,MIN(fyd_cc,Es_cc*IF($E180&lt;=cc_D,0.0035*($E180-M$9)/$E180,0.002*($E180-M$9)/($E180-3*cc_D/7))))-fcd_cc*(1-(1-MAX(0,MIN(1,IF($E180&lt;=cc_D,0.0035*($E180-M$9)/$E180,0.002*($E180-M$9)/($E180-3*cc_D/7))/0.002)))^2)</f>
        <v/>
      </c>
      <c r="N180">
        <f>MAX(-fyd_cc,MIN(fyd_cc,Es_cc*IF($E180&lt;=cc_D,0.0035*($E180-N$9)/$E180,0.002*($E180-N$9)/($E180-3*cc_D/7))))-fcd_cc*(1-(1-MAX(0,MIN(1,IF($E180&lt;=cc_D,0.0035*($E180-N$9)/$E180,0.002*($E180-N$9)/($E180-3*cc_D/7))/0.002)))^2)</f>
        <v/>
      </c>
      <c r="O180">
        <f>MAX(-fyd_cc,MIN(fyd_cc,Es_cc*IF($E180&lt;=cc_D,0.0035*($E180-O$9)/$E180,0.002*($E180-O$9)/($E180-3*cc_D/7))))-fcd_cc*(1-(1-MAX(0,MIN(1,IF($E180&lt;=cc_D,0.0035*($E180-O$9)/$E180,0.002*($E180-O$9)/($E180-3*cc_D/7))/0.002)))^2)</f>
        <v/>
      </c>
      <c r="P180">
        <f>MAX(-fyd_cc,MIN(fyd_cc,Es_cc*IF($E180&lt;=cc_D,0.0035*($E180-P$9)/$E180,0.002*($E180-P$9)/($E180-3*cc_D/7))))-fcd_cc*(1-(1-MAX(0,MIN(1,IF($E180&lt;=cc_D,0.0035*($E180-P$9)/$E180,0.002*($E180-P$9)/($E180-3*cc_D/7))/0.002)))^2)</f>
        <v/>
      </c>
      <c r="Q180">
        <f>MAX(-fyd_cc,MIN(fyd_cc,Es_cc*IF($E180&lt;=cc_D,0.0035*($E180-Q$9)/$E180,0.002*($E180-Q$9)/($E180-3*cc_D/7))))-fcd_cc*(1-(1-MAX(0,MIN(1,IF($E180&lt;=cc_D,0.0035*($E180-Q$9)/$E180,0.002*($E180-Q$9)/($E180-3*cc_D/7))/0.002)))^2)</f>
        <v/>
      </c>
      <c r="R180">
        <f>MAX(-fyd_cc,MIN(fyd_cc,Es_cc*IF($E180&lt;=cc_D,0.0035*($E180-R$9)/$E180,0.002*($E180-R$9)/($E180-3*cc_D/7))))-fcd_cc*(1-(1-MAX(0,MIN(1,IF($E180&lt;=cc_D,0.0035*($E180-R$9)/$E180,0.002*($E180-R$9)/($E180-3*cc_D/7))/0.002)))^2)</f>
        <v/>
      </c>
      <c r="S180">
        <f>MAX(-fyd_cc,MIN(fyd_cc,Es_cc*IF($E180&lt;=cc_D,0.0035*($E180-S$9)/$E180,0.002*($E180-S$9)/($E180-3*cc_D/7))))-fcd_cc*(1-(1-MAX(0,MIN(1,IF($E180&lt;=cc_D,0.0035*($E180-S$9)/$E180,0.002*($E180-S$9)/($E180-3*cc_D/7))/0.002)))^2)</f>
        <v/>
      </c>
      <c r="T180">
        <f>MAX(-fyd_cc,MIN(fyd_cc,Es_cc*IF($E180&lt;=cc_D,0.0035*($E180-T$9)/$E180,0.002*($E180-T$9)/($E180-3*cc_D/7))))-fcd_cc*(1-(1-MAX(0,MIN(1,IF($E180&lt;=cc_D,0.0035*($E180-T$9)/$E180,0.002*($E180-T$9)/($E180-3*cc_D/7))/0.002)))^2)</f>
        <v/>
      </c>
      <c r="U180">
        <f>MAX(-fyd_cc,MIN(fyd_cc,Es_cc*IF($E180&lt;=cc_D,0.0035*($E180-U$9)/$E180,0.002*($E180-U$9)/($E180-3*cc_D/7))))-fcd_cc*(1-(1-MAX(0,MIN(1,IF($E180&lt;=cc_D,0.0035*($E180-U$9)/$E180,0.002*($E180-U$9)/($E180-3*cc_D/7))/0.002)))^2)</f>
        <v/>
      </c>
      <c r="V180">
        <f>MAX(-fyd_cc,MIN(fyd_cc,Es_cc*IF($E180&lt;=cc_D,0.0035*($E180-V$9)/$E180,0.002*($E180-V$9)/($E180-3*cc_D/7))))-fcd_cc*(1-(1-MAX(0,MIN(1,IF($E180&lt;=cc_D,0.0035*($E180-V$9)/$E180,0.002*($E180-V$9)/($E180-3*cc_D/7))/0.002)))^2)</f>
        <v/>
      </c>
      <c r="W180">
        <f>MAX(-fyd_cc,MIN(fyd_cc,Es_cc*IF($E180&lt;=cc_D,0.0035*($E180-W$9)/$E180,0.002*($E180-W$9)/($E180-3*cc_D/7))))-fcd_cc*(1-(1-MAX(0,MIN(1,IF($E180&lt;=cc_D,0.0035*($E180-W$9)/$E180,0.002*($E180-W$9)/($E180-3*cc_D/7))/0.002)))^2)</f>
        <v/>
      </c>
      <c r="X180">
        <f>MAX(-fyd_cc,MIN(fyd_cc,Es_cc*IF($E180&lt;=cc_D,0.0035*($E180-X$9)/$E180,0.002*($E180-X$9)/($E180-3*cc_D/7))))-fcd_cc*(1-(1-MAX(0,MIN(1,IF($E180&lt;=cc_D,0.0035*($E180-X$9)/$E180,0.002*($E180-X$9)/($E180-3*cc_D/7))/0.002)))^2)</f>
        <v/>
      </c>
      <c r="Y180">
        <f>MAX(-fyd_cc,MIN(fyd_cc,Es_cc*IF($E180&lt;=cc_D,0.0035*($E180-Y$9)/$E180,0.002*($E180-Y$9)/($E180-3*cc_D/7))))-fcd_cc*(1-(1-MAX(0,MIN(1,IF($E180&lt;=cc_D,0.0035*($E180-Y$9)/$E180,0.002*($E180-Y$9)/($E180-3*cc_D/7))/0.002)))^2)</f>
        <v/>
      </c>
      <c r="Z180">
        <f>MAX(-fyd_cc,MIN(fyd_cc,Es_cc*IF($E180&lt;=cc_D,0.0035*($E180-Z$9)/$E180,0.002*($E180-Z$9)/($E180-3*cc_D/7))))-fcd_cc*(1-(1-MAX(0,MIN(1,IF($E180&lt;=cc_D,0.0035*($E180-Z$9)/$E180,0.002*($E180-Z$9)/($E180-3*cc_D/7))/0.002)))^2)</f>
        <v/>
      </c>
      <c r="AA180">
        <f>MAX(-fyd_cc,MIN(fyd_cc,Es_cc*IF($E180&lt;=cc_D,0.0035*($E180-AA$9)/$E180,0.002*($E180-AA$9)/($E180-3*cc_D/7))))-fcd_cc*(1-(1-MAX(0,MIN(1,IF($E180&lt;=cc_D,0.0035*($E180-AA$9)/$E180,0.002*($E180-AA$9)/($E180-3*cc_D/7))/0.002)))^2)</f>
        <v/>
      </c>
      <c r="AB180">
        <f>MAX(-fyd_cc,MIN(fyd_cc,Es_cc*IF($E180&lt;=cc_D,0.0035*($E180-AB$9)/$E180,0.002*($E180-AB$9)/($E180-3*cc_D/7))))-fcd_cc*(1-(1-MAX(0,MIN(1,IF($E180&lt;=cc_D,0.0035*($E180-AB$9)/$E180,0.002*($E180-AB$9)/($E180-3*cc_D/7))/0.002)))^2)</f>
        <v/>
      </c>
      <c r="AC180">
        <f>MAX(-fyd_cc,MIN(fyd_cc,Es_cc*IF($E180&lt;=cc_D,0.0035*($E180-AC$9)/$E180,0.002*($E180-AC$9)/($E180-3*cc_D/7))))-fcd_cc*(1-(1-MAX(0,MIN(1,IF($E180&lt;=cc_D,0.0035*($E180-AC$9)/$E180,0.002*($E180-AC$9)/($E180-3*cc_D/7))/0.002)))^2)</f>
        <v/>
      </c>
      <c r="AD180">
        <f>MAX(-fyd_cc,MIN(fyd_cc,Es_cc*IF($E180&lt;=cc_D,0.0035*($E180-AD$9)/$E180,0.002*($E180-AD$9)/($E180-3*cc_D/7))))-fcd_cc*(1-(1-MAX(0,MIN(1,IF($E180&lt;=cc_D,0.0035*($E180-AD$9)/$E180,0.002*($E180-AD$9)/($E180-3*cc_D/7))/0.002)))^2)</f>
        <v/>
      </c>
      <c r="AE180">
        <f>MAX(-fyd_cc,MIN(fyd_cc,Es_cc*IF($E180&lt;=cc_D,0.0035*($E180-AE$9)/$E180,0.002*($E180-AE$9)/($E180-3*cc_D/7))))-fcd_cc*(1-(1-MAX(0,MIN(1,IF($E180&lt;=cc_D,0.0035*($E180-AE$9)/$E180,0.002*($E180-AE$9)/($E180-3*cc_D/7))/0.002)))^2)</f>
        <v/>
      </c>
      <c r="AF180">
        <f>MAX(-fyd_cc,MIN(fyd_cc,Es_cc*IF($E180&lt;=cc_D,0.0035*($E180-AF$9)/$E180,0.002*($E180-AF$9)/($E180-3*cc_D/7))))-fcd_cc*(1-(1-MAX(0,MIN(1,IF($E180&lt;=cc_D,0.0035*($E180-AF$9)/$E180,0.002*($E180-AF$9)/($E180-3*cc_D/7))/0.002)))^2)</f>
        <v/>
      </c>
      <c r="AG180">
        <f>MAX(-fyd_cc,MIN(fyd_cc,Es_cc*IF($E180&lt;=cc_D,0.0035*($E180-AG$9)/$E180,0.002*($E180-AG$9)/($E180-3*cc_D/7))))-fcd_cc*(1-(1-MAX(0,MIN(1,IF($E180&lt;=cc_D,0.0035*($E180-AG$9)/$E180,0.002*($E180-AG$9)/($E180-3*cc_D/7))/0.002)))^2)</f>
        <v/>
      </c>
      <c r="BF180">
        <f>3*MIN($E180,cc_D)/7</f>
        <v/>
      </c>
      <c r="BG180">
        <f>$E180-$BF180</f>
        <v/>
      </c>
      <c r="BH180">
        <f>ACOS(MAX(-1,MIN(1,1-$BF180/(cc_D/2))))</f>
        <v/>
      </c>
      <c r="BI180">
        <f>ACOS(MAX(-1,MIN(1,1-MIN($E180,cc_D)/(cc_D/2))))</f>
        <v/>
      </c>
      <c r="BJ180">
        <f>((cc_D/2*(1-COS(($BH180+0*($BI180-$BH180)/12)))-$BF180)/$BG180)^2*SIN(($BH180+0*($BI180-$BH180)/12))^2</f>
        <v/>
      </c>
      <c r="BK180">
        <f>((cc_D/2*(1-COS(($BH180+1*($BI180-$BH180)/12)))-$BF180)/$BG180)^2*SIN(($BH180+1*($BI180-$BH180)/12))^2</f>
        <v/>
      </c>
      <c r="BL180">
        <f>((cc_D/2*(1-COS(($BH180+2*($BI180-$BH180)/12)))-$BF180)/$BG180)^2*SIN(($BH180+2*($BI180-$BH180)/12))^2</f>
        <v/>
      </c>
      <c r="BM180">
        <f>((cc_D/2*(1-COS(($BH180+3*($BI180-$BH180)/12)))-$BF180)/$BG180)^2*SIN(($BH180+3*($BI180-$BH180)/12))^2</f>
        <v/>
      </c>
      <c r="BN180">
        <f>((cc_D/2*(1-COS(($BH180+4*($BI180-$BH180)/12)))-$BF180)/$BG180)^2*SIN(($BH180+4*($BI180-$BH180)/12))^2</f>
        <v/>
      </c>
      <c r="BO180">
        <f>((cc_D/2*(1-COS(($BH180+5*($BI180-$BH180)/12)))-$BF180)/$BG180)^2*SIN(($BH180+5*($BI180-$BH180)/12))^2</f>
        <v/>
      </c>
      <c r="BP180">
        <f>((cc_D/2*(1-COS(($BH180+6*($BI180-$BH180)/12)))-$BF180)/$BG180)^2*SIN(($BH180+6*($BI180-$BH180)/12))^2</f>
        <v/>
      </c>
      <c r="BQ180">
        <f>((cc_D/2*(1-COS(($BH180+7*($BI180-$BH180)/12)))-$BF180)/$BG180)^2*SIN(($BH180+7*($BI180-$BH180)/12))^2</f>
        <v/>
      </c>
      <c r="BR180">
        <f>((cc_D/2*(1-COS(($BH180+8*($BI180-$BH180)/12)))-$BF180)/$BG180)^2*SIN(($BH180+8*($BI180-$BH180)/12))^2</f>
        <v/>
      </c>
      <c r="BS180">
        <f>((cc_D/2*(1-COS(($BH180+9*($BI180-$BH180)/12)))-$BF180)/$BG180)^2*SIN(($BH180+9*($BI180-$BH180)/12))^2</f>
        <v/>
      </c>
      <c r="BT180">
        <f>((cc_D/2*(1-COS(($BH180+10*($BI180-$BH180)/12)))-$BF180)/$BG180)^2*SIN(($BH180+10*($BI180-$BH180)/12))^2</f>
        <v/>
      </c>
      <c r="BU180">
        <f>((cc_D/2*(1-COS(($BH180+11*($BI180-$BH180)/12)))-$BF180)/$BG180)^2*SIN(($BH180+11*($BI180-$BH180)/12))^2</f>
        <v/>
      </c>
      <c r="BV180">
        <f>((cc_D/2*(1-COS(($BH180+12*($BI180-$BH180)/12)))-$BF180)/$BG180)^2*SIN(($BH180+12*($BI180-$BH180)/12))^2</f>
        <v/>
      </c>
      <c r="BW180">
        <f>BJ180*COS(($BH180+0*($BI180-$BH180)/12))</f>
        <v/>
      </c>
      <c r="BX180">
        <f>BK180*COS(($BH180+1*($BI180-$BH180)/12))</f>
        <v/>
      </c>
      <c r="BY180">
        <f>BL180*COS(($BH180+2*($BI180-$BH180)/12))</f>
        <v/>
      </c>
      <c r="BZ180">
        <f>BM180*COS(($BH180+3*($BI180-$BH180)/12))</f>
        <v/>
      </c>
      <c r="CA180">
        <f>BN180*COS(($BH180+4*($BI180-$BH180)/12))</f>
        <v/>
      </c>
      <c r="CB180">
        <f>BO180*COS(($BH180+5*($BI180-$BH180)/12))</f>
        <v/>
      </c>
      <c r="CC180">
        <f>BP180*COS(($BH180+6*($BI180-$BH180)/12))</f>
        <v/>
      </c>
      <c r="CD180">
        <f>BQ180*COS(($BH180+7*($BI180-$BH180)/12))</f>
        <v/>
      </c>
      <c r="CE180">
        <f>BR180*COS(($BH180+8*($BI180-$BH180)/12))</f>
        <v/>
      </c>
      <c r="CF180">
        <f>BS180*COS(($BH180+9*($BI180-$BH180)/12))</f>
        <v/>
      </c>
      <c r="CG180">
        <f>BT180*COS(($BH180+10*($BI180-$BH180)/12))</f>
        <v/>
      </c>
      <c r="CH180">
        <f>BU180*COS(($BH180+11*($BI180-$BH180)/12))</f>
        <v/>
      </c>
      <c r="CI180">
        <f>BV180*COS(($BH180+12*($BI180-$BH180)/12))</f>
        <v/>
      </c>
    </row>
    <row r="181">
      <c r="B181" s="65" t="n">
        <v>29</v>
      </c>
      <c r="C181" s="66">
        <f>IF($G180&lt;cc_NEd-1E-9*ABS(cc_NEd),($C180+$D180)/2,$C180)</f>
        <v/>
      </c>
      <c r="D181" s="66">
        <f>IF($G180&lt;cc_NEd-1E-9*ABS(cc_NEd),$D180,($C180+$D180)/2)</f>
        <v/>
      </c>
      <c r="E181" s="67">
        <f>cc_D*(($C181+$D181)/2)/(1-(($C181+$D181)/2))</f>
        <v/>
      </c>
      <c r="F181" s="68">
        <f>IF($E181&lt;=cc_D,3.5,2*$E181/($E181-3*cc_D/7))</f>
        <v/>
      </c>
      <c r="G181" s="67">
        <f>(fcd_cc*((cc_D/2)^2*($BI181-COS($BI181)*SIN($BI181))-2*(cc_D/2)^2*($BI181-$BH181)/12/3*SUMPRODUCT($BJ$4:$BV$4,$BJ181:$BV181))+SUMPRODUCT($J$5:$AG$5,$J181:$AG181))/1000</f>
        <v/>
      </c>
      <c r="H181" s="67">
        <f>(fcd_cc*(2/3*(cc_D/2)^3*SIN($BI181)^3-2*(cc_D/2)^3*($BI181-$BH181)/12/3*SUMPRODUCT($BW$4:$CI$4,$BW181:$CI181))+SUMPRODUCT($J$5:$AG$5,$J181:$AG181,$J$10:$AG$10))/1E6</f>
        <v/>
      </c>
      <c r="I181" s="67">
        <f>SUMPRODUCT($J$5:$AG$5,$J181:$AG181,$J$11:$AG$11)/1E6</f>
        <v/>
      </c>
      <c r="J181">
        <f>MAX(-fyd_cc,MIN(fyd_cc,Es_cc*IF($E181&lt;=cc_D,0.0035*($E181-J$9)/$E181,0.002*($E181-J$9)/($E181-3*cc_D/7))))-fcd_cc*(1-(1-MAX(0,MIN(1,IF($E181&lt;=cc_D,0.0035*($E181-J$9)/$E181,0.002*($E181-J$9)/($E181-3*cc_D/7))/0.002)))^2)</f>
        <v/>
      </c>
      <c r="K181">
        <f>MAX(-fyd_cc,MIN(fyd_cc,Es_cc*IF($E181&lt;=cc_D,0.0035*($E181-K$9)/$E181,0.002*($E181-K$9)/($E181-3*cc_D/7))))-fcd_cc*(1-(1-MAX(0,MIN(1,IF($E181&lt;=cc_D,0.0035*($E181-K$9)/$E181,0.002*($E181-K$9)/($E181-3*cc_D/7))/0.002)))^2)</f>
        <v/>
      </c>
      <c r="L181">
        <f>MAX(-fyd_cc,MIN(fyd_cc,Es_cc*IF($E181&lt;=cc_D,0.0035*($E181-L$9)/$E181,0.002*($E181-L$9)/($E181-3*cc_D/7))))-fcd_cc*(1-(1-MAX(0,MIN(1,IF($E181&lt;=cc_D,0.0035*($E181-L$9)/$E181,0.002*($E181-L$9)/($E181-3*cc_D/7))/0.002)))^2)</f>
        <v/>
      </c>
      <c r="M181">
        <f>MAX(-fyd_cc,MIN(fyd_cc,Es_cc*IF($E181&lt;=cc_D,0.0035*($E181-M$9)/$E181,0.002*($E181-M$9)/($E181-3*cc_D/7))))-fcd_cc*(1-(1-MAX(0,MIN(1,IF($E181&lt;=cc_D,0.0035*($E181-M$9)/$E181,0.002*($E181-M$9)/($E181-3*cc_D/7))/0.002)))^2)</f>
        <v/>
      </c>
      <c r="N181">
        <f>MAX(-fyd_cc,MIN(fyd_cc,Es_cc*IF($E181&lt;=cc_D,0.0035*($E181-N$9)/$E181,0.002*($E181-N$9)/($E181-3*cc_D/7))))-fcd_cc*(1-(1-MAX(0,MIN(1,IF($E181&lt;=cc_D,0.0035*($E181-N$9)/$E181,0.002*($E181-N$9)/($E181-3*cc_D/7))/0.002)))^2)</f>
        <v/>
      </c>
      <c r="O181">
        <f>MAX(-fyd_cc,MIN(fyd_cc,Es_cc*IF($E181&lt;=cc_D,0.0035*($E181-O$9)/$E181,0.002*($E181-O$9)/($E181-3*cc_D/7))))-fcd_cc*(1-(1-MAX(0,MIN(1,IF($E181&lt;=cc_D,0.0035*($E181-O$9)/$E181,0.002*($E181-O$9)/($E181-3*cc_D/7))/0.002)))^2)</f>
        <v/>
      </c>
      <c r="P181">
        <f>MAX(-fyd_cc,MIN(fyd_cc,Es_cc*IF($E181&lt;=cc_D,0.0035*($E181-P$9)/$E181,0.002*($E181-P$9)/($E181-3*cc_D/7))))-fcd_cc*(1-(1-MAX(0,MIN(1,IF($E181&lt;=cc_D,0.0035*($E181-P$9)/$E181,0.002*($E181-P$9)/($E181-3*cc_D/7))/0.002)))^2)</f>
        <v/>
      </c>
      <c r="Q181">
        <f>MAX(-fyd_cc,MIN(fyd_cc,Es_cc*IF($E181&lt;=cc_D,0.0035*($E181-Q$9)/$E181,0.002*($E181-Q$9)/($E181-3*cc_D/7))))-fcd_cc*(1-(1-MAX(0,MIN(1,IF($E181&lt;=cc_D,0.0035*($E181-Q$9)/$E181,0.002*($E181-Q$9)/($E181-3*cc_D/7))/0.002)))^2)</f>
        <v/>
      </c>
      <c r="R181">
        <f>MAX(-fyd_cc,MIN(fyd_cc,Es_cc*IF($E181&lt;=cc_D,0.0035*($E181-R$9)/$E181,0.002*($E181-R$9)/($E181-3*cc_D/7))))-fcd_cc*(1-(1-MAX(0,MIN(1,IF($E181&lt;=cc_D,0.0035*($E181-R$9)/$E181,0.002*($E181-R$9)/($E181-3*cc_D/7))/0.002)))^2)</f>
        <v/>
      </c>
      <c r="S181">
        <f>MAX(-fyd_cc,MIN(fyd_cc,Es_cc*IF($E181&lt;=cc_D,0.0035*($E181-S$9)/$E181,0.002*($E181-S$9)/($E181-3*cc_D/7))))-fcd_cc*(1-(1-MAX(0,MIN(1,IF($E181&lt;=cc_D,0.0035*($E181-S$9)/$E181,0.002*($E181-S$9)/($E181-3*cc_D/7))/0.002)))^2)</f>
        <v/>
      </c>
      <c r="T181">
        <f>MAX(-fyd_cc,MIN(fyd_cc,Es_cc*IF($E181&lt;=cc_D,0.0035*($E181-T$9)/$E181,0.002*($E181-T$9)/($E181-3*cc_D/7))))-fcd_cc*(1-(1-MAX(0,MIN(1,IF($E181&lt;=cc_D,0.0035*($E181-T$9)/$E181,0.002*($E181-T$9)/($E181-3*cc_D/7))/0.002)))^2)</f>
        <v/>
      </c>
      <c r="U181">
        <f>MAX(-fyd_cc,MIN(fyd_cc,Es_cc*IF($E181&lt;=cc_D,0.0035*($E181-U$9)/$E181,0.002*($E181-U$9)/($E181-3*cc_D/7))))-fcd_cc*(1-(1-MAX(0,MIN(1,IF($E181&lt;=cc_D,0.0035*($E181-U$9)/$E181,0.002*($E181-U$9)/($E181-3*cc_D/7))/0.002)))^2)</f>
        <v/>
      </c>
      <c r="V181">
        <f>MAX(-fyd_cc,MIN(fyd_cc,Es_cc*IF($E181&lt;=cc_D,0.0035*($E181-V$9)/$E181,0.002*($E181-V$9)/($E181-3*cc_D/7))))-fcd_cc*(1-(1-MAX(0,MIN(1,IF($E181&lt;=cc_D,0.0035*($E181-V$9)/$E181,0.002*($E181-V$9)/($E181-3*cc_D/7))/0.002)))^2)</f>
        <v/>
      </c>
      <c r="W181">
        <f>MAX(-fyd_cc,MIN(fyd_cc,Es_cc*IF($E181&lt;=cc_D,0.0035*($E181-W$9)/$E181,0.002*($E181-W$9)/($E181-3*cc_D/7))))-fcd_cc*(1-(1-MAX(0,MIN(1,IF($E181&lt;=cc_D,0.0035*($E181-W$9)/$E181,0.002*($E181-W$9)/($E181-3*cc_D/7))/0.002)))^2)</f>
        <v/>
      </c>
      <c r="X181">
        <f>MAX(-fyd_cc,MIN(fyd_cc,Es_cc*IF($E181&lt;=cc_D,0.0035*($E181-X$9)/$E181,0.002*($E181-X$9)/($E181-3*cc_D/7))))-fcd_cc*(1-(1-MAX(0,MIN(1,IF($E181&lt;=cc_D,0.0035*($E181-X$9)/$E181,0.002*($E181-X$9)/($E181-3*cc_D/7))/0.002)))^2)</f>
        <v/>
      </c>
      <c r="Y181">
        <f>MAX(-fyd_cc,MIN(fyd_cc,Es_cc*IF($E181&lt;=cc_D,0.0035*($E181-Y$9)/$E181,0.002*($E181-Y$9)/($E181-3*cc_D/7))))-fcd_cc*(1-(1-MAX(0,MIN(1,IF($E181&lt;=cc_D,0.0035*($E181-Y$9)/$E181,0.002*($E181-Y$9)/($E181-3*cc_D/7))/0.002)))^2)</f>
        <v/>
      </c>
      <c r="Z181">
        <f>MAX(-fyd_cc,MIN(fyd_cc,Es_cc*IF($E181&lt;=cc_D,0.0035*($E181-Z$9)/$E181,0.002*($E181-Z$9)/($E181-3*cc_D/7))))-fcd_cc*(1-(1-MAX(0,MIN(1,IF($E181&lt;=cc_D,0.0035*($E181-Z$9)/$E181,0.002*($E181-Z$9)/($E181-3*cc_D/7))/0.002)))^2)</f>
        <v/>
      </c>
      <c r="AA181">
        <f>MAX(-fyd_cc,MIN(fyd_cc,Es_cc*IF($E181&lt;=cc_D,0.0035*($E181-AA$9)/$E181,0.002*($E181-AA$9)/($E181-3*cc_D/7))))-fcd_cc*(1-(1-MAX(0,MIN(1,IF($E181&lt;=cc_D,0.0035*($E181-AA$9)/$E181,0.002*($E181-AA$9)/($E181-3*cc_D/7))/0.002)))^2)</f>
        <v/>
      </c>
      <c r="AB181">
        <f>MAX(-fyd_cc,MIN(fyd_cc,Es_cc*IF($E181&lt;=cc_D,0.0035*($E181-AB$9)/$E181,0.002*($E181-AB$9)/($E181-3*cc_D/7))))-fcd_cc*(1-(1-MAX(0,MIN(1,IF($E181&lt;=cc_D,0.0035*($E181-AB$9)/$E181,0.002*($E181-AB$9)/($E181-3*cc_D/7))/0.002)))^2)</f>
        <v/>
      </c>
      <c r="AC181">
        <f>MAX(-fyd_cc,MIN(fyd_cc,Es_cc*IF($E181&lt;=cc_D,0.0035*($E181-AC$9)/$E181,0.002*($E181-AC$9)/($E181-3*cc_D/7))))-fcd_cc*(1-(1-MAX(0,MIN(1,IF($E181&lt;=cc_D,0.0035*($E181-AC$9)/$E181,0.002*($E181-AC$9)/($E181-3*cc_D/7))/0.002)))^2)</f>
        <v/>
      </c>
      <c r="AD181">
        <f>MAX(-fyd_cc,MIN(fyd_cc,Es_cc*IF($E181&lt;=cc_D,0.0035*($E181-AD$9)/$E181,0.002*($E181-AD$9)/($E181-3*cc_D/7))))-fcd_cc*(1-(1-MAX(0,MIN(1,IF($E181&lt;=cc_D,0.0035*($E181-AD$9)/$E181,0.002*($E181-AD$9)/($E181-3*cc_D/7))/0.002)))^2)</f>
        <v/>
      </c>
      <c r="AE181">
        <f>MAX(-fyd_cc,MIN(fyd_cc,Es_cc*IF($E181&lt;=cc_D,0.0035*($E181-AE$9)/$E181,0.002*($E181-AE$9)/($E181-3*cc_D/7))))-fcd_cc*(1-(1-MAX(0,MIN(1,IF($E181&lt;=cc_D,0.0035*($E181-AE$9)/$E181,0.002*($E181-AE$9)/($E181-3*cc_D/7))/0.002)))^2)</f>
        <v/>
      </c>
      <c r="AF181">
        <f>MAX(-fyd_cc,MIN(fyd_cc,Es_cc*IF($E181&lt;=cc_D,0.0035*($E181-AF$9)/$E181,0.002*($E181-AF$9)/($E181-3*cc_D/7))))-fcd_cc*(1-(1-MAX(0,MIN(1,IF($E181&lt;=cc_D,0.0035*($E181-AF$9)/$E181,0.002*($E181-AF$9)/($E181-3*cc_D/7))/0.002)))^2)</f>
        <v/>
      </c>
      <c r="AG181">
        <f>MAX(-fyd_cc,MIN(fyd_cc,Es_cc*IF($E181&lt;=cc_D,0.0035*($E181-AG$9)/$E181,0.002*($E181-AG$9)/($E181-3*cc_D/7))))-fcd_cc*(1-(1-MAX(0,MIN(1,IF($E181&lt;=cc_D,0.0035*($E181-AG$9)/$E181,0.002*($E181-AG$9)/($E181-3*cc_D/7))/0.002)))^2)</f>
        <v/>
      </c>
      <c r="BF181">
        <f>3*MIN($E181,cc_D)/7</f>
        <v/>
      </c>
      <c r="BG181">
        <f>$E181-$BF181</f>
        <v/>
      </c>
      <c r="BH181">
        <f>ACOS(MAX(-1,MIN(1,1-$BF181/(cc_D/2))))</f>
        <v/>
      </c>
      <c r="BI181">
        <f>ACOS(MAX(-1,MIN(1,1-MIN($E181,cc_D)/(cc_D/2))))</f>
        <v/>
      </c>
      <c r="BJ181">
        <f>((cc_D/2*(1-COS(($BH181+0*($BI181-$BH181)/12)))-$BF181)/$BG181)^2*SIN(($BH181+0*($BI181-$BH181)/12))^2</f>
        <v/>
      </c>
      <c r="BK181">
        <f>((cc_D/2*(1-COS(($BH181+1*($BI181-$BH181)/12)))-$BF181)/$BG181)^2*SIN(($BH181+1*($BI181-$BH181)/12))^2</f>
        <v/>
      </c>
      <c r="BL181">
        <f>((cc_D/2*(1-COS(($BH181+2*($BI181-$BH181)/12)))-$BF181)/$BG181)^2*SIN(($BH181+2*($BI181-$BH181)/12))^2</f>
        <v/>
      </c>
      <c r="BM181">
        <f>((cc_D/2*(1-COS(($BH181+3*($BI181-$BH181)/12)))-$BF181)/$BG181)^2*SIN(($BH181+3*($BI181-$BH181)/12))^2</f>
        <v/>
      </c>
      <c r="BN181">
        <f>((cc_D/2*(1-COS(($BH181+4*($BI181-$BH181)/12)))-$BF181)/$BG181)^2*SIN(($BH181+4*($BI181-$BH181)/12))^2</f>
        <v/>
      </c>
      <c r="BO181">
        <f>((cc_D/2*(1-COS(($BH181+5*($BI181-$BH181)/12)))-$BF181)/$BG181)^2*SIN(($BH181+5*($BI181-$BH181)/12))^2</f>
        <v/>
      </c>
      <c r="BP181">
        <f>((cc_D/2*(1-COS(($BH181+6*($BI181-$BH181)/12)))-$BF181)/$BG181)^2*SIN(($BH181+6*($BI181-$BH181)/12))^2</f>
        <v/>
      </c>
      <c r="BQ181">
        <f>((cc_D/2*(1-COS(($BH181+7*($BI181-$BH181)/12)))-$BF181)/$BG181)^2*SIN(($BH181+7*($BI181-$BH181)/12))^2</f>
        <v/>
      </c>
      <c r="BR181">
        <f>((cc_D/2*(1-COS(($BH181+8*($BI181-$BH181)/12)))-$BF181)/$BG181)^2*SIN(($BH181+8*($BI181-$BH181)/12))^2</f>
        <v/>
      </c>
      <c r="BS181">
        <f>((cc_D/2*(1-COS(($BH181+9*($BI181-$BH181)/12)))-$BF181)/$BG181)^2*SIN(($BH181+9*($BI181-$BH181)/12))^2</f>
        <v/>
      </c>
      <c r="BT181">
        <f>((cc_D/2*(1-COS(($BH181+10*($BI181-$BH181)/12)))-$BF181)/$BG181)^2*SIN(($BH181+10*($BI181-$BH181)/12))^2</f>
        <v/>
      </c>
      <c r="BU181">
        <f>((cc_D/2*(1-COS(($BH181+11*($BI181-$BH181)/12)))-$BF181)/$BG181)^2*SIN(($BH181+11*($BI181-$BH181)/12))^2</f>
        <v/>
      </c>
      <c r="BV181">
        <f>((cc_D/2*(1-COS(($BH181+12*($BI181-$BH181)/12)))-$BF181)/$BG181)^2*SIN(($BH181+12*($BI181-$BH181)/12))^2</f>
        <v/>
      </c>
      <c r="BW181">
        <f>BJ181*COS(($BH181+0*($BI181-$BH181)/12))</f>
        <v/>
      </c>
      <c r="BX181">
        <f>BK181*COS(($BH181+1*($BI181-$BH181)/12))</f>
        <v/>
      </c>
      <c r="BY181">
        <f>BL181*COS(($BH181+2*($BI181-$BH181)/12))</f>
        <v/>
      </c>
      <c r="BZ181">
        <f>BM181*COS(($BH181+3*($BI181-$BH181)/12))</f>
        <v/>
      </c>
      <c r="CA181">
        <f>BN181*COS(($BH181+4*($BI181-$BH181)/12))</f>
        <v/>
      </c>
      <c r="CB181">
        <f>BO181*COS(($BH181+5*($BI181-$BH181)/12))</f>
        <v/>
      </c>
      <c r="CC181">
        <f>BP181*COS(($BH181+6*($BI181-$BH181)/12))</f>
        <v/>
      </c>
      <c r="CD181">
        <f>BQ181*COS(($BH181+7*($BI181-$BH181)/12))</f>
        <v/>
      </c>
      <c r="CE181">
        <f>BR181*COS(($BH181+8*($BI181-$BH181)/12))</f>
        <v/>
      </c>
      <c r="CF181">
        <f>BS181*COS(($BH181+9*($BI181-$BH181)/12))</f>
        <v/>
      </c>
      <c r="CG181">
        <f>BT181*COS(($BH181+10*($BI181-$BH181)/12))</f>
        <v/>
      </c>
      <c r="CH181">
        <f>BU181*COS(($BH181+11*($BI181-$BH181)/12))</f>
        <v/>
      </c>
      <c r="CI181">
        <f>BV181*COS(($BH181+12*($BI181-$BH181)/12))</f>
        <v/>
      </c>
    </row>
    <row r="182">
      <c r="B182" s="65" t="n">
        <v>30</v>
      </c>
      <c r="C182" s="66">
        <f>IF($G181&lt;cc_NEd-1E-9*ABS(cc_NEd),($C181+$D181)/2,$C181)</f>
        <v/>
      </c>
      <c r="D182" s="66">
        <f>IF($G181&lt;cc_NEd-1E-9*ABS(cc_NEd),$D181,($C181+$D181)/2)</f>
        <v/>
      </c>
      <c r="E182" s="67">
        <f>cc_D*(($C182+$D182)/2)/(1-(($C182+$D182)/2))</f>
        <v/>
      </c>
      <c r="F182" s="68">
        <f>IF($E182&lt;=cc_D,3.5,2*$E182/($E182-3*cc_D/7))</f>
        <v/>
      </c>
      <c r="G182" s="67">
        <f>(fcd_cc*((cc_D/2)^2*($BI182-COS($BI182)*SIN($BI182))-2*(cc_D/2)^2*($BI182-$BH182)/12/3*SUMPRODUCT($BJ$4:$BV$4,$BJ182:$BV182))+SUMPRODUCT($J$5:$AG$5,$J182:$AG182))/1000</f>
        <v/>
      </c>
      <c r="H182" s="67">
        <f>(fcd_cc*(2/3*(cc_D/2)^3*SIN($BI182)^3-2*(cc_D/2)^3*($BI182-$BH182)/12/3*SUMPRODUCT($BW$4:$CI$4,$BW182:$CI182))+SUMPRODUCT($J$5:$AG$5,$J182:$AG182,$J$10:$AG$10))/1E6</f>
        <v/>
      </c>
      <c r="I182" s="67">
        <f>SUMPRODUCT($J$5:$AG$5,$J182:$AG182,$J$11:$AG$11)/1E6</f>
        <v/>
      </c>
      <c r="J182">
        <f>MAX(-fyd_cc,MIN(fyd_cc,Es_cc*IF($E182&lt;=cc_D,0.0035*($E182-J$9)/$E182,0.002*($E182-J$9)/($E182-3*cc_D/7))))-fcd_cc*(1-(1-MAX(0,MIN(1,IF($E182&lt;=cc_D,0.0035*($E182-J$9)/$E182,0.002*($E182-J$9)/($E182-3*cc_D/7))/0.002)))^2)</f>
        <v/>
      </c>
      <c r="K182">
        <f>MAX(-fyd_cc,MIN(fyd_cc,Es_cc*IF($E182&lt;=cc_D,0.0035*($E182-K$9)/$E182,0.002*($E182-K$9)/($E182-3*cc_D/7))))-fcd_cc*(1-(1-MAX(0,MIN(1,IF($E182&lt;=cc_D,0.0035*($E182-K$9)/$E182,0.002*($E182-K$9)/($E182-3*cc_D/7))/0.002)))^2)</f>
        <v/>
      </c>
      <c r="L182">
        <f>MAX(-fyd_cc,MIN(fyd_cc,Es_cc*IF($E182&lt;=cc_D,0.0035*($E182-L$9)/$E182,0.002*($E182-L$9)/($E182-3*cc_D/7))))-fcd_cc*(1-(1-MAX(0,MIN(1,IF($E182&lt;=cc_D,0.0035*($E182-L$9)/$E182,0.002*($E182-L$9)/($E182-3*cc_D/7))/0.002)))^2)</f>
        <v/>
      </c>
      <c r="M182">
        <f>MAX(-fyd_cc,MIN(fyd_cc,Es_cc*IF($E182&lt;=cc_D,0.0035*($E182-M$9)/$E182,0.002*($E182-M$9)/($E182-3*cc_D/7))))-fcd_cc*(1-(1-MAX(0,MIN(1,IF($E182&lt;=cc_D,0.0035*($E182-M$9)/$E182,0.002*($E182-M$9)/($E182-3*cc_D/7))/0.002)))^2)</f>
        <v/>
      </c>
      <c r="N182">
        <f>MAX(-fyd_cc,MIN(fyd_cc,Es_cc*IF($E182&lt;=cc_D,0.0035*($E182-N$9)/$E182,0.002*($E182-N$9)/($E182-3*cc_D/7))))-fcd_cc*(1-(1-MAX(0,MIN(1,IF($E182&lt;=cc_D,0.0035*($E182-N$9)/$E182,0.002*($E182-N$9)/($E182-3*cc_D/7))/0.002)))^2)</f>
        <v/>
      </c>
      <c r="O182">
        <f>MAX(-fyd_cc,MIN(fyd_cc,Es_cc*IF($E182&lt;=cc_D,0.0035*($E182-O$9)/$E182,0.002*($E182-O$9)/($E182-3*cc_D/7))))-fcd_cc*(1-(1-MAX(0,MIN(1,IF($E182&lt;=cc_D,0.0035*($E182-O$9)/$E182,0.002*($E182-O$9)/($E182-3*cc_D/7))/0.002)))^2)</f>
        <v/>
      </c>
      <c r="P182">
        <f>MAX(-fyd_cc,MIN(fyd_cc,Es_cc*IF($E182&lt;=cc_D,0.0035*($E182-P$9)/$E182,0.002*($E182-P$9)/($E182-3*cc_D/7))))-fcd_cc*(1-(1-MAX(0,MIN(1,IF($E182&lt;=cc_D,0.0035*($E182-P$9)/$E182,0.002*($E182-P$9)/($E182-3*cc_D/7))/0.002)))^2)</f>
        <v/>
      </c>
      <c r="Q182">
        <f>MAX(-fyd_cc,MIN(fyd_cc,Es_cc*IF($E182&lt;=cc_D,0.0035*($E182-Q$9)/$E182,0.002*($E182-Q$9)/($E182-3*cc_D/7))))-fcd_cc*(1-(1-MAX(0,MIN(1,IF($E182&lt;=cc_D,0.0035*($E182-Q$9)/$E182,0.002*($E182-Q$9)/($E182-3*cc_D/7))/0.002)))^2)</f>
        <v/>
      </c>
      <c r="R182">
        <f>MAX(-fyd_cc,MIN(fyd_cc,Es_cc*IF($E182&lt;=cc_D,0.0035*($E182-R$9)/$E182,0.002*($E182-R$9)/($E182-3*cc_D/7))))-fcd_cc*(1-(1-MAX(0,MIN(1,IF($E182&lt;=cc_D,0.0035*($E182-R$9)/$E182,0.002*($E182-R$9)/($E182-3*cc_D/7))/0.002)))^2)</f>
        <v/>
      </c>
      <c r="S182">
        <f>MAX(-fyd_cc,MIN(fyd_cc,Es_cc*IF($E182&lt;=cc_D,0.0035*($E182-S$9)/$E182,0.002*($E182-S$9)/($E182-3*cc_D/7))))-fcd_cc*(1-(1-MAX(0,MIN(1,IF($E182&lt;=cc_D,0.0035*($E182-S$9)/$E182,0.002*($E182-S$9)/($E182-3*cc_D/7))/0.002)))^2)</f>
        <v/>
      </c>
      <c r="T182">
        <f>MAX(-fyd_cc,MIN(fyd_cc,Es_cc*IF($E182&lt;=cc_D,0.0035*($E182-T$9)/$E182,0.002*($E182-T$9)/($E182-3*cc_D/7))))-fcd_cc*(1-(1-MAX(0,MIN(1,IF($E182&lt;=cc_D,0.0035*($E182-T$9)/$E182,0.002*($E182-T$9)/($E182-3*cc_D/7))/0.002)))^2)</f>
        <v/>
      </c>
      <c r="U182">
        <f>MAX(-fyd_cc,MIN(fyd_cc,Es_cc*IF($E182&lt;=cc_D,0.0035*($E182-U$9)/$E182,0.002*($E182-U$9)/($E182-3*cc_D/7))))-fcd_cc*(1-(1-MAX(0,MIN(1,IF($E182&lt;=cc_D,0.0035*($E182-U$9)/$E182,0.002*($E182-U$9)/($E182-3*cc_D/7))/0.002)))^2)</f>
        <v/>
      </c>
      <c r="V182">
        <f>MAX(-fyd_cc,MIN(fyd_cc,Es_cc*IF($E182&lt;=cc_D,0.0035*($E182-V$9)/$E182,0.002*($E182-V$9)/($E182-3*cc_D/7))))-fcd_cc*(1-(1-MAX(0,MIN(1,IF($E182&lt;=cc_D,0.0035*($E182-V$9)/$E182,0.002*($E182-V$9)/($E182-3*cc_D/7))/0.002)))^2)</f>
        <v/>
      </c>
      <c r="W182">
        <f>MAX(-fyd_cc,MIN(fyd_cc,Es_cc*IF($E182&lt;=cc_D,0.0035*($E182-W$9)/$E182,0.002*($E182-W$9)/($E182-3*cc_D/7))))-fcd_cc*(1-(1-MAX(0,MIN(1,IF($E182&lt;=cc_D,0.0035*($E182-W$9)/$E182,0.002*($E182-W$9)/($E182-3*cc_D/7))/0.002)))^2)</f>
        <v/>
      </c>
      <c r="X182">
        <f>MAX(-fyd_cc,MIN(fyd_cc,Es_cc*IF($E182&lt;=cc_D,0.0035*($E182-X$9)/$E182,0.002*($E182-X$9)/($E182-3*cc_D/7))))-fcd_cc*(1-(1-MAX(0,MIN(1,IF($E182&lt;=cc_D,0.0035*($E182-X$9)/$E182,0.002*($E182-X$9)/($E182-3*cc_D/7))/0.002)))^2)</f>
        <v/>
      </c>
      <c r="Y182">
        <f>MAX(-fyd_cc,MIN(fyd_cc,Es_cc*IF($E182&lt;=cc_D,0.0035*($E182-Y$9)/$E182,0.002*($E182-Y$9)/($E182-3*cc_D/7))))-fcd_cc*(1-(1-MAX(0,MIN(1,IF($E182&lt;=cc_D,0.0035*($E182-Y$9)/$E182,0.002*($E182-Y$9)/($E182-3*cc_D/7))/0.002)))^2)</f>
        <v/>
      </c>
      <c r="Z182">
        <f>MAX(-fyd_cc,MIN(fyd_cc,Es_cc*IF($E182&lt;=cc_D,0.0035*($E182-Z$9)/$E182,0.002*($E182-Z$9)/($E182-3*cc_D/7))))-fcd_cc*(1-(1-MAX(0,MIN(1,IF($E182&lt;=cc_D,0.0035*($E182-Z$9)/$E182,0.002*($E182-Z$9)/($E182-3*cc_D/7))/0.002)))^2)</f>
        <v/>
      </c>
      <c r="AA182">
        <f>MAX(-fyd_cc,MIN(fyd_cc,Es_cc*IF($E182&lt;=cc_D,0.0035*($E182-AA$9)/$E182,0.002*($E182-AA$9)/($E182-3*cc_D/7))))-fcd_cc*(1-(1-MAX(0,MIN(1,IF($E182&lt;=cc_D,0.0035*($E182-AA$9)/$E182,0.002*($E182-AA$9)/($E182-3*cc_D/7))/0.002)))^2)</f>
        <v/>
      </c>
      <c r="AB182">
        <f>MAX(-fyd_cc,MIN(fyd_cc,Es_cc*IF($E182&lt;=cc_D,0.0035*($E182-AB$9)/$E182,0.002*($E182-AB$9)/($E182-3*cc_D/7))))-fcd_cc*(1-(1-MAX(0,MIN(1,IF($E182&lt;=cc_D,0.0035*($E182-AB$9)/$E182,0.002*($E182-AB$9)/($E182-3*cc_D/7))/0.002)))^2)</f>
        <v/>
      </c>
      <c r="AC182">
        <f>MAX(-fyd_cc,MIN(fyd_cc,Es_cc*IF($E182&lt;=cc_D,0.0035*($E182-AC$9)/$E182,0.002*($E182-AC$9)/($E182-3*cc_D/7))))-fcd_cc*(1-(1-MAX(0,MIN(1,IF($E182&lt;=cc_D,0.0035*($E182-AC$9)/$E182,0.002*($E182-AC$9)/($E182-3*cc_D/7))/0.002)))^2)</f>
        <v/>
      </c>
      <c r="AD182">
        <f>MAX(-fyd_cc,MIN(fyd_cc,Es_cc*IF($E182&lt;=cc_D,0.0035*($E182-AD$9)/$E182,0.002*($E182-AD$9)/($E182-3*cc_D/7))))-fcd_cc*(1-(1-MAX(0,MIN(1,IF($E182&lt;=cc_D,0.0035*($E182-AD$9)/$E182,0.002*($E182-AD$9)/($E182-3*cc_D/7))/0.002)))^2)</f>
        <v/>
      </c>
      <c r="AE182">
        <f>MAX(-fyd_cc,MIN(fyd_cc,Es_cc*IF($E182&lt;=cc_D,0.0035*($E182-AE$9)/$E182,0.002*($E182-AE$9)/($E182-3*cc_D/7))))-fcd_cc*(1-(1-MAX(0,MIN(1,IF($E182&lt;=cc_D,0.0035*($E182-AE$9)/$E182,0.002*($E182-AE$9)/($E182-3*cc_D/7))/0.002)))^2)</f>
        <v/>
      </c>
      <c r="AF182">
        <f>MAX(-fyd_cc,MIN(fyd_cc,Es_cc*IF($E182&lt;=cc_D,0.0035*($E182-AF$9)/$E182,0.002*($E182-AF$9)/($E182-3*cc_D/7))))-fcd_cc*(1-(1-MAX(0,MIN(1,IF($E182&lt;=cc_D,0.0035*($E182-AF$9)/$E182,0.002*($E182-AF$9)/($E182-3*cc_D/7))/0.002)))^2)</f>
        <v/>
      </c>
      <c r="AG182">
        <f>MAX(-fyd_cc,MIN(fyd_cc,Es_cc*IF($E182&lt;=cc_D,0.0035*($E182-AG$9)/$E182,0.002*($E182-AG$9)/($E182-3*cc_D/7))))-fcd_cc*(1-(1-MAX(0,MIN(1,IF($E182&lt;=cc_D,0.0035*($E182-AG$9)/$E182,0.002*($E182-AG$9)/($E182-3*cc_D/7))/0.002)))^2)</f>
        <v/>
      </c>
      <c r="BF182">
        <f>3*MIN($E182,cc_D)/7</f>
        <v/>
      </c>
      <c r="BG182">
        <f>$E182-$BF182</f>
        <v/>
      </c>
      <c r="BH182">
        <f>ACOS(MAX(-1,MIN(1,1-$BF182/(cc_D/2))))</f>
        <v/>
      </c>
      <c r="BI182">
        <f>ACOS(MAX(-1,MIN(1,1-MIN($E182,cc_D)/(cc_D/2))))</f>
        <v/>
      </c>
      <c r="BJ182">
        <f>((cc_D/2*(1-COS(($BH182+0*($BI182-$BH182)/12)))-$BF182)/$BG182)^2*SIN(($BH182+0*($BI182-$BH182)/12))^2</f>
        <v/>
      </c>
      <c r="BK182">
        <f>((cc_D/2*(1-COS(($BH182+1*($BI182-$BH182)/12)))-$BF182)/$BG182)^2*SIN(($BH182+1*($BI182-$BH182)/12))^2</f>
        <v/>
      </c>
      <c r="BL182">
        <f>((cc_D/2*(1-COS(($BH182+2*($BI182-$BH182)/12)))-$BF182)/$BG182)^2*SIN(($BH182+2*($BI182-$BH182)/12))^2</f>
        <v/>
      </c>
      <c r="BM182">
        <f>((cc_D/2*(1-COS(($BH182+3*($BI182-$BH182)/12)))-$BF182)/$BG182)^2*SIN(($BH182+3*($BI182-$BH182)/12))^2</f>
        <v/>
      </c>
      <c r="BN182">
        <f>((cc_D/2*(1-COS(($BH182+4*($BI182-$BH182)/12)))-$BF182)/$BG182)^2*SIN(($BH182+4*($BI182-$BH182)/12))^2</f>
        <v/>
      </c>
      <c r="BO182">
        <f>((cc_D/2*(1-COS(($BH182+5*($BI182-$BH182)/12)))-$BF182)/$BG182)^2*SIN(($BH182+5*($BI182-$BH182)/12))^2</f>
        <v/>
      </c>
      <c r="BP182">
        <f>((cc_D/2*(1-COS(($BH182+6*($BI182-$BH182)/12)))-$BF182)/$BG182)^2*SIN(($BH182+6*($BI182-$BH182)/12))^2</f>
        <v/>
      </c>
      <c r="BQ182">
        <f>((cc_D/2*(1-COS(($BH182+7*($BI182-$BH182)/12)))-$BF182)/$BG182)^2*SIN(($BH182+7*($BI182-$BH182)/12))^2</f>
        <v/>
      </c>
      <c r="BR182">
        <f>((cc_D/2*(1-COS(($BH182+8*($BI182-$BH182)/12)))-$BF182)/$BG182)^2*SIN(($BH182+8*($BI182-$BH182)/12))^2</f>
        <v/>
      </c>
      <c r="BS182">
        <f>((cc_D/2*(1-COS(($BH182+9*($BI182-$BH182)/12)))-$BF182)/$BG182)^2*SIN(($BH182+9*($BI182-$BH182)/12))^2</f>
        <v/>
      </c>
      <c r="BT182">
        <f>((cc_D/2*(1-COS(($BH182+10*($BI182-$BH182)/12)))-$BF182)/$BG182)^2*SIN(($BH182+10*($BI182-$BH182)/12))^2</f>
        <v/>
      </c>
      <c r="BU182">
        <f>((cc_D/2*(1-COS(($BH182+11*($BI182-$BH182)/12)))-$BF182)/$BG182)^2*SIN(($BH182+11*($BI182-$BH182)/12))^2</f>
        <v/>
      </c>
      <c r="BV182">
        <f>((cc_D/2*(1-COS(($BH182+12*($BI182-$BH182)/12)))-$BF182)/$BG182)^2*SIN(($BH182+12*($BI182-$BH182)/12))^2</f>
        <v/>
      </c>
      <c r="BW182">
        <f>BJ182*COS(($BH182+0*($BI182-$BH182)/12))</f>
        <v/>
      </c>
      <c r="BX182">
        <f>BK182*COS(($BH182+1*($BI182-$BH182)/12))</f>
        <v/>
      </c>
      <c r="BY182">
        <f>BL182*COS(($BH182+2*($BI182-$BH182)/12))</f>
        <v/>
      </c>
      <c r="BZ182">
        <f>BM182*COS(($BH182+3*($BI182-$BH182)/12))</f>
        <v/>
      </c>
      <c r="CA182">
        <f>BN182*COS(($BH182+4*($BI182-$BH182)/12))</f>
        <v/>
      </c>
      <c r="CB182">
        <f>BO182*COS(($BH182+5*($BI182-$BH182)/12))</f>
        <v/>
      </c>
      <c r="CC182">
        <f>BP182*COS(($BH182+6*($BI182-$BH182)/12))</f>
        <v/>
      </c>
      <c r="CD182">
        <f>BQ182*COS(($BH182+7*($BI182-$BH182)/12))</f>
        <v/>
      </c>
      <c r="CE182">
        <f>BR182*COS(($BH182+8*($BI182-$BH182)/12))</f>
        <v/>
      </c>
      <c r="CF182">
        <f>BS182*COS(($BH182+9*($BI182-$BH182)/12))</f>
        <v/>
      </c>
      <c r="CG182">
        <f>BT182*COS(($BH182+10*($BI182-$BH182)/12))</f>
        <v/>
      </c>
      <c r="CH182">
        <f>BU182*COS(($BH182+11*($BI182-$BH182)/12))</f>
        <v/>
      </c>
      <c r="CI182">
        <f>BV182*COS(($BH182+12*($BI182-$BH182)/12))</f>
        <v/>
      </c>
    </row>
    <row r="183">
      <c r="B183" s="65" t="n">
        <v>31</v>
      </c>
      <c r="C183" s="66">
        <f>IF($G182&lt;cc_NEd-1E-9*ABS(cc_NEd),($C182+$D182)/2,$C182)</f>
        <v/>
      </c>
      <c r="D183" s="66">
        <f>IF($G182&lt;cc_NEd-1E-9*ABS(cc_NEd),$D182,($C182+$D182)/2)</f>
        <v/>
      </c>
      <c r="E183" s="67">
        <f>cc_D*(($C183+$D183)/2)/(1-(($C183+$D183)/2))</f>
        <v/>
      </c>
      <c r="F183" s="68">
        <f>IF($E183&lt;=cc_D,3.5,2*$E183/($E183-3*cc_D/7))</f>
        <v/>
      </c>
      <c r="G183" s="67">
        <f>(fcd_cc*((cc_D/2)^2*($BI183-COS($BI183)*SIN($BI183))-2*(cc_D/2)^2*($BI183-$BH183)/12/3*SUMPRODUCT($BJ$4:$BV$4,$BJ183:$BV183))+SUMPRODUCT($J$5:$AG$5,$J183:$AG183))/1000</f>
        <v/>
      </c>
      <c r="H183" s="67">
        <f>(fcd_cc*(2/3*(cc_D/2)^3*SIN($BI183)^3-2*(cc_D/2)^3*($BI183-$BH183)/12/3*SUMPRODUCT($BW$4:$CI$4,$BW183:$CI183))+SUMPRODUCT($J$5:$AG$5,$J183:$AG183,$J$10:$AG$10))/1E6</f>
        <v/>
      </c>
      <c r="I183" s="67">
        <f>SUMPRODUCT($J$5:$AG$5,$J183:$AG183,$J$11:$AG$11)/1E6</f>
        <v/>
      </c>
      <c r="J183">
        <f>MAX(-fyd_cc,MIN(fyd_cc,Es_cc*IF($E183&lt;=cc_D,0.0035*($E183-J$9)/$E183,0.002*($E183-J$9)/($E183-3*cc_D/7))))-fcd_cc*(1-(1-MAX(0,MIN(1,IF($E183&lt;=cc_D,0.0035*($E183-J$9)/$E183,0.002*($E183-J$9)/($E183-3*cc_D/7))/0.002)))^2)</f>
        <v/>
      </c>
      <c r="K183">
        <f>MAX(-fyd_cc,MIN(fyd_cc,Es_cc*IF($E183&lt;=cc_D,0.0035*($E183-K$9)/$E183,0.002*($E183-K$9)/($E183-3*cc_D/7))))-fcd_cc*(1-(1-MAX(0,MIN(1,IF($E183&lt;=cc_D,0.0035*($E183-K$9)/$E183,0.002*($E183-K$9)/($E183-3*cc_D/7))/0.002)))^2)</f>
        <v/>
      </c>
      <c r="L183">
        <f>MAX(-fyd_cc,MIN(fyd_cc,Es_cc*IF($E183&lt;=cc_D,0.0035*($E183-L$9)/$E183,0.002*($E183-L$9)/($E183-3*cc_D/7))))-fcd_cc*(1-(1-MAX(0,MIN(1,IF($E183&lt;=cc_D,0.0035*($E183-L$9)/$E183,0.002*($E183-L$9)/($E183-3*cc_D/7))/0.002)))^2)</f>
        <v/>
      </c>
      <c r="M183">
        <f>MAX(-fyd_cc,MIN(fyd_cc,Es_cc*IF($E183&lt;=cc_D,0.0035*($E183-M$9)/$E183,0.002*($E183-M$9)/($E183-3*cc_D/7))))-fcd_cc*(1-(1-MAX(0,MIN(1,IF($E183&lt;=cc_D,0.0035*($E183-M$9)/$E183,0.002*($E183-M$9)/($E183-3*cc_D/7))/0.002)))^2)</f>
        <v/>
      </c>
      <c r="N183">
        <f>MAX(-fyd_cc,MIN(fyd_cc,Es_cc*IF($E183&lt;=cc_D,0.0035*($E183-N$9)/$E183,0.002*($E183-N$9)/($E183-3*cc_D/7))))-fcd_cc*(1-(1-MAX(0,MIN(1,IF($E183&lt;=cc_D,0.0035*($E183-N$9)/$E183,0.002*($E183-N$9)/($E183-3*cc_D/7))/0.002)))^2)</f>
        <v/>
      </c>
      <c r="O183">
        <f>MAX(-fyd_cc,MIN(fyd_cc,Es_cc*IF($E183&lt;=cc_D,0.0035*($E183-O$9)/$E183,0.002*($E183-O$9)/($E183-3*cc_D/7))))-fcd_cc*(1-(1-MAX(0,MIN(1,IF($E183&lt;=cc_D,0.0035*($E183-O$9)/$E183,0.002*($E183-O$9)/($E183-3*cc_D/7))/0.002)))^2)</f>
        <v/>
      </c>
      <c r="P183">
        <f>MAX(-fyd_cc,MIN(fyd_cc,Es_cc*IF($E183&lt;=cc_D,0.0035*($E183-P$9)/$E183,0.002*($E183-P$9)/($E183-3*cc_D/7))))-fcd_cc*(1-(1-MAX(0,MIN(1,IF($E183&lt;=cc_D,0.0035*($E183-P$9)/$E183,0.002*($E183-P$9)/($E183-3*cc_D/7))/0.002)))^2)</f>
        <v/>
      </c>
      <c r="Q183">
        <f>MAX(-fyd_cc,MIN(fyd_cc,Es_cc*IF($E183&lt;=cc_D,0.0035*($E183-Q$9)/$E183,0.002*($E183-Q$9)/($E183-3*cc_D/7))))-fcd_cc*(1-(1-MAX(0,MIN(1,IF($E183&lt;=cc_D,0.0035*($E183-Q$9)/$E183,0.002*($E183-Q$9)/($E183-3*cc_D/7))/0.002)))^2)</f>
        <v/>
      </c>
      <c r="R183">
        <f>MAX(-fyd_cc,MIN(fyd_cc,Es_cc*IF($E183&lt;=cc_D,0.0035*($E183-R$9)/$E183,0.002*($E183-R$9)/($E183-3*cc_D/7))))-fcd_cc*(1-(1-MAX(0,MIN(1,IF($E183&lt;=cc_D,0.0035*($E183-R$9)/$E183,0.002*($E183-R$9)/($E183-3*cc_D/7))/0.002)))^2)</f>
        <v/>
      </c>
      <c r="S183">
        <f>MAX(-fyd_cc,MIN(fyd_cc,Es_cc*IF($E183&lt;=cc_D,0.0035*($E183-S$9)/$E183,0.002*($E183-S$9)/($E183-3*cc_D/7))))-fcd_cc*(1-(1-MAX(0,MIN(1,IF($E183&lt;=cc_D,0.0035*($E183-S$9)/$E183,0.002*($E183-S$9)/($E183-3*cc_D/7))/0.002)))^2)</f>
        <v/>
      </c>
      <c r="T183">
        <f>MAX(-fyd_cc,MIN(fyd_cc,Es_cc*IF($E183&lt;=cc_D,0.0035*($E183-T$9)/$E183,0.002*($E183-T$9)/($E183-3*cc_D/7))))-fcd_cc*(1-(1-MAX(0,MIN(1,IF($E183&lt;=cc_D,0.0035*($E183-T$9)/$E183,0.002*($E183-T$9)/($E183-3*cc_D/7))/0.002)))^2)</f>
        <v/>
      </c>
      <c r="U183">
        <f>MAX(-fyd_cc,MIN(fyd_cc,Es_cc*IF($E183&lt;=cc_D,0.0035*($E183-U$9)/$E183,0.002*($E183-U$9)/($E183-3*cc_D/7))))-fcd_cc*(1-(1-MAX(0,MIN(1,IF($E183&lt;=cc_D,0.0035*($E183-U$9)/$E183,0.002*($E183-U$9)/($E183-3*cc_D/7))/0.002)))^2)</f>
        <v/>
      </c>
      <c r="V183">
        <f>MAX(-fyd_cc,MIN(fyd_cc,Es_cc*IF($E183&lt;=cc_D,0.0035*($E183-V$9)/$E183,0.002*($E183-V$9)/($E183-3*cc_D/7))))-fcd_cc*(1-(1-MAX(0,MIN(1,IF($E183&lt;=cc_D,0.0035*($E183-V$9)/$E183,0.002*($E183-V$9)/($E183-3*cc_D/7))/0.002)))^2)</f>
        <v/>
      </c>
      <c r="W183">
        <f>MAX(-fyd_cc,MIN(fyd_cc,Es_cc*IF($E183&lt;=cc_D,0.0035*($E183-W$9)/$E183,0.002*($E183-W$9)/($E183-3*cc_D/7))))-fcd_cc*(1-(1-MAX(0,MIN(1,IF($E183&lt;=cc_D,0.0035*($E183-W$9)/$E183,0.002*($E183-W$9)/($E183-3*cc_D/7))/0.002)))^2)</f>
        <v/>
      </c>
      <c r="X183">
        <f>MAX(-fyd_cc,MIN(fyd_cc,Es_cc*IF($E183&lt;=cc_D,0.0035*($E183-X$9)/$E183,0.002*($E183-X$9)/($E183-3*cc_D/7))))-fcd_cc*(1-(1-MAX(0,MIN(1,IF($E183&lt;=cc_D,0.0035*($E183-X$9)/$E183,0.002*($E183-X$9)/($E183-3*cc_D/7))/0.002)))^2)</f>
        <v/>
      </c>
      <c r="Y183">
        <f>MAX(-fyd_cc,MIN(fyd_cc,Es_cc*IF($E183&lt;=cc_D,0.0035*($E183-Y$9)/$E183,0.002*($E183-Y$9)/($E183-3*cc_D/7))))-fcd_cc*(1-(1-MAX(0,MIN(1,IF($E183&lt;=cc_D,0.0035*($E183-Y$9)/$E183,0.002*($E183-Y$9)/($E183-3*cc_D/7))/0.002)))^2)</f>
        <v/>
      </c>
      <c r="Z183">
        <f>MAX(-fyd_cc,MIN(fyd_cc,Es_cc*IF($E183&lt;=cc_D,0.0035*($E183-Z$9)/$E183,0.002*($E183-Z$9)/($E183-3*cc_D/7))))-fcd_cc*(1-(1-MAX(0,MIN(1,IF($E183&lt;=cc_D,0.0035*($E183-Z$9)/$E183,0.002*($E183-Z$9)/($E183-3*cc_D/7))/0.002)))^2)</f>
        <v/>
      </c>
      <c r="AA183">
        <f>MAX(-fyd_cc,MIN(fyd_cc,Es_cc*IF($E183&lt;=cc_D,0.0035*($E183-AA$9)/$E183,0.002*($E183-AA$9)/($E183-3*cc_D/7))))-fcd_cc*(1-(1-MAX(0,MIN(1,IF($E183&lt;=cc_D,0.0035*($E183-AA$9)/$E183,0.002*($E183-AA$9)/($E183-3*cc_D/7))/0.002)))^2)</f>
        <v/>
      </c>
      <c r="AB183">
        <f>MAX(-fyd_cc,MIN(fyd_cc,Es_cc*IF($E183&lt;=cc_D,0.0035*($E183-AB$9)/$E183,0.002*($E183-AB$9)/($E183-3*cc_D/7))))-fcd_cc*(1-(1-MAX(0,MIN(1,IF($E183&lt;=cc_D,0.0035*($E183-AB$9)/$E183,0.002*($E183-AB$9)/($E183-3*cc_D/7))/0.002)))^2)</f>
        <v/>
      </c>
      <c r="AC183">
        <f>MAX(-fyd_cc,MIN(fyd_cc,Es_cc*IF($E183&lt;=cc_D,0.0035*($E183-AC$9)/$E183,0.002*($E183-AC$9)/($E183-3*cc_D/7))))-fcd_cc*(1-(1-MAX(0,MIN(1,IF($E183&lt;=cc_D,0.0035*($E183-AC$9)/$E183,0.002*($E183-AC$9)/($E183-3*cc_D/7))/0.002)))^2)</f>
        <v/>
      </c>
      <c r="AD183">
        <f>MAX(-fyd_cc,MIN(fyd_cc,Es_cc*IF($E183&lt;=cc_D,0.0035*($E183-AD$9)/$E183,0.002*($E183-AD$9)/($E183-3*cc_D/7))))-fcd_cc*(1-(1-MAX(0,MIN(1,IF($E183&lt;=cc_D,0.0035*($E183-AD$9)/$E183,0.002*($E183-AD$9)/($E183-3*cc_D/7))/0.002)))^2)</f>
        <v/>
      </c>
      <c r="AE183">
        <f>MAX(-fyd_cc,MIN(fyd_cc,Es_cc*IF($E183&lt;=cc_D,0.0035*($E183-AE$9)/$E183,0.002*($E183-AE$9)/($E183-3*cc_D/7))))-fcd_cc*(1-(1-MAX(0,MIN(1,IF($E183&lt;=cc_D,0.0035*($E183-AE$9)/$E183,0.002*($E183-AE$9)/($E183-3*cc_D/7))/0.002)))^2)</f>
        <v/>
      </c>
      <c r="AF183">
        <f>MAX(-fyd_cc,MIN(fyd_cc,Es_cc*IF($E183&lt;=cc_D,0.0035*($E183-AF$9)/$E183,0.002*($E183-AF$9)/($E183-3*cc_D/7))))-fcd_cc*(1-(1-MAX(0,MIN(1,IF($E183&lt;=cc_D,0.0035*($E183-AF$9)/$E183,0.002*($E183-AF$9)/($E183-3*cc_D/7))/0.002)))^2)</f>
        <v/>
      </c>
      <c r="AG183">
        <f>MAX(-fyd_cc,MIN(fyd_cc,Es_cc*IF($E183&lt;=cc_D,0.0035*($E183-AG$9)/$E183,0.002*($E183-AG$9)/($E183-3*cc_D/7))))-fcd_cc*(1-(1-MAX(0,MIN(1,IF($E183&lt;=cc_D,0.0035*($E183-AG$9)/$E183,0.002*($E183-AG$9)/($E183-3*cc_D/7))/0.002)))^2)</f>
        <v/>
      </c>
      <c r="BF183">
        <f>3*MIN($E183,cc_D)/7</f>
        <v/>
      </c>
      <c r="BG183">
        <f>$E183-$BF183</f>
        <v/>
      </c>
      <c r="BH183">
        <f>ACOS(MAX(-1,MIN(1,1-$BF183/(cc_D/2))))</f>
        <v/>
      </c>
      <c r="BI183">
        <f>ACOS(MAX(-1,MIN(1,1-MIN($E183,cc_D)/(cc_D/2))))</f>
        <v/>
      </c>
      <c r="BJ183">
        <f>((cc_D/2*(1-COS(($BH183+0*($BI183-$BH183)/12)))-$BF183)/$BG183)^2*SIN(($BH183+0*($BI183-$BH183)/12))^2</f>
        <v/>
      </c>
      <c r="BK183">
        <f>((cc_D/2*(1-COS(($BH183+1*($BI183-$BH183)/12)))-$BF183)/$BG183)^2*SIN(($BH183+1*($BI183-$BH183)/12))^2</f>
        <v/>
      </c>
      <c r="BL183">
        <f>((cc_D/2*(1-COS(($BH183+2*($BI183-$BH183)/12)))-$BF183)/$BG183)^2*SIN(($BH183+2*($BI183-$BH183)/12))^2</f>
        <v/>
      </c>
      <c r="BM183">
        <f>((cc_D/2*(1-COS(($BH183+3*($BI183-$BH183)/12)))-$BF183)/$BG183)^2*SIN(($BH183+3*($BI183-$BH183)/12))^2</f>
        <v/>
      </c>
      <c r="BN183">
        <f>((cc_D/2*(1-COS(($BH183+4*($BI183-$BH183)/12)))-$BF183)/$BG183)^2*SIN(($BH183+4*($BI183-$BH183)/12))^2</f>
        <v/>
      </c>
      <c r="BO183">
        <f>((cc_D/2*(1-COS(($BH183+5*($BI183-$BH183)/12)))-$BF183)/$BG183)^2*SIN(($BH183+5*($BI183-$BH183)/12))^2</f>
        <v/>
      </c>
      <c r="BP183">
        <f>((cc_D/2*(1-COS(($BH183+6*($BI183-$BH183)/12)))-$BF183)/$BG183)^2*SIN(($BH183+6*($BI183-$BH183)/12))^2</f>
        <v/>
      </c>
      <c r="BQ183">
        <f>((cc_D/2*(1-COS(($BH183+7*($BI183-$BH183)/12)))-$BF183)/$BG183)^2*SIN(($BH183+7*($BI183-$BH183)/12))^2</f>
        <v/>
      </c>
      <c r="BR183">
        <f>((cc_D/2*(1-COS(($BH183+8*($BI183-$BH183)/12)))-$BF183)/$BG183)^2*SIN(($BH183+8*($BI183-$BH183)/12))^2</f>
        <v/>
      </c>
      <c r="BS183">
        <f>((cc_D/2*(1-COS(($BH183+9*($BI183-$BH183)/12)))-$BF183)/$BG183)^2*SIN(($BH183+9*($BI183-$BH183)/12))^2</f>
        <v/>
      </c>
      <c r="BT183">
        <f>((cc_D/2*(1-COS(($BH183+10*($BI183-$BH183)/12)))-$BF183)/$BG183)^2*SIN(($BH183+10*($BI183-$BH183)/12))^2</f>
        <v/>
      </c>
      <c r="BU183">
        <f>((cc_D/2*(1-COS(($BH183+11*($BI183-$BH183)/12)))-$BF183)/$BG183)^2*SIN(($BH183+11*($BI183-$BH183)/12))^2</f>
        <v/>
      </c>
      <c r="BV183">
        <f>((cc_D/2*(1-COS(($BH183+12*($BI183-$BH183)/12)))-$BF183)/$BG183)^2*SIN(($BH183+12*($BI183-$BH183)/12))^2</f>
        <v/>
      </c>
      <c r="BW183">
        <f>BJ183*COS(($BH183+0*($BI183-$BH183)/12))</f>
        <v/>
      </c>
      <c r="BX183">
        <f>BK183*COS(($BH183+1*($BI183-$BH183)/12))</f>
        <v/>
      </c>
      <c r="BY183">
        <f>BL183*COS(($BH183+2*($BI183-$BH183)/12))</f>
        <v/>
      </c>
      <c r="BZ183">
        <f>BM183*COS(($BH183+3*($BI183-$BH183)/12))</f>
        <v/>
      </c>
      <c r="CA183">
        <f>BN183*COS(($BH183+4*($BI183-$BH183)/12))</f>
        <v/>
      </c>
      <c r="CB183">
        <f>BO183*COS(($BH183+5*($BI183-$BH183)/12))</f>
        <v/>
      </c>
      <c r="CC183">
        <f>BP183*COS(($BH183+6*($BI183-$BH183)/12))</f>
        <v/>
      </c>
      <c r="CD183">
        <f>BQ183*COS(($BH183+7*($BI183-$BH183)/12))</f>
        <v/>
      </c>
      <c r="CE183">
        <f>BR183*COS(($BH183+8*($BI183-$BH183)/12))</f>
        <v/>
      </c>
      <c r="CF183">
        <f>BS183*COS(($BH183+9*($BI183-$BH183)/12))</f>
        <v/>
      </c>
      <c r="CG183">
        <f>BT183*COS(($BH183+10*($BI183-$BH183)/12))</f>
        <v/>
      </c>
      <c r="CH183">
        <f>BU183*COS(($BH183+11*($BI183-$BH183)/12))</f>
        <v/>
      </c>
      <c r="CI183">
        <f>BV183*COS(($BH183+12*($BI183-$BH183)/12))</f>
        <v/>
      </c>
    </row>
    <row r="184">
      <c r="B184" s="65" t="n">
        <v>32</v>
      </c>
      <c r="C184" s="66">
        <f>IF($G183&lt;cc_NEd-1E-9*ABS(cc_NEd),($C183+$D183)/2,$C183)</f>
        <v/>
      </c>
      <c r="D184" s="66">
        <f>IF($G183&lt;cc_NEd-1E-9*ABS(cc_NEd),$D183,($C183+$D183)/2)</f>
        <v/>
      </c>
      <c r="E184" s="67">
        <f>cc_D*(($C184+$D184)/2)/(1-(($C184+$D184)/2))</f>
        <v/>
      </c>
      <c r="F184" s="68">
        <f>IF($E184&lt;=cc_D,3.5,2*$E184/($E184-3*cc_D/7))</f>
        <v/>
      </c>
      <c r="G184" s="67">
        <f>(fcd_cc*((cc_D/2)^2*($BI184-COS($BI184)*SIN($BI184))-2*(cc_D/2)^2*($BI184-$BH184)/12/3*SUMPRODUCT($BJ$4:$BV$4,$BJ184:$BV184))+SUMPRODUCT($J$5:$AG$5,$J184:$AG184))/1000</f>
        <v/>
      </c>
      <c r="H184" s="67">
        <f>(fcd_cc*(2/3*(cc_D/2)^3*SIN($BI184)^3-2*(cc_D/2)^3*($BI184-$BH184)/12/3*SUMPRODUCT($BW$4:$CI$4,$BW184:$CI184))+SUMPRODUCT($J$5:$AG$5,$J184:$AG184,$J$10:$AG$10))/1E6</f>
        <v/>
      </c>
      <c r="I184" s="67">
        <f>SUMPRODUCT($J$5:$AG$5,$J184:$AG184,$J$11:$AG$11)/1E6</f>
        <v/>
      </c>
      <c r="J184">
        <f>MAX(-fyd_cc,MIN(fyd_cc,Es_cc*IF($E184&lt;=cc_D,0.0035*($E184-J$9)/$E184,0.002*($E184-J$9)/($E184-3*cc_D/7))))-fcd_cc*(1-(1-MAX(0,MIN(1,IF($E184&lt;=cc_D,0.0035*($E184-J$9)/$E184,0.002*($E184-J$9)/($E184-3*cc_D/7))/0.002)))^2)</f>
        <v/>
      </c>
      <c r="K184">
        <f>MAX(-fyd_cc,MIN(fyd_cc,Es_cc*IF($E184&lt;=cc_D,0.0035*($E184-K$9)/$E184,0.002*($E184-K$9)/($E184-3*cc_D/7))))-fcd_cc*(1-(1-MAX(0,MIN(1,IF($E184&lt;=cc_D,0.0035*($E184-K$9)/$E184,0.002*($E184-K$9)/($E184-3*cc_D/7))/0.002)))^2)</f>
        <v/>
      </c>
      <c r="L184">
        <f>MAX(-fyd_cc,MIN(fyd_cc,Es_cc*IF($E184&lt;=cc_D,0.0035*($E184-L$9)/$E184,0.002*($E184-L$9)/($E184-3*cc_D/7))))-fcd_cc*(1-(1-MAX(0,MIN(1,IF($E184&lt;=cc_D,0.0035*($E184-L$9)/$E184,0.002*($E184-L$9)/($E184-3*cc_D/7))/0.002)))^2)</f>
        <v/>
      </c>
      <c r="M184">
        <f>MAX(-fyd_cc,MIN(fyd_cc,Es_cc*IF($E184&lt;=cc_D,0.0035*($E184-M$9)/$E184,0.002*($E184-M$9)/($E184-3*cc_D/7))))-fcd_cc*(1-(1-MAX(0,MIN(1,IF($E184&lt;=cc_D,0.0035*($E184-M$9)/$E184,0.002*($E184-M$9)/($E184-3*cc_D/7))/0.002)))^2)</f>
        <v/>
      </c>
      <c r="N184">
        <f>MAX(-fyd_cc,MIN(fyd_cc,Es_cc*IF($E184&lt;=cc_D,0.0035*($E184-N$9)/$E184,0.002*($E184-N$9)/($E184-3*cc_D/7))))-fcd_cc*(1-(1-MAX(0,MIN(1,IF($E184&lt;=cc_D,0.0035*($E184-N$9)/$E184,0.002*($E184-N$9)/($E184-3*cc_D/7))/0.002)))^2)</f>
        <v/>
      </c>
      <c r="O184">
        <f>MAX(-fyd_cc,MIN(fyd_cc,Es_cc*IF($E184&lt;=cc_D,0.0035*($E184-O$9)/$E184,0.002*($E184-O$9)/($E184-3*cc_D/7))))-fcd_cc*(1-(1-MAX(0,MIN(1,IF($E184&lt;=cc_D,0.0035*($E184-O$9)/$E184,0.002*($E184-O$9)/($E184-3*cc_D/7))/0.002)))^2)</f>
        <v/>
      </c>
      <c r="P184">
        <f>MAX(-fyd_cc,MIN(fyd_cc,Es_cc*IF($E184&lt;=cc_D,0.0035*($E184-P$9)/$E184,0.002*($E184-P$9)/($E184-3*cc_D/7))))-fcd_cc*(1-(1-MAX(0,MIN(1,IF($E184&lt;=cc_D,0.0035*($E184-P$9)/$E184,0.002*($E184-P$9)/($E184-3*cc_D/7))/0.002)))^2)</f>
        <v/>
      </c>
      <c r="Q184">
        <f>MAX(-fyd_cc,MIN(fyd_cc,Es_cc*IF($E184&lt;=cc_D,0.0035*($E184-Q$9)/$E184,0.002*($E184-Q$9)/($E184-3*cc_D/7))))-fcd_cc*(1-(1-MAX(0,MIN(1,IF($E184&lt;=cc_D,0.0035*($E184-Q$9)/$E184,0.002*($E184-Q$9)/($E184-3*cc_D/7))/0.002)))^2)</f>
        <v/>
      </c>
      <c r="R184">
        <f>MAX(-fyd_cc,MIN(fyd_cc,Es_cc*IF($E184&lt;=cc_D,0.0035*($E184-R$9)/$E184,0.002*($E184-R$9)/($E184-3*cc_D/7))))-fcd_cc*(1-(1-MAX(0,MIN(1,IF($E184&lt;=cc_D,0.0035*($E184-R$9)/$E184,0.002*($E184-R$9)/($E184-3*cc_D/7))/0.002)))^2)</f>
        <v/>
      </c>
      <c r="S184">
        <f>MAX(-fyd_cc,MIN(fyd_cc,Es_cc*IF($E184&lt;=cc_D,0.0035*($E184-S$9)/$E184,0.002*($E184-S$9)/($E184-3*cc_D/7))))-fcd_cc*(1-(1-MAX(0,MIN(1,IF($E184&lt;=cc_D,0.0035*($E184-S$9)/$E184,0.002*($E184-S$9)/($E184-3*cc_D/7))/0.002)))^2)</f>
        <v/>
      </c>
      <c r="T184">
        <f>MAX(-fyd_cc,MIN(fyd_cc,Es_cc*IF($E184&lt;=cc_D,0.0035*($E184-T$9)/$E184,0.002*($E184-T$9)/($E184-3*cc_D/7))))-fcd_cc*(1-(1-MAX(0,MIN(1,IF($E184&lt;=cc_D,0.0035*($E184-T$9)/$E184,0.002*($E184-T$9)/($E184-3*cc_D/7))/0.002)))^2)</f>
        <v/>
      </c>
      <c r="U184">
        <f>MAX(-fyd_cc,MIN(fyd_cc,Es_cc*IF($E184&lt;=cc_D,0.0035*($E184-U$9)/$E184,0.002*($E184-U$9)/($E184-3*cc_D/7))))-fcd_cc*(1-(1-MAX(0,MIN(1,IF($E184&lt;=cc_D,0.0035*($E184-U$9)/$E184,0.002*($E184-U$9)/($E184-3*cc_D/7))/0.002)))^2)</f>
        <v/>
      </c>
      <c r="V184">
        <f>MAX(-fyd_cc,MIN(fyd_cc,Es_cc*IF($E184&lt;=cc_D,0.0035*($E184-V$9)/$E184,0.002*($E184-V$9)/($E184-3*cc_D/7))))-fcd_cc*(1-(1-MAX(0,MIN(1,IF($E184&lt;=cc_D,0.0035*($E184-V$9)/$E184,0.002*($E184-V$9)/($E184-3*cc_D/7))/0.002)))^2)</f>
        <v/>
      </c>
      <c r="W184">
        <f>MAX(-fyd_cc,MIN(fyd_cc,Es_cc*IF($E184&lt;=cc_D,0.0035*($E184-W$9)/$E184,0.002*($E184-W$9)/($E184-3*cc_D/7))))-fcd_cc*(1-(1-MAX(0,MIN(1,IF($E184&lt;=cc_D,0.0035*($E184-W$9)/$E184,0.002*($E184-W$9)/($E184-3*cc_D/7))/0.002)))^2)</f>
        <v/>
      </c>
      <c r="X184">
        <f>MAX(-fyd_cc,MIN(fyd_cc,Es_cc*IF($E184&lt;=cc_D,0.0035*($E184-X$9)/$E184,0.002*($E184-X$9)/($E184-3*cc_D/7))))-fcd_cc*(1-(1-MAX(0,MIN(1,IF($E184&lt;=cc_D,0.0035*($E184-X$9)/$E184,0.002*($E184-X$9)/($E184-3*cc_D/7))/0.002)))^2)</f>
        <v/>
      </c>
      <c r="Y184">
        <f>MAX(-fyd_cc,MIN(fyd_cc,Es_cc*IF($E184&lt;=cc_D,0.0035*($E184-Y$9)/$E184,0.002*($E184-Y$9)/($E184-3*cc_D/7))))-fcd_cc*(1-(1-MAX(0,MIN(1,IF($E184&lt;=cc_D,0.0035*($E184-Y$9)/$E184,0.002*($E184-Y$9)/($E184-3*cc_D/7))/0.002)))^2)</f>
        <v/>
      </c>
      <c r="Z184">
        <f>MAX(-fyd_cc,MIN(fyd_cc,Es_cc*IF($E184&lt;=cc_D,0.0035*($E184-Z$9)/$E184,0.002*($E184-Z$9)/($E184-3*cc_D/7))))-fcd_cc*(1-(1-MAX(0,MIN(1,IF($E184&lt;=cc_D,0.0035*($E184-Z$9)/$E184,0.002*($E184-Z$9)/($E184-3*cc_D/7))/0.002)))^2)</f>
        <v/>
      </c>
      <c r="AA184">
        <f>MAX(-fyd_cc,MIN(fyd_cc,Es_cc*IF($E184&lt;=cc_D,0.0035*($E184-AA$9)/$E184,0.002*($E184-AA$9)/($E184-3*cc_D/7))))-fcd_cc*(1-(1-MAX(0,MIN(1,IF($E184&lt;=cc_D,0.0035*($E184-AA$9)/$E184,0.002*($E184-AA$9)/($E184-3*cc_D/7))/0.002)))^2)</f>
        <v/>
      </c>
      <c r="AB184">
        <f>MAX(-fyd_cc,MIN(fyd_cc,Es_cc*IF($E184&lt;=cc_D,0.0035*($E184-AB$9)/$E184,0.002*($E184-AB$9)/($E184-3*cc_D/7))))-fcd_cc*(1-(1-MAX(0,MIN(1,IF($E184&lt;=cc_D,0.0035*($E184-AB$9)/$E184,0.002*($E184-AB$9)/($E184-3*cc_D/7))/0.002)))^2)</f>
        <v/>
      </c>
      <c r="AC184">
        <f>MAX(-fyd_cc,MIN(fyd_cc,Es_cc*IF($E184&lt;=cc_D,0.0035*($E184-AC$9)/$E184,0.002*($E184-AC$9)/($E184-3*cc_D/7))))-fcd_cc*(1-(1-MAX(0,MIN(1,IF($E184&lt;=cc_D,0.0035*($E184-AC$9)/$E184,0.002*($E184-AC$9)/($E184-3*cc_D/7))/0.002)))^2)</f>
        <v/>
      </c>
      <c r="AD184">
        <f>MAX(-fyd_cc,MIN(fyd_cc,Es_cc*IF($E184&lt;=cc_D,0.0035*($E184-AD$9)/$E184,0.002*($E184-AD$9)/($E184-3*cc_D/7))))-fcd_cc*(1-(1-MAX(0,MIN(1,IF($E184&lt;=cc_D,0.0035*($E184-AD$9)/$E184,0.002*($E184-AD$9)/($E184-3*cc_D/7))/0.002)))^2)</f>
        <v/>
      </c>
      <c r="AE184">
        <f>MAX(-fyd_cc,MIN(fyd_cc,Es_cc*IF($E184&lt;=cc_D,0.0035*($E184-AE$9)/$E184,0.002*($E184-AE$9)/($E184-3*cc_D/7))))-fcd_cc*(1-(1-MAX(0,MIN(1,IF($E184&lt;=cc_D,0.0035*($E184-AE$9)/$E184,0.002*($E184-AE$9)/($E184-3*cc_D/7))/0.002)))^2)</f>
        <v/>
      </c>
      <c r="AF184">
        <f>MAX(-fyd_cc,MIN(fyd_cc,Es_cc*IF($E184&lt;=cc_D,0.0035*($E184-AF$9)/$E184,0.002*($E184-AF$9)/($E184-3*cc_D/7))))-fcd_cc*(1-(1-MAX(0,MIN(1,IF($E184&lt;=cc_D,0.0035*($E184-AF$9)/$E184,0.002*($E184-AF$9)/($E184-3*cc_D/7))/0.002)))^2)</f>
        <v/>
      </c>
      <c r="AG184">
        <f>MAX(-fyd_cc,MIN(fyd_cc,Es_cc*IF($E184&lt;=cc_D,0.0035*($E184-AG$9)/$E184,0.002*($E184-AG$9)/($E184-3*cc_D/7))))-fcd_cc*(1-(1-MAX(0,MIN(1,IF($E184&lt;=cc_D,0.0035*($E184-AG$9)/$E184,0.002*($E184-AG$9)/($E184-3*cc_D/7))/0.002)))^2)</f>
        <v/>
      </c>
      <c r="BF184">
        <f>3*MIN($E184,cc_D)/7</f>
        <v/>
      </c>
      <c r="BG184">
        <f>$E184-$BF184</f>
        <v/>
      </c>
      <c r="BH184">
        <f>ACOS(MAX(-1,MIN(1,1-$BF184/(cc_D/2))))</f>
        <v/>
      </c>
      <c r="BI184">
        <f>ACOS(MAX(-1,MIN(1,1-MIN($E184,cc_D)/(cc_D/2))))</f>
        <v/>
      </c>
      <c r="BJ184">
        <f>((cc_D/2*(1-COS(($BH184+0*($BI184-$BH184)/12)))-$BF184)/$BG184)^2*SIN(($BH184+0*($BI184-$BH184)/12))^2</f>
        <v/>
      </c>
      <c r="BK184">
        <f>((cc_D/2*(1-COS(($BH184+1*($BI184-$BH184)/12)))-$BF184)/$BG184)^2*SIN(($BH184+1*($BI184-$BH184)/12))^2</f>
        <v/>
      </c>
      <c r="BL184">
        <f>((cc_D/2*(1-COS(($BH184+2*($BI184-$BH184)/12)))-$BF184)/$BG184)^2*SIN(($BH184+2*($BI184-$BH184)/12))^2</f>
        <v/>
      </c>
      <c r="BM184">
        <f>((cc_D/2*(1-COS(($BH184+3*($BI184-$BH184)/12)))-$BF184)/$BG184)^2*SIN(($BH184+3*($BI184-$BH184)/12))^2</f>
        <v/>
      </c>
      <c r="BN184">
        <f>((cc_D/2*(1-COS(($BH184+4*($BI184-$BH184)/12)))-$BF184)/$BG184)^2*SIN(($BH184+4*($BI184-$BH184)/12))^2</f>
        <v/>
      </c>
      <c r="BO184">
        <f>((cc_D/2*(1-COS(($BH184+5*($BI184-$BH184)/12)))-$BF184)/$BG184)^2*SIN(($BH184+5*($BI184-$BH184)/12))^2</f>
        <v/>
      </c>
      <c r="BP184">
        <f>((cc_D/2*(1-COS(($BH184+6*($BI184-$BH184)/12)))-$BF184)/$BG184)^2*SIN(($BH184+6*($BI184-$BH184)/12))^2</f>
        <v/>
      </c>
      <c r="BQ184">
        <f>((cc_D/2*(1-COS(($BH184+7*($BI184-$BH184)/12)))-$BF184)/$BG184)^2*SIN(($BH184+7*($BI184-$BH184)/12))^2</f>
        <v/>
      </c>
      <c r="BR184">
        <f>((cc_D/2*(1-COS(($BH184+8*($BI184-$BH184)/12)))-$BF184)/$BG184)^2*SIN(($BH184+8*($BI184-$BH184)/12))^2</f>
        <v/>
      </c>
      <c r="BS184">
        <f>((cc_D/2*(1-COS(($BH184+9*($BI184-$BH184)/12)))-$BF184)/$BG184)^2*SIN(($BH184+9*($BI184-$BH184)/12))^2</f>
        <v/>
      </c>
      <c r="BT184">
        <f>((cc_D/2*(1-COS(($BH184+10*($BI184-$BH184)/12)))-$BF184)/$BG184)^2*SIN(($BH184+10*($BI184-$BH184)/12))^2</f>
        <v/>
      </c>
      <c r="BU184">
        <f>((cc_D/2*(1-COS(($BH184+11*($BI184-$BH184)/12)))-$BF184)/$BG184)^2*SIN(($BH184+11*($BI184-$BH184)/12))^2</f>
        <v/>
      </c>
      <c r="BV184">
        <f>((cc_D/2*(1-COS(($BH184+12*($BI184-$BH184)/12)))-$BF184)/$BG184)^2*SIN(($BH184+12*($BI184-$BH184)/12))^2</f>
        <v/>
      </c>
      <c r="BW184">
        <f>BJ184*COS(($BH184+0*($BI184-$BH184)/12))</f>
        <v/>
      </c>
      <c r="BX184">
        <f>BK184*COS(($BH184+1*($BI184-$BH184)/12))</f>
        <v/>
      </c>
      <c r="BY184">
        <f>BL184*COS(($BH184+2*($BI184-$BH184)/12))</f>
        <v/>
      </c>
      <c r="BZ184">
        <f>BM184*COS(($BH184+3*($BI184-$BH184)/12))</f>
        <v/>
      </c>
      <c r="CA184">
        <f>BN184*COS(($BH184+4*($BI184-$BH184)/12))</f>
        <v/>
      </c>
      <c r="CB184">
        <f>BO184*COS(($BH184+5*($BI184-$BH184)/12))</f>
        <v/>
      </c>
      <c r="CC184">
        <f>BP184*COS(($BH184+6*($BI184-$BH184)/12))</f>
        <v/>
      </c>
      <c r="CD184">
        <f>BQ184*COS(($BH184+7*($BI184-$BH184)/12))</f>
        <v/>
      </c>
      <c r="CE184">
        <f>BR184*COS(($BH184+8*($BI184-$BH184)/12))</f>
        <v/>
      </c>
      <c r="CF184">
        <f>BS184*COS(($BH184+9*($BI184-$BH184)/12))</f>
        <v/>
      </c>
      <c r="CG184">
        <f>BT184*COS(($BH184+10*($BI184-$BH184)/12))</f>
        <v/>
      </c>
      <c r="CH184">
        <f>BU184*COS(($BH184+11*($BI184-$BH184)/12))</f>
        <v/>
      </c>
      <c r="CI184">
        <f>BV184*COS(($BH184+12*($BI184-$BH184)/12))</f>
        <v/>
      </c>
    </row>
    <row r="185">
      <c r="B185" s="65" t="n">
        <v>33</v>
      </c>
      <c r="C185" s="66">
        <f>IF($G184&lt;cc_NEd-1E-9*ABS(cc_NEd),($C184+$D184)/2,$C184)</f>
        <v/>
      </c>
      <c r="D185" s="66">
        <f>IF($G184&lt;cc_NEd-1E-9*ABS(cc_NEd),$D184,($C184+$D184)/2)</f>
        <v/>
      </c>
      <c r="E185" s="67">
        <f>cc_D*(($C185+$D185)/2)/(1-(($C185+$D185)/2))</f>
        <v/>
      </c>
      <c r="F185" s="68">
        <f>IF($E185&lt;=cc_D,3.5,2*$E185/($E185-3*cc_D/7))</f>
        <v/>
      </c>
      <c r="G185" s="67">
        <f>(fcd_cc*((cc_D/2)^2*($BI185-COS($BI185)*SIN($BI185))-2*(cc_D/2)^2*($BI185-$BH185)/12/3*SUMPRODUCT($BJ$4:$BV$4,$BJ185:$BV185))+SUMPRODUCT($J$5:$AG$5,$J185:$AG185))/1000</f>
        <v/>
      </c>
      <c r="H185" s="67">
        <f>(fcd_cc*(2/3*(cc_D/2)^3*SIN($BI185)^3-2*(cc_D/2)^3*($BI185-$BH185)/12/3*SUMPRODUCT($BW$4:$CI$4,$BW185:$CI185))+SUMPRODUCT($J$5:$AG$5,$J185:$AG185,$J$10:$AG$10))/1E6</f>
        <v/>
      </c>
      <c r="I185" s="67">
        <f>SUMPRODUCT($J$5:$AG$5,$J185:$AG185,$J$11:$AG$11)/1E6</f>
        <v/>
      </c>
      <c r="J185">
        <f>MAX(-fyd_cc,MIN(fyd_cc,Es_cc*IF($E185&lt;=cc_D,0.0035*($E185-J$9)/$E185,0.002*($E185-J$9)/($E185-3*cc_D/7))))-fcd_cc*(1-(1-MAX(0,MIN(1,IF($E185&lt;=cc_D,0.0035*($E185-J$9)/$E185,0.002*($E185-J$9)/($E185-3*cc_D/7))/0.002)))^2)</f>
        <v/>
      </c>
      <c r="K185">
        <f>MAX(-fyd_cc,MIN(fyd_cc,Es_cc*IF($E185&lt;=cc_D,0.0035*($E185-K$9)/$E185,0.002*($E185-K$9)/($E185-3*cc_D/7))))-fcd_cc*(1-(1-MAX(0,MIN(1,IF($E185&lt;=cc_D,0.0035*($E185-K$9)/$E185,0.002*($E185-K$9)/($E185-3*cc_D/7))/0.002)))^2)</f>
        <v/>
      </c>
      <c r="L185">
        <f>MAX(-fyd_cc,MIN(fyd_cc,Es_cc*IF($E185&lt;=cc_D,0.0035*($E185-L$9)/$E185,0.002*($E185-L$9)/($E185-3*cc_D/7))))-fcd_cc*(1-(1-MAX(0,MIN(1,IF($E185&lt;=cc_D,0.0035*($E185-L$9)/$E185,0.002*($E185-L$9)/($E185-3*cc_D/7))/0.002)))^2)</f>
        <v/>
      </c>
      <c r="M185">
        <f>MAX(-fyd_cc,MIN(fyd_cc,Es_cc*IF($E185&lt;=cc_D,0.0035*($E185-M$9)/$E185,0.002*($E185-M$9)/($E185-3*cc_D/7))))-fcd_cc*(1-(1-MAX(0,MIN(1,IF($E185&lt;=cc_D,0.0035*($E185-M$9)/$E185,0.002*($E185-M$9)/($E185-3*cc_D/7))/0.002)))^2)</f>
        <v/>
      </c>
      <c r="N185">
        <f>MAX(-fyd_cc,MIN(fyd_cc,Es_cc*IF($E185&lt;=cc_D,0.0035*($E185-N$9)/$E185,0.002*($E185-N$9)/($E185-3*cc_D/7))))-fcd_cc*(1-(1-MAX(0,MIN(1,IF($E185&lt;=cc_D,0.0035*($E185-N$9)/$E185,0.002*($E185-N$9)/($E185-3*cc_D/7))/0.002)))^2)</f>
        <v/>
      </c>
      <c r="O185">
        <f>MAX(-fyd_cc,MIN(fyd_cc,Es_cc*IF($E185&lt;=cc_D,0.0035*($E185-O$9)/$E185,0.002*($E185-O$9)/($E185-3*cc_D/7))))-fcd_cc*(1-(1-MAX(0,MIN(1,IF($E185&lt;=cc_D,0.0035*($E185-O$9)/$E185,0.002*($E185-O$9)/($E185-3*cc_D/7))/0.002)))^2)</f>
        <v/>
      </c>
      <c r="P185">
        <f>MAX(-fyd_cc,MIN(fyd_cc,Es_cc*IF($E185&lt;=cc_D,0.0035*($E185-P$9)/$E185,0.002*($E185-P$9)/($E185-3*cc_D/7))))-fcd_cc*(1-(1-MAX(0,MIN(1,IF($E185&lt;=cc_D,0.0035*($E185-P$9)/$E185,0.002*($E185-P$9)/($E185-3*cc_D/7))/0.002)))^2)</f>
        <v/>
      </c>
      <c r="Q185">
        <f>MAX(-fyd_cc,MIN(fyd_cc,Es_cc*IF($E185&lt;=cc_D,0.0035*($E185-Q$9)/$E185,0.002*($E185-Q$9)/($E185-3*cc_D/7))))-fcd_cc*(1-(1-MAX(0,MIN(1,IF($E185&lt;=cc_D,0.0035*($E185-Q$9)/$E185,0.002*($E185-Q$9)/($E185-3*cc_D/7))/0.002)))^2)</f>
        <v/>
      </c>
      <c r="R185">
        <f>MAX(-fyd_cc,MIN(fyd_cc,Es_cc*IF($E185&lt;=cc_D,0.0035*($E185-R$9)/$E185,0.002*($E185-R$9)/($E185-3*cc_D/7))))-fcd_cc*(1-(1-MAX(0,MIN(1,IF($E185&lt;=cc_D,0.0035*($E185-R$9)/$E185,0.002*($E185-R$9)/($E185-3*cc_D/7))/0.002)))^2)</f>
        <v/>
      </c>
      <c r="S185">
        <f>MAX(-fyd_cc,MIN(fyd_cc,Es_cc*IF($E185&lt;=cc_D,0.0035*($E185-S$9)/$E185,0.002*($E185-S$9)/($E185-3*cc_D/7))))-fcd_cc*(1-(1-MAX(0,MIN(1,IF($E185&lt;=cc_D,0.0035*($E185-S$9)/$E185,0.002*($E185-S$9)/($E185-3*cc_D/7))/0.002)))^2)</f>
        <v/>
      </c>
      <c r="T185">
        <f>MAX(-fyd_cc,MIN(fyd_cc,Es_cc*IF($E185&lt;=cc_D,0.0035*($E185-T$9)/$E185,0.002*($E185-T$9)/($E185-3*cc_D/7))))-fcd_cc*(1-(1-MAX(0,MIN(1,IF($E185&lt;=cc_D,0.0035*($E185-T$9)/$E185,0.002*($E185-T$9)/($E185-3*cc_D/7))/0.002)))^2)</f>
        <v/>
      </c>
      <c r="U185">
        <f>MAX(-fyd_cc,MIN(fyd_cc,Es_cc*IF($E185&lt;=cc_D,0.0035*($E185-U$9)/$E185,0.002*($E185-U$9)/($E185-3*cc_D/7))))-fcd_cc*(1-(1-MAX(0,MIN(1,IF($E185&lt;=cc_D,0.0035*($E185-U$9)/$E185,0.002*($E185-U$9)/($E185-3*cc_D/7))/0.002)))^2)</f>
        <v/>
      </c>
      <c r="V185">
        <f>MAX(-fyd_cc,MIN(fyd_cc,Es_cc*IF($E185&lt;=cc_D,0.0035*($E185-V$9)/$E185,0.002*($E185-V$9)/($E185-3*cc_D/7))))-fcd_cc*(1-(1-MAX(0,MIN(1,IF($E185&lt;=cc_D,0.0035*($E185-V$9)/$E185,0.002*($E185-V$9)/($E185-3*cc_D/7))/0.002)))^2)</f>
        <v/>
      </c>
      <c r="W185">
        <f>MAX(-fyd_cc,MIN(fyd_cc,Es_cc*IF($E185&lt;=cc_D,0.0035*($E185-W$9)/$E185,0.002*($E185-W$9)/($E185-3*cc_D/7))))-fcd_cc*(1-(1-MAX(0,MIN(1,IF($E185&lt;=cc_D,0.0035*($E185-W$9)/$E185,0.002*($E185-W$9)/($E185-3*cc_D/7))/0.002)))^2)</f>
        <v/>
      </c>
      <c r="X185">
        <f>MAX(-fyd_cc,MIN(fyd_cc,Es_cc*IF($E185&lt;=cc_D,0.0035*($E185-X$9)/$E185,0.002*($E185-X$9)/($E185-3*cc_D/7))))-fcd_cc*(1-(1-MAX(0,MIN(1,IF($E185&lt;=cc_D,0.0035*($E185-X$9)/$E185,0.002*($E185-X$9)/($E185-3*cc_D/7))/0.002)))^2)</f>
        <v/>
      </c>
      <c r="Y185">
        <f>MAX(-fyd_cc,MIN(fyd_cc,Es_cc*IF($E185&lt;=cc_D,0.0035*($E185-Y$9)/$E185,0.002*($E185-Y$9)/($E185-3*cc_D/7))))-fcd_cc*(1-(1-MAX(0,MIN(1,IF($E185&lt;=cc_D,0.0035*($E185-Y$9)/$E185,0.002*($E185-Y$9)/($E185-3*cc_D/7))/0.002)))^2)</f>
        <v/>
      </c>
      <c r="Z185">
        <f>MAX(-fyd_cc,MIN(fyd_cc,Es_cc*IF($E185&lt;=cc_D,0.0035*($E185-Z$9)/$E185,0.002*($E185-Z$9)/($E185-3*cc_D/7))))-fcd_cc*(1-(1-MAX(0,MIN(1,IF($E185&lt;=cc_D,0.0035*($E185-Z$9)/$E185,0.002*($E185-Z$9)/($E185-3*cc_D/7))/0.002)))^2)</f>
        <v/>
      </c>
      <c r="AA185">
        <f>MAX(-fyd_cc,MIN(fyd_cc,Es_cc*IF($E185&lt;=cc_D,0.0035*($E185-AA$9)/$E185,0.002*($E185-AA$9)/($E185-3*cc_D/7))))-fcd_cc*(1-(1-MAX(0,MIN(1,IF($E185&lt;=cc_D,0.0035*($E185-AA$9)/$E185,0.002*($E185-AA$9)/($E185-3*cc_D/7))/0.002)))^2)</f>
        <v/>
      </c>
      <c r="AB185">
        <f>MAX(-fyd_cc,MIN(fyd_cc,Es_cc*IF($E185&lt;=cc_D,0.0035*($E185-AB$9)/$E185,0.002*($E185-AB$9)/($E185-3*cc_D/7))))-fcd_cc*(1-(1-MAX(0,MIN(1,IF($E185&lt;=cc_D,0.0035*($E185-AB$9)/$E185,0.002*($E185-AB$9)/($E185-3*cc_D/7))/0.002)))^2)</f>
        <v/>
      </c>
      <c r="AC185">
        <f>MAX(-fyd_cc,MIN(fyd_cc,Es_cc*IF($E185&lt;=cc_D,0.0035*($E185-AC$9)/$E185,0.002*($E185-AC$9)/($E185-3*cc_D/7))))-fcd_cc*(1-(1-MAX(0,MIN(1,IF($E185&lt;=cc_D,0.0035*($E185-AC$9)/$E185,0.002*($E185-AC$9)/($E185-3*cc_D/7))/0.002)))^2)</f>
        <v/>
      </c>
      <c r="AD185">
        <f>MAX(-fyd_cc,MIN(fyd_cc,Es_cc*IF($E185&lt;=cc_D,0.0035*($E185-AD$9)/$E185,0.002*($E185-AD$9)/($E185-3*cc_D/7))))-fcd_cc*(1-(1-MAX(0,MIN(1,IF($E185&lt;=cc_D,0.0035*($E185-AD$9)/$E185,0.002*($E185-AD$9)/($E185-3*cc_D/7))/0.002)))^2)</f>
        <v/>
      </c>
      <c r="AE185">
        <f>MAX(-fyd_cc,MIN(fyd_cc,Es_cc*IF($E185&lt;=cc_D,0.0035*($E185-AE$9)/$E185,0.002*($E185-AE$9)/($E185-3*cc_D/7))))-fcd_cc*(1-(1-MAX(0,MIN(1,IF($E185&lt;=cc_D,0.0035*($E185-AE$9)/$E185,0.002*($E185-AE$9)/($E185-3*cc_D/7))/0.002)))^2)</f>
        <v/>
      </c>
      <c r="AF185">
        <f>MAX(-fyd_cc,MIN(fyd_cc,Es_cc*IF($E185&lt;=cc_D,0.0035*($E185-AF$9)/$E185,0.002*($E185-AF$9)/($E185-3*cc_D/7))))-fcd_cc*(1-(1-MAX(0,MIN(1,IF($E185&lt;=cc_D,0.0035*($E185-AF$9)/$E185,0.002*($E185-AF$9)/($E185-3*cc_D/7))/0.002)))^2)</f>
        <v/>
      </c>
      <c r="AG185">
        <f>MAX(-fyd_cc,MIN(fyd_cc,Es_cc*IF($E185&lt;=cc_D,0.0035*($E185-AG$9)/$E185,0.002*($E185-AG$9)/($E185-3*cc_D/7))))-fcd_cc*(1-(1-MAX(0,MIN(1,IF($E185&lt;=cc_D,0.0035*($E185-AG$9)/$E185,0.002*($E185-AG$9)/($E185-3*cc_D/7))/0.002)))^2)</f>
        <v/>
      </c>
      <c r="BF185">
        <f>3*MIN($E185,cc_D)/7</f>
        <v/>
      </c>
      <c r="BG185">
        <f>$E185-$BF185</f>
        <v/>
      </c>
      <c r="BH185">
        <f>ACOS(MAX(-1,MIN(1,1-$BF185/(cc_D/2))))</f>
        <v/>
      </c>
      <c r="BI185">
        <f>ACOS(MAX(-1,MIN(1,1-MIN($E185,cc_D)/(cc_D/2))))</f>
        <v/>
      </c>
      <c r="BJ185">
        <f>((cc_D/2*(1-COS(($BH185+0*($BI185-$BH185)/12)))-$BF185)/$BG185)^2*SIN(($BH185+0*($BI185-$BH185)/12))^2</f>
        <v/>
      </c>
      <c r="BK185">
        <f>((cc_D/2*(1-COS(($BH185+1*($BI185-$BH185)/12)))-$BF185)/$BG185)^2*SIN(($BH185+1*($BI185-$BH185)/12))^2</f>
        <v/>
      </c>
      <c r="BL185">
        <f>((cc_D/2*(1-COS(($BH185+2*($BI185-$BH185)/12)))-$BF185)/$BG185)^2*SIN(($BH185+2*($BI185-$BH185)/12))^2</f>
        <v/>
      </c>
      <c r="BM185">
        <f>((cc_D/2*(1-COS(($BH185+3*($BI185-$BH185)/12)))-$BF185)/$BG185)^2*SIN(($BH185+3*($BI185-$BH185)/12))^2</f>
        <v/>
      </c>
      <c r="BN185">
        <f>((cc_D/2*(1-COS(($BH185+4*($BI185-$BH185)/12)))-$BF185)/$BG185)^2*SIN(($BH185+4*($BI185-$BH185)/12))^2</f>
        <v/>
      </c>
      <c r="BO185">
        <f>((cc_D/2*(1-COS(($BH185+5*($BI185-$BH185)/12)))-$BF185)/$BG185)^2*SIN(($BH185+5*($BI185-$BH185)/12))^2</f>
        <v/>
      </c>
      <c r="BP185">
        <f>((cc_D/2*(1-COS(($BH185+6*($BI185-$BH185)/12)))-$BF185)/$BG185)^2*SIN(($BH185+6*($BI185-$BH185)/12))^2</f>
        <v/>
      </c>
      <c r="BQ185">
        <f>((cc_D/2*(1-COS(($BH185+7*($BI185-$BH185)/12)))-$BF185)/$BG185)^2*SIN(($BH185+7*($BI185-$BH185)/12))^2</f>
        <v/>
      </c>
      <c r="BR185">
        <f>((cc_D/2*(1-COS(($BH185+8*($BI185-$BH185)/12)))-$BF185)/$BG185)^2*SIN(($BH185+8*($BI185-$BH185)/12))^2</f>
        <v/>
      </c>
      <c r="BS185">
        <f>((cc_D/2*(1-COS(($BH185+9*($BI185-$BH185)/12)))-$BF185)/$BG185)^2*SIN(($BH185+9*($BI185-$BH185)/12))^2</f>
        <v/>
      </c>
      <c r="BT185">
        <f>((cc_D/2*(1-COS(($BH185+10*($BI185-$BH185)/12)))-$BF185)/$BG185)^2*SIN(($BH185+10*($BI185-$BH185)/12))^2</f>
        <v/>
      </c>
      <c r="BU185">
        <f>((cc_D/2*(1-COS(($BH185+11*($BI185-$BH185)/12)))-$BF185)/$BG185)^2*SIN(($BH185+11*($BI185-$BH185)/12))^2</f>
        <v/>
      </c>
      <c r="BV185">
        <f>((cc_D/2*(1-COS(($BH185+12*($BI185-$BH185)/12)))-$BF185)/$BG185)^2*SIN(($BH185+12*($BI185-$BH185)/12))^2</f>
        <v/>
      </c>
      <c r="BW185">
        <f>BJ185*COS(($BH185+0*($BI185-$BH185)/12))</f>
        <v/>
      </c>
      <c r="BX185">
        <f>BK185*COS(($BH185+1*($BI185-$BH185)/12))</f>
        <v/>
      </c>
      <c r="BY185">
        <f>BL185*COS(($BH185+2*($BI185-$BH185)/12))</f>
        <v/>
      </c>
      <c r="BZ185">
        <f>BM185*COS(($BH185+3*($BI185-$BH185)/12))</f>
        <v/>
      </c>
      <c r="CA185">
        <f>BN185*COS(($BH185+4*($BI185-$BH185)/12))</f>
        <v/>
      </c>
      <c r="CB185">
        <f>BO185*COS(($BH185+5*($BI185-$BH185)/12))</f>
        <v/>
      </c>
      <c r="CC185">
        <f>BP185*COS(($BH185+6*($BI185-$BH185)/12))</f>
        <v/>
      </c>
      <c r="CD185">
        <f>BQ185*COS(($BH185+7*($BI185-$BH185)/12))</f>
        <v/>
      </c>
      <c r="CE185">
        <f>BR185*COS(($BH185+8*($BI185-$BH185)/12))</f>
        <v/>
      </c>
      <c r="CF185">
        <f>BS185*COS(($BH185+9*($BI185-$BH185)/12))</f>
        <v/>
      </c>
      <c r="CG185">
        <f>BT185*COS(($BH185+10*($BI185-$BH185)/12))</f>
        <v/>
      </c>
      <c r="CH185">
        <f>BU185*COS(($BH185+11*($BI185-$BH185)/12))</f>
        <v/>
      </c>
      <c r="CI185">
        <f>BV185*COS(($BH185+12*($BI185-$BH185)/12))</f>
        <v/>
      </c>
    </row>
    <row r="186">
      <c r="B186" s="65" t="n">
        <v>34</v>
      </c>
      <c r="C186" s="66">
        <f>IF($G185&lt;cc_NEd-1E-9*ABS(cc_NEd),($C185+$D185)/2,$C185)</f>
        <v/>
      </c>
      <c r="D186" s="66">
        <f>IF($G185&lt;cc_NEd-1E-9*ABS(cc_NEd),$D185,($C185+$D185)/2)</f>
        <v/>
      </c>
      <c r="E186" s="67">
        <f>cc_D*(($C186+$D186)/2)/(1-(($C186+$D186)/2))</f>
        <v/>
      </c>
      <c r="F186" s="68">
        <f>IF($E186&lt;=cc_D,3.5,2*$E186/($E186-3*cc_D/7))</f>
        <v/>
      </c>
      <c r="G186" s="67">
        <f>(fcd_cc*((cc_D/2)^2*($BI186-COS($BI186)*SIN($BI186))-2*(cc_D/2)^2*($BI186-$BH186)/12/3*SUMPRODUCT($BJ$4:$BV$4,$BJ186:$BV186))+SUMPRODUCT($J$5:$AG$5,$J186:$AG186))/1000</f>
        <v/>
      </c>
      <c r="H186" s="67">
        <f>(fcd_cc*(2/3*(cc_D/2)^3*SIN($BI186)^3-2*(cc_D/2)^3*($BI186-$BH186)/12/3*SUMPRODUCT($BW$4:$CI$4,$BW186:$CI186))+SUMPRODUCT($J$5:$AG$5,$J186:$AG186,$J$10:$AG$10))/1E6</f>
        <v/>
      </c>
      <c r="I186" s="67">
        <f>SUMPRODUCT($J$5:$AG$5,$J186:$AG186,$J$11:$AG$11)/1E6</f>
        <v/>
      </c>
      <c r="J186">
        <f>MAX(-fyd_cc,MIN(fyd_cc,Es_cc*IF($E186&lt;=cc_D,0.0035*($E186-J$9)/$E186,0.002*($E186-J$9)/($E186-3*cc_D/7))))-fcd_cc*(1-(1-MAX(0,MIN(1,IF($E186&lt;=cc_D,0.0035*($E186-J$9)/$E186,0.002*($E186-J$9)/($E186-3*cc_D/7))/0.002)))^2)</f>
        <v/>
      </c>
      <c r="K186">
        <f>MAX(-fyd_cc,MIN(fyd_cc,Es_cc*IF($E186&lt;=cc_D,0.0035*($E186-K$9)/$E186,0.002*($E186-K$9)/($E186-3*cc_D/7))))-fcd_cc*(1-(1-MAX(0,MIN(1,IF($E186&lt;=cc_D,0.0035*($E186-K$9)/$E186,0.002*($E186-K$9)/($E186-3*cc_D/7))/0.002)))^2)</f>
        <v/>
      </c>
      <c r="L186">
        <f>MAX(-fyd_cc,MIN(fyd_cc,Es_cc*IF($E186&lt;=cc_D,0.0035*($E186-L$9)/$E186,0.002*($E186-L$9)/($E186-3*cc_D/7))))-fcd_cc*(1-(1-MAX(0,MIN(1,IF($E186&lt;=cc_D,0.0035*($E186-L$9)/$E186,0.002*($E186-L$9)/($E186-3*cc_D/7))/0.002)))^2)</f>
        <v/>
      </c>
      <c r="M186">
        <f>MAX(-fyd_cc,MIN(fyd_cc,Es_cc*IF($E186&lt;=cc_D,0.0035*($E186-M$9)/$E186,0.002*($E186-M$9)/($E186-3*cc_D/7))))-fcd_cc*(1-(1-MAX(0,MIN(1,IF($E186&lt;=cc_D,0.0035*($E186-M$9)/$E186,0.002*($E186-M$9)/($E186-3*cc_D/7))/0.002)))^2)</f>
        <v/>
      </c>
      <c r="N186">
        <f>MAX(-fyd_cc,MIN(fyd_cc,Es_cc*IF($E186&lt;=cc_D,0.0035*($E186-N$9)/$E186,0.002*($E186-N$9)/($E186-3*cc_D/7))))-fcd_cc*(1-(1-MAX(0,MIN(1,IF($E186&lt;=cc_D,0.0035*($E186-N$9)/$E186,0.002*($E186-N$9)/($E186-3*cc_D/7))/0.002)))^2)</f>
        <v/>
      </c>
      <c r="O186">
        <f>MAX(-fyd_cc,MIN(fyd_cc,Es_cc*IF($E186&lt;=cc_D,0.0035*($E186-O$9)/$E186,0.002*($E186-O$9)/($E186-3*cc_D/7))))-fcd_cc*(1-(1-MAX(0,MIN(1,IF($E186&lt;=cc_D,0.0035*($E186-O$9)/$E186,0.002*($E186-O$9)/($E186-3*cc_D/7))/0.002)))^2)</f>
        <v/>
      </c>
      <c r="P186">
        <f>MAX(-fyd_cc,MIN(fyd_cc,Es_cc*IF($E186&lt;=cc_D,0.0035*($E186-P$9)/$E186,0.002*($E186-P$9)/($E186-3*cc_D/7))))-fcd_cc*(1-(1-MAX(0,MIN(1,IF($E186&lt;=cc_D,0.0035*($E186-P$9)/$E186,0.002*($E186-P$9)/($E186-3*cc_D/7))/0.002)))^2)</f>
        <v/>
      </c>
      <c r="Q186">
        <f>MAX(-fyd_cc,MIN(fyd_cc,Es_cc*IF($E186&lt;=cc_D,0.0035*($E186-Q$9)/$E186,0.002*($E186-Q$9)/($E186-3*cc_D/7))))-fcd_cc*(1-(1-MAX(0,MIN(1,IF($E186&lt;=cc_D,0.0035*($E186-Q$9)/$E186,0.002*($E186-Q$9)/($E186-3*cc_D/7))/0.002)))^2)</f>
        <v/>
      </c>
      <c r="R186">
        <f>MAX(-fyd_cc,MIN(fyd_cc,Es_cc*IF($E186&lt;=cc_D,0.0035*($E186-R$9)/$E186,0.002*($E186-R$9)/($E186-3*cc_D/7))))-fcd_cc*(1-(1-MAX(0,MIN(1,IF($E186&lt;=cc_D,0.0035*($E186-R$9)/$E186,0.002*($E186-R$9)/($E186-3*cc_D/7))/0.002)))^2)</f>
        <v/>
      </c>
      <c r="S186">
        <f>MAX(-fyd_cc,MIN(fyd_cc,Es_cc*IF($E186&lt;=cc_D,0.0035*($E186-S$9)/$E186,0.002*($E186-S$9)/($E186-3*cc_D/7))))-fcd_cc*(1-(1-MAX(0,MIN(1,IF($E186&lt;=cc_D,0.0035*($E186-S$9)/$E186,0.002*($E186-S$9)/($E186-3*cc_D/7))/0.002)))^2)</f>
        <v/>
      </c>
      <c r="T186">
        <f>MAX(-fyd_cc,MIN(fyd_cc,Es_cc*IF($E186&lt;=cc_D,0.0035*($E186-T$9)/$E186,0.002*($E186-T$9)/($E186-3*cc_D/7))))-fcd_cc*(1-(1-MAX(0,MIN(1,IF($E186&lt;=cc_D,0.0035*($E186-T$9)/$E186,0.002*($E186-T$9)/($E186-3*cc_D/7))/0.002)))^2)</f>
        <v/>
      </c>
      <c r="U186">
        <f>MAX(-fyd_cc,MIN(fyd_cc,Es_cc*IF($E186&lt;=cc_D,0.0035*($E186-U$9)/$E186,0.002*($E186-U$9)/($E186-3*cc_D/7))))-fcd_cc*(1-(1-MAX(0,MIN(1,IF($E186&lt;=cc_D,0.0035*($E186-U$9)/$E186,0.002*($E186-U$9)/($E186-3*cc_D/7))/0.002)))^2)</f>
        <v/>
      </c>
      <c r="V186">
        <f>MAX(-fyd_cc,MIN(fyd_cc,Es_cc*IF($E186&lt;=cc_D,0.0035*($E186-V$9)/$E186,0.002*($E186-V$9)/($E186-3*cc_D/7))))-fcd_cc*(1-(1-MAX(0,MIN(1,IF($E186&lt;=cc_D,0.0035*($E186-V$9)/$E186,0.002*($E186-V$9)/($E186-3*cc_D/7))/0.002)))^2)</f>
        <v/>
      </c>
      <c r="W186">
        <f>MAX(-fyd_cc,MIN(fyd_cc,Es_cc*IF($E186&lt;=cc_D,0.0035*($E186-W$9)/$E186,0.002*($E186-W$9)/($E186-3*cc_D/7))))-fcd_cc*(1-(1-MAX(0,MIN(1,IF($E186&lt;=cc_D,0.0035*($E186-W$9)/$E186,0.002*($E186-W$9)/($E186-3*cc_D/7))/0.002)))^2)</f>
        <v/>
      </c>
      <c r="X186">
        <f>MAX(-fyd_cc,MIN(fyd_cc,Es_cc*IF($E186&lt;=cc_D,0.0035*($E186-X$9)/$E186,0.002*($E186-X$9)/($E186-3*cc_D/7))))-fcd_cc*(1-(1-MAX(0,MIN(1,IF($E186&lt;=cc_D,0.0035*($E186-X$9)/$E186,0.002*($E186-X$9)/($E186-3*cc_D/7))/0.002)))^2)</f>
        <v/>
      </c>
      <c r="Y186">
        <f>MAX(-fyd_cc,MIN(fyd_cc,Es_cc*IF($E186&lt;=cc_D,0.0035*($E186-Y$9)/$E186,0.002*($E186-Y$9)/($E186-3*cc_D/7))))-fcd_cc*(1-(1-MAX(0,MIN(1,IF($E186&lt;=cc_D,0.0035*($E186-Y$9)/$E186,0.002*($E186-Y$9)/($E186-3*cc_D/7))/0.002)))^2)</f>
        <v/>
      </c>
      <c r="Z186">
        <f>MAX(-fyd_cc,MIN(fyd_cc,Es_cc*IF($E186&lt;=cc_D,0.0035*($E186-Z$9)/$E186,0.002*($E186-Z$9)/($E186-3*cc_D/7))))-fcd_cc*(1-(1-MAX(0,MIN(1,IF($E186&lt;=cc_D,0.0035*($E186-Z$9)/$E186,0.002*($E186-Z$9)/($E186-3*cc_D/7))/0.002)))^2)</f>
        <v/>
      </c>
      <c r="AA186">
        <f>MAX(-fyd_cc,MIN(fyd_cc,Es_cc*IF($E186&lt;=cc_D,0.0035*($E186-AA$9)/$E186,0.002*($E186-AA$9)/($E186-3*cc_D/7))))-fcd_cc*(1-(1-MAX(0,MIN(1,IF($E186&lt;=cc_D,0.0035*($E186-AA$9)/$E186,0.002*($E186-AA$9)/($E186-3*cc_D/7))/0.002)))^2)</f>
        <v/>
      </c>
      <c r="AB186">
        <f>MAX(-fyd_cc,MIN(fyd_cc,Es_cc*IF($E186&lt;=cc_D,0.0035*($E186-AB$9)/$E186,0.002*($E186-AB$9)/($E186-3*cc_D/7))))-fcd_cc*(1-(1-MAX(0,MIN(1,IF($E186&lt;=cc_D,0.0035*($E186-AB$9)/$E186,0.002*($E186-AB$9)/($E186-3*cc_D/7))/0.002)))^2)</f>
        <v/>
      </c>
      <c r="AC186">
        <f>MAX(-fyd_cc,MIN(fyd_cc,Es_cc*IF($E186&lt;=cc_D,0.0035*($E186-AC$9)/$E186,0.002*($E186-AC$9)/($E186-3*cc_D/7))))-fcd_cc*(1-(1-MAX(0,MIN(1,IF($E186&lt;=cc_D,0.0035*($E186-AC$9)/$E186,0.002*($E186-AC$9)/($E186-3*cc_D/7))/0.002)))^2)</f>
        <v/>
      </c>
      <c r="AD186">
        <f>MAX(-fyd_cc,MIN(fyd_cc,Es_cc*IF($E186&lt;=cc_D,0.0035*($E186-AD$9)/$E186,0.002*($E186-AD$9)/($E186-3*cc_D/7))))-fcd_cc*(1-(1-MAX(0,MIN(1,IF($E186&lt;=cc_D,0.0035*($E186-AD$9)/$E186,0.002*($E186-AD$9)/($E186-3*cc_D/7))/0.002)))^2)</f>
        <v/>
      </c>
      <c r="AE186">
        <f>MAX(-fyd_cc,MIN(fyd_cc,Es_cc*IF($E186&lt;=cc_D,0.0035*($E186-AE$9)/$E186,0.002*($E186-AE$9)/($E186-3*cc_D/7))))-fcd_cc*(1-(1-MAX(0,MIN(1,IF($E186&lt;=cc_D,0.0035*($E186-AE$9)/$E186,0.002*($E186-AE$9)/($E186-3*cc_D/7))/0.002)))^2)</f>
        <v/>
      </c>
      <c r="AF186">
        <f>MAX(-fyd_cc,MIN(fyd_cc,Es_cc*IF($E186&lt;=cc_D,0.0035*($E186-AF$9)/$E186,0.002*($E186-AF$9)/($E186-3*cc_D/7))))-fcd_cc*(1-(1-MAX(0,MIN(1,IF($E186&lt;=cc_D,0.0035*($E186-AF$9)/$E186,0.002*($E186-AF$9)/($E186-3*cc_D/7))/0.002)))^2)</f>
        <v/>
      </c>
      <c r="AG186">
        <f>MAX(-fyd_cc,MIN(fyd_cc,Es_cc*IF($E186&lt;=cc_D,0.0035*($E186-AG$9)/$E186,0.002*($E186-AG$9)/($E186-3*cc_D/7))))-fcd_cc*(1-(1-MAX(0,MIN(1,IF($E186&lt;=cc_D,0.0035*($E186-AG$9)/$E186,0.002*($E186-AG$9)/($E186-3*cc_D/7))/0.002)))^2)</f>
        <v/>
      </c>
      <c r="BF186">
        <f>3*MIN($E186,cc_D)/7</f>
        <v/>
      </c>
      <c r="BG186">
        <f>$E186-$BF186</f>
        <v/>
      </c>
      <c r="BH186">
        <f>ACOS(MAX(-1,MIN(1,1-$BF186/(cc_D/2))))</f>
        <v/>
      </c>
      <c r="BI186">
        <f>ACOS(MAX(-1,MIN(1,1-MIN($E186,cc_D)/(cc_D/2))))</f>
        <v/>
      </c>
      <c r="BJ186">
        <f>((cc_D/2*(1-COS(($BH186+0*($BI186-$BH186)/12)))-$BF186)/$BG186)^2*SIN(($BH186+0*($BI186-$BH186)/12))^2</f>
        <v/>
      </c>
      <c r="BK186">
        <f>((cc_D/2*(1-COS(($BH186+1*($BI186-$BH186)/12)))-$BF186)/$BG186)^2*SIN(($BH186+1*($BI186-$BH186)/12))^2</f>
        <v/>
      </c>
      <c r="BL186">
        <f>((cc_D/2*(1-COS(($BH186+2*($BI186-$BH186)/12)))-$BF186)/$BG186)^2*SIN(($BH186+2*($BI186-$BH186)/12))^2</f>
        <v/>
      </c>
      <c r="BM186">
        <f>((cc_D/2*(1-COS(($BH186+3*($BI186-$BH186)/12)))-$BF186)/$BG186)^2*SIN(($BH186+3*($BI186-$BH186)/12))^2</f>
        <v/>
      </c>
      <c r="BN186">
        <f>((cc_D/2*(1-COS(($BH186+4*($BI186-$BH186)/12)))-$BF186)/$BG186)^2*SIN(($BH186+4*($BI186-$BH186)/12))^2</f>
        <v/>
      </c>
      <c r="BO186">
        <f>((cc_D/2*(1-COS(($BH186+5*($BI186-$BH186)/12)))-$BF186)/$BG186)^2*SIN(($BH186+5*($BI186-$BH186)/12))^2</f>
        <v/>
      </c>
      <c r="BP186">
        <f>((cc_D/2*(1-COS(($BH186+6*($BI186-$BH186)/12)))-$BF186)/$BG186)^2*SIN(($BH186+6*($BI186-$BH186)/12))^2</f>
        <v/>
      </c>
      <c r="BQ186">
        <f>((cc_D/2*(1-COS(($BH186+7*($BI186-$BH186)/12)))-$BF186)/$BG186)^2*SIN(($BH186+7*($BI186-$BH186)/12))^2</f>
        <v/>
      </c>
      <c r="BR186">
        <f>((cc_D/2*(1-COS(($BH186+8*($BI186-$BH186)/12)))-$BF186)/$BG186)^2*SIN(($BH186+8*($BI186-$BH186)/12))^2</f>
        <v/>
      </c>
      <c r="BS186">
        <f>((cc_D/2*(1-COS(($BH186+9*($BI186-$BH186)/12)))-$BF186)/$BG186)^2*SIN(($BH186+9*($BI186-$BH186)/12))^2</f>
        <v/>
      </c>
      <c r="BT186">
        <f>((cc_D/2*(1-COS(($BH186+10*($BI186-$BH186)/12)))-$BF186)/$BG186)^2*SIN(($BH186+10*($BI186-$BH186)/12))^2</f>
        <v/>
      </c>
      <c r="BU186">
        <f>((cc_D/2*(1-COS(($BH186+11*($BI186-$BH186)/12)))-$BF186)/$BG186)^2*SIN(($BH186+11*($BI186-$BH186)/12))^2</f>
        <v/>
      </c>
      <c r="BV186">
        <f>((cc_D/2*(1-COS(($BH186+12*($BI186-$BH186)/12)))-$BF186)/$BG186)^2*SIN(($BH186+12*($BI186-$BH186)/12))^2</f>
        <v/>
      </c>
      <c r="BW186">
        <f>BJ186*COS(($BH186+0*($BI186-$BH186)/12))</f>
        <v/>
      </c>
      <c r="BX186">
        <f>BK186*COS(($BH186+1*($BI186-$BH186)/12))</f>
        <v/>
      </c>
      <c r="BY186">
        <f>BL186*COS(($BH186+2*($BI186-$BH186)/12))</f>
        <v/>
      </c>
      <c r="BZ186">
        <f>BM186*COS(($BH186+3*($BI186-$BH186)/12))</f>
        <v/>
      </c>
      <c r="CA186">
        <f>BN186*COS(($BH186+4*($BI186-$BH186)/12))</f>
        <v/>
      </c>
      <c r="CB186">
        <f>BO186*COS(($BH186+5*($BI186-$BH186)/12))</f>
        <v/>
      </c>
      <c r="CC186">
        <f>BP186*COS(($BH186+6*($BI186-$BH186)/12))</f>
        <v/>
      </c>
      <c r="CD186">
        <f>BQ186*COS(($BH186+7*($BI186-$BH186)/12))</f>
        <v/>
      </c>
      <c r="CE186">
        <f>BR186*COS(($BH186+8*($BI186-$BH186)/12))</f>
        <v/>
      </c>
      <c r="CF186">
        <f>BS186*COS(($BH186+9*($BI186-$BH186)/12))</f>
        <v/>
      </c>
      <c r="CG186">
        <f>BT186*COS(($BH186+10*($BI186-$BH186)/12))</f>
        <v/>
      </c>
      <c r="CH186">
        <f>BU186*COS(($BH186+11*($BI186-$BH186)/12))</f>
        <v/>
      </c>
      <c r="CI186">
        <f>BV186*COS(($BH186+12*($BI186-$BH186)/12))</f>
        <v/>
      </c>
    </row>
    <row r="187">
      <c r="B187" s="65" t="n">
        <v>35</v>
      </c>
      <c r="C187" s="66">
        <f>IF($G186&lt;cc_NEd-1E-9*ABS(cc_NEd),($C186+$D186)/2,$C186)</f>
        <v/>
      </c>
      <c r="D187" s="66">
        <f>IF($G186&lt;cc_NEd-1E-9*ABS(cc_NEd),$D186,($C186+$D186)/2)</f>
        <v/>
      </c>
      <c r="E187" s="67">
        <f>cc_D*(($C187+$D187)/2)/(1-(($C187+$D187)/2))</f>
        <v/>
      </c>
      <c r="F187" s="68">
        <f>IF($E187&lt;=cc_D,3.5,2*$E187/($E187-3*cc_D/7))</f>
        <v/>
      </c>
      <c r="G187" s="67">
        <f>(fcd_cc*((cc_D/2)^2*($BI187-COS($BI187)*SIN($BI187))-2*(cc_D/2)^2*($BI187-$BH187)/12/3*SUMPRODUCT($BJ$4:$BV$4,$BJ187:$BV187))+SUMPRODUCT($J$5:$AG$5,$J187:$AG187))/1000</f>
        <v/>
      </c>
      <c r="H187" s="67">
        <f>(fcd_cc*(2/3*(cc_D/2)^3*SIN($BI187)^3-2*(cc_D/2)^3*($BI187-$BH187)/12/3*SUMPRODUCT($BW$4:$CI$4,$BW187:$CI187))+SUMPRODUCT($J$5:$AG$5,$J187:$AG187,$J$10:$AG$10))/1E6</f>
        <v/>
      </c>
      <c r="I187" s="67">
        <f>SUMPRODUCT($J$5:$AG$5,$J187:$AG187,$J$11:$AG$11)/1E6</f>
        <v/>
      </c>
      <c r="J187">
        <f>MAX(-fyd_cc,MIN(fyd_cc,Es_cc*IF($E187&lt;=cc_D,0.0035*($E187-J$9)/$E187,0.002*($E187-J$9)/($E187-3*cc_D/7))))-fcd_cc*(1-(1-MAX(0,MIN(1,IF($E187&lt;=cc_D,0.0035*($E187-J$9)/$E187,0.002*($E187-J$9)/($E187-3*cc_D/7))/0.002)))^2)</f>
        <v/>
      </c>
      <c r="K187">
        <f>MAX(-fyd_cc,MIN(fyd_cc,Es_cc*IF($E187&lt;=cc_D,0.0035*($E187-K$9)/$E187,0.002*($E187-K$9)/($E187-3*cc_D/7))))-fcd_cc*(1-(1-MAX(0,MIN(1,IF($E187&lt;=cc_D,0.0035*($E187-K$9)/$E187,0.002*($E187-K$9)/($E187-3*cc_D/7))/0.002)))^2)</f>
        <v/>
      </c>
      <c r="L187">
        <f>MAX(-fyd_cc,MIN(fyd_cc,Es_cc*IF($E187&lt;=cc_D,0.0035*($E187-L$9)/$E187,0.002*($E187-L$9)/($E187-3*cc_D/7))))-fcd_cc*(1-(1-MAX(0,MIN(1,IF($E187&lt;=cc_D,0.0035*($E187-L$9)/$E187,0.002*($E187-L$9)/($E187-3*cc_D/7))/0.002)))^2)</f>
        <v/>
      </c>
      <c r="M187">
        <f>MAX(-fyd_cc,MIN(fyd_cc,Es_cc*IF($E187&lt;=cc_D,0.0035*($E187-M$9)/$E187,0.002*($E187-M$9)/($E187-3*cc_D/7))))-fcd_cc*(1-(1-MAX(0,MIN(1,IF($E187&lt;=cc_D,0.0035*($E187-M$9)/$E187,0.002*($E187-M$9)/($E187-3*cc_D/7))/0.002)))^2)</f>
        <v/>
      </c>
      <c r="N187">
        <f>MAX(-fyd_cc,MIN(fyd_cc,Es_cc*IF($E187&lt;=cc_D,0.0035*($E187-N$9)/$E187,0.002*($E187-N$9)/($E187-3*cc_D/7))))-fcd_cc*(1-(1-MAX(0,MIN(1,IF($E187&lt;=cc_D,0.0035*($E187-N$9)/$E187,0.002*($E187-N$9)/($E187-3*cc_D/7))/0.002)))^2)</f>
        <v/>
      </c>
      <c r="O187">
        <f>MAX(-fyd_cc,MIN(fyd_cc,Es_cc*IF($E187&lt;=cc_D,0.0035*($E187-O$9)/$E187,0.002*($E187-O$9)/($E187-3*cc_D/7))))-fcd_cc*(1-(1-MAX(0,MIN(1,IF($E187&lt;=cc_D,0.0035*($E187-O$9)/$E187,0.002*($E187-O$9)/($E187-3*cc_D/7))/0.002)))^2)</f>
        <v/>
      </c>
      <c r="P187">
        <f>MAX(-fyd_cc,MIN(fyd_cc,Es_cc*IF($E187&lt;=cc_D,0.0035*($E187-P$9)/$E187,0.002*($E187-P$9)/($E187-3*cc_D/7))))-fcd_cc*(1-(1-MAX(0,MIN(1,IF($E187&lt;=cc_D,0.0035*($E187-P$9)/$E187,0.002*($E187-P$9)/($E187-3*cc_D/7))/0.002)))^2)</f>
        <v/>
      </c>
      <c r="Q187">
        <f>MAX(-fyd_cc,MIN(fyd_cc,Es_cc*IF($E187&lt;=cc_D,0.0035*($E187-Q$9)/$E187,0.002*($E187-Q$9)/($E187-3*cc_D/7))))-fcd_cc*(1-(1-MAX(0,MIN(1,IF($E187&lt;=cc_D,0.0035*($E187-Q$9)/$E187,0.002*($E187-Q$9)/($E187-3*cc_D/7))/0.002)))^2)</f>
        <v/>
      </c>
      <c r="R187">
        <f>MAX(-fyd_cc,MIN(fyd_cc,Es_cc*IF($E187&lt;=cc_D,0.0035*($E187-R$9)/$E187,0.002*($E187-R$9)/($E187-3*cc_D/7))))-fcd_cc*(1-(1-MAX(0,MIN(1,IF($E187&lt;=cc_D,0.0035*($E187-R$9)/$E187,0.002*($E187-R$9)/($E187-3*cc_D/7))/0.002)))^2)</f>
        <v/>
      </c>
      <c r="S187">
        <f>MAX(-fyd_cc,MIN(fyd_cc,Es_cc*IF($E187&lt;=cc_D,0.0035*($E187-S$9)/$E187,0.002*($E187-S$9)/($E187-3*cc_D/7))))-fcd_cc*(1-(1-MAX(0,MIN(1,IF($E187&lt;=cc_D,0.0035*($E187-S$9)/$E187,0.002*($E187-S$9)/($E187-3*cc_D/7))/0.002)))^2)</f>
        <v/>
      </c>
      <c r="T187">
        <f>MAX(-fyd_cc,MIN(fyd_cc,Es_cc*IF($E187&lt;=cc_D,0.0035*($E187-T$9)/$E187,0.002*($E187-T$9)/($E187-3*cc_D/7))))-fcd_cc*(1-(1-MAX(0,MIN(1,IF($E187&lt;=cc_D,0.0035*($E187-T$9)/$E187,0.002*($E187-T$9)/($E187-3*cc_D/7))/0.002)))^2)</f>
        <v/>
      </c>
      <c r="U187">
        <f>MAX(-fyd_cc,MIN(fyd_cc,Es_cc*IF($E187&lt;=cc_D,0.0035*($E187-U$9)/$E187,0.002*($E187-U$9)/($E187-3*cc_D/7))))-fcd_cc*(1-(1-MAX(0,MIN(1,IF($E187&lt;=cc_D,0.0035*($E187-U$9)/$E187,0.002*($E187-U$9)/($E187-3*cc_D/7))/0.002)))^2)</f>
        <v/>
      </c>
      <c r="V187">
        <f>MAX(-fyd_cc,MIN(fyd_cc,Es_cc*IF($E187&lt;=cc_D,0.0035*($E187-V$9)/$E187,0.002*($E187-V$9)/($E187-3*cc_D/7))))-fcd_cc*(1-(1-MAX(0,MIN(1,IF($E187&lt;=cc_D,0.0035*($E187-V$9)/$E187,0.002*($E187-V$9)/($E187-3*cc_D/7))/0.002)))^2)</f>
        <v/>
      </c>
      <c r="W187">
        <f>MAX(-fyd_cc,MIN(fyd_cc,Es_cc*IF($E187&lt;=cc_D,0.0035*($E187-W$9)/$E187,0.002*($E187-W$9)/($E187-3*cc_D/7))))-fcd_cc*(1-(1-MAX(0,MIN(1,IF($E187&lt;=cc_D,0.0035*($E187-W$9)/$E187,0.002*($E187-W$9)/($E187-3*cc_D/7))/0.002)))^2)</f>
        <v/>
      </c>
      <c r="X187">
        <f>MAX(-fyd_cc,MIN(fyd_cc,Es_cc*IF($E187&lt;=cc_D,0.0035*($E187-X$9)/$E187,0.002*($E187-X$9)/($E187-3*cc_D/7))))-fcd_cc*(1-(1-MAX(0,MIN(1,IF($E187&lt;=cc_D,0.0035*($E187-X$9)/$E187,0.002*($E187-X$9)/($E187-3*cc_D/7))/0.002)))^2)</f>
        <v/>
      </c>
      <c r="Y187">
        <f>MAX(-fyd_cc,MIN(fyd_cc,Es_cc*IF($E187&lt;=cc_D,0.0035*($E187-Y$9)/$E187,0.002*($E187-Y$9)/($E187-3*cc_D/7))))-fcd_cc*(1-(1-MAX(0,MIN(1,IF($E187&lt;=cc_D,0.0035*($E187-Y$9)/$E187,0.002*($E187-Y$9)/($E187-3*cc_D/7))/0.002)))^2)</f>
        <v/>
      </c>
      <c r="Z187">
        <f>MAX(-fyd_cc,MIN(fyd_cc,Es_cc*IF($E187&lt;=cc_D,0.0035*($E187-Z$9)/$E187,0.002*($E187-Z$9)/($E187-3*cc_D/7))))-fcd_cc*(1-(1-MAX(0,MIN(1,IF($E187&lt;=cc_D,0.0035*($E187-Z$9)/$E187,0.002*($E187-Z$9)/($E187-3*cc_D/7))/0.002)))^2)</f>
        <v/>
      </c>
      <c r="AA187">
        <f>MAX(-fyd_cc,MIN(fyd_cc,Es_cc*IF($E187&lt;=cc_D,0.0035*($E187-AA$9)/$E187,0.002*($E187-AA$9)/($E187-3*cc_D/7))))-fcd_cc*(1-(1-MAX(0,MIN(1,IF($E187&lt;=cc_D,0.0035*($E187-AA$9)/$E187,0.002*($E187-AA$9)/($E187-3*cc_D/7))/0.002)))^2)</f>
        <v/>
      </c>
      <c r="AB187">
        <f>MAX(-fyd_cc,MIN(fyd_cc,Es_cc*IF($E187&lt;=cc_D,0.0035*($E187-AB$9)/$E187,0.002*($E187-AB$9)/($E187-3*cc_D/7))))-fcd_cc*(1-(1-MAX(0,MIN(1,IF($E187&lt;=cc_D,0.0035*($E187-AB$9)/$E187,0.002*($E187-AB$9)/($E187-3*cc_D/7))/0.002)))^2)</f>
        <v/>
      </c>
      <c r="AC187">
        <f>MAX(-fyd_cc,MIN(fyd_cc,Es_cc*IF($E187&lt;=cc_D,0.0035*($E187-AC$9)/$E187,0.002*($E187-AC$9)/($E187-3*cc_D/7))))-fcd_cc*(1-(1-MAX(0,MIN(1,IF($E187&lt;=cc_D,0.0035*($E187-AC$9)/$E187,0.002*($E187-AC$9)/($E187-3*cc_D/7))/0.002)))^2)</f>
        <v/>
      </c>
      <c r="AD187">
        <f>MAX(-fyd_cc,MIN(fyd_cc,Es_cc*IF($E187&lt;=cc_D,0.0035*($E187-AD$9)/$E187,0.002*($E187-AD$9)/($E187-3*cc_D/7))))-fcd_cc*(1-(1-MAX(0,MIN(1,IF($E187&lt;=cc_D,0.0035*($E187-AD$9)/$E187,0.002*($E187-AD$9)/($E187-3*cc_D/7))/0.002)))^2)</f>
        <v/>
      </c>
      <c r="AE187">
        <f>MAX(-fyd_cc,MIN(fyd_cc,Es_cc*IF($E187&lt;=cc_D,0.0035*($E187-AE$9)/$E187,0.002*($E187-AE$9)/($E187-3*cc_D/7))))-fcd_cc*(1-(1-MAX(0,MIN(1,IF($E187&lt;=cc_D,0.0035*($E187-AE$9)/$E187,0.002*($E187-AE$9)/($E187-3*cc_D/7))/0.002)))^2)</f>
        <v/>
      </c>
      <c r="AF187">
        <f>MAX(-fyd_cc,MIN(fyd_cc,Es_cc*IF($E187&lt;=cc_D,0.0035*($E187-AF$9)/$E187,0.002*($E187-AF$9)/($E187-3*cc_D/7))))-fcd_cc*(1-(1-MAX(0,MIN(1,IF($E187&lt;=cc_D,0.0035*($E187-AF$9)/$E187,0.002*($E187-AF$9)/($E187-3*cc_D/7))/0.002)))^2)</f>
        <v/>
      </c>
      <c r="AG187">
        <f>MAX(-fyd_cc,MIN(fyd_cc,Es_cc*IF($E187&lt;=cc_D,0.0035*($E187-AG$9)/$E187,0.002*($E187-AG$9)/($E187-3*cc_D/7))))-fcd_cc*(1-(1-MAX(0,MIN(1,IF($E187&lt;=cc_D,0.0035*($E187-AG$9)/$E187,0.002*($E187-AG$9)/($E187-3*cc_D/7))/0.002)))^2)</f>
        <v/>
      </c>
      <c r="BF187">
        <f>3*MIN($E187,cc_D)/7</f>
        <v/>
      </c>
      <c r="BG187">
        <f>$E187-$BF187</f>
        <v/>
      </c>
      <c r="BH187">
        <f>ACOS(MAX(-1,MIN(1,1-$BF187/(cc_D/2))))</f>
        <v/>
      </c>
      <c r="BI187">
        <f>ACOS(MAX(-1,MIN(1,1-MIN($E187,cc_D)/(cc_D/2))))</f>
        <v/>
      </c>
      <c r="BJ187">
        <f>((cc_D/2*(1-COS(($BH187+0*($BI187-$BH187)/12)))-$BF187)/$BG187)^2*SIN(($BH187+0*($BI187-$BH187)/12))^2</f>
        <v/>
      </c>
      <c r="BK187">
        <f>((cc_D/2*(1-COS(($BH187+1*($BI187-$BH187)/12)))-$BF187)/$BG187)^2*SIN(($BH187+1*($BI187-$BH187)/12))^2</f>
        <v/>
      </c>
      <c r="BL187">
        <f>((cc_D/2*(1-COS(($BH187+2*($BI187-$BH187)/12)))-$BF187)/$BG187)^2*SIN(($BH187+2*($BI187-$BH187)/12))^2</f>
        <v/>
      </c>
      <c r="BM187">
        <f>((cc_D/2*(1-COS(($BH187+3*($BI187-$BH187)/12)))-$BF187)/$BG187)^2*SIN(($BH187+3*($BI187-$BH187)/12))^2</f>
        <v/>
      </c>
      <c r="BN187">
        <f>((cc_D/2*(1-COS(($BH187+4*($BI187-$BH187)/12)))-$BF187)/$BG187)^2*SIN(($BH187+4*($BI187-$BH187)/12))^2</f>
        <v/>
      </c>
      <c r="BO187">
        <f>((cc_D/2*(1-COS(($BH187+5*($BI187-$BH187)/12)))-$BF187)/$BG187)^2*SIN(($BH187+5*($BI187-$BH187)/12))^2</f>
        <v/>
      </c>
      <c r="BP187">
        <f>((cc_D/2*(1-COS(($BH187+6*($BI187-$BH187)/12)))-$BF187)/$BG187)^2*SIN(($BH187+6*($BI187-$BH187)/12))^2</f>
        <v/>
      </c>
      <c r="BQ187">
        <f>((cc_D/2*(1-COS(($BH187+7*($BI187-$BH187)/12)))-$BF187)/$BG187)^2*SIN(($BH187+7*($BI187-$BH187)/12))^2</f>
        <v/>
      </c>
      <c r="BR187">
        <f>((cc_D/2*(1-COS(($BH187+8*($BI187-$BH187)/12)))-$BF187)/$BG187)^2*SIN(($BH187+8*($BI187-$BH187)/12))^2</f>
        <v/>
      </c>
      <c r="BS187">
        <f>((cc_D/2*(1-COS(($BH187+9*($BI187-$BH187)/12)))-$BF187)/$BG187)^2*SIN(($BH187+9*($BI187-$BH187)/12))^2</f>
        <v/>
      </c>
      <c r="BT187">
        <f>((cc_D/2*(1-COS(($BH187+10*($BI187-$BH187)/12)))-$BF187)/$BG187)^2*SIN(($BH187+10*($BI187-$BH187)/12))^2</f>
        <v/>
      </c>
      <c r="BU187">
        <f>((cc_D/2*(1-COS(($BH187+11*($BI187-$BH187)/12)))-$BF187)/$BG187)^2*SIN(($BH187+11*($BI187-$BH187)/12))^2</f>
        <v/>
      </c>
      <c r="BV187">
        <f>((cc_D/2*(1-COS(($BH187+12*($BI187-$BH187)/12)))-$BF187)/$BG187)^2*SIN(($BH187+12*($BI187-$BH187)/12))^2</f>
        <v/>
      </c>
      <c r="BW187">
        <f>BJ187*COS(($BH187+0*($BI187-$BH187)/12))</f>
        <v/>
      </c>
      <c r="BX187">
        <f>BK187*COS(($BH187+1*($BI187-$BH187)/12))</f>
        <v/>
      </c>
      <c r="BY187">
        <f>BL187*COS(($BH187+2*($BI187-$BH187)/12))</f>
        <v/>
      </c>
      <c r="BZ187">
        <f>BM187*COS(($BH187+3*($BI187-$BH187)/12))</f>
        <v/>
      </c>
      <c r="CA187">
        <f>BN187*COS(($BH187+4*($BI187-$BH187)/12))</f>
        <v/>
      </c>
      <c r="CB187">
        <f>BO187*COS(($BH187+5*($BI187-$BH187)/12))</f>
        <v/>
      </c>
      <c r="CC187">
        <f>BP187*COS(($BH187+6*($BI187-$BH187)/12))</f>
        <v/>
      </c>
      <c r="CD187">
        <f>BQ187*COS(($BH187+7*($BI187-$BH187)/12))</f>
        <v/>
      </c>
      <c r="CE187">
        <f>BR187*COS(($BH187+8*($BI187-$BH187)/12))</f>
        <v/>
      </c>
      <c r="CF187">
        <f>BS187*COS(($BH187+9*($BI187-$BH187)/12))</f>
        <v/>
      </c>
      <c r="CG187">
        <f>BT187*COS(($BH187+10*($BI187-$BH187)/12))</f>
        <v/>
      </c>
      <c r="CH187">
        <f>BU187*COS(($BH187+11*($BI187-$BH187)/12))</f>
        <v/>
      </c>
      <c r="CI187">
        <f>BV187*COS(($BH187+12*($BI187-$BH187)/12))</f>
        <v/>
      </c>
    </row>
    <row r="188">
      <c r="B188" s="65" t="n">
        <v>36</v>
      </c>
      <c r="C188" s="66">
        <f>IF($G187&lt;cc_NEd-1E-9*ABS(cc_NEd),($C187+$D187)/2,$C187)</f>
        <v/>
      </c>
      <c r="D188" s="66">
        <f>IF($G187&lt;cc_NEd-1E-9*ABS(cc_NEd),$D187,($C187+$D187)/2)</f>
        <v/>
      </c>
      <c r="E188" s="67">
        <f>cc_D*(($C188+$D188)/2)/(1-(($C188+$D188)/2))</f>
        <v/>
      </c>
      <c r="F188" s="68">
        <f>IF($E188&lt;=cc_D,3.5,2*$E188/($E188-3*cc_D/7))</f>
        <v/>
      </c>
      <c r="G188" s="67">
        <f>(fcd_cc*((cc_D/2)^2*($BI188-COS($BI188)*SIN($BI188))-2*(cc_D/2)^2*($BI188-$BH188)/12/3*SUMPRODUCT($BJ$4:$BV$4,$BJ188:$BV188))+SUMPRODUCT($J$5:$AG$5,$J188:$AG188))/1000</f>
        <v/>
      </c>
      <c r="H188" s="67">
        <f>(fcd_cc*(2/3*(cc_D/2)^3*SIN($BI188)^3-2*(cc_D/2)^3*($BI188-$BH188)/12/3*SUMPRODUCT($BW$4:$CI$4,$BW188:$CI188))+SUMPRODUCT($J$5:$AG$5,$J188:$AG188,$J$10:$AG$10))/1E6</f>
        <v/>
      </c>
      <c r="I188" s="67">
        <f>SUMPRODUCT($J$5:$AG$5,$J188:$AG188,$J$11:$AG$11)/1E6</f>
        <v/>
      </c>
      <c r="J188">
        <f>MAX(-fyd_cc,MIN(fyd_cc,Es_cc*IF($E188&lt;=cc_D,0.0035*($E188-J$9)/$E188,0.002*($E188-J$9)/($E188-3*cc_D/7))))-fcd_cc*(1-(1-MAX(0,MIN(1,IF($E188&lt;=cc_D,0.0035*($E188-J$9)/$E188,0.002*($E188-J$9)/($E188-3*cc_D/7))/0.002)))^2)</f>
        <v/>
      </c>
      <c r="K188">
        <f>MAX(-fyd_cc,MIN(fyd_cc,Es_cc*IF($E188&lt;=cc_D,0.0035*($E188-K$9)/$E188,0.002*($E188-K$9)/($E188-3*cc_D/7))))-fcd_cc*(1-(1-MAX(0,MIN(1,IF($E188&lt;=cc_D,0.0035*($E188-K$9)/$E188,0.002*($E188-K$9)/($E188-3*cc_D/7))/0.002)))^2)</f>
        <v/>
      </c>
      <c r="L188">
        <f>MAX(-fyd_cc,MIN(fyd_cc,Es_cc*IF($E188&lt;=cc_D,0.0035*($E188-L$9)/$E188,0.002*($E188-L$9)/($E188-3*cc_D/7))))-fcd_cc*(1-(1-MAX(0,MIN(1,IF($E188&lt;=cc_D,0.0035*($E188-L$9)/$E188,0.002*($E188-L$9)/($E188-3*cc_D/7))/0.002)))^2)</f>
        <v/>
      </c>
      <c r="M188">
        <f>MAX(-fyd_cc,MIN(fyd_cc,Es_cc*IF($E188&lt;=cc_D,0.0035*($E188-M$9)/$E188,0.002*($E188-M$9)/($E188-3*cc_D/7))))-fcd_cc*(1-(1-MAX(0,MIN(1,IF($E188&lt;=cc_D,0.0035*($E188-M$9)/$E188,0.002*($E188-M$9)/($E188-3*cc_D/7))/0.002)))^2)</f>
        <v/>
      </c>
      <c r="N188">
        <f>MAX(-fyd_cc,MIN(fyd_cc,Es_cc*IF($E188&lt;=cc_D,0.0035*($E188-N$9)/$E188,0.002*($E188-N$9)/($E188-3*cc_D/7))))-fcd_cc*(1-(1-MAX(0,MIN(1,IF($E188&lt;=cc_D,0.0035*($E188-N$9)/$E188,0.002*($E188-N$9)/($E188-3*cc_D/7))/0.002)))^2)</f>
        <v/>
      </c>
      <c r="O188">
        <f>MAX(-fyd_cc,MIN(fyd_cc,Es_cc*IF($E188&lt;=cc_D,0.0035*($E188-O$9)/$E188,0.002*($E188-O$9)/($E188-3*cc_D/7))))-fcd_cc*(1-(1-MAX(0,MIN(1,IF($E188&lt;=cc_D,0.0035*($E188-O$9)/$E188,0.002*($E188-O$9)/($E188-3*cc_D/7))/0.002)))^2)</f>
        <v/>
      </c>
      <c r="P188">
        <f>MAX(-fyd_cc,MIN(fyd_cc,Es_cc*IF($E188&lt;=cc_D,0.0035*($E188-P$9)/$E188,0.002*($E188-P$9)/($E188-3*cc_D/7))))-fcd_cc*(1-(1-MAX(0,MIN(1,IF($E188&lt;=cc_D,0.0035*($E188-P$9)/$E188,0.002*($E188-P$9)/($E188-3*cc_D/7))/0.002)))^2)</f>
        <v/>
      </c>
      <c r="Q188">
        <f>MAX(-fyd_cc,MIN(fyd_cc,Es_cc*IF($E188&lt;=cc_D,0.0035*($E188-Q$9)/$E188,0.002*($E188-Q$9)/($E188-3*cc_D/7))))-fcd_cc*(1-(1-MAX(0,MIN(1,IF($E188&lt;=cc_D,0.0035*($E188-Q$9)/$E188,0.002*($E188-Q$9)/($E188-3*cc_D/7))/0.002)))^2)</f>
        <v/>
      </c>
      <c r="R188">
        <f>MAX(-fyd_cc,MIN(fyd_cc,Es_cc*IF($E188&lt;=cc_D,0.0035*($E188-R$9)/$E188,0.002*($E188-R$9)/($E188-3*cc_D/7))))-fcd_cc*(1-(1-MAX(0,MIN(1,IF($E188&lt;=cc_D,0.0035*($E188-R$9)/$E188,0.002*($E188-R$9)/($E188-3*cc_D/7))/0.002)))^2)</f>
        <v/>
      </c>
      <c r="S188">
        <f>MAX(-fyd_cc,MIN(fyd_cc,Es_cc*IF($E188&lt;=cc_D,0.0035*($E188-S$9)/$E188,0.002*($E188-S$9)/($E188-3*cc_D/7))))-fcd_cc*(1-(1-MAX(0,MIN(1,IF($E188&lt;=cc_D,0.0035*($E188-S$9)/$E188,0.002*($E188-S$9)/($E188-3*cc_D/7))/0.002)))^2)</f>
        <v/>
      </c>
      <c r="T188">
        <f>MAX(-fyd_cc,MIN(fyd_cc,Es_cc*IF($E188&lt;=cc_D,0.0035*($E188-T$9)/$E188,0.002*($E188-T$9)/($E188-3*cc_D/7))))-fcd_cc*(1-(1-MAX(0,MIN(1,IF($E188&lt;=cc_D,0.0035*($E188-T$9)/$E188,0.002*($E188-T$9)/($E188-3*cc_D/7))/0.002)))^2)</f>
        <v/>
      </c>
      <c r="U188">
        <f>MAX(-fyd_cc,MIN(fyd_cc,Es_cc*IF($E188&lt;=cc_D,0.0035*($E188-U$9)/$E188,0.002*($E188-U$9)/($E188-3*cc_D/7))))-fcd_cc*(1-(1-MAX(0,MIN(1,IF($E188&lt;=cc_D,0.0035*($E188-U$9)/$E188,0.002*($E188-U$9)/($E188-3*cc_D/7))/0.002)))^2)</f>
        <v/>
      </c>
      <c r="V188">
        <f>MAX(-fyd_cc,MIN(fyd_cc,Es_cc*IF($E188&lt;=cc_D,0.0035*($E188-V$9)/$E188,0.002*($E188-V$9)/($E188-3*cc_D/7))))-fcd_cc*(1-(1-MAX(0,MIN(1,IF($E188&lt;=cc_D,0.0035*($E188-V$9)/$E188,0.002*($E188-V$9)/($E188-3*cc_D/7))/0.002)))^2)</f>
        <v/>
      </c>
      <c r="W188">
        <f>MAX(-fyd_cc,MIN(fyd_cc,Es_cc*IF($E188&lt;=cc_D,0.0035*($E188-W$9)/$E188,0.002*($E188-W$9)/($E188-3*cc_D/7))))-fcd_cc*(1-(1-MAX(0,MIN(1,IF($E188&lt;=cc_D,0.0035*($E188-W$9)/$E188,0.002*($E188-W$9)/($E188-3*cc_D/7))/0.002)))^2)</f>
        <v/>
      </c>
      <c r="X188">
        <f>MAX(-fyd_cc,MIN(fyd_cc,Es_cc*IF($E188&lt;=cc_D,0.0035*($E188-X$9)/$E188,0.002*($E188-X$9)/($E188-3*cc_D/7))))-fcd_cc*(1-(1-MAX(0,MIN(1,IF($E188&lt;=cc_D,0.0035*($E188-X$9)/$E188,0.002*($E188-X$9)/($E188-3*cc_D/7))/0.002)))^2)</f>
        <v/>
      </c>
      <c r="Y188">
        <f>MAX(-fyd_cc,MIN(fyd_cc,Es_cc*IF($E188&lt;=cc_D,0.0035*($E188-Y$9)/$E188,0.002*($E188-Y$9)/($E188-3*cc_D/7))))-fcd_cc*(1-(1-MAX(0,MIN(1,IF($E188&lt;=cc_D,0.0035*($E188-Y$9)/$E188,0.002*($E188-Y$9)/($E188-3*cc_D/7))/0.002)))^2)</f>
        <v/>
      </c>
      <c r="Z188">
        <f>MAX(-fyd_cc,MIN(fyd_cc,Es_cc*IF($E188&lt;=cc_D,0.0035*($E188-Z$9)/$E188,0.002*($E188-Z$9)/($E188-3*cc_D/7))))-fcd_cc*(1-(1-MAX(0,MIN(1,IF($E188&lt;=cc_D,0.0035*($E188-Z$9)/$E188,0.002*($E188-Z$9)/($E188-3*cc_D/7))/0.002)))^2)</f>
        <v/>
      </c>
      <c r="AA188">
        <f>MAX(-fyd_cc,MIN(fyd_cc,Es_cc*IF($E188&lt;=cc_D,0.0035*($E188-AA$9)/$E188,0.002*($E188-AA$9)/($E188-3*cc_D/7))))-fcd_cc*(1-(1-MAX(0,MIN(1,IF($E188&lt;=cc_D,0.0035*($E188-AA$9)/$E188,0.002*($E188-AA$9)/($E188-3*cc_D/7))/0.002)))^2)</f>
        <v/>
      </c>
      <c r="AB188">
        <f>MAX(-fyd_cc,MIN(fyd_cc,Es_cc*IF($E188&lt;=cc_D,0.0035*($E188-AB$9)/$E188,0.002*($E188-AB$9)/($E188-3*cc_D/7))))-fcd_cc*(1-(1-MAX(0,MIN(1,IF($E188&lt;=cc_D,0.0035*($E188-AB$9)/$E188,0.002*($E188-AB$9)/($E188-3*cc_D/7))/0.002)))^2)</f>
        <v/>
      </c>
      <c r="AC188">
        <f>MAX(-fyd_cc,MIN(fyd_cc,Es_cc*IF($E188&lt;=cc_D,0.0035*($E188-AC$9)/$E188,0.002*($E188-AC$9)/($E188-3*cc_D/7))))-fcd_cc*(1-(1-MAX(0,MIN(1,IF($E188&lt;=cc_D,0.0035*($E188-AC$9)/$E188,0.002*($E188-AC$9)/($E188-3*cc_D/7))/0.002)))^2)</f>
        <v/>
      </c>
      <c r="AD188">
        <f>MAX(-fyd_cc,MIN(fyd_cc,Es_cc*IF($E188&lt;=cc_D,0.0035*($E188-AD$9)/$E188,0.002*($E188-AD$9)/($E188-3*cc_D/7))))-fcd_cc*(1-(1-MAX(0,MIN(1,IF($E188&lt;=cc_D,0.0035*($E188-AD$9)/$E188,0.002*($E188-AD$9)/($E188-3*cc_D/7))/0.002)))^2)</f>
        <v/>
      </c>
      <c r="AE188">
        <f>MAX(-fyd_cc,MIN(fyd_cc,Es_cc*IF($E188&lt;=cc_D,0.0035*($E188-AE$9)/$E188,0.002*($E188-AE$9)/($E188-3*cc_D/7))))-fcd_cc*(1-(1-MAX(0,MIN(1,IF($E188&lt;=cc_D,0.0035*($E188-AE$9)/$E188,0.002*($E188-AE$9)/($E188-3*cc_D/7))/0.002)))^2)</f>
        <v/>
      </c>
      <c r="AF188">
        <f>MAX(-fyd_cc,MIN(fyd_cc,Es_cc*IF($E188&lt;=cc_D,0.0035*($E188-AF$9)/$E188,0.002*($E188-AF$9)/($E188-3*cc_D/7))))-fcd_cc*(1-(1-MAX(0,MIN(1,IF($E188&lt;=cc_D,0.0035*($E188-AF$9)/$E188,0.002*($E188-AF$9)/($E188-3*cc_D/7))/0.002)))^2)</f>
        <v/>
      </c>
      <c r="AG188">
        <f>MAX(-fyd_cc,MIN(fyd_cc,Es_cc*IF($E188&lt;=cc_D,0.0035*($E188-AG$9)/$E188,0.002*($E188-AG$9)/($E188-3*cc_D/7))))-fcd_cc*(1-(1-MAX(0,MIN(1,IF($E188&lt;=cc_D,0.0035*($E188-AG$9)/$E188,0.002*($E188-AG$9)/($E188-3*cc_D/7))/0.002)))^2)</f>
        <v/>
      </c>
      <c r="BF188">
        <f>3*MIN($E188,cc_D)/7</f>
        <v/>
      </c>
      <c r="BG188">
        <f>$E188-$BF188</f>
        <v/>
      </c>
      <c r="BH188">
        <f>ACOS(MAX(-1,MIN(1,1-$BF188/(cc_D/2))))</f>
        <v/>
      </c>
      <c r="BI188">
        <f>ACOS(MAX(-1,MIN(1,1-MIN($E188,cc_D)/(cc_D/2))))</f>
        <v/>
      </c>
      <c r="BJ188">
        <f>((cc_D/2*(1-COS(($BH188+0*($BI188-$BH188)/12)))-$BF188)/$BG188)^2*SIN(($BH188+0*($BI188-$BH188)/12))^2</f>
        <v/>
      </c>
      <c r="BK188">
        <f>((cc_D/2*(1-COS(($BH188+1*($BI188-$BH188)/12)))-$BF188)/$BG188)^2*SIN(($BH188+1*($BI188-$BH188)/12))^2</f>
        <v/>
      </c>
      <c r="BL188">
        <f>((cc_D/2*(1-COS(($BH188+2*($BI188-$BH188)/12)))-$BF188)/$BG188)^2*SIN(($BH188+2*($BI188-$BH188)/12))^2</f>
        <v/>
      </c>
      <c r="BM188">
        <f>((cc_D/2*(1-COS(($BH188+3*($BI188-$BH188)/12)))-$BF188)/$BG188)^2*SIN(($BH188+3*($BI188-$BH188)/12))^2</f>
        <v/>
      </c>
      <c r="BN188">
        <f>((cc_D/2*(1-COS(($BH188+4*($BI188-$BH188)/12)))-$BF188)/$BG188)^2*SIN(($BH188+4*($BI188-$BH188)/12))^2</f>
        <v/>
      </c>
      <c r="BO188">
        <f>((cc_D/2*(1-COS(($BH188+5*($BI188-$BH188)/12)))-$BF188)/$BG188)^2*SIN(($BH188+5*($BI188-$BH188)/12))^2</f>
        <v/>
      </c>
      <c r="BP188">
        <f>((cc_D/2*(1-COS(($BH188+6*($BI188-$BH188)/12)))-$BF188)/$BG188)^2*SIN(($BH188+6*($BI188-$BH188)/12))^2</f>
        <v/>
      </c>
      <c r="BQ188">
        <f>((cc_D/2*(1-COS(($BH188+7*($BI188-$BH188)/12)))-$BF188)/$BG188)^2*SIN(($BH188+7*($BI188-$BH188)/12))^2</f>
        <v/>
      </c>
      <c r="BR188">
        <f>((cc_D/2*(1-COS(($BH188+8*($BI188-$BH188)/12)))-$BF188)/$BG188)^2*SIN(($BH188+8*($BI188-$BH188)/12))^2</f>
        <v/>
      </c>
      <c r="BS188">
        <f>((cc_D/2*(1-COS(($BH188+9*($BI188-$BH188)/12)))-$BF188)/$BG188)^2*SIN(($BH188+9*($BI188-$BH188)/12))^2</f>
        <v/>
      </c>
      <c r="BT188">
        <f>((cc_D/2*(1-COS(($BH188+10*($BI188-$BH188)/12)))-$BF188)/$BG188)^2*SIN(($BH188+10*($BI188-$BH188)/12))^2</f>
        <v/>
      </c>
      <c r="BU188">
        <f>((cc_D/2*(1-COS(($BH188+11*($BI188-$BH188)/12)))-$BF188)/$BG188)^2*SIN(($BH188+11*($BI188-$BH188)/12))^2</f>
        <v/>
      </c>
      <c r="BV188">
        <f>((cc_D/2*(1-COS(($BH188+12*($BI188-$BH188)/12)))-$BF188)/$BG188)^2*SIN(($BH188+12*($BI188-$BH188)/12))^2</f>
        <v/>
      </c>
      <c r="BW188">
        <f>BJ188*COS(($BH188+0*($BI188-$BH188)/12))</f>
        <v/>
      </c>
      <c r="BX188">
        <f>BK188*COS(($BH188+1*($BI188-$BH188)/12))</f>
        <v/>
      </c>
      <c r="BY188">
        <f>BL188*COS(($BH188+2*($BI188-$BH188)/12))</f>
        <v/>
      </c>
      <c r="BZ188">
        <f>BM188*COS(($BH188+3*($BI188-$BH188)/12))</f>
        <v/>
      </c>
      <c r="CA188">
        <f>BN188*COS(($BH188+4*($BI188-$BH188)/12))</f>
        <v/>
      </c>
      <c r="CB188">
        <f>BO188*COS(($BH188+5*($BI188-$BH188)/12))</f>
        <v/>
      </c>
      <c r="CC188">
        <f>BP188*COS(($BH188+6*($BI188-$BH188)/12))</f>
        <v/>
      </c>
      <c r="CD188">
        <f>BQ188*COS(($BH188+7*($BI188-$BH188)/12))</f>
        <v/>
      </c>
      <c r="CE188">
        <f>BR188*COS(($BH188+8*($BI188-$BH188)/12))</f>
        <v/>
      </c>
      <c r="CF188">
        <f>BS188*COS(($BH188+9*($BI188-$BH188)/12))</f>
        <v/>
      </c>
      <c r="CG188">
        <f>BT188*COS(($BH188+10*($BI188-$BH188)/12))</f>
        <v/>
      </c>
      <c r="CH188">
        <f>BU188*COS(($BH188+11*($BI188-$BH188)/12))</f>
        <v/>
      </c>
      <c r="CI188">
        <f>BV188*COS(($BH188+12*($BI188-$BH188)/12))</f>
        <v/>
      </c>
    </row>
    <row r="189">
      <c r="B189" s="65" t="n">
        <v>37</v>
      </c>
      <c r="C189" s="66">
        <f>IF($G188&lt;cc_NEd-1E-9*ABS(cc_NEd),($C188+$D188)/2,$C188)</f>
        <v/>
      </c>
      <c r="D189" s="66">
        <f>IF($G188&lt;cc_NEd-1E-9*ABS(cc_NEd),$D188,($C188+$D188)/2)</f>
        <v/>
      </c>
      <c r="E189" s="67">
        <f>cc_D*(($C189+$D189)/2)/(1-(($C189+$D189)/2))</f>
        <v/>
      </c>
      <c r="F189" s="68">
        <f>IF($E189&lt;=cc_D,3.5,2*$E189/($E189-3*cc_D/7))</f>
        <v/>
      </c>
      <c r="G189" s="67">
        <f>(fcd_cc*((cc_D/2)^2*($BI189-COS($BI189)*SIN($BI189))-2*(cc_D/2)^2*($BI189-$BH189)/12/3*SUMPRODUCT($BJ$4:$BV$4,$BJ189:$BV189))+SUMPRODUCT($J$5:$AG$5,$J189:$AG189))/1000</f>
        <v/>
      </c>
      <c r="H189" s="67">
        <f>(fcd_cc*(2/3*(cc_D/2)^3*SIN($BI189)^3-2*(cc_D/2)^3*($BI189-$BH189)/12/3*SUMPRODUCT($BW$4:$CI$4,$BW189:$CI189))+SUMPRODUCT($J$5:$AG$5,$J189:$AG189,$J$10:$AG$10))/1E6</f>
        <v/>
      </c>
      <c r="I189" s="67">
        <f>SUMPRODUCT($J$5:$AG$5,$J189:$AG189,$J$11:$AG$11)/1E6</f>
        <v/>
      </c>
      <c r="J189">
        <f>MAX(-fyd_cc,MIN(fyd_cc,Es_cc*IF($E189&lt;=cc_D,0.0035*($E189-J$9)/$E189,0.002*($E189-J$9)/($E189-3*cc_D/7))))-fcd_cc*(1-(1-MAX(0,MIN(1,IF($E189&lt;=cc_D,0.0035*($E189-J$9)/$E189,0.002*($E189-J$9)/($E189-3*cc_D/7))/0.002)))^2)</f>
        <v/>
      </c>
      <c r="K189">
        <f>MAX(-fyd_cc,MIN(fyd_cc,Es_cc*IF($E189&lt;=cc_D,0.0035*($E189-K$9)/$E189,0.002*($E189-K$9)/($E189-3*cc_D/7))))-fcd_cc*(1-(1-MAX(0,MIN(1,IF($E189&lt;=cc_D,0.0035*($E189-K$9)/$E189,0.002*($E189-K$9)/($E189-3*cc_D/7))/0.002)))^2)</f>
        <v/>
      </c>
      <c r="L189">
        <f>MAX(-fyd_cc,MIN(fyd_cc,Es_cc*IF($E189&lt;=cc_D,0.0035*($E189-L$9)/$E189,0.002*($E189-L$9)/($E189-3*cc_D/7))))-fcd_cc*(1-(1-MAX(0,MIN(1,IF($E189&lt;=cc_D,0.0035*($E189-L$9)/$E189,0.002*($E189-L$9)/($E189-3*cc_D/7))/0.002)))^2)</f>
        <v/>
      </c>
      <c r="M189">
        <f>MAX(-fyd_cc,MIN(fyd_cc,Es_cc*IF($E189&lt;=cc_D,0.0035*($E189-M$9)/$E189,0.002*($E189-M$9)/($E189-3*cc_D/7))))-fcd_cc*(1-(1-MAX(0,MIN(1,IF($E189&lt;=cc_D,0.0035*($E189-M$9)/$E189,0.002*($E189-M$9)/($E189-3*cc_D/7))/0.002)))^2)</f>
        <v/>
      </c>
      <c r="N189">
        <f>MAX(-fyd_cc,MIN(fyd_cc,Es_cc*IF($E189&lt;=cc_D,0.0035*($E189-N$9)/$E189,0.002*($E189-N$9)/($E189-3*cc_D/7))))-fcd_cc*(1-(1-MAX(0,MIN(1,IF($E189&lt;=cc_D,0.0035*($E189-N$9)/$E189,0.002*($E189-N$9)/($E189-3*cc_D/7))/0.002)))^2)</f>
        <v/>
      </c>
      <c r="O189">
        <f>MAX(-fyd_cc,MIN(fyd_cc,Es_cc*IF($E189&lt;=cc_D,0.0035*($E189-O$9)/$E189,0.002*($E189-O$9)/($E189-3*cc_D/7))))-fcd_cc*(1-(1-MAX(0,MIN(1,IF($E189&lt;=cc_D,0.0035*($E189-O$9)/$E189,0.002*($E189-O$9)/($E189-3*cc_D/7))/0.002)))^2)</f>
        <v/>
      </c>
      <c r="P189">
        <f>MAX(-fyd_cc,MIN(fyd_cc,Es_cc*IF($E189&lt;=cc_D,0.0035*($E189-P$9)/$E189,0.002*($E189-P$9)/($E189-3*cc_D/7))))-fcd_cc*(1-(1-MAX(0,MIN(1,IF($E189&lt;=cc_D,0.0035*($E189-P$9)/$E189,0.002*($E189-P$9)/($E189-3*cc_D/7))/0.002)))^2)</f>
        <v/>
      </c>
      <c r="Q189">
        <f>MAX(-fyd_cc,MIN(fyd_cc,Es_cc*IF($E189&lt;=cc_D,0.0035*($E189-Q$9)/$E189,0.002*($E189-Q$9)/($E189-3*cc_D/7))))-fcd_cc*(1-(1-MAX(0,MIN(1,IF($E189&lt;=cc_D,0.0035*($E189-Q$9)/$E189,0.002*($E189-Q$9)/($E189-3*cc_D/7))/0.002)))^2)</f>
        <v/>
      </c>
      <c r="R189">
        <f>MAX(-fyd_cc,MIN(fyd_cc,Es_cc*IF($E189&lt;=cc_D,0.0035*($E189-R$9)/$E189,0.002*($E189-R$9)/($E189-3*cc_D/7))))-fcd_cc*(1-(1-MAX(0,MIN(1,IF($E189&lt;=cc_D,0.0035*($E189-R$9)/$E189,0.002*($E189-R$9)/($E189-3*cc_D/7))/0.002)))^2)</f>
        <v/>
      </c>
      <c r="S189">
        <f>MAX(-fyd_cc,MIN(fyd_cc,Es_cc*IF($E189&lt;=cc_D,0.0035*($E189-S$9)/$E189,0.002*($E189-S$9)/($E189-3*cc_D/7))))-fcd_cc*(1-(1-MAX(0,MIN(1,IF($E189&lt;=cc_D,0.0035*($E189-S$9)/$E189,0.002*($E189-S$9)/($E189-3*cc_D/7))/0.002)))^2)</f>
        <v/>
      </c>
      <c r="T189">
        <f>MAX(-fyd_cc,MIN(fyd_cc,Es_cc*IF($E189&lt;=cc_D,0.0035*($E189-T$9)/$E189,0.002*($E189-T$9)/($E189-3*cc_D/7))))-fcd_cc*(1-(1-MAX(0,MIN(1,IF($E189&lt;=cc_D,0.0035*($E189-T$9)/$E189,0.002*($E189-T$9)/($E189-3*cc_D/7))/0.002)))^2)</f>
        <v/>
      </c>
      <c r="U189">
        <f>MAX(-fyd_cc,MIN(fyd_cc,Es_cc*IF($E189&lt;=cc_D,0.0035*($E189-U$9)/$E189,0.002*($E189-U$9)/($E189-3*cc_D/7))))-fcd_cc*(1-(1-MAX(0,MIN(1,IF($E189&lt;=cc_D,0.0035*($E189-U$9)/$E189,0.002*($E189-U$9)/($E189-3*cc_D/7))/0.002)))^2)</f>
        <v/>
      </c>
      <c r="V189">
        <f>MAX(-fyd_cc,MIN(fyd_cc,Es_cc*IF($E189&lt;=cc_D,0.0035*($E189-V$9)/$E189,0.002*($E189-V$9)/($E189-3*cc_D/7))))-fcd_cc*(1-(1-MAX(0,MIN(1,IF($E189&lt;=cc_D,0.0035*($E189-V$9)/$E189,0.002*($E189-V$9)/($E189-3*cc_D/7))/0.002)))^2)</f>
        <v/>
      </c>
      <c r="W189">
        <f>MAX(-fyd_cc,MIN(fyd_cc,Es_cc*IF($E189&lt;=cc_D,0.0035*($E189-W$9)/$E189,0.002*($E189-W$9)/($E189-3*cc_D/7))))-fcd_cc*(1-(1-MAX(0,MIN(1,IF($E189&lt;=cc_D,0.0035*($E189-W$9)/$E189,0.002*($E189-W$9)/($E189-3*cc_D/7))/0.002)))^2)</f>
        <v/>
      </c>
      <c r="X189">
        <f>MAX(-fyd_cc,MIN(fyd_cc,Es_cc*IF($E189&lt;=cc_D,0.0035*($E189-X$9)/$E189,0.002*($E189-X$9)/($E189-3*cc_D/7))))-fcd_cc*(1-(1-MAX(0,MIN(1,IF($E189&lt;=cc_D,0.0035*($E189-X$9)/$E189,0.002*($E189-X$9)/($E189-3*cc_D/7))/0.002)))^2)</f>
        <v/>
      </c>
      <c r="Y189">
        <f>MAX(-fyd_cc,MIN(fyd_cc,Es_cc*IF($E189&lt;=cc_D,0.0035*($E189-Y$9)/$E189,0.002*($E189-Y$9)/($E189-3*cc_D/7))))-fcd_cc*(1-(1-MAX(0,MIN(1,IF($E189&lt;=cc_D,0.0035*($E189-Y$9)/$E189,0.002*($E189-Y$9)/($E189-3*cc_D/7))/0.002)))^2)</f>
        <v/>
      </c>
      <c r="Z189">
        <f>MAX(-fyd_cc,MIN(fyd_cc,Es_cc*IF($E189&lt;=cc_D,0.0035*($E189-Z$9)/$E189,0.002*($E189-Z$9)/($E189-3*cc_D/7))))-fcd_cc*(1-(1-MAX(0,MIN(1,IF($E189&lt;=cc_D,0.0035*($E189-Z$9)/$E189,0.002*($E189-Z$9)/($E189-3*cc_D/7))/0.002)))^2)</f>
        <v/>
      </c>
      <c r="AA189">
        <f>MAX(-fyd_cc,MIN(fyd_cc,Es_cc*IF($E189&lt;=cc_D,0.0035*($E189-AA$9)/$E189,0.002*($E189-AA$9)/($E189-3*cc_D/7))))-fcd_cc*(1-(1-MAX(0,MIN(1,IF($E189&lt;=cc_D,0.0035*($E189-AA$9)/$E189,0.002*($E189-AA$9)/($E189-3*cc_D/7))/0.002)))^2)</f>
        <v/>
      </c>
      <c r="AB189">
        <f>MAX(-fyd_cc,MIN(fyd_cc,Es_cc*IF($E189&lt;=cc_D,0.0035*($E189-AB$9)/$E189,0.002*($E189-AB$9)/($E189-3*cc_D/7))))-fcd_cc*(1-(1-MAX(0,MIN(1,IF($E189&lt;=cc_D,0.0035*($E189-AB$9)/$E189,0.002*($E189-AB$9)/($E189-3*cc_D/7))/0.002)))^2)</f>
        <v/>
      </c>
      <c r="AC189">
        <f>MAX(-fyd_cc,MIN(fyd_cc,Es_cc*IF($E189&lt;=cc_D,0.0035*($E189-AC$9)/$E189,0.002*($E189-AC$9)/($E189-3*cc_D/7))))-fcd_cc*(1-(1-MAX(0,MIN(1,IF($E189&lt;=cc_D,0.0035*($E189-AC$9)/$E189,0.002*($E189-AC$9)/($E189-3*cc_D/7))/0.002)))^2)</f>
        <v/>
      </c>
      <c r="AD189">
        <f>MAX(-fyd_cc,MIN(fyd_cc,Es_cc*IF($E189&lt;=cc_D,0.0035*($E189-AD$9)/$E189,0.002*($E189-AD$9)/($E189-3*cc_D/7))))-fcd_cc*(1-(1-MAX(0,MIN(1,IF($E189&lt;=cc_D,0.0035*($E189-AD$9)/$E189,0.002*($E189-AD$9)/($E189-3*cc_D/7))/0.002)))^2)</f>
        <v/>
      </c>
      <c r="AE189">
        <f>MAX(-fyd_cc,MIN(fyd_cc,Es_cc*IF($E189&lt;=cc_D,0.0035*($E189-AE$9)/$E189,0.002*($E189-AE$9)/($E189-3*cc_D/7))))-fcd_cc*(1-(1-MAX(0,MIN(1,IF($E189&lt;=cc_D,0.0035*($E189-AE$9)/$E189,0.002*($E189-AE$9)/($E189-3*cc_D/7))/0.002)))^2)</f>
        <v/>
      </c>
      <c r="AF189">
        <f>MAX(-fyd_cc,MIN(fyd_cc,Es_cc*IF($E189&lt;=cc_D,0.0035*($E189-AF$9)/$E189,0.002*($E189-AF$9)/($E189-3*cc_D/7))))-fcd_cc*(1-(1-MAX(0,MIN(1,IF($E189&lt;=cc_D,0.0035*($E189-AF$9)/$E189,0.002*($E189-AF$9)/($E189-3*cc_D/7))/0.002)))^2)</f>
        <v/>
      </c>
      <c r="AG189">
        <f>MAX(-fyd_cc,MIN(fyd_cc,Es_cc*IF($E189&lt;=cc_D,0.0035*($E189-AG$9)/$E189,0.002*($E189-AG$9)/($E189-3*cc_D/7))))-fcd_cc*(1-(1-MAX(0,MIN(1,IF($E189&lt;=cc_D,0.0035*($E189-AG$9)/$E189,0.002*($E189-AG$9)/($E189-3*cc_D/7))/0.002)))^2)</f>
        <v/>
      </c>
      <c r="BF189">
        <f>3*MIN($E189,cc_D)/7</f>
        <v/>
      </c>
      <c r="BG189">
        <f>$E189-$BF189</f>
        <v/>
      </c>
      <c r="BH189">
        <f>ACOS(MAX(-1,MIN(1,1-$BF189/(cc_D/2))))</f>
        <v/>
      </c>
      <c r="BI189">
        <f>ACOS(MAX(-1,MIN(1,1-MIN($E189,cc_D)/(cc_D/2))))</f>
        <v/>
      </c>
      <c r="BJ189">
        <f>((cc_D/2*(1-COS(($BH189+0*($BI189-$BH189)/12)))-$BF189)/$BG189)^2*SIN(($BH189+0*($BI189-$BH189)/12))^2</f>
        <v/>
      </c>
      <c r="BK189">
        <f>((cc_D/2*(1-COS(($BH189+1*($BI189-$BH189)/12)))-$BF189)/$BG189)^2*SIN(($BH189+1*($BI189-$BH189)/12))^2</f>
        <v/>
      </c>
      <c r="BL189">
        <f>((cc_D/2*(1-COS(($BH189+2*($BI189-$BH189)/12)))-$BF189)/$BG189)^2*SIN(($BH189+2*($BI189-$BH189)/12))^2</f>
        <v/>
      </c>
      <c r="BM189">
        <f>((cc_D/2*(1-COS(($BH189+3*($BI189-$BH189)/12)))-$BF189)/$BG189)^2*SIN(($BH189+3*($BI189-$BH189)/12))^2</f>
        <v/>
      </c>
      <c r="BN189">
        <f>((cc_D/2*(1-COS(($BH189+4*($BI189-$BH189)/12)))-$BF189)/$BG189)^2*SIN(($BH189+4*($BI189-$BH189)/12))^2</f>
        <v/>
      </c>
      <c r="BO189">
        <f>((cc_D/2*(1-COS(($BH189+5*($BI189-$BH189)/12)))-$BF189)/$BG189)^2*SIN(($BH189+5*($BI189-$BH189)/12))^2</f>
        <v/>
      </c>
      <c r="BP189">
        <f>((cc_D/2*(1-COS(($BH189+6*($BI189-$BH189)/12)))-$BF189)/$BG189)^2*SIN(($BH189+6*($BI189-$BH189)/12))^2</f>
        <v/>
      </c>
      <c r="BQ189">
        <f>((cc_D/2*(1-COS(($BH189+7*($BI189-$BH189)/12)))-$BF189)/$BG189)^2*SIN(($BH189+7*($BI189-$BH189)/12))^2</f>
        <v/>
      </c>
      <c r="BR189">
        <f>((cc_D/2*(1-COS(($BH189+8*($BI189-$BH189)/12)))-$BF189)/$BG189)^2*SIN(($BH189+8*($BI189-$BH189)/12))^2</f>
        <v/>
      </c>
      <c r="BS189">
        <f>((cc_D/2*(1-COS(($BH189+9*($BI189-$BH189)/12)))-$BF189)/$BG189)^2*SIN(($BH189+9*($BI189-$BH189)/12))^2</f>
        <v/>
      </c>
      <c r="BT189">
        <f>((cc_D/2*(1-COS(($BH189+10*($BI189-$BH189)/12)))-$BF189)/$BG189)^2*SIN(($BH189+10*($BI189-$BH189)/12))^2</f>
        <v/>
      </c>
      <c r="BU189">
        <f>((cc_D/2*(1-COS(($BH189+11*($BI189-$BH189)/12)))-$BF189)/$BG189)^2*SIN(($BH189+11*($BI189-$BH189)/12))^2</f>
        <v/>
      </c>
      <c r="BV189">
        <f>((cc_D/2*(1-COS(($BH189+12*($BI189-$BH189)/12)))-$BF189)/$BG189)^2*SIN(($BH189+12*($BI189-$BH189)/12))^2</f>
        <v/>
      </c>
      <c r="BW189">
        <f>BJ189*COS(($BH189+0*($BI189-$BH189)/12))</f>
        <v/>
      </c>
      <c r="BX189">
        <f>BK189*COS(($BH189+1*($BI189-$BH189)/12))</f>
        <v/>
      </c>
      <c r="BY189">
        <f>BL189*COS(($BH189+2*($BI189-$BH189)/12))</f>
        <v/>
      </c>
      <c r="BZ189">
        <f>BM189*COS(($BH189+3*($BI189-$BH189)/12))</f>
        <v/>
      </c>
      <c r="CA189">
        <f>BN189*COS(($BH189+4*($BI189-$BH189)/12))</f>
        <v/>
      </c>
      <c r="CB189">
        <f>BO189*COS(($BH189+5*($BI189-$BH189)/12))</f>
        <v/>
      </c>
      <c r="CC189">
        <f>BP189*COS(($BH189+6*($BI189-$BH189)/12))</f>
        <v/>
      </c>
      <c r="CD189">
        <f>BQ189*COS(($BH189+7*($BI189-$BH189)/12))</f>
        <v/>
      </c>
      <c r="CE189">
        <f>BR189*COS(($BH189+8*($BI189-$BH189)/12))</f>
        <v/>
      </c>
      <c r="CF189">
        <f>BS189*COS(($BH189+9*($BI189-$BH189)/12))</f>
        <v/>
      </c>
      <c r="CG189">
        <f>BT189*COS(($BH189+10*($BI189-$BH189)/12))</f>
        <v/>
      </c>
      <c r="CH189">
        <f>BU189*COS(($BH189+11*($BI189-$BH189)/12))</f>
        <v/>
      </c>
      <c r="CI189">
        <f>BV189*COS(($BH189+12*($BI189-$BH189)/12))</f>
        <v/>
      </c>
    </row>
    <row r="190">
      <c r="B190" s="65" t="n">
        <v>38</v>
      </c>
      <c r="C190" s="66">
        <f>IF($G189&lt;cc_NEd-1E-9*ABS(cc_NEd),($C189+$D189)/2,$C189)</f>
        <v/>
      </c>
      <c r="D190" s="66">
        <f>IF($G189&lt;cc_NEd-1E-9*ABS(cc_NEd),$D189,($C189+$D189)/2)</f>
        <v/>
      </c>
      <c r="E190" s="67">
        <f>cc_D*(($C190+$D190)/2)/(1-(($C190+$D190)/2))</f>
        <v/>
      </c>
      <c r="F190" s="68">
        <f>IF($E190&lt;=cc_D,3.5,2*$E190/($E190-3*cc_D/7))</f>
        <v/>
      </c>
      <c r="G190" s="67">
        <f>(fcd_cc*((cc_D/2)^2*($BI190-COS($BI190)*SIN($BI190))-2*(cc_D/2)^2*($BI190-$BH190)/12/3*SUMPRODUCT($BJ$4:$BV$4,$BJ190:$BV190))+SUMPRODUCT($J$5:$AG$5,$J190:$AG190))/1000</f>
        <v/>
      </c>
      <c r="H190" s="67">
        <f>(fcd_cc*(2/3*(cc_D/2)^3*SIN($BI190)^3-2*(cc_D/2)^3*($BI190-$BH190)/12/3*SUMPRODUCT($BW$4:$CI$4,$BW190:$CI190))+SUMPRODUCT($J$5:$AG$5,$J190:$AG190,$J$10:$AG$10))/1E6</f>
        <v/>
      </c>
      <c r="I190" s="67">
        <f>SUMPRODUCT($J$5:$AG$5,$J190:$AG190,$J$11:$AG$11)/1E6</f>
        <v/>
      </c>
      <c r="J190">
        <f>MAX(-fyd_cc,MIN(fyd_cc,Es_cc*IF($E190&lt;=cc_D,0.0035*($E190-J$9)/$E190,0.002*($E190-J$9)/($E190-3*cc_D/7))))-fcd_cc*(1-(1-MAX(0,MIN(1,IF($E190&lt;=cc_D,0.0035*($E190-J$9)/$E190,0.002*($E190-J$9)/($E190-3*cc_D/7))/0.002)))^2)</f>
        <v/>
      </c>
      <c r="K190">
        <f>MAX(-fyd_cc,MIN(fyd_cc,Es_cc*IF($E190&lt;=cc_D,0.0035*($E190-K$9)/$E190,0.002*($E190-K$9)/($E190-3*cc_D/7))))-fcd_cc*(1-(1-MAX(0,MIN(1,IF($E190&lt;=cc_D,0.0035*($E190-K$9)/$E190,0.002*($E190-K$9)/($E190-3*cc_D/7))/0.002)))^2)</f>
        <v/>
      </c>
      <c r="L190">
        <f>MAX(-fyd_cc,MIN(fyd_cc,Es_cc*IF($E190&lt;=cc_D,0.0035*($E190-L$9)/$E190,0.002*($E190-L$9)/($E190-3*cc_D/7))))-fcd_cc*(1-(1-MAX(0,MIN(1,IF($E190&lt;=cc_D,0.0035*($E190-L$9)/$E190,0.002*($E190-L$9)/($E190-3*cc_D/7))/0.002)))^2)</f>
        <v/>
      </c>
      <c r="M190">
        <f>MAX(-fyd_cc,MIN(fyd_cc,Es_cc*IF($E190&lt;=cc_D,0.0035*($E190-M$9)/$E190,0.002*($E190-M$9)/($E190-3*cc_D/7))))-fcd_cc*(1-(1-MAX(0,MIN(1,IF($E190&lt;=cc_D,0.0035*($E190-M$9)/$E190,0.002*($E190-M$9)/($E190-3*cc_D/7))/0.002)))^2)</f>
        <v/>
      </c>
      <c r="N190">
        <f>MAX(-fyd_cc,MIN(fyd_cc,Es_cc*IF($E190&lt;=cc_D,0.0035*($E190-N$9)/$E190,0.002*($E190-N$9)/($E190-3*cc_D/7))))-fcd_cc*(1-(1-MAX(0,MIN(1,IF($E190&lt;=cc_D,0.0035*($E190-N$9)/$E190,0.002*($E190-N$9)/($E190-3*cc_D/7))/0.002)))^2)</f>
        <v/>
      </c>
      <c r="O190">
        <f>MAX(-fyd_cc,MIN(fyd_cc,Es_cc*IF($E190&lt;=cc_D,0.0035*($E190-O$9)/$E190,0.002*($E190-O$9)/($E190-3*cc_D/7))))-fcd_cc*(1-(1-MAX(0,MIN(1,IF($E190&lt;=cc_D,0.0035*($E190-O$9)/$E190,0.002*($E190-O$9)/($E190-3*cc_D/7))/0.002)))^2)</f>
        <v/>
      </c>
      <c r="P190">
        <f>MAX(-fyd_cc,MIN(fyd_cc,Es_cc*IF($E190&lt;=cc_D,0.0035*($E190-P$9)/$E190,0.002*($E190-P$9)/($E190-3*cc_D/7))))-fcd_cc*(1-(1-MAX(0,MIN(1,IF($E190&lt;=cc_D,0.0035*($E190-P$9)/$E190,0.002*($E190-P$9)/($E190-3*cc_D/7))/0.002)))^2)</f>
        <v/>
      </c>
      <c r="Q190">
        <f>MAX(-fyd_cc,MIN(fyd_cc,Es_cc*IF($E190&lt;=cc_D,0.0035*($E190-Q$9)/$E190,0.002*($E190-Q$9)/($E190-3*cc_D/7))))-fcd_cc*(1-(1-MAX(0,MIN(1,IF($E190&lt;=cc_D,0.0035*($E190-Q$9)/$E190,0.002*($E190-Q$9)/($E190-3*cc_D/7))/0.002)))^2)</f>
        <v/>
      </c>
      <c r="R190">
        <f>MAX(-fyd_cc,MIN(fyd_cc,Es_cc*IF($E190&lt;=cc_D,0.0035*($E190-R$9)/$E190,0.002*($E190-R$9)/($E190-3*cc_D/7))))-fcd_cc*(1-(1-MAX(0,MIN(1,IF($E190&lt;=cc_D,0.0035*($E190-R$9)/$E190,0.002*($E190-R$9)/($E190-3*cc_D/7))/0.002)))^2)</f>
        <v/>
      </c>
      <c r="S190">
        <f>MAX(-fyd_cc,MIN(fyd_cc,Es_cc*IF($E190&lt;=cc_D,0.0035*($E190-S$9)/$E190,0.002*($E190-S$9)/($E190-3*cc_D/7))))-fcd_cc*(1-(1-MAX(0,MIN(1,IF($E190&lt;=cc_D,0.0035*($E190-S$9)/$E190,0.002*($E190-S$9)/($E190-3*cc_D/7))/0.002)))^2)</f>
        <v/>
      </c>
      <c r="T190">
        <f>MAX(-fyd_cc,MIN(fyd_cc,Es_cc*IF($E190&lt;=cc_D,0.0035*($E190-T$9)/$E190,0.002*($E190-T$9)/($E190-3*cc_D/7))))-fcd_cc*(1-(1-MAX(0,MIN(1,IF($E190&lt;=cc_D,0.0035*($E190-T$9)/$E190,0.002*($E190-T$9)/($E190-3*cc_D/7))/0.002)))^2)</f>
        <v/>
      </c>
      <c r="U190">
        <f>MAX(-fyd_cc,MIN(fyd_cc,Es_cc*IF($E190&lt;=cc_D,0.0035*($E190-U$9)/$E190,0.002*($E190-U$9)/($E190-3*cc_D/7))))-fcd_cc*(1-(1-MAX(0,MIN(1,IF($E190&lt;=cc_D,0.0035*($E190-U$9)/$E190,0.002*($E190-U$9)/($E190-3*cc_D/7))/0.002)))^2)</f>
        <v/>
      </c>
      <c r="V190">
        <f>MAX(-fyd_cc,MIN(fyd_cc,Es_cc*IF($E190&lt;=cc_D,0.0035*($E190-V$9)/$E190,0.002*($E190-V$9)/($E190-3*cc_D/7))))-fcd_cc*(1-(1-MAX(0,MIN(1,IF($E190&lt;=cc_D,0.0035*($E190-V$9)/$E190,0.002*($E190-V$9)/($E190-3*cc_D/7))/0.002)))^2)</f>
        <v/>
      </c>
      <c r="W190">
        <f>MAX(-fyd_cc,MIN(fyd_cc,Es_cc*IF($E190&lt;=cc_D,0.0035*($E190-W$9)/$E190,0.002*($E190-W$9)/($E190-3*cc_D/7))))-fcd_cc*(1-(1-MAX(0,MIN(1,IF($E190&lt;=cc_D,0.0035*($E190-W$9)/$E190,0.002*($E190-W$9)/($E190-3*cc_D/7))/0.002)))^2)</f>
        <v/>
      </c>
      <c r="X190">
        <f>MAX(-fyd_cc,MIN(fyd_cc,Es_cc*IF($E190&lt;=cc_D,0.0035*($E190-X$9)/$E190,0.002*($E190-X$9)/($E190-3*cc_D/7))))-fcd_cc*(1-(1-MAX(0,MIN(1,IF($E190&lt;=cc_D,0.0035*($E190-X$9)/$E190,0.002*($E190-X$9)/($E190-3*cc_D/7))/0.002)))^2)</f>
        <v/>
      </c>
      <c r="Y190">
        <f>MAX(-fyd_cc,MIN(fyd_cc,Es_cc*IF($E190&lt;=cc_D,0.0035*($E190-Y$9)/$E190,0.002*($E190-Y$9)/($E190-3*cc_D/7))))-fcd_cc*(1-(1-MAX(0,MIN(1,IF($E190&lt;=cc_D,0.0035*($E190-Y$9)/$E190,0.002*($E190-Y$9)/($E190-3*cc_D/7))/0.002)))^2)</f>
        <v/>
      </c>
      <c r="Z190">
        <f>MAX(-fyd_cc,MIN(fyd_cc,Es_cc*IF($E190&lt;=cc_D,0.0035*($E190-Z$9)/$E190,0.002*($E190-Z$9)/($E190-3*cc_D/7))))-fcd_cc*(1-(1-MAX(0,MIN(1,IF($E190&lt;=cc_D,0.0035*($E190-Z$9)/$E190,0.002*($E190-Z$9)/($E190-3*cc_D/7))/0.002)))^2)</f>
        <v/>
      </c>
      <c r="AA190">
        <f>MAX(-fyd_cc,MIN(fyd_cc,Es_cc*IF($E190&lt;=cc_D,0.0035*($E190-AA$9)/$E190,0.002*($E190-AA$9)/($E190-3*cc_D/7))))-fcd_cc*(1-(1-MAX(0,MIN(1,IF($E190&lt;=cc_D,0.0035*($E190-AA$9)/$E190,0.002*($E190-AA$9)/($E190-3*cc_D/7))/0.002)))^2)</f>
        <v/>
      </c>
      <c r="AB190">
        <f>MAX(-fyd_cc,MIN(fyd_cc,Es_cc*IF($E190&lt;=cc_D,0.0035*($E190-AB$9)/$E190,0.002*($E190-AB$9)/($E190-3*cc_D/7))))-fcd_cc*(1-(1-MAX(0,MIN(1,IF($E190&lt;=cc_D,0.0035*($E190-AB$9)/$E190,0.002*($E190-AB$9)/($E190-3*cc_D/7))/0.002)))^2)</f>
        <v/>
      </c>
      <c r="AC190">
        <f>MAX(-fyd_cc,MIN(fyd_cc,Es_cc*IF($E190&lt;=cc_D,0.0035*($E190-AC$9)/$E190,0.002*($E190-AC$9)/($E190-3*cc_D/7))))-fcd_cc*(1-(1-MAX(0,MIN(1,IF($E190&lt;=cc_D,0.0035*($E190-AC$9)/$E190,0.002*($E190-AC$9)/($E190-3*cc_D/7))/0.002)))^2)</f>
        <v/>
      </c>
      <c r="AD190">
        <f>MAX(-fyd_cc,MIN(fyd_cc,Es_cc*IF($E190&lt;=cc_D,0.0035*($E190-AD$9)/$E190,0.002*($E190-AD$9)/($E190-3*cc_D/7))))-fcd_cc*(1-(1-MAX(0,MIN(1,IF($E190&lt;=cc_D,0.0035*($E190-AD$9)/$E190,0.002*($E190-AD$9)/($E190-3*cc_D/7))/0.002)))^2)</f>
        <v/>
      </c>
      <c r="AE190">
        <f>MAX(-fyd_cc,MIN(fyd_cc,Es_cc*IF($E190&lt;=cc_D,0.0035*($E190-AE$9)/$E190,0.002*($E190-AE$9)/($E190-3*cc_D/7))))-fcd_cc*(1-(1-MAX(0,MIN(1,IF($E190&lt;=cc_D,0.0035*($E190-AE$9)/$E190,0.002*($E190-AE$9)/($E190-3*cc_D/7))/0.002)))^2)</f>
        <v/>
      </c>
      <c r="AF190">
        <f>MAX(-fyd_cc,MIN(fyd_cc,Es_cc*IF($E190&lt;=cc_D,0.0035*($E190-AF$9)/$E190,0.002*($E190-AF$9)/($E190-3*cc_D/7))))-fcd_cc*(1-(1-MAX(0,MIN(1,IF($E190&lt;=cc_D,0.0035*($E190-AF$9)/$E190,0.002*($E190-AF$9)/($E190-3*cc_D/7))/0.002)))^2)</f>
        <v/>
      </c>
      <c r="AG190">
        <f>MAX(-fyd_cc,MIN(fyd_cc,Es_cc*IF($E190&lt;=cc_D,0.0035*($E190-AG$9)/$E190,0.002*($E190-AG$9)/($E190-3*cc_D/7))))-fcd_cc*(1-(1-MAX(0,MIN(1,IF($E190&lt;=cc_D,0.0035*($E190-AG$9)/$E190,0.002*($E190-AG$9)/($E190-3*cc_D/7))/0.002)))^2)</f>
        <v/>
      </c>
      <c r="BF190">
        <f>3*MIN($E190,cc_D)/7</f>
        <v/>
      </c>
      <c r="BG190">
        <f>$E190-$BF190</f>
        <v/>
      </c>
      <c r="BH190">
        <f>ACOS(MAX(-1,MIN(1,1-$BF190/(cc_D/2))))</f>
        <v/>
      </c>
      <c r="BI190">
        <f>ACOS(MAX(-1,MIN(1,1-MIN($E190,cc_D)/(cc_D/2))))</f>
        <v/>
      </c>
      <c r="BJ190">
        <f>((cc_D/2*(1-COS(($BH190+0*($BI190-$BH190)/12)))-$BF190)/$BG190)^2*SIN(($BH190+0*($BI190-$BH190)/12))^2</f>
        <v/>
      </c>
      <c r="BK190">
        <f>((cc_D/2*(1-COS(($BH190+1*($BI190-$BH190)/12)))-$BF190)/$BG190)^2*SIN(($BH190+1*($BI190-$BH190)/12))^2</f>
        <v/>
      </c>
      <c r="BL190">
        <f>((cc_D/2*(1-COS(($BH190+2*($BI190-$BH190)/12)))-$BF190)/$BG190)^2*SIN(($BH190+2*($BI190-$BH190)/12))^2</f>
        <v/>
      </c>
      <c r="BM190">
        <f>((cc_D/2*(1-COS(($BH190+3*($BI190-$BH190)/12)))-$BF190)/$BG190)^2*SIN(($BH190+3*($BI190-$BH190)/12))^2</f>
        <v/>
      </c>
      <c r="BN190">
        <f>((cc_D/2*(1-COS(($BH190+4*($BI190-$BH190)/12)))-$BF190)/$BG190)^2*SIN(($BH190+4*($BI190-$BH190)/12))^2</f>
        <v/>
      </c>
      <c r="BO190">
        <f>((cc_D/2*(1-COS(($BH190+5*($BI190-$BH190)/12)))-$BF190)/$BG190)^2*SIN(($BH190+5*($BI190-$BH190)/12))^2</f>
        <v/>
      </c>
      <c r="BP190">
        <f>((cc_D/2*(1-COS(($BH190+6*($BI190-$BH190)/12)))-$BF190)/$BG190)^2*SIN(($BH190+6*($BI190-$BH190)/12))^2</f>
        <v/>
      </c>
      <c r="BQ190">
        <f>((cc_D/2*(1-COS(($BH190+7*($BI190-$BH190)/12)))-$BF190)/$BG190)^2*SIN(($BH190+7*($BI190-$BH190)/12))^2</f>
        <v/>
      </c>
      <c r="BR190">
        <f>((cc_D/2*(1-COS(($BH190+8*($BI190-$BH190)/12)))-$BF190)/$BG190)^2*SIN(($BH190+8*($BI190-$BH190)/12))^2</f>
        <v/>
      </c>
      <c r="BS190">
        <f>((cc_D/2*(1-COS(($BH190+9*($BI190-$BH190)/12)))-$BF190)/$BG190)^2*SIN(($BH190+9*($BI190-$BH190)/12))^2</f>
        <v/>
      </c>
      <c r="BT190">
        <f>((cc_D/2*(1-COS(($BH190+10*($BI190-$BH190)/12)))-$BF190)/$BG190)^2*SIN(($BH190+10*($BI190-$BH190)/12))^2</f>
        <v/>
      </c>
      <c r="BU190">
        <f>((cc_D/2*(1-COS(($BH190+11*($BI190-$BH190)/12)))-$BF190)/$BG190)^2*SIN(($BH190+11*($BI190-$BH190)/12))^2</f>
        <v/>
      </c>
      <c r="BV190">
        <f>((cc_D/2*(1-COS(($BH190+12*($BI190-$BH190)/12)))-$BF190)/$BG190)^2*SIN(($BH190+12*($BI190-$BH190)/12))^2</f>
        <v/>
      </c>
      <c r="BW190">
        <f>BJ190*COS(($BH190+0*($BI190-$BH190)/12))</f>
        <v/>
      </c>
      <c r="BX190">
        <f>BK190*COS(($BH190+1*($BI190-$BH190)/12))</f>
        <v/>
      </c>
      <c r="BY190">
        <f>BL190*COS(($BH190+2*($BI190-$BH190)/12))</f>
        <v/>
      </c>
      <c r="BZ190">
        <f>BM190*COS(($BH190+3*($BI190-$BH190)/12))</f>
        <v/>
      </c>
      <c r="CA190">
        <f>BN190*COS(($BH190+4*($BI190-$BH190)/12))</f>
        <v/>
      </c>
      <c r="CB190">
        <f>BO190*COS(($BH190+5*($BI190-$BH190)/12))</f>
        <v/>
      </c>
      <c r="CC190">
        <f>BP190*COS(($BH190+6*($BI190-$BH190)/12))</f>
        <v/>
      </c>
      <c r="CD190">
        <f>BQ190*COS(($BH190+7*($BI190-$BH190)/12))</f>
        <v/>
      </c>
      <c r="CE190">
        <f>BR190*COS(($BH190+8*($BI190-$BH190)/12))</f>
        <v/>
      </c>
      <c r="CF190">
        <f>BS190*COS(($BH190+9*($BI190-$BH190)/12))</f>
        <v/>
      </c>
      <c r="CG190">
        <f>BT190*COS(($BH190+10*($BI190-$BH190)/12))</f>
        <v/>
      </c>
      <c r="CH190">
        <f>BU190*COS(($BH190+11*($BI190-$BH190)/12))</f>
        <v/>
      </c>
      <c r="CI190">
        <f>BV190*COS(($BH190+12*($BI190-$BH190)/12))</f>
        <v/>
      </c>
    </row>
    <row r="191">
      <c r="B191" s="65" t="n">
        <v>39</v>
      </c>
      <c r="C191" s="66">
        <f>IF($G190&lt;cc_NEd-1E-9*ABS(cc_NEd),($C190+$D190)/2,$C190)</f>
        <v/>
      </c>
      <c r="D191" s="66">
        <f>IF($G190&lt;cc_NEd-1E-9*ABS(cc_NEd),$D190,($C190+$D190)/2)</f>
        <v/>
      </c>
      <c r="E191" s="67">
        <f>cc_D*(($C191+$D191)/2)/(1-(($C191+$D191)/2))</f>
        <v/>
      </c>
      <c r="F191" s="68">
        <f>IF($E191&lt;=cc_D,3.5,2*$E191/($E191-3*cc_D/7))</f>
        <v/>
      </c>
      <c r="G191" s="67">
        <f>(fcd_cc*((cc_D/2)^2*($BI191-COS($BI191)*SIN($BI191))-2*(cc_D/2)^2*($BI191-$BH191)/12/3*SUMPRODUCT($BJ$4:$BV$4,$BJ191:$BV191))+SUMPRODUCT($J$5:$AG$5,$J191:$AG191))/1000</f>
        <v/>
      </c>
      <c r="H191" s="67">
        <f>(fcd_cc*(2/3*(cc_D/2)^3*SIN($BI191)^3-2*(cc_D/2)^3*($BI191-$BH191)/12/3*SUMPRODUCT($BW$4:$CI$4,$BW191:$CI191))+SUMPRODUCT($J$5:$AG$5,$J191:$AG191,$J$10:$AG$10))/1E6</f>
        <v/>
      </c>
      <c r="I191" s="67">
        <f>SUMPRODUCT($J$5:$AG$5,$J191:$AG191,$J$11:$AG$11)/1E6</f>
        <v/>
      </c>
      <c r="J191">
        <f>MAX(-fyd_cc,MIN(fyd_cc,Es_cc*IF($E191&lt;=cc_D,0.0035*($E191-J$9)/$E191,0.002*($E191-J$9)/($E191-3*cc_D/7))))-fcd_cc*(1-(1-MAX(0,MIN(1,IF($E191&lt;=cc_D,0.0035*($E191-J$9)/$E191,0.002*($E191-J$9)/($E191-3*cc_D/7))/0.002)))^2)</f>
        <v/>
      </c>
      <c r="K191">
        <f>MAX(-fyd_cc,MIN(fyd_cc,Es_cc*IF($E191&lt;=cc_D,0.0035*($E191-K$9)/$E191,0.002*($E191-K$9)/($E191-3*cc_D/7))))-fcd_cc*(1-(1-MAX(0,MIN(1,IF($E191&lt;=cc_D,0.0035*($E191-K$9)/$E191,0.002*($E191-K$9)/($E191-3*cc_D/7))/0.002)))^2)</f>
        <v/>
      </c>
      <c r="L191">
        <f>MAX(-fyd_cc,MIN(fyd_cc,Es_cc*IF($E191&lt;=cc_D,0.0035*($E191-L$9)/$E191,0.002*($E191-L$9)/($E191-3*cc_D/7))))-fcd_cc*(1-(1-MAX(0,MIN(1,IF($E191&lt;=cc_D,0.0035*($E191-L$9)/$E191,0.002*($E191-L$9)/($E191-3*cc_D/7))/0.002)))^2)</f>
        <v/>
      </c>
      <c r="M191">
        <f>MAX(-fyd_cc,MIN(fyd_cc,Es_cc*IF($E191&lt;=cc_D,0.0035*($E191-M$9)/$E191,0.002*($E191-M$9)/($E191-3*cc_D/7))))-fcd_cc*(1-(1-MAX(0,MIN(1,IF($E191&lt;=cc_D,0.0035*($E191-M$9)/$E191,0.002*($E191-M$9)/($E191-3*cc_D/7))/0.002)))^2)</f>
        <v/>
      </c>
      <c r="N191">
        <f>MAX(-fyd_cc,MIN(fyd_cc,Es_cc*IF($E191&lt;=cc_D,0.0035*($E191-N$9)/$E191,0.002*($E191-N$9)/($E191-3*cc_D/7))))-fcd_cc*(1-(1-MAX(0,MIN(1,IF($E191&lt;=cc_D,0.0035*($E191-N$9)/$E191,0.002*($E191-N$9)/($E191-3*cc_D/7))/0.002)))^2)</f>
        <v/>
      </c>
      <c r="O191">
        <f>MAX(-fyd_cc,MIN(fyd_cc,Es_cc*IF($E191&lt;=cc_D,0.0035*($E191-O$9)/$E191,0.002*($E191-O$9)/($E191-3*cc_D/7))))-fcd_cc*(1-(1-MAX(0,MIN(1,IF($E191&lt;=cc_D,0.0035*($E191-O$9)/$E191,0.002*($E191-O$9)/($E191-3*cc_D/7))/0.002)))^2)</f>
        <v/>
      </c>
      <c r="P191">
        <f>MAX(-fyd_cc,MIN(fyd_cc,Es_cc*IF($E191&lt;=cc_D,0.0035*($E191-P$9)/$E191,0.002*($E191-P$9)/($E191-3*cc_D/7))))-fcd_cc*(1-(1-MAX(0,MIN(1,IF($E191&lt;=cc_D,0.0035*($E191-P$9)/$E191,0.002*($E191-P$9)/($E191-3*cc_D/7))/0.002)))^2)</f>
        <v/>
      </c>
      <c r="Q191">
        <f>MAX(-fyd_cc,MIN(fyd_cc,Es_cc*IF($E191&lt;=cc_D,0.0035*($E191-Q$9)/$E191,0.002*($E191-Q$9)/($E191-3*cc_D/7))))-fcd_cc*(1-(1-MAX(0,MIN(1,IF($E191&lt;=cc_D,0.0035*($E191-Q$9)/$E191,0.002*($E191-Q$9)/($E191-3*cc_D/7))/0.002)))^2)</f>
        <v/>
      </c>
      <c r="R191">
        <f>MAX(-fyd_cc,MIN(fyd_cc,Es_cc*IF($E191&lt;=cc_D,0.0035*($E191-R$9)/$E191,0.002*($E191-R$9)/($E191-3*cc_D/7))))-fcd_cc*(1-(1-MAX(0,MIN(1,IF($E191&lt;=cc_D,0.0035*($E191-R$9)/$E191,0.002*($E191-R$9)/($E191-3*cc_D/7))/0.002)))^2)</f>
        <v/>
      </c>
      <c r="S191">
        <f>MAX(-fyd_cc,MIN(fyd_cc,Es_cc*IF($E191&lt;=cc_D,0.0035*($E191-S$9)/$E191,0.002*($E191-S$9)/($E191-3*cc_D/7))))-fcd_cc*(1-(1-MAX(0,MIN(1,IF($E191&lt;=cc_D,0.0035*($E191-S$9)/$E191,0.002*($E191-S$9)/($E191-3*cc_D/7))/0.002)))^2)</f>
        <v/>
      </c>
      <c r="T191">
        <f>MAX(-fyd_cc,MIN(fyd_cc,Es_cc*IF($E191&lt;=cc_D,0.0035*($E191-T$9)/$E191,0.002*($E191-T$9)/($E191-3*cc_D/7))))-fcd_cc*(1-(1-MAX(0,MIN(1,IF($E191&lt;=cc_D,0.0035*($E191-T$9)/$E191,0.002*($E191-T$9)/($E191-3*cc_D/7))/0.002)))^2)</f>
        <v/>
      </c>
      <c r="U191">
        <f>MAX(-fyd_cc,MIN(fyd_cc,Es_cc*IF($E191&lt;=cc_D,0.0035*($E191-U$9)/$E191,0.002*($E191-U$9)/($E191-3*cc_D/7))))-fcd_cc*(1-(1-MAX(0,MIN(1,IF($E191&lt;=cc_D,0.0035*($E191-U$9)/$E191,0.002*($E191-U$9)/($E191-3*cc_D/7))/0.002)))^2)</f>
        <v/>
      </c>
      <c r="V191">
        <f>MAX(-fyd_cc,MIN(fyd_cc,Es_cc*IF($E191&lt;=cc_D,0.0035*($E191-V$9)/$E191,0.002*($E191-V$9)/($E191-3*cc_D/7))))-fcd_cc*(1-(1-MAX(0,MIN(1,IF($E191&lt;=cc_D,0.0035*($E191-V$9)/$E191,0.002*($E191-V$9)/($E191-3*cc_D/7))/0.002)))^2)</f>
        <v/>
      </c>
      <c r="W191">
        <f>MAX(-fyd_cc,MIN(fyd_cc,Es_cc*IF($E191&lt;=cc_D,0.0035*($E191-W$9)/$E191,0.002*($E191-W$9)/($E191-3*cc_D/7))))-fcd_cc*(1-(1-MAX(0,MIN(1,IF($E191&lt;=cc_D,0.0035*($E191-W$9)/$E191,0.002*($E191-W$9)/($E191-3*cc_D/7))/0.002)))^2)</f>
        <v/>
      </c>
      <c r="X191">
        <f>MAX(-fyd_cc,MIN(fyd_cc,Es_cc*IF($E191&lt;=cc_D,0.0035*($E191-X$9)/$E191,0.002*($E191-X$9)/($E191-3*cc_D/7))))-fcd_cc*(1-(1-MAX(0,MIN(1,IF($E191&lt;=cc_D,0.0035*($E191-X$9)/$E191,0.002*($E191-X$9)/($E191-3*cc_D/7))/0.002)))^2)</f>
        <v/>
      </c>
      <c r="Y191">
        <f>MAX(-fyd_cc,MIN(fyd_cc,Es_cc*IF($E191&lt;=cc_D,0.0035*($E191-Y$9)/$E191,0.002*($E191-Y$9)/($E191-3*cc_D/7))))-fcd_cc*(1-(1-MAX(0,MIN(1,IF($E191&lt;=cc_D,0.0035*($E191-Y$9)/$E191,0.002*($E191-Y$9)/($E191-3*cc_D/7))/0.002)))^2)</f>
        <v/>
      </c>
      <c r="Z191">
        <f>MAX(-fyd_cc,MIN(fyd_cc,Es_cc*IF($E191&lt;=cc_D,0.0035*($E191-Z$9)/$E191,0.002*($E191-Z$9)/($E191-3*cc_D/7))))-fcd_cc*(1-(1-MAX(0,MIN(1,IF($E191&lt;=cc_D,0.0035*($E191-Z$9)/$E191,0.002*($E191-Z$9)/($E191-3*cc_D/7))/0.002)))^2)</f>
        <v/>
      </c>
      <c r="AA191">
        <f>MAX(-fyd_cc,MIN(fyd_cc,Es_cc*IF($E191&lt;=cc_D,0.0035*($E191-AA$9)/$E191,0.002*($E191-AA$9)/($E191-3*cc_D/7))))-fcd_cc*(1-(1-MAX(0,MIN(1,IF($E191&lt;=cc_D,0.0035*($E191-AA$9)/$E191,0.002*($E191-AA$9)/($E191-3*cc_D/7))/0.002)))^2)</f>
        <v/>
      </c>
      <c r="AB191">
        <f>MAX(-fyd_cc,MIN(fyd_cc,Es_cc*IF($E191&lt;=cc_D,0.0035*($E191-AB$9)/$E191,0.002*($E191-AB$9)/($E191-3*cc_D/7))))-fcd_cc*(1-(1-MAX(0,MIN(1,IF($E191&lt;=cc_D,0.0035*($E191-AB$9)/$E191,0.002*($E191-AB$9)/($E191-3*cc_D/7))/0.002)))^2)</f>
        <v/>
      </c>
      <c r="AC191">
        <f>MAX(-fyd_cc,MIN(fyd_cc,Es_cc*IF($E191&lt;=cc_D,0.0035*($E191-AC$9)/$E191,0.002*($E191-AC$9)/($E191-3*cc_D/7))))-fcd_cc*(1-(1-MAX(0,MIN(1,IF($E191&lt;=cc_D,0.0035*($E191-AC$9)/$E191,0.002*($E191-AC$9)/($E191-3*cc_D/7))/0.002)))^2)</f>
        <v/>
      </c>
      <c r="AD191">
        <f>MAX(-fyd_cc,MIN(fyd_cc,Es_cc*IF($E191&lt;=cc_D,0.0035*($E191-AD$9)/$E191,0.002*($E191-AD$9)/($E191-3*cc_D/7))))-fcd_cc*(1-(1-MAX(0,MIN(1,IF($E191&lt;=cc_D,0.0035*($E191-AD$9)/$E191,0.002*($E191-AD$9)/($E191-3*cc_D/7))/0.002)))^2)</f>
        <v/>
      </c>
      <c r="AE191">
        <f>MAX(-fyd_cc,MIN(fyd_cc,Es_cc*IF($E191&lt;=cc_D,0.0035*($E191-AE$9)/$E191,0.002*($E191-AE$9)/($E191-3*cc_D/7))))-fcd_cc*(1-(1-MAX(0,MIN(1,IF($E191&lt;=cc_D,0.0035*($E191-AE$9)/$E191,0.002*($E191-AE$9)/($E191-3*cc_D/7))/0.002)))^2)</f>
        <v/>
      </c>
      <c r="AF191">
        <f>MAX(-fyd_cc,MIN(fyd_cc,Es_cc*IF($E191&lt;=cc_D,0.0035*($E191-AF$9)/$E191,0.002*($E191-AF$9)/($E191-3*cc_D/7))))-fcd_cc*(1-(1-MAX(0,MIN(1,IF($E191&lt;=cc_D,0.0035*($E191-AF$9)/$E191,0.002*($E191-AF$9)/($E191-3*cc_D/7))/0.002)))^2)</f>
        <v/>
      </c>
      <c r="AG191">
        <f>MAX(-fyd_cc,MIN(fyd_cc,Es_cc*IF($E191&lt;=cc_D,0.0035*($E191-AG$9)/$E191,0.002*($E191-AG$9)/($E191-3*cc_D/7))))-fcd_cc*(1-(1-MAX(0,MIN(1,IF($E191&lt;=cc_D,0.0035*($E191-AG$9)/$E191,0.002*($E191-AG$9)/($E191-3*cc_D/7))/0.002)))^2)</f>
        <v/>
      </c>
      <c r="BF191">
        <f>3*MIN($E191,cc_D)/7</f>
        <v/>
      </c>
      <c r="BG191">
        <f>$E191-$BF191</f>
        <v/>
      </c>
      <c r="BH191">
        <f>ACOS(MAX(-1,MIN(1,1-$BF191/(cc_D/2))))</f>
        <v/>
      </c>
      <c r="BI191">
        <f>ACOS(MAX(-1,MIN(1,1-MIN($E191,cc_D)/(cc_D/2))))</f>
        <v/>
      </c>
      <c r="BJ191">
        <f>((cc_D/2*(1-COS(($BH191+0*($BI191-$BH191)/12)))-$BF191)/$BG191)^2*SIN(($BH191+0*($BI191-$BH191)/12))^2</f>
        <v/>
      </c>
      <c r="BK191">
        <f>((cc_D/2*(1-COS(($BH191+1*($BI191-$BH191)/12)))-$BF191)/$BG191)^2*SIN(($BH191+1*($BI191-$BH191)/12))^2</f>
        <v/>
      </c>
      <c r="BL191">
        <f>((cc_D/2*(1-COS(($BH191+2*($BI191-$BH191)/12)))-$BF191)/$BG191)^2*SIN(($BH191+2*($BI191-$BH191)/12))^2</f>
        <v/>
      </c>
      <c r="BM191">
        <f>((cc_D/2*(1-COS(($BH191+3*($BI191-$BH191)/12)))-$BF191)/$BG191)^2*SIN(($BH191+3*($BI191-$BH191)/12))^2</f>
        <v/>
      </c>
      <c r="BN191">
        <f>((cc_D/2*(1-COS(($BH191+4*($BI191-$BH191)/12)))-$BF191)/$BG191)^2*SIN(($BH191+4*($BI191-$BH191)/12))^2</f>
        <v/>
      </c>
      <c r="BO191">
        <f>((cc_D/2*(1-COS(($BH191+5*($BI191-$BH191)/12)))-$BF191)/$BG191)^2*SIN(($BH191+5*($BI191-$BH191)/12))^2</f>
        <v/>
      </c>
      <c r="BP191">
        <f>((cc_D/2*(1-COS(($BH191+6*($BI191-$BH191)/12)))-$BF191)/$BG191)^2*SIN(($BH191+6*($BI191-$BH191)/12))^2</f>
        <v/>
      </c>
      <c r="BQ191">
        <f>((cc_D/2*(1-COS(($BH191+7*($BI191-$BH191)/12)))-$BF191)/$BG191)^2*SIN(($BH191+7*($BI191-$BH191)/12))^2</f>
        <v/>
      </c>
      <c r="BR191">
        <f>((cc_D/2*(1-COS(($BH191+8*($BI191-$BH191)/12)))-$BF191)/$BG191)^2*SIN(($BH191+8*($BI191-$BH191)/12))^2</f>
        <v/>
      </c>
      <c r="BS191">
        <f>((cc_D/2*(1-COS(($BH191+9*($BI191-$BH191)/12)))-$BF191)/$BG191)^2*SIN(($BH191+9*($BI191-$BH191)/12))^2</f>
        <v/>
      </c>
      <c r="BT191">
        <f>((cc_D/2*(1-COS(($BH191+10*($BI191-$BH191)/12)))-$BF191)/$BG191)^2*SIN(($BH191+10*($BI191-$BH191)/12))^2</f>
        <v/>
      </c>
      <c r="BU191">
        <f>((cc_D/2*(1-COS(($BH191+11*($BI191-$BH191)/12)))-$BF191)/$BG191)^2*SIN(($BH191+11*($BI191-$BH191)/12))^2</f>
        <v/>
      </c>
      <c r="BV191">
        <f>((cc_D/2*(1-COS(($BH191+12*($BI191-$BH191)/12)))-$BF191)/$BG191)^2*SIN(($BH191+12*($BI191-$BH191)/12))^2</f>
        <v/>
      </c>
      <c r="BW191">
        <f>BJ191*COS(($BH191+0*($BI191-$BH191)/12))</f>
        <v/>
      </c>
      <c r="BX191">
        <f>BK191*COS(($BH191+1*($BI191-$BH191)/12))</f>
        <v/>
      </c>
      <c r="BY191">
        <f>BL191*COS(($BH191+2*($BI191-$BH191)/12))</f>
        <v/>
      </c>
      <c r="BZ191">
        <f>BM191*COS(($BH191+3*($BI191-$BH191)/12))</f>
        <v/>
      </c>
      <c r="CA191">
        <f>BN191*COS(($BH191+4*($BI191-$BH191)/12))</f>
        <v/>
      </c>
      <c r="CB191">
        <f>BO191*COS(($BH191+5*($BI191-$BH191)/12))</f>
        <v/>
      </c>
      <c r="CC191">
        <f>BP191*COS(($BH191+6*($BI191-$BH191)/12))</f>
        <v/>
      </c>
      <c r="CD191">
        <f>BQ191*COS(($BH191+7*($BI191-$BH191)/12))</f>
        <v/>
      </c>
      <c r="CE191">
        <f>BR191*COS(($BH191+8*($BI191-$BH191)/12))</f>
        <v/>
      </c>
      <c r="CF191">
        <f>BS191*COS(($BH191+9*($BI191-$BH191)/12))</f>
        <v/>
      </c>
      <c r="CG191">
        <f>BT191*COS(($BH191+10*($BI191-$BH191)/12))</f>
        <v/>
      </c>
      <c r="CH191">
        <f>BU191*COS(($BH191+11*($BI191-$BH191)/12))</f>
        <v/>
      </c>
      <c r="CI191">
        <f>BV191*COS(($BH191+12*($BI191-$BH191)/12))</f>
        <v/>
      </c>
    </row>
    <row r="192">
      <c r="B192" s="65" t="n">
        <v>40</v>
      </c>
      <c r="C192" s="66">
        <f>IF($G191&lt;cc_NEd-1E-9*ABS(cc_NEd),($C191+$D191)/2,$C191)</f>
        <v/>
      </c>
      <c r="D192" s="66">
        <f>IF($G191&lt;cc_NEd-1E-9*ABS(cc_NEd),$D191,($C191+$D191)/2)</f>
        <v/>
      </c>
      <c r="E192" s="67">
        <f>cc_D*(($C192+$D192)/2)/(1-(($C192+$D192)/2))</f>
        <v/>
      </c>
      <c r="F192" s="68">
        <f>IF($E192&lt;=cc_D,3.5,2*$E192/($E192-3*cc_D/7))</f>
        <v/>
      </c>
      <c r="G192" s="67">
        <f>(fcd_cc*((cc_D/2)^2*($BI192-COS($BI192)*SIN($BI192))-2*(cc_D/2)^2*($BI192-$BH192)/12/3*SUMPRODUCT($BJ$4:$BV$4,$BJ192:$BV192))+SUMPRODUCT($J$5:$AG$5,$J192:$AG192))/1000</f>
        <v/>
      </c>
      <c r="H192" s="67">
        <f>(fcd_cc*(2/3*(cc_D/2)^3*SIN($BI192)^3-2*(cc_D/2)^3*($BI192-$BH192)/12/3*SUMPRODUCT($BW$4:$CI$4,$BW192:$CI192))+SUMPRODUCT($J$5:$AG$5,$J192:$AG192,$J$10:$AG$10))/1E6</f>
        <v/>
      </c>
      <c r="I192" s="67">
        <f>SUMPRODUCT($J$5:$AG$5,$J192:$AG192,$J$11:$AG$11)/1E6</f>
        <v/>
      </c>
      <c r="J192">
        <f>MAX(-fyd_cc,MIN(fyd_cc,Es_cc*IF($E192&lt;=cc_D,0.0035*($E192-J$9)/$E192,0.002*($E192-J$9)/($E192-3*cc_D/7))))-fcd_cc*(1-(1-MAX(0,MIN(1,IF($E192&lt;=cc_D,0.0035*($E192-J$9)/$E192,0.002*($E192-J$9)/($E192-3*cc_D/7))/0.002)))^2)</f>
        <v/>
      </c>
      <c r="K192">
        <f>MAX(-fyd_cc,MIN(fyd_cc,Es_cc*IF($E192&lt;=cc_D,0.0035*($E192-K$9)/$E192,0.002*($E192-K$9)/($E192-3*cc_D/7))))-fcd_cc*(1-(1-MAX(0,MIN(1,IF($E192&lt;=cc_D,0.0035*($E192-K$9)/$E192,0.002*($E192-K$9)/($E192-3*cc_D/7))/0.002)))^2)</f>
        <v/>
      </c>
      <c r="L192">
        <f>MAX(-fyd_cc,MIN(fyd_cc,Es_cc*IF($E192&lt;=cc_D,0.0035*($E192-L$9)/$E192,0.002*($E192-L$9)/($E192-3*cc_D/7))))-fcd_cc*(1-(1-MAX(0,MIN(1,IF($E192&lt;=cc_D,0.0035*($E192-L$9)/$E192,0.002*($E192-L$9)/($E192-3*cc_D/7))/0.002)))^2)</f>
        <v/>
      </c>
      <c r="M192">
        <f>MAX(-fyd_cc,MIN(fyd_cc,Es_cc*IF($E192&lt;=cc_D,0.0035*($E192-M$9)/$E192,0.002*($E192-M$9)/($E192-3*cc_D/7))))-fcd_cc*(1-(1-MAX(0,MIN(1,IF($E192&lt;=cc_D,0.0035*($E192-M$9)/$E192,0.002*($E192-M$9)/($E192-3*cc_D/7))/0.002)))^2)</f>
        <v/>
      </c>
      <c r="N192">
        <f>MAX(-fyd_cc,MIN(fyd_cc,Es_cc*IF($E192&lt;=cc_D,0.0035*($E192-N$9)/$E192,0.002*($E192-N$9)/($E192-3*cc_D/7))))-fcd_cc*(1-(1-MAX(0,MIN(1,IF($E192&lt;=cc_D,0.0035*($E192-N$9)/$E192,0.002*($E192-N$9)/($E192-3*cc_D/7))/0.002)))^2)</f>
        <v/>
      </c>
      <c r="O192">
        <f>MAX(-fyd_cc,MIN(fyd_cc,Es_cc*IF($E192&lt;=cc_D,0.0035*($E192-O$9)/$E192,0.002*($E192-O$9)/($E192-3*cc_D/7))))-fcd_cc*(1-(1-MAX(0,MIN(1,IF($E192&lt;=cc_D,0.0035*($E192-O$9)/$E192,0.002*($E192-O$9)/($E192-3*cc_D/7))/0.002)))^2)</f>
        <v/>
      </c>
      <c r="P192">
        <f>MAX(-fyd_cc,MIN(fyd_cc,Es_cc*IF($E192&lt;=cc_D,0.0035*($E192-P$9)/$E192,0.002*($E192-P$9)/($E192-3*cc_D/7))))-fcd_cc*(1-(1-MAX(0,MIN(1,IF($E192&lt;=cc_D,0.0035*($E192-P$9)/$E192,0.002*($E192-P$9)/($E192-3*cc_D/7))/0.002)))^2)</f>
        <v/>
      </c>
      <c r="Q192">
        <f>MAX(-fyd_cc,MIN(fyd_cc,Es_cc*IF($E192&lt;=cc_D,0.0035*($E192-Q$9)/$E192,0.002*($E192-Q$9)/($E192-3*cc_D/7))))-fcd_cc*(1-(1-MAX(0,MIN(1,IF($E192&lt;=cc_D,0.0035*($E192-Q$9)/$E192,0.002*($E192-Q$9)/($E192-3*cc_D/7))/0.002)))^2)</f>
        <v/>
      </c>
      <c r="R192">
        <f>MAX(-fyd_cc,MIN(fyd_cc,Es_cc*IF($E192&lt;=cc_D,0.0035*($E192-R$9)/$E192,0.002*($E192-R$9)/($E192-3*cc_D/7))))-fcd_cc*(1-(1-MAX(0,MIN(1,IF($E192&lt;=cc_D,0.0035*($E192-R$9)/$E192,0.002*($E192-R$9)/($E192-3*cc_D/7))/0.002)))^2)</f>
        <v/>
      </c>
      <c r="S192">
        <f>MAX(-fyd_cc,MIN(fyd_cc,Es_cc*IF($E192&lt;=cc_D,0.0035*($E192-S$9)/$E192,0.002*($E192-S$9)/($E192-3*cc_D/7))))-fcd_cc*(1-(1-MAX(0,MIN(1,IF($E192&lt;=cc_D,0.0035*($E192-S$9)/$E192,0.002*($E192-S$9)/($E192-3*cc_D/7))/0.002)))^2)</f>
        <v/>
      </c>
      <c r="T192">
        <f>MAX(-fyd_cc,MIN(fyd_cc,Es_cc*IF($E192&lt;=cc_D,0.0035*($E192-T$9)/$E192,0.002*($E192-T$9)/($E192-3*cc_D/7))))-fcd_cc*(1-(1-MAX(0,MIN(1,IF($E192&lt;=cc_D,0.0035*($E192-T$9)/$E192,0.002*($E192-T$9)/($E192-3*cc_D/7))/0.002)))^2)</f>
        <v/>
      </c>
      <c r="U192">
        <f>MAX(-fyd_cc,MIN(fyd_cc,Es_cc*IF($E192&lt;=cc_D,0.0035*($E192-U$9)/$E192,0.002*($E192-U$9)/($E192-3*cc_D/7))))-fcd_cc*(1-(1-MAX(0,MIN(1,IF($E192&lt;=cc_D,0.0035*($E192-U$9)/$E192,0.002*($E192-U$9)/($E192-3*cc_D/7))/0.002)))^2)</f>
        <v/>
      </c>
      <c r="V192">
        <f>MAX(-fyd_cc,MIN(fyd_cc,Es_cc*IF($E192&lt;=cc_D,0.0035*($E192-V$9)/$E192,0.002*($E192-V$9)/($E192-3*cc_D/7))))-fcd_cc*(1-(1-MAX(0,MIN(1,IF($E192&lt;=cc_D,0.0035*($E192-V$9)/$E192,0.002*($E192-V$9)/($E192-3*cc_D/7))/0.002)))^2)</f>
        <v/>
      </c>
      <c r="W192">
        <f>MAX(-fyd_cc,MIN(fyd_cc,Es_cc*IF($E192&lt;=cc_D,0.0035*($E192-W$9)/$E192,0.002*($E192-W$9)/($E192-3*cc_D/7))))-fcd_cc*(1-(1-MAX(0,MIN(1,IF($E192&lt;=cc_D,0.0035*($E192-W$9)/$E192,0.002*($E192-W$9)/($E192-3*cc_D/7))/0.002)))^2)</f>
        <v/>
      </c>
      <c r="X192">
        <f>MAX(-fyd_cc,MIN(fyd_cc,Es_cc*IF($E192&lt;=cc_D,0.0035*($E192-X$9)/$E192,0.002*($E192-X$9)/($E192-3*cc_D/7))))-fcd_cc*(1-(1-MAX(0,MIN(1,IF($E192&lt;=cc_D,0.0035*($E192-X$9)/$E192,0.002*($E192-X$9)/($E192-3*cc_D/7))/0.002)))^2)</f>
        <v/>
      </c>
      <c r="Y192">
        <f>MAX(-fyd_cc,MIN(fyd_cc,Es_cc*IF($E192&lt;=cc_D,0.0035*($E192-Y$9)/$E192,0.002*($E192-Y$9)/($E192-3*cc_D/7))))-fcd_cc*(1-(1-MAX(0,MIN(1,IF($E192&lt;=cc_D,0.0035*($E192-Y$9)/$E192,0.002*($E192-Y$9)/($E192-3*cc_D/7))/0.002)))^2)</f>
        <v/>
      </c>
      <c r="Z192">
        <f>MAX(-fyd_cc,MIN(fyd_cc,Es_cc*IF($E192&lt;=cc_D,0.0035*($E192-Z$9)/$E192,0.002*($E192-Z$9)/($E192-3*cc_D/7))))-fcd_cc*(1-(1-MAX(0,MIN(1,IF($E192&lt;=cc_D,0.0035*($E192-Z$9)/$E192,0.002*($E192-Z$9)/($E192-3*cc_D/7))/0.002)))^2)</f>
        <v/>
      </c>
      <c r="AA192">
        <f>MAX(-fyd_cc,MIN(fyd_cc,Es_cc*IF($E192&lt;=cc_D,0.0035*($E192-AA$9)/$E192,0.002*($E192-AA$9)/($E192-3*cc_D/7))))-fcd_cc*(1-(1-MAX(0,MIN(1,IF($E192&lt;=cc_D,0.0035*($E192-AA$9)/$E192,0.002*($E192-AA$9)/($E192-3*cc_D/7))/0.002)))^2)</f>
        <v/>
      </c>
      <c r="AB192">
        <f>MAX(-fyd_cc,MIN(fyd_cc,Es_cc*IF($E192&lt;=cc_D,0.0035*($E192-AB$9)/$E192,0.002*($E192-AB$9)/($E192-3*cc_D/7))))-fcd_cc*(1-(1-MAX(0,MIN(1,IF($E192&lt;=cc_D,0.0035*($E192-AB$9)/$E192,0.002*($E192-AB$9)/($E192-3*cc_D/7))/0.002)))^2)</f>
        <v/>
      </c>
      <c r="AC192">
        <f>MAX(-fyd_cc,MIN(fyd_cc,Es_cc*IF($E192&lt;=cc_D,0.0035*($E192-AC$9)/$E192,0.002*($E192-AC$9)/($E192-3*cc_D/7))))-fcd_cc*(1-(1-MAX(0,MIN(1,IF($E192&lt;=cc_D,0.0035*($E192-AC$9)/$E192,0.002*($E192-AC$9)/($E192-3*cc_D/7))/0.002)))^2)</f>
        <v/>
      </c>
      <c r="AD192">
        <f>MAX(-fyd_cc,MIN(fyd_cc,Es_cc*IF($E192&lt;=cc_D,0.0035*($E192-AD$9)/$E192,0.002*($E192-AD$9)/($E192-3*cc_D/7))))-fcd_cc*(1-(1-MAX(0,MIN(1,IF($E192&lt;=cc_D,0.0035*($E192-AD$9)/$E192,0.002*($E192-AD$9)/($E192-3*cc_D/7))/0.002)))^2)</f>
        <v/>
      </c>
      <c r="AE192">
        <f>MAX(-fyd_cc,MIN(fyd_cc,Es_cc*IF($E192&lt;=cc_D,0.0035*($E192-AE$9)/$E192,0.002*($E192-AE$9)/($E192-3*cc_D/7))))-fcd_cc*(1-(1-MAX(0,MIN(1,IF($E192&lt;=cc_D,0.0035*($E192-AE$9)/$E192,0.002*($E192-AE$9)/($E192-3*cc_D/7))/0.002)))^2)</f>
        <v/>
      </c>
      <c r="AF192">
        <f>MAX(-fyd_cc,MIN(fyd_cc,Es_cc*IF($E192&lt;=cc_D,0.0035*($E192-AF$9)/$E192,0.002*($E192-AF$9)/($E192-3*cc_D/7))))-fcd_cc*(1-(1-MAX(0,MIN(1,IF($E192&lt;=cc_D,0.0035*($E192-AF$9)/$E192,0.002*($E192-AF$9)/($E192-3*cc_D/7))/0.002)))^2)</f>
        <v/>
      </c>
      <c r="AG192">
        <f>MAX(-fyd_cc,MIN(fyd_cc,Es_cc*IF($E192&lt;=cc_D,0.0035*($E192-AG$9)/$E192,0.002*($E192-AG$9)/($E192-3*cc_D/7))))-fcd_cc*(1-(1-MAX(0,MIN(1,IF($E192&lt;=cc_D,0.0035*($E192-AG$9)/$E192,0.002*($E192-AG$9)/($E192-3*cc_D/7))/0.002)))^2)</f>
        <v/>
      </c>
      <c r="BF192">
        <f>3*MIN($E192,cc_D)/7</f>
        <v/>
      </c>
      <c r="BG192">
        <f>$E192-$BF192</f>
        <v/>
      </c>
      <c r="BH192">
        <f>ACOS(MAX(-1,MIN(1,1-$BF192/(cc_D/2))))</f>
        <v/>
      </c>
      <c r="BI192">
        <f>ACOS(MAX(-1,MIN(1,1-MIN($E192,cc_D)/(cc_D/2))))</f>
        <v/>
      </c>
      <c r="BJ192">
        <f>((cc_D/2*(1-COS(($BH192+0*($BI192-$BH192)/12)))-$BF192)/$BG192)^2*SIN(($BH192+0*($BI192-$BH192)/12))^2</f>
        <v/>
      </c>
      <c r="BK192">
        <f>((cc_D/2*(1-COS(($BH192+1*($BI192-$BH192)/12)))-$BF192)/$BG192)^2*SIN(($BH192+1*($BI192-$BH192)/12))^2</f>
        <v/>
      </c>
      <c r="BL192">
        <f>((cc_D/2*(1-COS(($BH192+2*($BI192-$BH192)/12)))-$BF192)/$BG192)^2*SIN(($BH192+2*($BI192-$BH192)/12))^2</f>
        <v/>
      </c>
      <c r="BM192">
        <f>((cc_D/2*(1-COS(($BH192+3*($BI192-$BH192)/12)))-$BF192)/$BG192)^2*SIN(($BH192+3*($BI192-$BH192)/12))^2</f>
        <v/>
      </c>
      <c r="BN192">
        <f>((cc_D/2*(1-COS(($BH192+4*($BI192-$BH192)/12)))-$BF192)/$BG192)^2*SIN(($BH192+4*($BI192-$BH192)/12))^2</f>
        <v/>
      </c>
      <c r="BO192">
        <f>((cc_D/2*(1-COS(($BH192+5*($BI192-$BH192)/12)))-$BF192)/$BG192)^2*SIN(($BH192+5*($BI192-$BH192)/12))^2</f>
        <v/>
      </c>
      <c r="BP192">
        <f>((cc_D/2*(1-COS(($BH192+6*($BI192-$BH192)/12)))-$BF192)/$BG192)^2*SIN(($BH192+6*($BI192-$BH192)/12))^2</f>
        <v/>
      </c>
      <c r="BQ192">
        <f>((cc_D/2*(1-COS(($BH192+7*($BI192-$BH192)/12)))-$BF192)/$BG192)^2*SIN(($BH192+7*($BI192-$BH192)/12))^2</f>
        <v/>
      </c>
      <c r="BR192">
        <f>((cc_D/2*(1-COS(($BH192+8*($BI192-$BH192)/12)))-$BF192)/$BG192)^2*SIN(($BH192+8*($BI192-$BH192)/12))^2</f>
        <v/>
      </c>
      <c r="BS192">
        <f>((cc_D/2*(1-COS(($BH192+9*($BI192-$BH192)/12)))-$BF192)/$BG192)^2*SIN(($BH192+9*($BI192-$BH192)/12))^2</f>
        <v/>
      </c>
      <c r="BT192">
        <f>((cc_D/2*(1-COS(($BH192+10*($BI192-$BH192)/12)))-$BF192)/$BG192)^2*SIN(($BH192+10*($BI192-$BH192)/12))^2</f>
        <v/>
      </c>
      <c r="BU192">
        <f>((cc_D/2*(1-COS(($BH192+11*($BI192-$BH192)/12)))-$BF192)/$BG192)^2*SIN(($BH192+11*($BI192-$BH192)/12))^2</f>
        <v/>
      </c>
      <c r="BV192">
        <f>((cc_D/2*(1-COS(($BH192+12*($BI192-$BH192)/12)))-$BF192)/$BG192)^2*SIN(($BH192+12*($BI192-$BH192)/12))^2</f>
        <v/>
      </c>
      <c r="BW192">
        <f>BJ192*COS(($BH192+0*($BI192-$BH192)/12))</f>
        <v/>
      </c>
      <c r="BX192">
        <f>BK192*COS(($BH192+1*($BI192-$BH192)/12))</f>
        <v/>
      </c>
      <c r="BY192">
        <f>BL192*COS(($BH192+2*($BI192-$BH192)/12))</f>
        <v/>
      </c>
      <c r="BZ192">
        <f>BM192*COS(($BH192+3*($BI192-$BH192)/12))</f>
        <v/>
      </c>
      <c r="CA192">
        <f>BN192*COS(($BH192+4*($BI192-$BH192)/12))</f>
        <v/>
      </c>
      <c r="CB192">
        <f>BO192*COS(($BH192+5*($BI192-$BH192)/12))</f>
        <v/>
      </c>
      <c r="CC192">
        <f>BP192*COS(($BH192+6*($BI192-$BH192)/12))</f>
        <v/>
      </c>
      <c r="CD192">
        <f>BQ192*COS(($BH192+7*($BI192-$BH192)/12))</f>
        <v/>
      </c>
      <c r="CE192">
        <f>BR192*COS(($BH192+8*($BI192-$BH192)/12))</f>
        <v/>
      </c>
      <c r="CF192">
        <f>BS192*COS(($BH192+9*($BI192-$BH192)/12))</f>
        <v/>
      </c>
      <c r="CG192">
        <f>BT192*COS(($BH192+10*($BI192-$BH192)/12))</f>
        <v/>
      </c>
      <c r="CH192">
        <f>BU192*COS(($BH192+11*($BI192-$BH192)/12))</f>
        <v/>
      </c>
      <c r="CI192">
        <f>BV192*COS(($BH192+12*($BI192-$BH192)/12))</f>
        <v/>
      </c>
    </row>
    <row r="193">
      <c r="B193" s="65" t="n">
        <v>41</v>
      </c>
      <c r="C193" s="66">
        <f>IF($G192&lt;cc_NEd-1E-9*ABS(cc_NEd),($C192+$D192)/2,$C192)</f>
        <v/>
      </c>
      <c r="D193" s="66">
        <f>IF($G192&lt;cc_NEd-1E-9*ABS(cc_NEd),$D192,($C192+$D192)/2)</f>
        <v/>
      </c>
      <c r="E193" s="67">
        <f>cc_D*(($C193+$D193)/2)/(1-(($C193+$D193)/2))</f>
        <v/>
      </c>
      <c r="F193" s="68">
        <f>IF($E193&lt;=cc_D,3.5,2*$E193/($E193-3*cc_D/7))</f>
        <v/>
      </c>
      <c r="G193" s="67">
        <f>(fcd_cc*((cc_D/2)^2*($BI193-COS($BI193)*SIN($BI193))-2*(cc_D/2)^2*($BI193-$BH193)/12/3*SUMPRODUCT($BJ$4:$BV$4,$BJ193:$BV193))+SUMPRODUCT($J$5:$AG$5,$J193:$AG193))/1000</f>
        <v/>
      </c>
      <c r="H193" s="67">
        <f>(fcd_cc*(2/3*(cc_D/2)^3*SIN($BI193)^3-2*(cc_D/2)^3*($BI193-$BH193)/12/3*SUMPRODUCT($BW$4:$CI$4,$BW193:$CI193))+SUMPRODUCT($J$5:$AG$5,$J193:$AG193,$J$10:$AG$10))/1E6</f>
        <v/>
      </c>
      <c r="I193" s="67">
        <f>SUMPRODUCT($J$5:$AG$5,$J193:$AG193,$J$11:$AG$11)/1E6</f>
        <v/>
      </c>
      <c r="J193">
        <f>MAX(-fyd_cc,MIN(fyd_cc,Es_cc*IF($E193&lt;=cc_D,0.0035*($E193-J$9)/$E193,0.002*($E193-J$9)/($E193-3*cc_D/7))))-fcd_cc*(1-(1-MAX(0,MIN(1,IF($E193&lt;=cc_D,0.0035*($E193-J$9)/$E193,0.002*($E193-J$9)/($E193-3*cc_D/7))/0.002)))^2)</f>
        <v/>
      </c>
      <c r="K193">
        <f>MAX(-fyd_cc,MIN(fyd_cc,Es_cc*IF($E193&lt;=cc_D,0.0035*($E193-K$9)/$E193,0.002*($E193-K$9)/($E193-3*cc_D/7))))-fcd_cc*(1-(1-MAX(0,MIN(1,IF($E193&lt;=cc_D,0.0035*($E193-K$9)/$E193,0.002*($E193-K$9)/($E193-3*cc_D/7))/0.002)))^2)</f>
        <v/>
      </c>
      <c r="L193">
        <f>MAX(-fyd_cc,MIN(fyd_cc,Es_cc*IF($E193&lt;=cc_D,0.0035*($E193-L$9)/$E193,0.002*($E193-L$9)/($E193-3*cc_D/7))))-fcd_cc*(1-(1-MAX(0,MIN(1,IF($E193&lt;=cc_D,0.0035*($E193-L$9)/$E193,0.002*($E193-L$9)/($E193-3*cc_D/7))/0.002)))^2)</f>
        <v/>
      </c>
      <c r="M193">
        <f>MAX(-fyd_cc,MIN(fyd_cc,Es_cc*IF($E193&lt;=cc_D,0.0035*($E193-M$9)/$E193,0.002*($E193-M$9)/($E193-3*cc_D/7))))-fcd_cc*(1-(1-MAX(0,MIN(1,IF($E193&lt;=cc_D,0.0035*($E193-M$9)/$E193,0.002*($E193-M$9)/($E193-3*cc_D/7))/0.002)))^2)</f>
        <v/>
      </c>
      <c r="N193">
        <f>MAX(-fyd_cc,MIN(fyd_cc,Es_cc*IF($E193&lt;=cc_D,0.0035*($E193-N$9)/$E193,0.002*($E193-N$9)/($E193-3*cc_D/7))))-fcd_cc*(1-(1-MAX(0,MIN(1,IF($E193&lt;=cc_D,0.0035*($E193-N$9)/$E193,0.002*($E193-N$9)/($E193-3*cc_D/7))/0.002)))^2)</f>
        <v/>
      </c>
      <c r="O193">
        <f>MAX(-fyd_cc,MIN(fyd_cc,Es_cc*IF($E193&lt;=cc_D,0.0035*($E193-O$9)/$E193,0.002*($E193-O$9)/($E193-3*cc_D/7))))-fcd_cc*(1-(1-MAX(0,MIN(1,IF($E193&lt;=cc_D,0.0035*($E193-O$9)/$E193,0.002*($E193-O$9)/($E193-3*cc_D/7))/0.002)))^2)</f>
        <v/>
      </c>
      <c r="P193">
        <f>MAX(-fyd_cc,MIN(fyd_cc,Es_cc*IF($E193&lt;=cc_D,0.0035*($E193-P$9)/$E193,0.002*($E193-P$9)/($E193-3*cc_D/7))))-fcd_cc*(1-(1-MAX(0,MIN(1,IF($E193&lt;=cc_D,0.0035*($E193-P$9)/$E193,0.002*($E193-P$9)/($E193-3*cc_D/7))/0.002)))^2)</f>
        <v/>
      </c>
      <c r="Q193">
        <f>MAX(-fyd_cc,MIN(fyd_cc,Es_cc*IF($E193&lt;=cc_D,0.0035*($E193-Q$9)/$E193,0.002*($E193-Q$9)/($E193-3*cc_D/7))))-fcd_cc*(1-(1-MAX(0,MIN(1,IF($E193&lt;=cc_D,0.0035*($E193-Q$9)/$E193,0.002*($E193-Q$9)/($E193-3*cc_D/7))/0.002)))^2)</f>
        <v/>
      </c>
      <c r="R193">
        <f>MAX(-fyd_cc,MIN(fyd_cc,Es_cc*IF($E193&lt;=cc_D,0.0035*($E193-R$9)/$E193,0.002*($E193-R$9)/($E193-3*cc_D/7))))-fcd_cc*(1-(1-MAX(0,MIN(1,IF($E193&lt;=cc_D,0.0035*($E193-R$9)/$E193,0.002*($E193-R$9)/($E193-3*cc_D/7))/0.002)))^2)</f>
        <v/>
      </c>
      <c r="S193">
        <f>MAX(-fyd_cc,MIN(fyd_cc,Es_cc*IF($E193&lt;=cc_D,0.0035*($E193-S$9)/$E193,0.002*($E193-S$9)/($E193-3*cc_D/7))))-fcd_cc*(1-(1-MAX(0,MIN(1,IF($E193&lt;=cc_D,0.0035*($E193-S$9)/$E193,0.002*($E193-S$9)/($E193-3*cc_D/7))/0.002)))^2)</f>
        <v/>
      </c>
      <c r="T193">
        <f>MAX(-fyd_cc,MIN(fyd_cc,Es_cc*IF($E193&lt;=cc_D,0.0035*($E193-T$9)/$E193,0.002*($E193-T$9)/($E193-3*cc_D/7))))-fcd_cc*(1-(1-MAX(0,MIN(1,IF($E193&lt;=cc_D,0.0035*($E193-T$9)/$E193,0.002*($E193-T$9)/($E193-3*cc_D/7))/0.002)))^2)</f>
        <v/>
      </c>
      <c r="U193">
        <f>MAX(-fyd_cc,MIN(fyd_cc,Es_cc*IF($E193&lt;=cc_D,0.0035*($E193-U$9)/$E193,0.002*($E193-U$9)/($E193-3*cc_D/7))))-fcd_cc*(1-(1-MAX(0,MIN(1,IF($E193&lt;=cc_D,0.0035*($E193-U$9)/$E193,0.002*($E193-U$9)/($E193-3*cc_D/7))/0.002)))^2)</f>
        <v/>
      </c>
      <c r="V193">
        <f>MAX(-fyd_cc,MIN(fyd_cc,Es_cc*IF($E193&lt;=cc_D,0.0035*($E193-V$9)/$E193,0.002*($E193-V$9)/($E193-3*cc_D/7))))-fcd_cc*(1-(1-MAX(0,MIN(1,IF($E193&lt;=cc_D,0.0035*($E193-V$9)/$E193,0.002*($E193-V$9)/($E193-3*cc_D/7))/0.002)))^2)</f>
        <v/>
      </c>
      <c r="W193">
        <f>MAX(-fyd_cc,MIN(fyd_cc,Es_cc*IF($E193&lt;=cc_D,0.0035*($E193-W$9)/$E193,0.002*($E193-W$9)/($E193-3*cc_D/7))))-fcd_cc*(1-(1-MAX(0,MIN(1,IF($E193&lt;=cc_D,0.0035*($E193-W$9)/$E193,0.002*($E193-W$9)/($E193-3*cc_D/7))/0.002)))^2)</f>
        <v/>
      </c>
      <c r="X193">
        <f>MAX(-fyd_cc,MIN(fyd_cc,Es_cc*IF($E193&lt;=cc_D,0.0035*($E193-X$9)/$E193,0.002*($E193-X$9)/($E193-3*cc_D/7))))-fcd_cc*(1-(1-MAX(0,MIN(1,IF($E193&lt;=cc_D,0.0035*($E193-X$9)/$E193,0.002*($E193-X$9)/($E193-3*cc_D/7))/0.002)))^2)</f>
        <v/>
      </c>
      <c r="Y193">
        <f>MAX(-fyd_cc,MIN(fyd_cc,Es_cc*IF($E193&lt;=cc_D,0.0035*($E193-Y$9)/$E193,0.002*($E193-Y$9)/($E193-3*cc_D/7))))-fcd_cc*(1-(1-MAX(0,MIN(1,IF($E193&lt;=cc_D,0.0035*($E193-Y$9)/$E193,0.002*($E193-Y$9)/($E193-3*cc_D/7))/0.002)))^2)</f>
        <v/>
      </c>
      <c r="Z193">
        <f>MAX(-fyd_cc,MIN(fyd_cc,Es_cc*IF($E193&lt;=cc_D,0.0035*($E193-Z$9)/$E193,0.002*($E193-Z$9)/($E193-3*cc_D/7))))-fcd_cc*(1-(1-MAX(0,MIN(1,IF($E193&lt;=cc_D,0.0035*($E193-Z$9)/$E193,0.002*($E193-Z$9)/($E193-3*cc_D/7))/0.002)))^2)</f>
        <v/>
      </c>
      <c r="AA193">
        <f>MAX(-fyd_cc,MIN(fyd_cc,Es_cc*IF($E193&lt;=cc_D,0.0035*($E193-AA$9)/$E193,0.002*($E193-AA$9)/($E193-3*cc_D/7))))-fcd_cc*(1-(1-MAX(0,MIN(1,IF($E193&lt;=cc_D,0.0035*($E193-AA$9)/$E193,0.002*($E193-AA$9)/($E193-3*cc_D/7))/0.002)))^2)</f>
        <v/>
      </c>
      <c r="AB193">
        <f>MAX(-fyd_cc,MIN(fyd_cc,Es_cc*IF($E193&lt;=cc_D,0.0035*($E193-AB$9)/$E193,0.002*($E193-AB$9)/($E193-3*cc_D/7))))-fcd_cc*(1-(1-MAX(0,MIN(1,IF($E193&lt;=cc_D,0.0035*($E193-AB$9)/$E193,0.002*($E193-AB$9)/($E193-3*cc_D/7))/0.002)))^2)</f>
        <v/>
      </c>
      <c r="AC193">
        <f>MAX(-fyd_cc,MIN(fyd_cc,Es_cc*IF($E193&lt;=cc_D,0.0035*($E193-AC$9)/$E193,0.002*($E193-AC$9)/($E193-3*cc_D/7))))-fcd_cc*(1-(1-MAX(0,MIN(1,IF($E193&lt;=cc_D,0.0035*($E193-AC$9)/$E193,0.002*($E193-AC$9)/($E193-3*cc_D/7))/0.002)))^2)</f>
        <v/>
      </c>
      <c r="AD193">
        <f>MAX(-fyd_cc,MIN(fyd_cc,Es_cc*IF($E193&lt;=cc_D,0.0035*($E193-AD$9)/$E193,0.002*($E193-AD$9)/($E193-3*cc_D/7))))-fcd_cc*(1-(1-MAX(0,MIN(1,IF($E193&lt;=cc_D,0.0035*($E193-AD$9)/$E193,0.002*($E193-AD$9)/($E193-3*cc_D/7))/0.002)))^2)</f>
        <v/>
      </c>
      <c r="AE193">
        <f>MAX(-fyd_cc,MIN(fyd_cc,Es_cc*IF($E193&lt;=cc_D,0.0035*($E193-AE$9)/$E193,0.002*($E193-AE$9)/($E193-3*cc_D/7))))-fcd_cc*(1-(1-MAX(0,MIN(1,IF($E193&lt;=cc_D,0.0035*($E193-AE$9)/$E193,0.002*($E193-AE$9)/($E193-3*cc_D/7))/0.002)))^2)</f>
        <v/>
      </c>
      <c r="AF193">
        <f>MAX(-fyd_cc,MIN(fyd_cc,Es_cc*IF($E193&lt;=cc_D,0.0035*($E193-AF$9)/$E193,0.002*($E193-AF$9)/($E193-3*cc_D/7))))-fcd_cc*(1-(1-MAX(0,MIN(1,IF($E193&lt;=cc_D,0.0035*($E193-AF$9)/$E193,0.002*($E193-AF$9)/($E193-3*cc_D/7))/0.002)))^2)</f>
        <v/>
      </c>
      <c r="AG193">
        <f>MAX(-fyd_cc,MIN(fyd_cc,Es_cc*IF($E193&lt;=cc_D,0.0035*($E193-AG$9)/$E193,0.002*($E193-AG$9)/($E193-3*cc_D/7))))-fcd_cc*(1-(1-MAX(0,MIN(1,IF($E193&lt;=cc_D,0.0035*($E193-AG$9)/$E193,0.002*($E193-AG$9)/($E193-3*cc_D/7))/0.002)))^2)</f>
        <v/>
      </c>
      <c r="BF193">
        <f>3*MIN($E193,cc_D)/7</f>
        <v/>
      </c>
      <c r="BG193">
        <f>$E193-$BF193</f>
        <v/>
      </c>
      <c r="BH193">
        <f>ACOS(MAX(-1,MIN(1,1-$BF193/(cc_D/2))))</f>
        <v/>
      </c>
      <c r="BI193">
        <f>ACOS(MAX(-1,MIN(1,1-MIN($E193,cc_D)/(cc_D/2))))</f>
        <v/>
      </c>
      <c r="BJ193">
        <f>((cc_D/2*(1-COS(($BH193+0*($BI193-$BH193)/12)))-$BF193)/$BG193)^2*SIN(($BH193+0*($BI193-$BH193)/12))^2</f>
        <v/>
      </c>
      <c r="BK193">
        <f>((cc_D/2*(1-COS(($BH193+1*($BI193-$BH193)/12)))-$BF193)/$BG193)^2*SIN(($BH193+1*($BI193-$BH193)/12))^2</f>
        <v/>
      </c>
      <c r="BL193">
        <f>((cc_D/2*(1-COS(($BH193+2*($BI193-$BH193)/12)))-$BF193)/$BG193)^2*SIN(($BH193+2*($BI193-$BH193)/12))^2</f>
        <v/>
      </c>
      <c r="BM193">
        <f>((cc_D/2*(1-COS(($BH193+3*($BI193-$BH193)/12)))-$BF193)/$BG193)^2*SIN(($BH193+3*($BI193-$BH193)/12))^2</f>
        <v/>
      </c>
      <c r="BN193">
        <f>((cc_D/2*(1-COS(($BH193+4*($BI193-$BH193)/12)))-$BF193)/$BG193)^2*SIN(($BH193+4*($BI193-$BH193)/12))^2</f>
        <v/>
      </c>
      <c r="BO193">
        <f>((cc_D/2*(1-COS(($BH193+5*($BI193-$BH193)/12)))-$BF193)/$BG193)^2*SIN(($BH193+5*($BI193-$BH193)/12))^2</f>
        <v/>
      </c>
      <c r="BP193">
        <f>((cc_D/2*(1-COS(($BH193+6*($BI193-$BH193)/12)))-$BF193)/$BG193)^2*SIN(($BH193+6*($BI193-$BH193)/12))^2</f>
        <v/>
      </c>
      <c r="BQ193">
        <f>((cc_D/2*(1-COS(($BH193+7*($BI193-$BH193)/12)))-$BF193)/$BG193)^2*SIN(($BH193+7*($BI193-$BH193)/12))^2</f>
        <v/>
      </c>
      <c r="BR193">
        <f>((cc_D/2*(1-COS(($BH193+8*($BI193-$BH193)/12)))-$BF193)/$BG193)^2*SIN(($BH193+8*($BI193-$BH193)/12))^2</f>
        <v/>
      </c>
      <c r="BS193">
        <f>((cc_D/2*(1-COS(($BH193+9*($BI193-$BH193)/12)))-$BF193)/$BG193)^2*SIN(($BH193+9*($BI193-$BH193)/12))^2</f>
        <v/>
      </c>
      <c r="BT193">
        <f>((cc_D/2*(1-COS(($BH193+10*($BI193-$BH193)/12)))-$BF193)/$BG193)^2*SIN(($BH193+10*($BI193-$BH193)/12))^2</f>
        <v/>
      </c>
      <c r="BU193">
        <f>((cc_D/2*(1-COS(($BH193+11*($BI193-$BH193)/12)))-$BF193)/$BG193)^2*SIN(($BH193+11*($BI193-$BH193)/12))^2</f>
        <v/>
      </c>
      <c r="BV193">
        <f>((cc_D/2*(1-COS(($BH193+12*($BI193-$BH193)/12)))-$BF193)/$BG193)^2*SIN(($BH193+12*($BI193-$BH193)/12))^2</f>
        <v/>
      </c>
      <c r="BW193">
        <f>BJ193*COS(($BH193+0*($BI193-$BH193)/12))</f>
        <v/>
      </c>
      <c r="BX193">
        <f>BK193*COS(($BH193+1*($BI193-$BH193)/12))</f>
        <v/>
      </c>
      <c r="BY193">
        <f>BL193*COS(($BH193+2*($BI193-$BH193)/12))</f>
        <v/>
      </c>
      <c r="BZ193">
        <f>BM193*COS(($BH193+3*($BI193-$BH193)/12))</f>
        <v/>
      </c>
      <c r="CA193">
        <f>BN193*COS(($BH193+4*($BI193-$BH193)/12))</f>
        <v/>
      </c>
      <c r="CB193">
        <f>BO193*COS(($BH193+5*($BI193-$BH193)/12))</f>
        <v/>
      </c>
      <c r="CC193">
        <f>BP193*COS(($BH193+6*($BI193-$BH193)/12))</f>
        <v/>
      </c>
      <c r="CD193">
        <f>BQ193*COS(($BH193+7*($BI193-$BH193)/12))</f>
        <v/>
      </c>
      <c r="CE193">
        <f>BR193*COS(($BH193+8*($BI193-$BH193)/12))</f>
        <v/>
      </c>
      <c r="CF193">
        <f>BS193*COS(($BH193+9*($BI193-$BH193)/12))</f>
        <v/>
      </c>
      <c r="CG193">
        <f>BT193*COS(($BH193+10*($BI193-$BH193)/12))</f>
        <v/>
      </c>
      <c r="CH193">
        <f>BU193*COS(($BH193+11*($BI193-$BH193)/12))</f>
        <v/>
      </c>
      <c r="CI193">
        <f>BV193*COS(($BH193+12*($BI193-$BH193)/12))</f>
        <v/>
      </c>
    </row>
    <row r="194">
      <c r="B194" s="65" t="n">
        <v>42</v>
      </c>
      <c r="C194" s="66">
        <f>IF($G193&lt;cc_NEd-1E-9*ABS(cc_NEd),($C193+$D193)/2,$C193)</f>
        <v/>
      </c>
      <c r="D194" s="66">
        <f>IF($G193&lt;cc_NEd-1E-9*ABS(cc_NEd),$D193,($C193+$D193)/2)</f>
        <v/>
      </c>
      <c r="E194" s="67">
        <f>cc_D*(($C194+$D194)/2)/(1-(($C194+$D194)/2))</f>
        <v/>
      </c>
      <c r="F194" s="68">
        <f>IF($E194&lt;=cc_D,3.5,2*$E194/($E194-3*cc_D/7))</f>
        <v/>
      </c>
      <c r="G194" s="67">
        <f>(fcd_cc*((cc_D/2)^2*($BI194-COS($BI194)*SIN($BI194))-2*(cc_D/2)^2*($BI194-$BH194)/12/3*SUMPRODUCT($BJ$4:$BV$4,$BJ194:$BV194))+SUMPRODUCT($J$5:$AG$5,$J194:$AG194))/1000</f>
        <v/>
      </c>
      <c r="H194" s="67">
        <f>(fcd_cc*(2/3*(cc_D/2)^3*SIN($BI194)^3-2*(cc_D/2)^3*($BI194-$BH194)/12/3*SUMPRODUCT($BW$4:$CI$4,$BW194:$CI194))+SUMPRODUCT($J$5:$AG$5,$J194:$AG194,$J$10:$AG$10))/1E6</f>
        <v/>
      </c>
      <c r="I194" s="67">
        <f>SUMPRODUCT($J$5:$AG$5,$J194:$AG194,$J$11:$AG$11)/1E6</f>
        <v/>
      </c>
      <c r="J194">
        <f>MAX(-fyd_cc,MIN(fyd_cc,Es_cc*IF($E194&lt;=cc_D,0.0035*($E194-J$9)/$E194,0.002*($E194-J$9)/($E194-3*cc_D/7))))-fcd_cc*(1-(1-MAX(0,MIN(1,IF($E194&lt;=cc_D,0.0035*($E194-J$9)/$E194,0.002*($E194-J$9)/($E194-3*cc_D/7))/0.002)))^2)</f>
        <v/>
      </c>
      <c r="K194">
        <f>MAX(-fyd_cc,MIN(fyd_cc,Es_cc*IF($E194&lt;=cc_D,0.0035*($E194-K$9)/$E194,0.002*($E194-K$9)/($E194-3*cc_D/7))))-fcd_cc*(1-(1-MAX(0,MIN(1,IF($E194&lt;=cc_D,0.0035*($E194-K$9)/$E194,0.002*($E194-K$9)/($E194-3*cc_D/7))/0.002)))^2)</f>
        <v/>
      </c>
      <c r="L194">
        <f>MAX(-fyd_cc,MIN(fyd_cc,Es_cc*IF($E194&lt;=cc_D,0.0035*($E194-L$9)/$E194,0.002*($E194-L$9)/($E194-3*cc_D/7))))-fcd_cc*(1-(1-MAX(0,MIN(1,IF($E194&lt;=cc_D,0.0035*($E194-L$9)/$E194,0.002*($E194-L$9)/($E194-3*cc_D/7))/0.002)))^2)</f>
        <v/>
      </c>
      <c r="M194">
        <f>MAX(-fyd_cc,MIN(fyd_cc,Es_cc*IF($E194&lt;=cc_D,0.0035*($E194-M$9)/$E194,0.002*($E194-M$9)/($E194-3*cc_D/7))))-fcd_cc*(1-(1-MAX(0,MIN(1,IF($E194&lt;=cc_D,0.0035*($E194-M$9)/$E194,0.002*($E194-M$9)/($E194-3*cc_D/7))/0.002)))^2)</f>
        <v/>
      </c>
      <c r="N194">
        <f>MAX(-fyd_cc,MIN(fyd_cc,Es_cc*IF($E194&lt;=cc_D,0.0035*($E194-N$9)/$E194,0.002*($E194-N$9)/($E194-3*cc_D/7))))-fcd_cc*(1-(1-MAX(0,MIN(1,IF($E194&lt;=cc_D,0.0035*($E194-N$9)/$E194,0.002*($E194-N$9)/($E194-3*cc_D/7))/0.002)))^2)</f>
        <v/>
      </c>
      <c r="O194">
        <f>MAX(-fyd_cc,MIN(fyd_cc,Es_cc*IF($E194&lt;=cc_D,0.0035*($E194-O$9)/$E194,0.002*($E194-O$9)/($E194-3*cc_D/7))))-fcd_cc*(1-(1-MAX(0,MIN(1,IF($E194&lt;=cc_D,0.0035*($E194-O$9)/$E194,0.002*($E194-O$9)/($E194-3*cc_D/7))/0.002)))^2)</f>
        <v/>
      </c>
      <c r="P194">
        <f>MAX(-fyd_cc,MIN(fyd_cc,Es_cc*IF($E194&lt;=cc_D,0.0035*($E194-P$9)/$E194,0.002*($E194-P$9)/($E194-3*cc_D/7))))-fcd_cc*(1-(1-MAX(0,MIN(1,IF($E194&lt;=cc_D,0.0035*($E194-P$9)/$E194,0.002*($E194-P$9)/($E194-3*cc_D/7))/0.002)))^2)</f>
        <v/>
      </c>
      <c r="Q194">
        <f>MAX(-fyd_cc,MIN(fyd_cc,Es_cc*IF($E194&lt;=cc_D,0.0035*($E194-Q$9)/$E194,0.002*($E194-Q$9)/($E194-3*cc_D/7))))-fcd_cc*(1-(1-MAX(0,MIN(1,IF($E194&lt;=cc_D,0.0035*($E194-Q$9)/$E194,0.002*($E194-Q$9)/($E194-3*cc_D/7))/0.002)))^2)</f>
        <v/>
      </c>
      <c r="R194">
        <f>MAX(-fyd_cc,MIN(fyd_cc,Es_cc*IF($E194&lt;=cc_D,0.0035*($E194-R$9)/$E194,0.002*($E194-R$9)/($E194-3*cc_D/7))))-fcd_cc*(1-(1-MAX(0,MIN(1,IF($E194&lt;=cc_D,0.0035*($E194-R$9)/$E194,0.002*($E194-R$9)/($E194-3*cc_D/7))/0.002)))^2)</f>
        <v/>
      </c>
      <c r="S194">
        <f>MAX(-fyd_cc,MIN(fyd_cc,Es_cc*IF($E194&lt;=cc_D,0.0035*($E194-S$9)/$E194,0.002*($E194-S$9)/($E194-3*cc_D/7))))-fcd_cc*(1-(1-MAX(0,MIN(1,IF($E194&lt;=cc_D,0.0035*($E194-S$9)/$E194,0.002*($E194-S$9)/($E194-3*cc_D/7))/0.002)))^2)</f>
        <v/>
      </c>
      <c r="T194">
        <f>MAX(-fyd_cc,MIN(fyd_cc,Es_cc*IF($E194&lt;=cc_D,0.0035*($E194-T$9)/$E194,0.002*($E194-T$9)/($E194-3*cc_D/7))))-fcd_cc*(1-(1-MAX(0,MIN(1,IF($E194&lt;=cc_D,0.0035*($E194-T$9)/$E194,0.002*($E194-T$9)/($E194-3*cc_D/7))/0.002)))^2)</f>
        <v/>
      </c>
      <c r="U194">
        <f>MAX(-fyd_cc,MIN(fyd_cc,Es_cc*IF($E194&lt;=cc_D,0.0035*($E194-U$9)/$E194,0.002*($E194-U$9)/($E194-3*cc_D/7))))-fcd_cc*(1-(1-MAX(0,MIN(1,IF($E194&lt;=cc_D,0.0035*($E194-U$9)/$E194,0.002*($E194-U$9)/($E194-3*cc_D/7))/0.002)))^2)</f>
        <v/>
      </c>
      <c r="V194">
        <f>MAX(-fyd_cc,MIN(fyd_cc,Es_cc*IF($E194&lt;=cc_D,0.0035*($E194-V$9)/$E194,0.002*($E194-V$9)/($E194-3*cc_D/7))))-fcd_cc*(1-(1-MAX(0,MIN(1,IF($E194&lt;=cc_D,0.0035*($E194-V$9)/$E194,0.002*($E194-V$9)/($E194-3*cc_D/7))/0.002)))^2)</f>
        <v/>
      </c>
      <c r="W194">
        <f>MAX(-fyd_cc,MIN(fyd_cc,Es_cc*IF($E194&lt;=cc_D,0.0035*($E194-W$9)/$E194,0.002*($E194-W$9)/($E194-3*cc_D/7))))-fcd_cc*(1-(1-MAX(0,MIN(1,IF($E194&lt;=cc_D,0.0035*($E194-W$9)/$E194,0.002*($E194-W$9)/($E194-3*cc_D/7))/0.002)))^2)</f>
        <v/>
      </c>
      <c r="X194">
        <f>MAX(-fyd_cc,MIN(fyd_cc,Es_cc*IF($E194&lt;=cc_D,0.0035*($E194-X$9)/$E194,0.002*($E194-X$9)/($E194-3*cc_D/7))))-fcd_cc*(1-(1-MAX(0,MIN(1,IF($E194&lt;=cc_D,0.0035*($E194-X$9)/$E194,0.002*($E194-X$9)/($E194-3*cc_D/7))/0.002)))^2)</f>
        <v/>
      </c>
      <c r="Y194">
        <f>MAX(-fyd_cc,MIN(fyd_cc,Es_cc*IF($E194&lt;=cc_D,0.0035*($E194-Y$9)/$E194,0.002*($E194-Y$9)/($E194-3*cc_D/7))))-fcd_cc*(1-(1-MAX(0,MIN(1,IF($E194&lt;=cc_D,0.0035*($E194-Y$9)/$E194,0.002*($E194-Y$9)/($E194-3*cc_D/7))/0.002)))^2)</f>
        <v/>
      </c>
      <c r="Z194">
        <f>MAX(-fyd_cc,MIN(fyd_cc,Es_cc*IF($E194&lt;=cc_D,0.0035*($E194-Z$9)/$E194,0.002*($E194-Z$9)/($E194-3*cc_D/7))))-fcd_cc*(1-(1-MAX(0,MIN(1,IF($E194&lt;=cc_D,0.0035*($E194-Z$9)/$E194,0.002*($E194-Z$9)/($E194-3*cc_D/7))/0.002)))^2)</f>
        <v/>
      </c>
      <c r="AA194">
        <f>MAX(-fyd_cc,MIN(fyd_cc,Es_cc*IF($E194&lt;=cc_D,0.0035*($E194-AA$9)/$E194,0.002*($E194-AA$9)/($E194-3*cc_D/7))))-fcd_cc*(1-(1-MAX(0,MIN(1,IF($E194&lt;=cc_D,0.0035*($E194-AA$9)/$E194,0.002*($E194-AA$9)/($E194-3*cc_D/7))/0.002)))^2)</f>
        <v/>
      </c>
      <c r="AB194">
        <f>MAX(-fyd_cc,MIN(fyd_cc,Es_cc*IF($E194&lt;=cc_D,0.0035*($E194-AB$9)/$E194,0.002*($E194-AB$9)/($E194-3*cc_D/7))))-fcd_cc*(1-(1-MAX(0,MIN(1,IF($E194&lt;=cc_D,0.0035*($E194-AB$9)/$E194,0.002*($E194-AB$9)/($E194-3*cc_D/7))/0.002)))^2)</f>
        <v/>
      </c>
      <c r="AC194">
        <f>MAX(-fyd_cc,MIN(fyd_cc,Es_cc*IF($E194&lt;=cc_D,0.0035*($E194-AC$9)/$E194,0.002*($E194-AC$9)/($E194-3*cc_D/7))))-fcd_cc*(1-(1-MAX(0,MIN(1,IF($E194&lt;=cc_D,0.0035*($E194-AC$9)/$E194,0.002*($E194-AC$9)/($E194-3*cc_D/7))/0.002)))^2)</f>
        <v/>
      </c>
      <c r="AD194">
        <f>MAX(-fyd_cc,MIN(fyd_cc,Es_cc*IF($E194&lt;=cc_D,0.0035*($E194-AD$9)/$E194,0.002*($E194-AD$9)/($E194-3*cc_D/7))))-fcd_cc*(1-(1-MAX(0,MIN(1,IF($E194&lt;=cc_D,0.0035*($E194-AD$9)/$E194,0.002*($E194-AD$9)/($E194-3*cc_D/7))/0.002)))^2)</f>
        <v/>
      </c>
      <c r="AE194">
        <f>MAX(-fyd_cc,MIN(fyd_cc,Es_cc*IF($E194&lt;=cc_D,0.0035*($E194-AE$9)/$E194,0.002*($E194-AE$9)/($E194-3*cc_D/7))))-fcd_cc*(1-(1-MAX(0,MIN(1,IF($E194&lt;=cc_D,0.0035*($E194-AE$9)/$E194,0.002*($E194-AE$9)/($E194-3*cc_D/7))/0.002)))^2)</f>
        <v/>
      </c>
      <c r="AF194">
        <f>MAX(-fyd_cc,MIN(fyd_cc,Es_cc*IF($E194&lt;=cc_D,0.0035*($E194-AF$9)/$E194,0.002*($E194-AF$9)/($E194-3*cc_D/7))))-fcd_cc*(1-(1-MAX(0,MIN(1,IF($E194&lt;=cc_D,0.0035*($E194-AF$9)/$E194,0.002*($E194-AF$9)/($E194-3*cc_D/7))/0.002)))^2)</f>
        <v/>
      </c>
      <c r="AG194">
        <f>MAX(-fyd_cc,MIN(fyd_cc,Es_cc*IF($E194&lt;=cc_D,0.0035*($E194-AG$9)/$E194,0.002*($E194-AG$9)/($E194-3*cc_D/7))))-fcd_cc*(1-(1-MAX(0,MIN(1,IF($E194&lt;=cc_D,0.0035*($E194-AG$9)/$E194,0.002*($E194-AG$9)/($E194-3*cc_D/7))/0.002)))^2)</f>
        <v/>
      </c>
      <c r="BF194">
        <f>3*MIN($E194,cc_D)/7</f>
        <v/>
      </c>
      <c r="BG194">
        <f>$E194-$BF194</f>
        <v/>
      </c>
      <c r="BH194">
        <f>ACOS(MAX(-1,MIN(1,1-$BF194/(cc_D/2))))</f>
        <v/>
      </c>
      <c r="BI194">
        <f>ACOS(MAX(-1,MIN(1,1-MIN($E194,cc_D)/(cc_D/2))))</f>
        <v/>
      </c>
      <c r="BJ194">
        <f>((cc_D/2*(1-COS(($BH194+0*($BI194-$BH194)/12)))-$BF194)/$BG194)^2*SIN(($BH194+0*($BI194-$BH194)/12))^2</f>
        <v/>
      </c>
      <c r="BK194">
        <f>((cc_D/2*(1-COS(($BH194+1*($BI194-$BH194)/12)))-$BF194)/$BG194)^2*SIN(($BH194+1*($BI194-$BH194)/12))^2</f>
        <v/>
      </c>
      <c r="BL194">
        <f>((cc_D/2*(1-COS(($BH194+2*($BI194-$BH194)/12)))-$BF194)/$BG194)^2*SIN(($BH194+2*($BI194-$BH194)/12))^2</f>
        <v/>
      </c>
      <c r="BM194">
        <f>((cc_D/2*(1-COS(($BH194+3*($BI194-$BH194)/12)))-$BF194)/$BG194)^2*SIN(($BH194+3*($BI194-$BH194)/12))^2</f>
        <v/>
      </c>
      <c r="BN194">
        <f>((cc_D/2*(1-COS(($BH194+4*($BI194-$BH194)/12)))-$BF194)/$BG194)^2*SIN(($BH194+4*($BI194-$BH194)/12))^2</f>
        <v/>
      </c>
      <c r="BO194">
        <f>((cc_D/2*(1-COS(($BH194+5*($BI194-$BH194)/12)))-$BF194)/$BG194)^2*SIN(($BH194+5*($BI194-$BH194)/12))^2</f>
        <v/>
      </c>
      <c r="BP194">
        <f>((cc_D/2*(1-COS(($BH194+6*($BI194-$BH194)/12)))-$BF194)/$BG194)^2*SIN(($BH194+6*($BI194-$BH194)/12))^2</f>
        <v/>
      </c>
      <c r="BQ194">
        <f>((cc_D/2*(1-COS(($BH194+7*($BI194-$BH194)/12)))-$BF194)/$BG194)^2*SIN(($BH194+7*($BI194-$BH194)/12))^2</f>
        <v/>
      </c>
      <c r="BR194">
        <f>((cc_D/2*(1-COS(($BH194+8*($BI194-$BH194)/12)))-$BF194)/$BG194)^2*SIN(($BH194+8*($BI194-$BH194)/12))^2</f>
        <v/>
      </c>
      <c r="BS194">
        <f>((cc_D/2*(1-COS(($BH194+9*($BI194-$BH194)/12)))-$BF194)/$BG194)^2*SIN(($BH194+9*($BI194-$BH194)/12))^2</f>
        <v/>
      </c>
      <c r="BT194">
        <f>((cc_D/2*(1-COS(($BH194+10*($BI194-$BH194)/12)))-$BF194)/$BG194)^2*SIN(($BH194+10*($BI194-$BH194)/12))^2</f>
        <v/>
      </c>
      <c r="BU194">
        <f>((cc_D/2*(1-COS(($BH194+11*($BI194-$BH194)/12)))-$BF194)/$BG194)^2*SIN(($BH194+11*($BI194-$BH194)/12))^2</f>
        <v/>
      </c>
      <c r="BV194">
        <f>((cc_D/2*(1-COS(($BH194+12*($BI194-$BH194)/12)))-$BF194)/$BG194)^2*SIN(($BH194+12*($BI194-$BH194)/12))^2</f>
        <v/>
      </c>
      <c r="BW194">
        <f>BJ194*COS(($BH194+0*($BI194-$BH194)/12))</f>
        <v/>
      </c>
      <c r="BX194">
        <f>BK194*COS(($BH194+1*($BI194-$BH194)/12))</f>
        <v/>
      </c>
      <c r="BY194">
        <f>BL194*COS(($BH194+2*($BI194-$BH194)/12))</f>
        <v/>
      </c>
      <c r="BZ194">
        <f>BM194*COS(($BH194+3*($BI194-$BH194)/12))</f>
        <v/>
      </c>
      <c r="CA194">
        <f>BN194*COS(($BH194+4*($BI194-$BH194)/12))</f>
        <v/>
      </c>
      <c r="CB194">
        <f>BO194*COS(($BH194+5*($BI194-$BH194)/12))</f>
        <v/>
      </c>
      <c r="CC194">
        <f>BP194*COS(($BH194+6*($BI194-$BH194)/12))</f>
        <v/>
      </c>
      <c r="CD194">
        <f>BQ194*COS(($BH194+7*($BI194-$BH194)/12))</f>
        <v/>
      </c>
      <c r="CE194">
        <f>BR194*COS(($BH194+8*($BI194-$BH194)/12))</f>
        <v/>
      </c>
      <c r="CF194">
        <f>BS194*COS(($BH194+9*($BI194-$BH194)/12))</f>
        <v/>
      </c>
      <c r="CG194">
        <f>BT194*COS(($BH194+10*($BI194-$BH194)/12))</f>
        <v/>
      </c>
      <c r="CH194">
        <f>BU194*COS(($BH194+11*($BI194-$BH194)/12))</f>
        <v/>
      </c>
      <c r="CI194">
        <f>BV194*COS(($BH194+12*($BI194-$BH194)/12))</f>
        <v/>
      </c>
    </row>
    <row r="195">
      <c r="B195" s="65" t="n">
        <v>43</v>
      </c>
      <c r="C195" s="66">
        <f>IF($G194&lt;cc_NEd-1E-9*ABS(cc_NEd),($C194+$D194)/2,$C194)</f>
        <v/>
      </c>
      <c r="D195" s="66">
        <f>IF($G194&lt;cc_NEd-1E-9*ABS(cc_NEd),$D194,($C194+$D194)/2)</f>
        <v/>
      </c>
      <c r="E195" s="67">
        <f>cc_D*(($C195+$D195)/2)/(1-(($C195+$D195)/2))</f>
        <v/>
      </c>
      <c r="F195" s="68">
        <f>IF($E195&lt;=cc_D,3.5,2*$E195/($E195-3*cc_D/7))</f>
        <v/>
      </c>
      <c r="G195" s="67">
        <f>(fcd_cc*((cc_D/2)^2*($BI195-COS($BI195)*SIN($BI195))-2*(cc_D/2)^2*($BI195-$BH195)/12/3*SUMPRODUCT($BJ$4:$BV$4,$BJ195:$BV195))+SUMPRODUCT($J$5:$AG$5,$J195:$AG195))/1000</f>
        <v/>
      </c>
      <c r="H195" s="67">
        <f>(fcd_cc*(2/3*(cc_D/2)^3*SIN($BI195)^3-2*(cc_D/2)^3*($BI195-$BH195)/12/3*SUMPRODUCT($BW$4:$CI$4,$BW195:$CI195))+SUMPRODUCT($J$5:$AG$5,$J195:$AG195,$J$10:$AG$10))/1E6</f>
        <v/>
      </c>
      <c r="I195" s="67">
        <f>SUMPRODUCT($J$5:$AG$5,$J195:$AG195,$J$11:$AG$11)/1E6</f>
        <v/>
      </c>
      <c r="J195">
        <f>MAX(-fyd_cc,MIN(fyd_cc,Es_cc*IF($E195&lt;=cc_D,0.0035*($E195-J$9)/$E195,0.002*($E195-J$9)/($E195-3*cc_D/7))))-fcd_cc*(1-(1-MAX(0,MIN(1,IF($E195&lt;=cc_D,0.0035*($E195-J$9)/$E195,0.002*($E195-J$9)/($E195-3*cc_D/7))/0.002)))^2)</f>
        <v/>
      </c>
      <c r="K195">
        <f>MAX(-fyd_cc,MIN(fyd_cc,Es_cc*IF($E195&lt;=cc_D,0.0035*($E195-K$9)/$E195,0.002*($E195-K$9)/($E195-3*cc_D/7))))-fcd_cc*(1-(1-MAX(0,MIN(1,IF($E195&lt;=cc_D,0.0035*($E195-K$9)/$E195,0.002*($E195-K$9)/($E195-3*cc_D/7))/0.002)))^2)</f>
        <v/>
      </c>
      <c r="L195">
        <f>MAX(-fyd_cc,MIN(fyd_cc,Es_cc*IF($E195&lt;=cc_D,0.0035*($E195-L$9)/$E195,0.002*($E195-L$9)/($E195-3*cc_D/7))))-fcd_cc*(1-(1-MAX(0,MIN(1,IF($E195&lt;=cc_D,0.0035*($E195-L$9)/$E195,0.002*($E195-L$9)/($E195-3*cc_D/7))/0.002)))^2)</f>
        <v/>
      </c>
      <c r="M195">
        <f>MAX(-fyd_cc,MIN(fyd_cc,Es_cc*IF($E195&lt;=cc_D,0.0035*($E195-M$9)/$E195,0.002*($E195-M$9)/($E195-3*cc_D/7))))-fcd_cc*(1-(1-MAX(0,MIN(1,IF($E195&lt;=cc_D,0.0035*($E195-M$9)/$E195,0.002*($E195-M$9)/($E195-3*cc_D/7))/0.002)))^2)</f>
        <v/>
      </c>
      <c r="N195">
        <f>MAX(-fyd_cc,MIN(fyd_cc,Es_cc*IF($E195&lt;=cc_D,0.0035*($E195-N$9)/$E195,0.002*($E195-N$9)/($E195-3*cc_D/7))))-fcd_cc*(1-(1-MAX(0,MIN(1,IF($E195&lt;=cc_D,0.0035*($E195-N$9)/$E195,0.002*($E195-N$9)/($E195-3*cc_D/7))/0.002)))^2)</f>
        <v/>
      </c>
      <c r="O195">
        <f>MAX(-fyd_cc,MIN(fyd_cc,Es_cc*IF($E195&lt;=cc_D,0.0035*($E195-O$9)/$E195,0.002*($E195-O$9)/($E195-3*cc_D/7))))-fcd_cc*(1-(1-MAX(0,MIN(1,IF($E195&lt;=cc_D,0.0035*($E195-O$9)/$E195,0.002*($E195-O$9)/($E195-3*cc_D/7))/0.002)))^2)</f>
        <v/>
      </c>
      <c r="P195">
        <f>MAX(-fyd_cc,MIN(fyd_cc,Es_cc*IF($E195&lt;=cc_D,0.0035*($E195-P$9)/$E195,0.002*($E195-P$9)/($E195-3*cc_D/7))))-fcd_cc*(1-(1-MAX(0,MIN(1,IF($E195&lt;=cc_D,0.0035*($E195-P$9)/$E195,0.002*($E195-P$9)/($E195-3*cc_D/7))/0.002)))^2)</f>
        <v/>
      </c>
      <c r="Q195">
        <f>MAX(-fyd_cc,MIN(fyd_cc,Es_cc*IF($E195&lt;=cc_D,0.0035*($E195-Q$9)/$E195,0.002*($E195-Q$9)/($E195-3*cc_D/7))))-fcd_cc*(1-(1-MAX(0,MIN(1,IF($E195&lt;=cc_D,0.0035*($E195-Q$9)/$E195,0.002*($E195-Q$9)/($E195-3*cc_D/7))/0.002)))^2)</f>
        <v/>
      </c>
      <c r="R195">
        <f>MAX(-fyd_cc,MIN(fyd_cc,Es_cc*IF($E195&lt;=cc_D,0.0035*($E195-R$9)/$E195,0.002*($E195-R$9)/($E195-3*cc_D/7))))-fcd_cc*(1-(1-MAX(0,MIN(1,IF($E195&lt;=cc_D,0.0035*($E195-R$9)/$E195,0.002*($E195-R$9)/($E195-3*cc_D/7))/0.002)))^2)</f>
        <v/>
      </c>
      <c r="S195">
        <f>MAX(-fyd_cc,MIN(fyd_cc,Es_cc*IF($E195&lt;=cc_D,0.0035*($E195-S$9)/$E195,0.002*($E195-S$9)/($E195-3*cc_D/7))))-fcd_cc*(1-(1-MAX(0,MIN(1,IF($E195&lt;=cc_D,0.0035*($E195-S$9)/$E195,0.002*($E195-S$9)/($E195-3*cc_D/7))/0.002)))^2)</f>
        <v/>
      </c>
      <c r="T195">
        <f>MAX(-fyd_cc,MIN(fyd_cc,Es_cc*IF($E195&lt;=cc_D,0.0035*($E195-T$9)/$E195,0.002*($E195-T$9)/($E195-3*cc_D/7))))-fcd_cc*(1-(1-MAX(0,MIN(1,IF($E195&lt;=cc_D,0.0035*($E195-T$9)/$E195,0.002*($E195-T$9)/($E195-3*cc_D/7))/0.002)))^2)</f>
        <v/>
      </c>
      <c r="U195">
        <f>MAX(-fyd_cc,MIN(fyd_cc,Es_cc*IF($E195&lt;=cc_D,0.0035*($E195-U$9)/$E195,0.002*($E195-U$9)/($E195-3*cc_D/7))))-fcd_cc*(1-(1-MAX(0,MIN(1,IF($E195&lt;=cc_D,0.0035*($E195-U$9)/$E195,0.002*($E195-U$9)/($E195-3*cc_D/7))/0.002)))^2)</f>
        <v/>
      </c>
      <c r="V195">
        <f>MAX(-fyd_cc,MIN(fyd_cc,Es_cc*IF($E195&lt;=cc_D,0.0035*($E195-V$9)/$E195,0.002*($E195-V$9)/($E195-3*cc_D/7))))-fcd_cc*(1-(1-MAX(0,MIN(1,IF($E195&lt;=cc_D,0.0035*($E195-V$9)/$E195,0.002*($E195-V$9)/($E195-3*cc_D/7))/0.002)))^2)</f>
        <v/>
      </c>
      <c r="W195">
        <f>MAX(-fyd_cc,MIN(fyd_cc,Es_cc*IF($E195&lt;=cc_D,0.0035*($E195-W$9)/$E195,0.002*($E195-W$9)/($E195-3*cc_D/7))))-fcd_cc*(1-(1-MAX(0,MIN(1,IF($E195&lt;=cc_D,0.0035*($E195-W$9)/$E195,0.002*($E195-W$9)/($E195-3*cc_D/7))/0.002)))^2)</f>
        <v/>
      </c>
      <c r="X195">
        <f>MAX(-fyd_cc,MIN(fyd_cc,Es_cc*IF($E195&lt;=cc_D,0.0035*($E195-X$9)/$E195,0.002*($E195-X$9)/($E195-3*cc_D/7))))-fcd_cc*(1-(1-MAX(0,MIN(1,IF($E195&lt;=cc_D,0.0035*($E195-X$9)/$E195,0.002*($E195-X$9)/($E195-3*cc_D/7))/0.002)))^2)</f>
        <v/>
      </c>
      <c r="Y195">
        <f>MAX(-fyd_cc,MIN(fyd_cc,Es_cc*IF($E195&lt;=cc_D,0.0035*($E195-Y$9)/$E195,0.002*($E195-Y$9)/($E195-3*cc_D/7))))-fcd_cc*(1-(1-MAX(0,MIN(1,IF($E195&lt;=cc_D,0.0035*($E195-Y$9)/$E195,0.002*($E195-Y$9)/($E195-3*cc_D/7))/0.002)))^2)</f>
        <v/>
      </c>
      <c r="Z195">
        <f>MAX(-fyd_cc,MIN(fyd_cc,Es_cc*IF($E195&lt;=cc_D,0.0035*($E195-Z$9)/$E195,0.002*($E195-Z$9)/($E195-3*cc_D/7))))-fcd_cc*(1-(1-MAX(0,MIN(1,IF($E195&lt;=cc_D,0.0035*($E195-Z$9)/$E195,0.002*($E195-Z$9)/($E195-3*cc_D/7))/0.002)))^2)</f>
        <v/>
      </c>
      <c r="AA195">
        <f>MAX(-fyd_cc,MIN(fyd_cc,Es_cc*IF($E195&lt;=cc_D,0.0035*($E195-AA$9)/$E195,0.002*($E195-AA$9)/($E195-3*cc_D/7))))-fcd_cc*(1-(1-MAX(0,MIN(1,IF($E195&lt;=cc_D,0.0035*($E195-AA$9)/$E195,0.002*($E195-AA$9)/($E195-3*cc_D/7))/0.002)))^2)</f>
        <v/>
      </c>
      <c r="AB195">
        <f>MAX(-fyd_cc,MIN(fyd_cc,Es_cc*IF($E195&lt;=cc_D,0.0035*($E195-AB$9)/$E195,0.002*($E195-AB$9)/($E195-3*cc_D/7))))-fcd_cc*(1-(1-MAX(0,MIN(1,IF($E195&lt;=cc_D,0.0035*($E195-AB$9)/$E195,0.002*($E195-AB$9)/($E195-3*cc_D/7))/0.002)))^2)</f>
        <v/>
      </c>
      <c r="AC195">
        <f>MAX(-fyd_cc,MIN(fyd_cc,Es_cc*IF($E195&lt;=cc_D,0.0035*($E195-AC$9)/$E195,0.002*($E195-AC$9)/($E195-3*cc_D/7))))-fcd_cc*(1-(1-MAX(0,MIN(1,IF($E195&lt;=cc_D,0.0035*($E195-AC$9)/$E195,0.002*($E195-AC$9)/($E195-3*cc_D/7))/0.002)))^2)</f>
        <v/>
      </c>
      <c r="AD195">
        <f>MAX(-fyd_cc,MIN(fyd_cc,Es_cc*IF($E195&lt;=cc_D,0.0035*($E195-AD$9)/$E195,0.002*($E195-AD$9)/($E195-3*cc_D/7))))-fcd_cc*(1-(1-MAX(0,MIN(1,IF($E195&lt;=cc_D,0.0035*($E195-AD$9)/$E195,0.002*($E195-AD$9)/($E195-3*cc_D/7))/0.002)))^2)</f>
        <v/>
      </c>
      <c r="AE195">
        <f>MAX(-fyd_cc,MIN(fyd_cc,Es_cc*IF($E195&lt;=cc_D,0.0035*($E195-AE$9)/$E195,0.002*($E195-AE$9)/($E195-3*cc_D/7))))-fcd_cc*(1-(1-MAX(0,MIN(1,IF($E195&lt;=cc_D,0.0035*($E195-AE$9)/$E195,0.002*($E195-AE$9)/($E195-3*cc_D/7))/0.002)))^2)</f>
        <v/>
      </c>
      <c r="AF195">
        <f>MAX(-fyd_cc,MIN(fyd_cc,Es_cc*IF($E195&lt;=cc_D,0.0035*($E195-AF$9)/$E195,0.002*($E195-AF$9)/($E195-3*cc_D/7))))-fcd_cc*(1-(1-MAX(0,MIN(1,IF($E195&lt;=cc_D,0.0035*($E195-AF$9)/$E195,0.002*($E195-AF$9)/($E195-3*cc_D/7))/0.002)))^2)</f>
        <v/>
      </c>
      <c r="AG195">
        <f>MAX(-fyd_cc,MIN(fyd_cc,Es_cc*IF($E195&lt;=cc_D,0.0035*($E195-AG$9)/$E195,0.002*($E195-AG$9)/($E195-3*cc_D/7))))-fcd_cc*(1-(1-MAX(0,MIN(1,IF($E195&lt;=cc_D,0.0035*($E195-AG$9)/$E195,0.002*($E195-AG$9)/($E195-3*cc_D/7))/0.002)))^2)</f>
        <v/>
      </c>
      <c r="BF195">
        <f>3*MIN($E195,cc_D)/7</f>
        <v/>
      </c>
      <c r="BG195">
        <f>$E195-$BF195</f>
        <v/>
      </c>
      <c r="BH195">
        <f>ACOS(MAX(-1,MIN(1,1-$BF195/(cc_D/2))))</f>
        <v/>
      </c>
      <c r="BI195">
        <f>ACOS(MAX(-1,MIN(1,1-MIN($E195,cc_D)/(cc_D/2))))</f>
        <v/>
      </c>
      <c r="BJ195">
        <f>((cc_D/2*(1-COS(($BH195+0*($BI195-$BH195)/12)))-$BF195)/$BG195)^2*SIN(($BH195+0*($BI195-$BH195)/12))^2</f>
        <v/>
      </c>
      <c r="BK195">
        <f>((cc_D/2*(1-COS(($BH195+1*($BI195-$BH195)/12)))-$BF195)/$BG195)^2*SIN(($BH195+1*($BI195-$BH195)/12))^2</f>
        <v/>
      </c>
      <c r="BL195">
        <f>((cc_D/2*(1-COS(($BH195+2*($BI195-$BH195)/12)))-$BF195)/$BG195)^2*SIN(($BH195+2*($BI195-$BH195)/12))^2</f>
        <v/>
      </c>
      <c r="BM195">
        <f>((cc_D/2*(1-COS(($BH195+3*($BI195-$BH195)/12)))-$BF195)/$BG195)^2*SIN(($BH195+3*($BI195-$BH195)/12))^2</f>
        <v/>
      </c>
      <c r="BN195">
        <f>((cc_D/2*(1-COS(($BH195+4*($BI195-$BH195)/12)))-$BF195)/$BG195)^2*SIN(($BH195+4*($BI195-$BH195)/12))^2</f>
        <v/>
      </c>
      <c r="BO195">
        <f>((cc_D/2*(1-COS(($BH195+5*($BI195-$BH195)/12)))-$BF195)/$BG195)^2*SIN(($BH195+5*($BI195-$BH195)/12))^2</f>
        <v/>
      </c>
      <c r="BP195">
        <f>((cc_D/2*(1-COS(($BH195+6*($BI195-$BH195)/12)))-$BF195)/$BG195)^2*SIN(($BH195+6*($BI195-$BH195)/12))^2</f>
        <v/>
      </c>
      <c r="BQ195">
        <f>((cc_D/2*(1-COS(($BH195+7*($BI195-$BH195)/12)))-$BF195)/$BG195)^2*SIN(($BH195+7*($BI195-$BH195)/12))^2</f>
        <v/>
      </c>
      <c r="BR195">
        <f>((cc_D/2*(1-COS(($BH195+8*($BI195-$BH195)/12)))-$BF195)/$BG195)^2*SIN(($BH195+8*($BI195-$BH195)/12))^2</f>
        <v/>
      </c>
      <c r="BS195">
        <f>((cc_D/2*(1-COS(($BH195+9*($BI195-$BH195)/12)))-$BF195)/$BG195)^2*SIN(($BH195+9*($BI195-$BH195)/12))^2</f>
        <v/>
      </c>
      <c r="BT195">
        <f>((cc_D/2*(1-COS(($BH195+10*($BI195-$BH195)/12)))-$BF195)/$BG195)^2*SIN(($BH195+10*($BI195-$BH195)/12))^2</f>
        <v/>
      </c>
      <c r="BU195">
        <f>((cc_D/2*(1-COS(($BH195+11*($BI195-$BH195)/12)))-$BF195)/$BG195)^2*SIN(($BH195+11*($BI195-$BH195)/12))^2</f>
        <v/>
      </c>
      <c r="BV195">
        <f>((cc_D/2*(1-COS(($BH195+12*($BI195-$BH195)/12)))-$BF195)/$BG195)^2*SIN(($BH195+12*($BI195-$BH195)/12))^2</f>
        <v/>
      </c>
      <c r="BW195">
        <f>BJ195*COS(($BH195+0*($BI195-$BH195)/12))</f>
        <v/>
      </c>
      <c r="BX195">
        <f>BK195*COS(($BH195+1*($BI195-$BH195)/12))</f>
        <v/>
      </c>
      <c r="BY195">
        <f>BL195*COS(($BH195+2*($BI195-$BH195)/12))</f>
        <v/>
      </c>
      <c r="BZ195">
        <f>BM195*COS(($BH195+3*($BI195-$BH195)/12))</f>
        <v/>
      </c>
      <c r="CA195">
        <f>BN195*COS(($BH195+4*($BI195-$BH195)/12))</f>
        <v/>
      </c>
      <c r="CB195">
        <f>BO195*COS(($BH195+5*($BI195-$BH195)/12))</f>
        <v/>
      </c>
      <c r="CC195">
        <f>BP195*COS(($BH195+6*($BI195-$BH195)/12))</f>
        <v/>
      </c>
      <c r="CD195">
        <f>BQ195*COS(($BH195+7*($BI195-$BH195)/12))</f>
        <v/>
      </c>
      <c r="CE195">
        <f>BR195*COS(($BH195+8*($BI195-$BH195)/12))</f>
        <v/>
      </c>
      <c r="CF195">
        <f>BS195*COS(($BH195+9*($BI195-$BH195)/12))</f>
        <v/>
      </c>
      <c r="CG195">
        <f>BT195*COS(($BH195+10*($BI195-$BH195)/12))</f>
        <v/>
      </c>
      <c r="CH195">
        <f>BU195*COS(($BH195+11*($BI195-$BH195)/12))</f>
        <v/>
      </c>
      <c r="CI195">
        <f>BV195*COS(($BH195+12*($BI195-$BH195)/12))</f>
        <v/>
      </c>
    </row>
    <row r="196">
      <c r="B196" s="65" t="n">
        <v>44</v>
      </c>
      <c r="C196" s="66">
        <f>IF($G195&lt;cc_NEd-1E-9*ABS(cc_NEd),($C195+$D195)/2,$C195)</f>
        <v/>
      </c>
      <c r="D196" s="66">
        <f>IF($G195&lt;cc_NEd-1E-9*ABS(cc_NEd),$D195,($C195+$D195)/2)</f>
        <v/>
      </c>
      <c r="E196" s="67">
        <f>cc_D*(($C196+$D196)/2)/(1-(($C196+$D196)/2))</f>
        <v/>
      </c>
      <c r="F196" s="68">
        <f>IF($E196&lt;=cc_D,3.5,2*$E196/($E196-3*cc_D/7))</f>
        <v/>
      </c>
      <c r="G196" s="67">
        <f>(fcd_cc*((cc_D/2)^2*($BI196-COS($BI196)*SIN($BI196))-2*(cc_D/2)^2*($BI196-$BH196)/12/3*SUMPRODUCT($BJ$4:$BV$4,$BJ196:$BV196))+SUMPRODUCT($J$5:$AG$5,$J196:$AG196))/1000</f>
        <v/>
      </c>
      <c r="H196" s="67">
        <f>(fcd_cc*(2/3*(cc_D/2)^3*SIN($BI196)^3-2*(cc_D/2)^3*($BI196-$BH196)/12/3*SUMPRODUCT($BW$4:$CI$4,$BW196:$CI196))+SUMPRODUCT($J$5:$AG$5,$J196:$AG196,$J$10:$AG$10))/1E6</f>
        <v/>
      </c>
      <c r="I196" s="67">
        <f>SUMPRODUCT($J$5:$AG$5,$J196:$AG196,$J$11:$AG$11)/1E6</f>
        <v/>
      </c>
      <c r="J196">
        <f>MAX(-fyd_cc,MIN(fyd_cc,Es_cc*IF($E196&lt;=cc_D,0.0035*($E196-J$9)/$E196,0.002*($E196-J$9)/($E196-3*cc_D/7))))-fcd_cc*(1-(1-MAX(0,MIN(1,IF($E196&lt;=cc_D,0.0035*($E196-J$9)/$E196,0.002*($E196-J$9)/($E196-3*cc_D/7))/0.002)))^2)</f>
        <v/>
      </c>
      <c r="K196">
        <f>MAX(-fyd_cc,MIN(fyd_cc,Es_cc*IF($E196&lt;=cc_D,0.0035*($E196-K$9)/$E196,0.002*($E196-K$9)/($E196-3*cc_D/7))))-fcd_cc*(1-(1-MAX(0,MIN(1,IF($E196&lt;=cc_D,0.0035*($E196-K$9)/$E196,0.002*($E196-K$9)/($E196-3*cc_D/7))/0.002)))^2)</f>
        <v/>
      </c>
      <c r="L196">
        <f>MAX(-fyd_cc,MIN(fyd_cc,Es_cc*IF($E196&lt;=cc_D,0.0035*($E196-L$9)/$E196,0.002*($E196-L$9)/($E196-3*cc_D/7))))-fcd_cc*(1-(1-MAX(0,MIN(1,IF($E196&lt;=cc_D,0.0035*($E196-L$9)/$E196,0.002*($E196-L$9)/($E196-3*cc_D/7))/0.002)))^2)</f>
        <v/>
      </c>
      <c r="M196">
        <f>MAX(-fyd_cc,MIN(fyd_cc,Es_cc*IF($E196&lt;=cc_D,0.0035*($E196-M$9)/$E196,0.002*($E196-M$9)/($E196-3*cc_D/7))))-fcd_cc*(1-(1-MAX(0,MIN(1,IF($E196&lt;=cc_D,0.0035*($E196-M$9)/$E196,0.002*($E196-M$9)/($E196-3*cc_D/7))/0.002)))^2)</f>
        <v/>
      </c>
      <c r="N196">
        <f>MAX(-fyd_cc,MIN(fyd_cc,Es_cc*IF($E196&lt;=cc_D,0.0035*($E196-N$9)/$E196,0.002*($E196-N$9)/($E196-3*cc_D/7))))-fcd_cc*(1-(1-MAX(0,MIN(1,IF($E196&lt;=cc_D,0.0035*($E196-N$9)/$E196,0.002*($E196-N$9)/($E196-3*cc_D/7))/0.002)))^2)</f>
        <v/>
      </c>
      <c r="O196">
        <f>MAX(-fyd_cc,MIN(fyd_cc,Es_cc*IF($E196&lt;=cc_D,0.0035*($E196-O$9)/$E196,0.002*($E196-O$9)/($E196-3*cc_D/7))))-fcd_cc*(1-(1-MAX(0,MIN(1,IF($E196&lt;=cc_D,0.0035*($E196-O$9)/$E196,0.002*($E196-O$9)/($E196-3*cc_D/7))/0.002)))^2)</f>
        <v/>
      </c>
      <c r="P196">
        <f>MAX(-fyd_cc,MIN(fyd_cc,Es_cc*IF($E196&lt;=cc_D,0.0035*($E196-P$9)/$E196,0.002*($E196-P$9)/($E196-3*cc_D/7))))-fcd_cc*(1-(1-MAX(0,MIN(1,IF($E196&lt;=cc_D,0.0035*($E196-P$9)/$E196,0.002*($E196-P$9)/($E196-3*cc_D/7))/0.002)))^2)</f>
        <v/>
      </c>
      <c r="Q196">
        <f>MAX(-fyd_cc,MIN(fyd_cc,Es_cc*IF($E196&lt;=cc_D,0.0035*($E196-Q$9)/$E196,0.002*($E196-Q$9)/($E196-3*cc_D/7))))-fcd_cc*(1-(1-MAX(0,MIN(1,IF($E196&lt;=cc_D,0.0035*($E196-Q$9)/$E196,0.002*($E196-Q$9)/($E196-3*cc_D/7))/0.002)))^2)</f>
        <v/>
      </c>
      <c r="R196">
        <f>MAX(-fyd_cc,MIN(fyd_cc,Es_cc*IF($E196&lt;=cc_D,0.0035*($E196-R$9)/$E196,0.002*($E196-R$9)/($E196-3*cc_D/7))))-fcd_cc*(1-(1-MAX(0,MIN(1,IF($E196&lt;=cc_D,0.0035*($E196-R$9)/$E196,0.002*($E196-R$9)/($E196-3*cc_D/7))/0.002)))^2)</f>
        <v/>
      </c>
      <c r="S196">
        <f>MAX(-fyd_cc,MIN(fyd_cc,Es_cc*IF($E196&lt;=cc_D,0.0035*($E196-S$9)/$E196,0.002*($E196-S$9)/($E196-3*cc_D/7))))-fcd_cc*(1-(1-MAX(0,MIN(1,IF($E196&lt;=cc_D,0.0035*($E196-S$9)/$E196,0.002*($E196-S$9)/($E196-3*cc_D/7))/0.002)))^2)</f>
        <v/>
      </c>
      <c r="T196">
        <f>MAX(-fyd_cc,MIN(fyd_cc,Es_cc*IF($E196&lt;=cc_D,0.0035*($E196-T$9)/$E196,0.002*($E196-T$9)/($E196-3*cc_D/7))))-fcd_cc*(1-(1-MAX(0,MIN(1,IF($E196&lt;=cc_D,0.0035*($E196-T$9)/$E196,0.002*($E196-T$9)/($E196-3*cc_D/7))/0.002)))^2)</f>
        <v/>
      </c>
      <c r="U196">
        <f>MAX(-fyd_cc,MIN(fyd_cc,Es_cc*IF($E196&lt;=cc_D,0.0035*($E196-U$9)/$E196,0.002*($E196-U$9)/($E196-3*cc_D/7))))-fcd_cc*(1-(1-MAX(0,MIN(1,IF($E196&lt;=cc_D,0.0035*($E196-U$9)/$E196,0.002*($E196-U$9)/($E196-3*cc_D/7))/0.002)))^2)</f>
        <v/>
      </c>
      <c r="V196">
        <f>MAX(-fyd_cc,MIN(fyd_cc,Es_cc*IF($E196&lt;=cc_D,0.0035*($E196-V$9)/$E196,0.002*($E196-V$9)/($E196-3*cc_D/7))))-fcd_cc*(1-(1-MAX(0,MIN(1,IF($E196&lt;=cc_D,0.0035*($E196-V$9)/$E196,0.002*($E196-V$9)/($E196-3*cc_D/7))/0.002)))^2)</f>
        <v/>
      </c>
      <c r="W196">
        <f>MAX(-fyd_cc,MIN(fyd_cc,Es_cc*IF($E196&lt;=cc_D,0.0035*($E196-W$9)/$E196,0.002*($E196-W$9)/($E196-3*cc_D/7))))-fcd_cc*(1-(1-MAX(0,MIN(1,IF($E196&lt;=cc_D,0.0035*($E196-W$9)/$E196,0.002*($E196-W$9)/($E196-3*cc_D/7))/0.002)))^2)</f>
        <v/>
      </c>
      <c r="X196">
        <f>MAX(-fyd_cc,MIN(fyd_cc,Es_cc*IF($E196&lt;=cc_D,0.0035*($E196-X$9)/$E196,0.002*($E196-X$9)/($E196-3*cc_D/7))))-fcd_cc*(1-(1-MAX(0,MIN(1,IF($E196&lt;=cc_D,0.0035*($E196-X$9)/$E196,0.002*($E196-X$9)/($E196-3*cc_D/7))/0.002)))^2)</f>
        <v/>
      </c>
      <c r="Y196">
        <f>MAX(-fyd_cc,MIN(fyd_cc,Es_cc*IF($E196&lt;=cc_D,0.0035*($E196-Y$9)/$E196,0.002*($E196-Y$9)/($E196-3*cc_D/7))))-fcd_cc*(1-(1-MAX(0,MIN(1,IF($E196&lt;=cc_D,0.0035*($E196-Y$9)/$E196,0.002*($E196-Y$9)/($E196-3*cc_D/7))/0.002)))^2)</f>
        <v/>
      </c>
      <c r="Z196">
        <f>MAX(-fyd_cc,MIN(fyd_cc,Es_cc*IF($E196&lt;=cc_D,0.0035*($E196-Z$9)/$E196,0.002*($E196-Z$9)/($E196-3*cc_D/7))))-fcd_cc*(1-(1-MAX(0,MIN(1,IF($E196&lt;=cc_D,0.0035*($E196-Z$9)/$E196,0.002*($E196-Z$9)/($E196-3*cc_D/7))/0.002)))^2)</f>
        <v/>
      </c>
      <c r="AA196">
        <f>MAX(-fyd_cc,MIN(fyd_cc,Es_cc*IF($E196&lt;=cc_D,0.0035*($E196-AA$9)/$E196,0.002*($E196-AA$9)/($E196-3*cc_D/7))))-fcd_cc*(1-(1-MAX(0,MIN(1,IF($E196&lt;=cc_D,0.0035*($E196-AA$9)/$E196,0.002*($E196-AA$9)/($E196-3*cc_D/7))/0.002)))^2)</f>
        <v/>
      </c>
      <c r="AB196">
        <f>MAX(-fyd_cc,MIN(fyd_cc,Es_cc*IF($E196&lt;=cc_D,0.0035*($E196-AB$9)/$E196,0.002*($E196-AB$9)/($E196-3*cc_D/7))))-fcd_cc*(1-(1-MAX(0,MIN(1,IF($E196&lt;=cc_D,0.0035*($E196-AB$9)/$E196,0.002*($E196-AB$9)/($E196-3*cc_D/7))/0.002)))^2)</f>
        <v/>
      </c>
      <c r="AC196">
        <f>MAX(-fyd_cc,MIN(fyd_cc,Es_cc*IF($E196&lt;=cc_D,0.0035*($E196-AC$9)/$E196,0.002*($E196-AC$9)/($E196-3*cc_D/7))))-fcd_cc*(1-(1-MAX(0,MIN(1,IF($E196&lt;=cc_D,0.0035*($E196-AC$9)/$E196,0.002*($E196-AC$9)/($E196-3*cc_D/7))/0.002)))^2)</f>
        <v/>
      </c>
      <c r="AD196">
        <f>MAX(-fyd_cc,MIN(fyd_cc,Es_cc*IF($E196&lt;=cc_D,0.0035*($E196-AD$9)/$E196,0.002*($E196-AD$9)/($E196-3*cc_D/7))))-fcd_cc*(1-(1-MAX(0,MIN(1,IF($E196&lt;=cc_D,0.0035*($E196-AD$9)/$E196,0.002*($E196-AD$9)/($E196-3*cc_D/7))/0.002)))^2)</f>
        <v/>
      </c>
      <c r="AE196">
        <f>MAX(-fyd_cc,MIN(fyd_cc,Es_cc*IF($E196&lt;=cc_D,0.0035*($E196-AE$9)/$E196,0.002*($E196-AE$9)/($E196-3*cc_D/7))))-fcd_cc*(1-(1-MAX(0,MIN(1,IF($E196&lt;=cc_D,0.0035*($E196-AE$9)/$E196,0.002*($E196-AE$9)/($E196-3*cc_D/7))/0.002)))^2)</f>
        <v/>
      </c>
      <c r="AF196">
        <f>MAX(-fyd_cc,MIN(fyd_cc,Es_cc*IF($E196&lt;=cc_D,0.0035*($E196-AF$9)/$E196,0.002*($E196-AF$9)/($E196-3*cc_D/7))))-fcd_cc*(1-(1-MAX(0,MIN(1,IF($E196&lt;=cc_D,0.0035*($E196-AF$9)/$E196,0.002*($E196-AF$9)/($E196-3*cc_D/7))/0.002)))^2)</f>
        <v/>
      </c>
      <c r="AG196">
        <f>MAX(-fyd_cc,MIN(fyd_cc,Es_cc*IF($E196&lt;=cc_D,0.0035*($E196-AG$9)/$E196,0.002*($E196-AG$9)/($E196-3*cc_D/7))))-fcd_cc*(1-(1-MAX(0,MIN(1,IF($E196&lt;=cc_D,0.0035*($E196-AG$9)/$E196,0.002*($E196-AG$9)/($E196-3*cc_D/7))/0.002)))^2)</f>
        <v/>
      </c>
      <c r="BF196">
        <f>3*MIN($E196,cc_D)/7</f>
        <v/>
      </c>
      <c r="BG196">
        <f>$E196-$BF196</f>
        <v/>
      </c>
      <c r="BH196">
        <f>ACOS(MAX(-1,MIN(1,1-$BF196/(cc_D/2))))</f>
        <v/>
      </c>
      <c r="BI196">
        <f>ACOS(MAX(-1,MIN(1,1-MIN($E196,cc_D)/(cc_D/2))))</f>
        <v/>
      </c>
      <c r="BJ196">
        <f>((cc_D/2*(1-COS(($BH196+0*($BI196-$BH196)/12)))-$BF196)/$BG196)^2*SIN(($BH196+0*($BI196-$BH196)/12))^2</f>
        <v/>
      </c>
      <c r="BK196">
        <f>((cc_D/2*(1-COS(($BH196+1*($BI196-$BH196)/12)))-$BF196)/$BG196)^2*SIN(($BH196+1*($BI196-$BH196)/12))^2</f>
        <v/>
      </c>
      <c r="BL196">
        <f>((cc_D/2*(1-COS(($BH196+2*($BI196-$BH196)/12)))-$BF196)/$BG196)^2*SIN(($BH196+2*($BI196-$BH196)/12))^2</f>
        <v/>
      </c>
      <c r="BM196">
        <f>((cc_D/2*(1-COS(($BH196+3*($BI196-$BH196)/12)))-$BF196)/$BG196)^2*SIN(($BH196+3*($BI196-$BH196)/12))^2</f>
        <v/>
      </c>
      <c r="BN196">
        <f>((cc_D/2*(1-COS(($BH196+4*($BI196-$BH196)/12)))-$BF196)/$BG196)^2*SIN(($BH196+4*($BI196-$BH196)/12))^2</f>
        <v/>
      </c>
      <c r="BO196">
        <f>((cc_D/2*(1-COS(($BH196+5*($BI196-$BH196)/12)))-$BF196)/$BG196)^2*SIN(($BH196+5*($BI196-$BH196)/12))^2</f>
        <v/>
      </c>
      <c r="BP196">
        <f>((cc_D/2*(1-COS(($BH196+6*($BI196-$BH196)/12)))-$BF196)/$BG196)^2*SIN(($BH196+6*($BI196-$BH196)/12))^2</f>
        <v/>
      </c>
      <c r="BQ196">
        <f>((cc_D/2*(1-COS(($BH196+7*($BI196-$BH196)/12)))-$BF196)/$BG196)^2*SIN(($BH196+7*($BI196-$BH196)/12))^2</f>
        <v/>
      </c>
      <c r="BR196">
        <f>((cc_D/2*(1-COS(($BH196+8*($BI196-$BH196)/12)))-$BF196)/$BG196)^2*SIN(($BH196+8*($BI196-$BH196)/12))^2</f>
        <v/>
      </c>
      <c r="BS196">
        <f>((cc_D/2*(1-COS(($BH196+9*($BI196-$BH196)/12)))-$BF196)/$BG196)^2*SIN(($BH196+9*($BI196-$BH196)/12))^2</f>
        <v/>
      </c>
      <c r="BT196">
        <f>((cc_D/2*(1-COS(($BH196+10*($BI196-$BH196)/12)))-$BF196)/$BG196)^2*SIN(($BH196+10*($BI196-$BH196)/12))^2</f>
        <v/>
      </c>
      <c r="BU196">
        <f>((cc_D/2*(1-COS(($BH196+11*($BI196-$BH196)/12)))-$BF196)/$BG196)^2*SIN(($BH196+11*($BI196-$BH196)/12))^2</f>
        <v/>
      </c>
      <c r="BV196">
        <f>((cc_D/2*(1-COS(($BH196+12*($BI196-$BH196)/12)))-$BF196)/$BG196)^2*SIN(($BH196+12*($BI196-$BH196)/12))^2</f>
        <v/>
      </c>
      <c r="BW196">
        <f>BJ196*COS(($BH196+0*($BI196-$BH196)/12))</f>
        <v/>
      </c>
      <c r="BX196">
        <f>BK196*COS(($BH196+1*($BI196-$BH196)/12))</f>
        <v/>
      </c>
      <c r="BY196">
        <f>BL196*COS(($BH196+2*($BI196-$BH196)/12))</f>
        <v/>
      </c>
      <c r="BZ196">
        <f>BM196*COS(($BH196+3*($BI196-$BH196)/12))</f>
        <v/>
      </c>
      <c r="CA196">
        <f>BN196*COS(($BH196+4*($BI196-$BH196)/12))</f>
        <v/>
      </c>
      <c r="CB196">
        <f>BO196*COS(($BH196+5*($BI196-$BH196)/12))</f>
        <v/>
      </c>
      <c r="CC196">
        <f>BP196*COS(($BH196+6*($BI196-$BH196)/12))</f>
        <v/>
      </c>
      <c r="CD196">
        <f>BQ196*COS(($BH196+7*($BI196-$BH196)/12))</f>
        <v/>
      </c>
      <c r="CE196">
        <f>BR196*COS(($BH196+8*($BI196-$BH196)/12))</f>
        <v/>
      </c>
      <c r="CF196">
        <f>BS196*COS(($BH196+9*($BI196-$BH196)/12))</f>
        <v/>
      </c>
      <c r="CG196">
        <f>BT196*COS(($BH196+10*($BI196-$BH196)/12))</f>
        <v/>
      </c>
      <c r="CH196">
        <f>BU196*COS(($BH196+11*($BI196-$BH196)/12))</f>
        <v/>
      </c>
      <c r="CI196">
        <f>BV196*COS(($BH196+12*($BI196-$BH196)/12))</f>
        <v/>
      </c>
    </row>
    <row r="197">
      <c r="B197" s="65" t="n">
        <v>45</v>
      </c>
      <c r="C197" s="66">
        <f>IF($G196&lt;cc_NEd-1E-9*ABS(cc_NEd),($C196+$D196)/2,$C196)</f>
        <v/>
      </c>
      <c r="D197" s="66">
        <f>IF($G196&lt;cc_NEd-1E-9*ABS(cc_NEd),$D196,($C196+$D196)/2)</f>
        <v/>
      </c>
      <c r="E197" s="67">
        <f>cc_D*(($C197+$D197)/2)/(1-(($C197+$D197)/2))</f>
        <v/>
      </c>
      <c r="F197" s="68">
        <f>IF($E197&lt;=cc_D,3.5,2*$E197/($E197-3*cc_D/7))</f>
        <v/>
      </c>
      <c r="G197" s="67">
        <f>(fcd_cc*((cc_D/2)^2*($BI197-COS($BI197)*SIN($BI197))-2*(cc_D/2)^2*($BI197-$BH197)/12/3*SUMPRODUCT($BJ$4:$BV$4,$BJ197:$BV197))+SUMPRODUCT($J$5:$AG$5,$J197:$AG197))/1000</f>
        <v/>
      </c>
      <c r="H197" s="67">
        <f>(fcd_cc*(2/3*(cc_D/2)^3*SIN($BI197)^3-2*(cc_D/2)^3*($BI197-$BH197)/12/3*SUMPRODUCT($BW$4:$CI$4,$BW197:$CI197))+SUMPRODUCT($J$5:$AG$5,$J197:$AG197,$J$10:$AG$10))/1E6</f>
        <v/>
      </c>
      <c r="I197" s="67">
        <f>SUMPRODUCT($J$5:$AG$5,$J197:$AG197,$J$11:$AG$11)/1E6</f>
        <v/>
      </c>
      <c r="J197">
        <f>MAX(-fyd_cc,MIN(fyd_cc,Es_cc*IF($E197&lt;=cc_D,0.0035*($E197-J$9)/$E197,0.002*($E197-J$9)/($E197-3*cc_D/7))))-fcd_cc*(1-(1-MAX(0,MIN(1,IF($E197&lt;=cc_D,0.0035*($E197-J$9)/$E197,0.002*($E197-J$9)/($E197-3*cc_D/7))/0.002)))^2)</f>
        <v/>
      </c>
      <c r="K197">
        <f>MAX(-fyd_cc,MIN(fyd_cc,Es_cc*IF($E197&lt;=cc_D,0.0035*($E197-K$9)/$E197,0.002*($E197-K$9)/($E197-3*cc_D/7))))-fcd_cc*(1-(1-MAX(0,MIN(1,IF($E197&lt;=cc_D,0.0035*($E197-K$9)/$E197,0.002*($E197-K$9)/($E197-3*cc_D/7))/0.002)))^2)</f>
        <v/>
      </c>
      <c r="L197">
        <f>MAX(-fyd_cc,MIN(fyd_cc,Es_cc*IF($E197&lt;=cc_D,0.0035*($E197-L$9)/$E197,0.002*($E197-L$9)/($E197-3*cc_D/7))))-fcd_cc*(1-(1-MAX(0,MIN(1,IF($E197&lt;=cc_D,0.0035*($E197-L$9)/$E197,0.002*($E197-L$9)/($E197-3*cc_D/7))/0.002)))^2)</f>
        <v/>
      </c>
      <c r="M197">
        <f>MAX(-fyd_cc,MIN(fyd_cc,Es_cc*IF($E197&lt;=cc_D,0.0035*($E197-M$9)/$E197,0.002*($E197-M$9)/($E197-3*cc_D/7))))-fcd_cc*(1-(1-MAX(0,MIN(1,IF($E197&lt;=cc_D,0.0035*($E197-M$9)/$E197,0.002*($E197-M$9)/($E197-3*cc_D/7))/0.002)))^2)</f>
        <v/>
      </c>
      <c r="N197">
        <f>MAX(-fyd_cc,MIN(fyd_cc,Es_cc*IF($E197&lt;=cc_D,0.0035*($E197-N$9)/$E197,0.002*($E197-N$9)/($E197-3*cc_D/7))))-fcd_cc*(1-(1-MAX(0,MIN(1,IF($E197&lt;=cc_D,0.0035*($E197-N$9)/$E197,0.002*($E197-N$9)/($E197-3*cc_D/7))/0.002)))^2)</f>
        <v/>
      </c>
      <c r="O197">
        <f>MAX(-fyd_cc,MIN(fyd_cc,Es_cc*IF($E197&lt;=cc_D,0.0035*($E197-O$9)/$E197,0.002*($E197-O$9)/($E197-3*cc_D/7))))-fcd_cc*(1-(1-MAX(0,MIN(1,IF($E197&lt;=cc_D,0.0035*($E197-O$9)/$E197,0.002*($E197-O$9)/($E197-3*cc_D/7))/0.002)))^2)</f>
        <v/>
      </c>
      <c r="P197">
        <f>MAX(-fyd_cc,MIN(fyd_cc,Es_cc*IF($E197&lt;=cc_D,0.0035*($E197-P$9)/$E197,0.002*($E197-P$9)/($E197-3*cc_D/7))))-fcd_cc*(1-(1-MAX(0,MIN(1,IF($E197&lt;=cc_D,0.0035*($E197-P$9)/$E197,0.002*($E197-P$9)/($E197-3*cc_D/7))/0.002)))^2)</f>
        <v/>
      </c>
      <c r="Q197">
        <f>MAX(-fyd_cc,MIN(fyd_cc,Es_cc*IF($E197&lt;=cc_D,0.0035*($E197-Q$9)/$E197,0.002*($E197-Q$9)/($E197-3*cc_D/7))))-fcd_cc*(1-(1-MAX(0,MIN(1,IF($E197&lt;=cc_D,0.0035*($E197-Q$9)/$E197,0.002*($E197-Q$9)/($E197-3*cc_D/7))/0.002)))^2)</f>
        <v/>
      </c>
      <c r="R197">
        <f>MAX(-fyd_cc,MIN(fyd_cc,Es_cc*IF($E197&lt;=cc_D,0.0035*($E197-R$9)/$E197,0.002*($E197-R$9)/($E197-3*cc_D/7))))-fcd_cc*(1-(1-MAX(0,MIN(1,IF($E197&lt;=cc_D,0.0035*($E197-R$9)/$E197,0.002*($E197-R$9)/($E197-3*cc_D/7))/0.002)))^2)</f>
        <v/>
      </c>
      <c r="S197">
        <f>MAX(-fyd_cc,MIN(fyd_cc,Es_cc*IF($E197&lt;=cc_D,0.0035*($E197-S$9)/$E197,0.002*($E197-S$9)/($E197-3*cc_D/7))))-fcd_cc*(1-(1-MAX(0,MIN(1,IF($E197&lt;=cc_D,0.0035*($E197-S$9)/$E197,0.002*($E197-S$9)/($E197-3*cc_D/7))/0.002)))^2)</f>
        <v/>
      </c>
      <c r="T197">
        <f>MAX(-fyd_cc,MIN(fyd_cc,Es_cc*IF($E197&lt;=cc_D,0.0035*($E197-T$9)/$E197,0.002*($E197-T$9)/($E197-3*cc_D/7))))-fcd_cc*(1-(1-MAX(0,MIN(1,IF($E197&lt;=cc_D,0.0035*($E197-T$9)/$E197,0.002*($E197-T$9)/($E197-3*cc_D/7))/0.002)))^2)</f>
        <v/>
      </c>
      <c r="U197">
        <f>MAX(-fyd_cc,MIN(fyd_cc,Es_cc*IF($E197&lt;=cc_D,0.0035*($E197-U$9)/$E197,0.002*($E197-U$9)/($E197-3*cc_D/7))))-fcd_cc*(1-(1-MAX(0,MIN(1,IF($E197&lt;=cc_D,0.0035*($E197-U$9)/$E197,0.002*($E197-U$9)/($E197-3*cc_D/7))/0.002)))^2)</f>
        <v/>
      </c>
      <c r="V197">
        <f>MAX(-fyd_cc,MIN(fyd_cc,Es_cc*IF($E197&lt;=cc_D,0.0035*($E197-V$9)/$E197,0.002*($E197-V$9)/($E197-3*cc_D/7))))-fcd_cc*(1-(1-MAX(0,MIN(1,IF($E197&lt;=cc_D,0.0035*($E197-V$9)/$E197,0.002*($E197-V$9)/($E197-3*cc_D/7))/0.002)))^2)</f>
        <v/>
      </c>
      <c r="W197">
        <f>MAX(-fyd_cc,MIN(fyd_cc,Es_cc*IF($E197&lt;=cc_D,0.0035*($E197-W$9)/$E197,0.002*($E197-W$9)/($E197-3*cc_D/7))))-fcd_cc*(1-(1-MAX(0,MIN(1,IF($E197&lt;=cc_D,0.0035*($E197-W$9)/$E197,0.002*($E197-W$9)/($E197-3*cc_D/7))/0.002)))^2)</f>
        <v/>
      </c>
      <c r="X197">
        <f>MAX(-fyd_cc,MIN(fyd_cc,Es_cc*IF($E197&lt;=cc_D,0.0035*($E197-X$9)/$E197,0.002*($E197-X$9)/($E197-3*cc_D/7))))-fcd_cc*(1-(1-MAX(0,MIN(1,IF($E197&lt;=cc_D,0.0035*($E197-X$9)/$E197,0.002*($E197-X$9)/($E197-3*cc_D/7))/0.002)))^2)</f>
        <v/>
      </c>
      <c r="Y197">
        <f>MAX(-fyd_cc,MIN(fyd_cc,Es_cc*IF($E197&lt;=cc_D,0.0035*($E197-Y$9)/$E197,0.002*($E197-Y$9)/($E197-3*cc_D/7))))-fcd_cc*(1-(1-MAX(0,MIN(1,IF($E197&lt;=cc_D,0.0035*($E197-Y$9)/$E197,0.002*($E197-Y$9)/($E197-3*cc_D/7))/0.002)))^2)</f>
        <v/>
      </c>
      <c r="Z197">
        <f>MAX(-fyd_cc,MIN(fyd_cc,Es_cc*IF($E197&lt;=cc_D,0.0035*($E197-Z$9)/$E197,0.002*($E197-Z$9)/($E197-3*cc_D/7))))-fcd_cc*(1-(1-MAX(0,MIN(1,IF($E197&lt;=cc_D,0.0035*($E197-Z$9)/$E197,0.002*($E197-Z$9)/($E197-3*cc_D/7))/0.002)))^2)</f>
        <v/>
      </c>
      <c r="AA197">
        <f>MAX(-fyd_cc,MIN(fyd_cc,Es_cc*IF($E197&lt;=cc_D,0.0035*($E197-AA$9)/$E197,0.002*($E197-AA$9)/($E197-3*cc_D/7))))-fcd_cc*(1-(1-MAX(0,MIN(1,IF($E197&lt;=cc_D,0.0035*($E197-AA$9)/$E197,0.002*($E197-AA$9)/($E197-3*cc_D/7))/0.002)))^2)</f>
        <v/>
      </c>
      <c r="AB197">
        <f>MAX(-fyd_cc,MIN(fyd_cc,Es_cc*IF($E197&lt;=cc_D,0.0035*($E197-AB$9)/$E197,0.002*($E197-AB$9)/($E197-3*cc_D/7))))-fcd_cc*(1-(1-MAX(0,MIN(1,IF($E197&lt;=cc_D,0.0035*($E197-AB$9)/$E197,0.002*($E197-AB$9)/($E197-3*cc_D/7))/0.002)))^2)</f>
        <v/>
      </c>
      <c r="AC197">
        <f>MAX(-fyd_cc,MIN(fyd_cc,Es_cc*IF($E197&lt;=cc_D,0.0035*($E197-AC$9)/$E197,0.002*($E197-AC$9)/($E197-3*cc_D/7))))-fcd_cc*(1-(1-MAX(0,MIN(1,IF($E197&lt;=cc_D,0.0035*($E197-AC$9)/$E197,0.002*($E197-AC$9)/($E197-3*cc_D/7))/0.002)))^2)</f>
        <v/>
      </c>
      <c r="AD197">
        <f>MAX(-fyd_cc,MIN(fyd_cc,Es_cc*IF($E197&lt;=cc_D,0.0035*($E197-AD$9)/$E197,0.002*($E197-AD$9)/($E197-3*cc_D/7))))-fcd_cc*(1-(1-MAX(0,MIN(1,IF($E197&lt;=cc_D,0.0035*($E197-AD$9)/$E197,0.002*($E197-AD$9)/($E197-3*cc_D/7))/0.002)))^2)</f>
        <v/>
      </c>
      <c r="AE197">
        <f>MAX(-fyd_cc,MIN(fyd_cc,Es_cc*IF($E197&lt;=cc_D,0.0035*($E197-AE$9)/$E197,0.002*($E197-AE$9)/($E197-3*cc_D/7))))-fcd_cc*(1-(1-MAX(0,MIN(1,IF($E197&lt;=cc_D,0.0035*($E197-AE$9)/$E197,0.002*($E197-AE$9)/($E197-3*cc_D/7))/0.002)))^2)</f>
        <v/>
      </c>
      <c r="AF197">
        <f>MAX(-fyd_cc,MIN(fyd_cc,Es_cc*IF($E197&lt;=cc_D,0.0035*($E197-AF$9)/$E197,0.002*($E197-AF$9)/($E197-3*cc_D/7))))-fcd_cc*(1-(1-MAX(0,MIN(1,IF($E197&lt;=cc_D,0.0035*($E197-AF$9)/$E197,0.002*($E197-AF$9)/($E197-3*cc_D/7))/0.002)))^2)</f>
        <v/>
      </c>
      <c r="AG197">
        <f>MAX(-fyd_cc,MIN(fyd_cc,Es_cc*IF($E197&lt;=cc_D,0.0035*($E197-AG$9)/$E197,0.002*($E197-AG$9)/($E197-3*cc_D/7))))-fcd_cc*(1-(1-MAX(0,MIN(1,IF($E197&lt;=cc_D,0.0035*($E197-AG$9)/$E197,0.002*($E197-AG$9)/($E197-3*cc_D/7))/0.002)))^2)</f>
        <v/>
      </c>
      <c r="BF197">
        <f>3*MIN($E197,cc_D)/7</f>
        <v/>
      </c>
      <c r="BG197">
        <f>$E197-$BF197</f>
        <v/>
      </c>
      <c r="BH197">
        <f>ACOS(MAX(-1,MIN(1,1-$BF197/(cc_D/2))))</f>
        <v/>
      </c>
      <c r="BI197">
        <f>ACOS(MAX(-1,MIN(1,1-MIN($E197,cc_D)/(cc_D/2))))</f>
        <v/>
      </c>
      <c r="BJ197">
        <f>((cc_D/2*(1-COS(($BH197+0*($BI197-$BH197)/12)))-$BF197)/$BG197)^2*SIN(($BH197+0*($BI197-$BH197)/12))^2</f>
        <v/>
      </c>
      <c r="BK197">
        <f>((cc_D/2*(1-COS(($BH197+1*($BI197-$BH197)/12)))-$BF197)/$BG197)^2*SIN(($BH197+1*($BI197-$BH197)/12))^2</f>
        <v/>
      </c>
      <c r="BL197">
        <f>((cc_D/2*(1-COS(($BH197+2*($BI197-$BH197)/12)))-$BF197)/$BG197)^2*SIN(($BH197+2*($BI197-$BH197)/12))^2</f>
        <v/>
      </c>
      <c r="BM197">
        <f>((cc_D/2*(1-COS(($BH197+3*($BI197-$BH197)/12)))-$BF197)/$BG197)^2*SIN(($BH197+3*($BI197-$BH197)/12))^2</f>
        <v/>
      </c>
      <c r="BN197">
        <f>((cc_D/2*(1-COS(($BH197+4*($BI197-$BH197)/12)))-$BF197)/$BG197)^2*SIN(($BH197+4*($BI197-$BH197)/12))^2</f>
        <v/>
      </c>
      <c r="BO197">
        <f>((cc_D/2*(1-COS(($BH197+5*($BI197-$BH197)/12)))-$BF197)/$BG197)^2*SIN(($BH197+5*($BI197-$BH197)/12))^2</f>
        <v/>
      </c>
      <c r="BP197">
        <f>((cc_D/2*(1-COS(($BH197+6*($BI197-$BH197)/12)))-$BF197)/$BG197)^2*SIN(($BH197+6*($BI197-$BH197)/12))^2</f>
        <v/>
      </c>
      <c r="BQ197">
        <f>((cc_D/2*(1-COS(($BH197+7*($BI197-$BH197)/12)))-$BF197)/$BG197)^2*SIN(($BH197+7*($BI197-$BH197)/12))^2</f>
        <v/>
      </c>
      <c r="BR197">
        <f>((cc_D/2*(1-COS(($BH197+8*($BI197-$BH197)/12)))-$BF197)/$BG197)^2*SIN(($BH197+8*($BI197-$BH197)/12))^2</f>
        <v/>
      </c>
      <c r="BS197">
        <f>((cc_D/2*(1-COS(($BH197+9*($BI197-$BH197)/12)))-$BF197)/$BG197)^2*SIN(($BH197+9*($BI197-$BH197)/12))^2</f>
        <v/>
      </c>
      <c r="BT197">
        <f>((cc_D/2*(1-COS(($BH197+10*($BI197-$BH197)/12)))-$BF197)/$BG197)^2*SIN(($BH197+10*($BI197-$BH197)/12))^2</f>
        <v/>
      </c>
      <c r="BU197">
        <f>((cc_D/2*(1-COS(($BH197+11*($BI197-$BH197)/12)))-$BF197)/$BG197)^2*SIN(($BH197+11*($BI197-$BH197)/12))^2</f>
        <v/>
      </c>
      <c r="BV197">
        <f>((cc_D/2*(1-COS(($BH197+12*($BI197-$BH197)/12)))-$BF197)/$BG197)^2*SIN(($BH197+12*($BI197-$BH197)/12))^2</f>
        <v/>
      </c>
      <c r="BW197">
        <f>BJ197*COS(($BH197+0*($BI197-$BH197)/12))</f>
        <v/>
      </c>
      <c r="BX197">
        <f>BK197*COS(($BH197+1*($BI197-$BH197)/12))</f>
        <v/>
      </c>
      <c r="BY197">
        <f>BL197*COS(($BH197+2*($BI197-$BH197)/12))</f>
        <v/>
      </c>
      <c r="BZ197">
        <f>BM197*COS(($BH197+3*($BI197-$BH197)/12))</f>
        <v/>
      </c>
      <c r="CA197">
        <f>BN197*COS(($BH197+4*($BI197-$BH197)/12))</f>
        <v/>
      </c>
      <c r="CB197">
        <f>BO197*COS(($BH197+5*($BI197-$BH197)/12))</f>
        <v/>
      </c>
      <c r="CC197">
        <f>BP197*COS(($BH197+6*($BI197-$BH197)/12))</f>
        <v/>
      </c>
      <c r="CD197">
        <f>BQ197*COS(($BH197+7*($BI197-$BH197)/12))</f>
        <v/>
      </c>
      <c r="CE197">
        <f>BR197*COS(($BH197+8*($BI197-$BH197)/12))</f>
        <v/>
      </c>
      <c r="CF197">
        <f>BS197*COS(($BH197+9*($BI197-$BH197)/12))</f>
        <v/>
      </c>
      <c r="CG197">
        <f>BT197*COS(($BH197+10*($BI197-$BH197)/12))</f>
        <v/>
      </c>
      <c r="CH197">
        <f>BU197*COS(($BH197+11*($BI197-$BH197)/12))</f>
        <v/>
      </c>
      <c r="CI197">
        <f>BV197*COS(($BH197+12*($BI197-$BH197)/12))</f>
        <v/>
      </c>
    </row>
    <row r="198">
      <c r="B198" s="65" t="n">
        <v>46</v>
      </c>
      <c r="C198" s="66">
        <f>IF($G197&lt;cc_NEd-1E-9*ABS(cc_NEd),($C197+$D197)/2,$C197)</f>
        <v/>
      </c>
      <c r="D198" s="66">
        <f>IF($G197&lt;cc_NEd-1E-9*ABS(cc_NEd),$D197,($C197+$D197)/2)</f>
        <v/>
      </c>
      <c r="E198" s="67">
        <f>cc_D*(($C198+$D198)/2)/(1-(($C198+$D198)/2))</f>
        <v/>
      </c>
      <c r="F198" s="68">
        <f>IF($E198&lt;=cc_D,3.5,2*$E198/($E198-3*cc_D/7))</f>
        <v/>
      </c>
      <c r="G198" s="67">
        <f>(fcd_cc*((cc_D/2)^2*($BI198-COS($BI198)*SIN($BI198))-2*(cc_D/2)^2*($BI198-$BH198)/12/3*SUMPRODUCT($BJ$4:$BV$4,$BJ198:$BV198))+SUMPRODUCT($J$5:$AG$5,$J198:$AG198))/1000</f>
        <v/>
      </c>
      <c r="H198" s="67">
        <f>(fcd_cc*(2/3*(cc_D/2)^3*SIN($BI198)^3-2*(cc_D/2)^3*($BI198-$BH198)/12/3*SUMPRODUCT($BW$4:$CI$4,$BW198:$CI198))+SUMPRODUCT($J$5:$AG$5,$J198:$AG198,$J$10:$AG$10))/1E6</f>
        <v/>
      </c>
      <c r="I198" s="67">
        <f>SUMPRODUCT($J$5:$AG$5,$J198:$AG198,$J$11:$AG$11)/1E6</f>
        <v/>
      </c>
      <c r="J198">
        <f>MAX(-fyd_cc,MIN(fyd_cc,Es_cc*IF($E198&lt;=cc_D,0.0035*($E198-J$9)/$E198,0.002*($E198-J$9)/($E198-3*cc_D/7))))-fcd_cc*(1-(1-MAX(0,MIN(1,IF($E198&lt;=cc_D,0.0035*($E198-J$9)/$E198,0.002*($E198-J$9)/($E198-3*cc_D/7))/0.002)))^2)</f>
        <v/>
      </c>
      <c r="K198">
        <f>MAX(-fyd_cc,MIN(fyd_cc,Es_cc*IF($E198&lt;=cc_D,0.0035*($E198-K$9)/$E198,0.002*($E198-K$9)/($E198-3*cc_D/7))))-fcd_cc*(1-(1-MAX(0,MIN(1,IF($E198&lt;=cc_D,0.0035*($E198-K$9)/$E198,0.002*($E198-K$9)/($E198-3*cc_D/7))/0.002)))^2)</f>
        <v/>
      </c>
      <c r="L198">
        <f>MAX(-fyd_cc,MIN(fyd_cc,Es_cc*IF($E198&lt;=cc_D,0.0035*($E198-L$9)/$E198,0.002*($E198-L$9)/($E198-3*cc_D/7))))-fcd_cc*(1-(1-MAX(0,MIN(1,IF($E198&lt;=cc_D,0.0035*($E198-L$9)/$E198,0.002*($E198-L$9)/($E198-3*cc_D/7))/0.002)))^2)</f>
        <v/>
      </c>
      <c r="M198">
        <f>MAX(-fyd_cc,MIN(fyd_cc,Es_cc*IF($E198&lt;=cc_D,0.0035*($E198-M$9)/$E198,0.002*($E198-M$9)/($E198-3*cc_D/7))))-fcd_cc*(1-(1-MAX(0,MIN(1,IF($E198&lt;=cc_D,0.0035*($E198-M$9)/$E198,0.002*($E198-M$9)/($E198-3*cc_D/7))/0.002)))^2)</f>
        <v/>
      </c>
      <c r="N198">
        <f>MAX(-fyd_cc,MIN(fyd_cc,Es_cc*IF($E198&lt;=cc_D,0.0035*($E198-N$9)/$E198,0.002*($E198-N$9)/($E198-3*cc_D/7))))-fcd_cc*(1-(1-MAX(0,MIN(1,IF($E198&lt;=cc_D,0.0035*($E198-N$9)/$E198,0.002*($E198-N$9)/($E198-3*cc_D/7))/0.002)))^2)</f>
        <v/>
      </c>
      <c r="O198">
        <f>MAX(-fyd_cc,MIN(fyd_cc,Es_cc*IF($E198&lt;=cc_D,0.0035*($E198-O$9)/$E198,0.002*($E198-O$9)/($E198-3*cc_D/7))))-fcd_cc*(1-(1-MAX(0,MIN(1,IF($E198&lt;=cc_D,0.0035*($E198-O$9)/$E198,0.002*($E198-O$9)/($E198-3*cc_D/7))/0.002)))^2)</f>
        <v/>
      </c>
      <c r="P198">
        <f>MAX(-fyd_cc,MIN(fyd_cc,Es_cc*IF($E198&lt;=cc_D,0.0035*($E198-P$9)/$E198,0.002*($E198-P$9)/($E198-3*cc_D/7))))-fcd_cc*(1-(1-MAX(0,MIN(1,IF($E198&lt;=cc_D,0.0035*($E198-P$9)/$E198,0.002*($E198-P$9)/($E198-3*cc_D/7))/0.002)))^2)</f>
        <v/>
      </c>
      <c r="Q198">
        <f>MAX(-fyd_cc,MIN(fyd_cc,Es_cc*IF($E198&lt;=cc_D,0.0035*($E198-Q$9)/$E198,0.002*($E198-Q$9)/($E198-3*cc_D/7))))-fcd_cc*(1-(1-MAX(0,MIN(1,IF($E198&lt;=cc_D,0.0035*($E198-Q$9)/$E198,0.002*($E198-Q$9)/($E198-3*cc_D/7))/0.002)))^2)</f>
        <v/>
      </c>
      <c r="R198">
        <f>MAX(-fyd_cc,MIN(fyd_cc,Es_cc*IF($E198&lt;=cc_D,0.0035*($E198-R$9)/$E198,0.002*($E198-R$9)/($E198-3*cc_D/7))))-fcd_cc*(1-(1-MAX(0,MIN(1,IF($E198&lt;=cc_D,0.0035*($E198-R$9)/$E198,0.002*($E198-R$9)/($E198-3*cc_D/7))/0.002)))^2)</f>
        <v/>
      </c>
      <c r="S198">
        <f>MAX(-fyd_cc,MIN(fyd_cc,Es_cc*IF($E198&lt;=cc_D,0.0035*($E198-S$9)/$E198,0.002*($E198-S$9)/($E198-3*cc_D/7))))-fcd_cc*(1-(1-MAX(0,MIN(1,IF($E198&lt;=cc_D,0.0035*($E198-S$9)/$E198,0.002*($E198-S$9)/($E198-3*cc_D/7))/0.002)))^2)</f>
        <v/>
      </c>
      <c r="T198">
        <f>MAX(-fyd_cc,MIN(fyd_cc,Es_cc*IF($E198&lt;=cc_D,0.0035*($E198-T$9)/$E198,0.002*($E198-T$9)/($E198-3*cc_D/7))))-fcd_cc*(1-(1-MAX(0,MIN(1,IF($E198&lt;=cc_D,0.0035*($E198-T$9)/$E198,0.002*($E198-T$9)/($E198-3*cc_D/7))/0.002)))^2)</f>
        <v/>
      </c>
      <c r="U198">
        <f>MAX(-fyd_cc,MIN(fyd_cc,Es_cc*IF($E198&lt;=cc_D,0.0035*($E198-U$9)/$E198,0.002*($E198-U$9)/($E198-3*cc_D/7))))-fcd_cc*(1-(1-MAX(0,MIN(1,IF($E198&lt;=cc_D,0.0035*($E198-U$9)/$E198,0.002*($E198-U$9)/($E198-3*cc_D/7))/0.002)))^2)</f>
        <v/>
      </c>
      <c r="V198">
        <f>MAX(-fyd_cc,MIN(fyd_cc,Es_cc*IF($E198&lt;=cc_D,0.0035*($E198-V$9)/$E198,0.002*($E198-V$9)/($E198-3*cc_D/7))))-fcd_cc*(1-(1-MAX(0,MIN(1,IF($E198&lt;=cc_D,0.0035*($E198-V$9)/$E198,0.002*($E198-V$9)/($E198-3*cc_D/7))/0.002)))^2)</f>
        <v/>
      </c>
      <c r="W198">
        <f>MAX(-fyd_cc,MIN(fyd_cc,Es_cc*IF($E198&lt;=cc_D,0.0035*($E198-W$9)/$E198,0.002*($E198-W$9)/($E198-3*cc_D/7))))-fcd_cc*(1-(1-MAX(0,MIN(1,IF($E198&lt;=cc_D,0.0035*($E198-W$9)/$E198,0.002*($E198-W$9)/($E198-3*cc_D/7))/0.002)))^2)</f>
        <v/>
      </c>
      <c r="X198">
        <f>MAX(-fyd_cc,MIN(fyd_cc,Es_cc*IF($E198&lt;=cc_D,0.0035*($E198-X$9)/$E198,0.002*($E198-X$9)/($E198-3*cc_D/7))))-fcd_cc*(1-(1-MAX(0,MIN(1,IF($E198&lt;=cc_D,0.0035*($E198-X$9)/$E198,0.002*($E198-X$9)/($E198-3*cc_D/7))/0.002)))^2)</f>
        <v/>
      </c>
      <c r="Y198">
        <f>MAX(-fyd_cc,MIN(fyd_cc,Es_cc*IF($E198&lt;=cc_D,0.0035*($E198-Y$9)/$E198,0.002*($E198-Y$9)/($E198-3*cc_D/7))))-fcd_cc*(1-(1-MAX(0,MIN(1,IF($E198&lt;=cc_D,0.0035*($E198-Y$9)/$E198,0.002*($E198-Y$9)/($E198-3*cc_D/7))/0.002)))^2)</f>
        <v/>
      </c>
      <c r="Z198">
        <f>MAX(-fyd_cc,MIN(fyd_cc,Es_cc*IF($E198&lt;=cc_D,0.0035*($E198-Z$9)/$E198,0.002*($E198-Z$9)/($E198-3*cc_D/7))))-fcd_cc*(1-(1-MAX(0,MIN(1,IF($E198&lt;=cc_D,0.0035*($E198-Z$9)/$E198,0.002*($E198-Z$9)/($E198-3*cc_D/7))/0.002)))^2)</f>
        <v/>
      </c>
      <c r="AA198">
        <f>MAX(-fyd_cc,MIN(fyd_cc,Es_cc*IF($E198&lt;=cc_D,0.0035*($E198-AA$9)/$E198,0.002*($E198-AA$9)/($E198-3*cc_D/7))))-fcd_cc*(1-(1-MAX(0,MIN(1,IF($E198&lt;=cc_D,0.0035*($E198-AA$9)/$E198,0.002*($E198-AA$9)/($E198-3*cc_D/7))/0.002)))^2)</f>
        <v/>
      </c>
      <c r="AB198">
        <f>MAX(-fyd_cc,MIN(fyd_cc,Es_cc*IF($E198&lt;=cc_D,0.0035*($E198-AB$9)/$E198,0.002*($E198-AB$9)/($E198-3*cc_D/7))))-fcd_cc*(1-(1-MAX(0,MIN(1,IF($E198&lt;=cc_D,0.0035*($E198-AB$9)/$E198,0.002*($E198-AB$9)/($E198-3*cc_D/7))/0.002)))^2)</f>
        <v/>
      </c>
      <c r="AC198">
        <f>MAX(-fyd_cc,MIN(fyd_cc,Es_cc*IF($E198&lt;=cc_D,0.0035*($E198-AC$9)/$E198,0.002*($E198-AC$9)/($E198-3*cc_D/7))))-fcd_cc*(1-(1-MAX(0,MIN(1,IF($E198&lt;=cc_D,0.0035*($E198-AC$9)/$E198,0.002*($E198-AC$9)/($E198-3*cc_D/7))/0.002)))^2)</f>
        <v/>
      </c>
      <c r="AD198">
        <f>MAX(-fyd_cc,MIN(fyd_cc,Es_cc*IF($E198&lt;=cc_D,0.0035*($E198-AD$9)/$E198,0.002*($E198-AD$9)/($E198-3*cc_D/7))))-fcd_cc*(1-(1-MAX(0,MIN(1,IF($E198&lt;=cc_D,0.0035*($E198-AD$9)/$E198,0.002*($E198-AD$9)/($E198-3*cc_D/7))/0.002)))^2)</f>
        <v/>
      </c>
      <c r="AE198">
        <f>MAX(-fyd_cc,MIN(fyd_cc,Es_cc*IF($E198&lt;=cc_D,0.0035*($E198-AE$9)/$E198,0.002*($E198-AE$9)/($E198-3*cc_D/7))))-fcd_cc*(1-(1-MAX(0,MIN(1,IF($E198&lt;=cc_D,0.0035*($E198-AE$9)/$E198,0.002*($E198-AE$9)/($E198-3*cc_D/7))/0.002)))^2)</f>
        <v/>
      </c>
      <c r="AF198">
        <f>MAX(-fyd_cc,MIN(fyd_cc,Es_cc*IF($E198&lt;=cc_D,0.0035*($E198-AF$9)/$E198,0.002*($E198-AF$9)/($E198-3*cc_D/7))))-fcd_cc*(1-(1-MAX(0,MIN(1,IF($E198&lt;=cc_D,0.0035*($E198-AF$9)/$E198,0.002*($E198-AF$9)/($E198-3*cc_D/7))/0.002)))^2)</f>
        <v/>
      </c>
      <c r="AG198">
        <f>MAX(-fyd_cc,MIN(fyd_cc,Es_cc*IF($E198&lt;=cc_D,0.0035*($E198-AG$9)/$E198,0.002*($E198-AG$9)/($E198-3*cc_D/7))))-fcd_cc*(1-(1-MAX(0,MIN(1,IF($E198&lt;=cc_D,0.0035*($E198-AG$9)/$E198,0.002*($E198-AG$9)/($E198-3*cc_D/7))/0.002)))^2)</f>
        <v/>
      </c>
      <c r="BF198">
        <f>3*MIN($E198,cc_D)/7</f>
        <v/>
      </c>
      <c r="BG198">
        <f>$E198-$BF198</f>
        <v/>
      </c>
      <c r="BH198">
        <f>ACOS(MAX(-1,MIN(1,1-$BF198/(cc_D/2))))</f>
        <v/>
      </c>
      <c r="BI198">
        <f>ACOS(MAX(-1,MIN(1,1-MIN($E198,cc_D)/(cc_D/2))))</f>
        <v/>
      </c>
      <c r="BJ198">
        <f>((cc_D/2*(1-COS(($BH198+0*($BI198-$BH198)/12)))-$BF198)/$BG198)^2*SIN(($BH198+0*($BI198-$BH198)/12))^2</f>
        <v/>
      </c>
      <c r="BK198">
        <f>((cc_D/2*(1-COS(($BH198+1*($BI198-$BH198)/12)))-$BF198)/$BG198)^2*SIN(($BH198+1*($BI198-$BH198)/12))^2</f>
        <v/>
      </c>
      <c r="BL198">
        <f>((cc_D/2*(1-COS(($BH198+2*($BI198-$BH198)/12)))-$BF198)/$BG198)^2*SIN(($BH198+2*($BI198-$BH198)/12))^2</f>
        <v/>
      </c>
      <c r="BM198">
        <f>((cc_D/2*(1-COS(($BH198+3*($BI198-$BH198)/12)))-$BF198)/$BG198)^2*SIN(($BH198+3*($BI198-$BH198)/12))^2</f>
        <v/>
      </c>
      <c r="BN198">
        <f>((cc_D/2*(1-COS(($BH198+4*($BI198-$BH198)/12)))-$BF198)/$BG198)^2*SIN(($BH198+4*($BI198-$BH198)/12))^2</f>
        <v/>
      </c>
      <c r="BO198">
        <f>((cc_D/2*(1-COS(($BH198+5*($BI198-$BH198)/12)))-$BF198)/$BG198)^2*SIN(($BH198+5*($BI198-$BH198)/12))^2</f>
        <v/>
      </c>
      <c r="BP198">
        <f>((cc_D/2*(1-COS(($BH198+6*($BI198-$BH198)/12)))-$BF198)/$BG198)^2*SIN(($BH198+6*($BI198-$BH198)/12))^2</f>
        <v/>
      </c>
      <c r="BQ198">
        <f>((cc_D/2*(1-COS(($BH198+7*($BI198-$BH198)/12)))-$BF198)/$BG198)^2*SIN(($BH198+7*($BI198-$BH198)/12))^2</f>
        <v/>
      </c>
      <c r="BR198">
        <f>((cc_D/2*(1-COS(($BH198+8*($BI198-$BH198)/12)))-$BF198)/$BG198)^2*SIN(($BH198+8*($BI198-$BH198)/12))^2</f>
        <v/>
      </c>
      <c r="BS198">
        <f>((cc_D/2*(1-COS(($BH198+9*($BI198-$BH198)/12)))-$BF198)/$BG198)^2*SIN(($BH198+9*($BI198-$BH198)/12))^2</f>
        <v/>
      </c>
      <c r="BT198">
        <f>((cc_D/2*(1-COS(($BH198+10*($BI198-$BH198)/12)))-$BF198)/$BG198)^2*SIN(($BH198+10*($BI198-$BH198)/12))^2</f>
        <v/>
      </c>
      <c r="BU198">
        <f>((cc_D/2*(1-COS(($BH198+11*($BI198-$BH198)/12)))-$BF198)/$BG198)^2*SIN(($BH198+11*($BI198-$BH198)/12))^2</f>
        <v/>
      </c>
      <c r="BV198">
        <f>((cc_D/2*(1-COS(($BH198+12*($BI198-$BH198)/12)))-$BF198)/$BG198)^2*SIN(($BH198+12*($BI198-$BH198)/12))^2</f>
        <v/>
      </c>
      <c r="BW198">
        <f>BJ198*COS(($BH198+0*($BI198-$BH198)/12))</f>
        <v/>
      </c>
      <c r="BX198">
        <f>BK198*COS(($BH198+1*($BI198-$BH198)/12))</f>
        <v/>
      </c>
      <c r="BY198">
        <f>BL198*COS(($BH198+2*($BI198-$BH198)/12))</f>
        <v/>
      </c>
      <c r="BZ198">
        <f>BM198*COS(($BH198+3*($BI198-$BH198)/12))</f>
        <v/>
      </c>
      <c r="CA198">
        <f>BN198*COS(($BH198+4*($BI198-$BH198)/12))</f>
        <v/>
      </c>
      <c r="CB198">
        <f>BO198*COS(($BH198+5*($BI198-$BH198)/12))</f>
        <v/>
      </c>
      <c r="CC198">
        <f>BP198*COS(($BH198+6*($BI198-$BH198)/12))</f>
        <v/>
      </c>
      <c r="CD198">
        <f>BQ198*COS(($BH198+7*($BI198-$BH198)/12))</f>
        <v/>
      </c>
      <c r="CE198">
        <f>BR198*COS(($BH198+8*($BI198-$BH198)/12))</f>
        <v/>
      </c>
      <c r="CF198">
        <f>BS198*COS(($BH198+9*($BI198-$BH198)/12))</f>
        <v/>
      </c>
      <c r="CG198">
        <f>BT198*COS(($BH198+10*($BI198-$BH198)/12))</f>
        <v/>
      </c>
      <c r="CH198">
        <f>BU198*COS(($BH198+11*($BI198-$BH198)/12))</f>
        <v/>
      </c>
      <c r="CI198">
        <f>BV198*COS(($BH198+12*($BI198-$BH198)/12))</f>
        <v/>
      </c>
    </row>
    <row r="199">
      <c r="B199" s="65" t="n">
        <v>47</v>
      </c>
      <c r="C199" s="66">
        <f>IF($G198&lt;cc_NEd-1E-9*ABS(cc_NEd),($C198+$D198)/2,$C198)</f>
        <v/>
      </c>
      <c r="D199" s="66">
        <f>IF($G198&lt;cc_NEd-1E-9*ABS(cc_NEd),$D198,($C198+$D198)/2)</f>
        <v/>
      </c>
      <c r="E199" s="67">
        <f>cc_D*(($C199+$D199)/2)/(1-(($C199+$D199)/2))</f>
        <v/>
      </c>
      <c r="F199" s="68">
        <f>IF($E199&lt;=cc_D,3.5,2*$E199/($E199-3*cc_D/7))</f>
        <v/>
      </c>
      <c r="G199" s="67">
        <f>(fcd_cc*((cc_D/2)^2*($BI199-COS($BI199)*SIN($BI199))-2*(cc_D/2)^2*($BI199-$BH199)/12/3*SUMPRODUCT($BJ$4:$BV$4,$BJ199:$BV199))+SUMPRODUCT($J$5:$AG$5,$J199:$AG199))/1000</f>
        <v/>
      </c>
      <c r="H199" s="67">
        <f>(fcd_cc*(2/3*(cc_D/2)^3*SIN($BI199)^3-2*(cc_D/2)^3*($BI199-$BH199)/12/3*SUMPRODUCT($BW$4:$CI$4,$BW199:$CI199))+SUMPRODUCT($J$5:$AG$5,$J199:$AG199,$J$10:$AG$10))/1E6</f>
        <v/>
      </c>
      <c r="I199" s="67">
        <f>SUMPRODUCT($J$5:$AG$5,$J199:$AG199,$J$11:$AG$11)/1E6</f>
        <v/>
      </c>
      <c r="J199">
        <f>MAX(-fyd_cc,MIN(fyd_cc,Es_cc*IF($E199&lt;=cc_D,0.0035*($E199-J$9)/$E199,0.002*($E199-J$9)/($E199-3*cc_D/7))))-fcd_cc*(1-(1-MAX(0,MIN(1,IF($E199&lt;=cc_D,0.0035*($E199-J$9)/$E199,0.002*($E199-J$9)/($E199-3*cc_D/7))/0.002)))^2)</f>
        <v/>
      </c>
      <c r="K199">
        <f>MAX(-fyd_cc,MIN(fyd_cc,Es_cc*IF($E199&lt;=cc_D,0.0035*($E199-K$9)/$E199,0.002*($E199-K$9)/($E199-3*cc_D/7))))-fcd_cc*(1-(1-MAX(0,MIN(1,IF($E199&lt;=cc_D,0.0035*($E199-K$9)/$E199,0.002*($E199-K$9)/($E199-3*cc_D/7))/0.002)))^2)</f>
        <v/>
      </c>
      <c r="L199">
        <f>MAX(-fyd_cc,MIN(fyd_cc,Es_cc*IF($E199&lt;=cc_D,0.0035*($E199-L$9)/$E199,0.002*($E199-L$9)/($E199-3*cc_D/7))))-fcd_cc*(1-(1-MAX(0,MIN(1,IF($E199&lt;=cc_D,0.0035*($E199-L$9)/$E199,0.002*($E199-L$9)/($E199-3*cc_D/7))/0.002)))^2)</f>
        <v/>
      </c>
      <c r="M199">
        <f>MAX(-fyd_cc,MIN(fyd_cc,Es_cc*IF($E199&lt;=cc_D,0.0035*($E199-M$9)/$E199,0.002*($E199-M$9)/($E199-3*cc_D/7))))-fcd_cc*(1-(1-MAX(0,MIN(1,IF($E199&lt;=cc_D,0.0035*($E199-M$9)/$E199,0.002*($E199-M$9)/($E199-3*cc_D/7))/0.002)))^2)</f>
        <v/>
      </c>
      <c r="N199">
        <f>MAX(-fyd_cc,MIN(fyd_cc,Es_cc*IF($E199&lt;=cc_D,0.0035*($E199-N$9)/$E199,0.002*($E199-N$9)/($E199-3*cc_D/7))))-fcd_cc*(1-(1-MAX(0,MIN(1,IF($E199&lt;=cc_D,0.0035*($E199-N$9)/$E199,0.002*($E199-N$9)/($E199-3*cc_D/7))/0.002)))^2)</f>
        <v/>
      </c>
      <c r="O199">
        <f>MAX(-fyd_cc,MIN(fyd_cc,Es_cc*IF($E199&lt;=cc_D,0.0035*($E199-O$9)/$E199,0.002*($E199-O$9)/($E199-3*cc_D/7))))-fcd_cc*(1-(1-MAX(0,MIN(1,IF($E199&lt;=cc_D,0.0035*($E199-O$9)/$E199,0.002*($E199-O$9)/($E199-3*cc_D/7))/0.002)))^2)</f>
        <v/>
      </c>
      <c r="P199">
        <f>MAX(-fyd_cc,MIN(fyd_cc,Es_cc*IF($E199&lt;=cc_D,0.0035*($E199-P$9)/$E199,0.002*($E199-P$9)/($E199-3*cc_D/7))))-fcd_cc*(1-(1-MAX(0,MIN(1,IF($E199&lt;=cc_D,0.0035*($E199-P$9)/$E199,0.002*($E199-P$9)/($E199-3*cc_D/7))/0.002)))^2)</f>
        <v/>
      </c>
      <c r="Q199">
        <f>MAX(-fyd_cc,MIN(fyd_cc,Es_cc*IF($E199&lt;=cc_D,0.0035*($E199-Q$9)/$E199,0.002*($E199-Q$9)/($E199-3*cc_D/7))))-fcd_cc*(1-(1-MAX(0,MIN(1,IF($E199&lt;=cc_D,0.0035*($E199-Q$9)/$E199,0.002*($E199-Q$9)/($E199-3*cc_D/7))/0.002)))^2)</f>
        <v/>
      </c>
      <c r="R199">
        <f>MAX(-fyd_cc,MIN(fyd_cc,Es_cc*IF($E199&lt;=cc_D,0.0035*($E199-R$9)/$E199,0.002*($E199-R$9)/($E199-3*cc_D/7))))-fcd_cc*(1-(1-MAX(0,MIN(1,IF($E199&lt;=cc_D,0.0035*($E199-R$9)/$E199,0.002*($E199-R$9)/($E199-3*cc_D/7))/0.002)))^2)</f>
        <v/>
      </c>
      <c r="S199">
        <f>MAX(-fyd_cc,MIN(fyd_cc,Es_cc*IF($E199&lt;=cc_D,0.0035*($E199-S$9)/$E199,0.002*($E199-S$9)/($E199-3*cc_D/7))))-fcd_cc*(1-(1-MAX(0,MIN(1,IF($E199&lt;=cc_D,0.0035*($E199-S$9)/$E199,0.002*($E199-S$9)/($E199-3*cc_D/7))/0.002)))^2)</f>
        <v/>
      </c>
      <c r="T199">
        <f>MAX(-fyd_cc,MIN(fyd_cc,Es_cc*IF($E199&lt;=cc_D,0.0035*($E199-T$9)/$E199,0.002*($E199-T$9)/($E199-3*cc_D/7))))-fcd_cc*(1-(1-MAX(0,MIN(1,IF($E199&lt;=cc_D,0.0035*($E199-T$9)/$E199,0.002*($E199-T$9)/($E199-3*cc_D/7))/0.002)))^2)</f>
        <v/>
      </c>
      <c r="U199">
        <f>MAX(-fyd_cc,MIN(fyd_cc,Es_cc*IF($E199&lt;=cc_D,0.0035*($E199-U$9)/$E199,0.002*($E199-U$9)/($E199-3*cc_D/7))))-fcd_cc*(1-(1-MAX(0,MIN(1,IF($E199&lt;=cc_D,0.0035*($E199-U$9)/$E199,0.002*($E199-U$9)/($E199-3*cc_D/7))/0.002)))^2)</f>
        <v/>
      </c>
      <c r="V199">
        <f>MAX(-fyd_cc,MIN(fyd_cc,Es_cc*IF($E199&lt;=cc_D,0.0035*($E199-V$9)/$E199,0.002*($E199-V$9)/($E199-3*cc_D/7))))-fcd_cc*(1-(1-MAX(0,MIN(1,IF($E199&lt;=cc_D,0.0035*($E199-V$9)/$E199,0.002*($E199-V$9)/($E199-3*cc_D/7))/0.002)))^2)</f>
        <v/>
      </c>
      <c r="W199">
        <f>MAX(-fyd_cc,MIN(fyd_cc,Es_cc*IF($E199&lt;=cc_D,0.0035*($E199-W$9)/$E199,0.002*($E199-W$9)/($E199-3*cc_D/7))))-fcd_cc*(1-(1-MAX(0,MIN(1,IF($E199&lt;=cc_D,0.0035*($E199-W$9)/$E199,0.002*($E199-W$9)/($E199-3*cc_D/7))/0.002)))^2)</f>
        <v/>
      </c>
      <c r="X199">
        <f>MAX(-fyd_cc,MIN(fyd_cc,Es_cc*IF($E199&lt;=cc_D,0.0035*($E199-X$9)/$E199,0.002*($E199-X$9)/($E199-3*cc_D/7))))-fcd_cc*(1-(1-MAX(0,MIN(1,IF($E199&lt;=cc_D,0.0035*($E199-X$9)/$E199,0.002*($E199-X$9)/($E199-3*cc_D/7))/0.002)))^2)</f>
        <v/>
      </c>
      <c r="Y199">
        <f>MAX(-fyd_cc,MIN(fyd_cc,Es_cc*IF($E199&lt;=cc_D,0.0035*($E199-Y$9)/$E199,0.002*($E199-Y$9)/($E199-3*cc_D/7))))-fcd_cc*(1-(1-MAX(0,MIN(1,IF($E199&lt;=cc_D,0.0035*($E199-Y$9)/$E199,0.002*($E199-Y$9)/($E199-3*cc_D/7))/0.002)))^2)</f>
        <v/>
      </c>
      <c r="Z199">
        <f>MAX(-fyd_cc,MIN(fyd_cc,Es_cc*IF($E199&lt;=cc_D,0.0035*($E199-Z$9)/$E199,0.002*($E199-Z$9)/($E199-3*cc_D/7))))-fcd_cc*(1-(1-MAX(0,MIN(1,IF($E199&lt;=cc_D,0.0035*($E199-Z$9)/$E199,0.002*($E199-Z$9)/($E199-3*cc_D/7))/0.002)))^2)</f>
        <v/>
      </c>
      <c r="AA199">
        <f>MAX(-fyd_cc,MIN(fyd_cc,Es_cc*IF($E199&lt;=cc_D,0.0035*($E199-AA$9)/$E199,0.002*($E199-AA$9)/($E199-3*cc_D/7))))-fcd_cc*(1-(1-MAX(0,MIN(1,IF($E199&lt;=cc_D,0.0035*($E199-AA$9)/$E199,0.002*($E199-AA$9)/($E199-3*cc_D/7))/0.002)))^2)</f>
        <v/>
      </c>
      <c r="AB199">
        <f>MAX(-fyd_cc,MIN(fyd_cc,Es_cc*IF($E199&lt;=cc_D,0.0035*($E199-AB$9)/$E199,0.002*($E199-AB$9)/($E199-3*cc_D/7))))-fcd_cc*(1-(1-MAX(0,MIN(1,IF($E199&lt;=cc_D,0.0035*($E199-AB$9)/$E199,0.002*($E199-AB$9)/($E199-3*cc_D/7))/0.002)))^2)</f>
        <v/>
      </c>
      <c r="AC199">
        <f>MAX(-fyd_cc,MIN(fyd_cc,Es_cc*IF($E199&lt;=cc_D,0.0035*($E199-AC$9)/$E199,0.002*($E199-AC$9)/($E199-3*cc_D/7))))-fcd_cc*(1-(1-MAX(0,MIN(1,IF($E199&lt;=cc_D,0.0035*($E199-AC$9)/$E199,0.002*($E199-AC$9)/($E199-3*cc_D/7))/0.002)))^2)</f>
        <v/>
      </c>
      <c r="AD199">
        <f>MAX(-fyd_cc,MIN(fyd_cc,Es_cc*IF($E199&lt;=cc_D,0.0035*($E199-AD$9)/$E199,0.002*($E199-AD$9)/($E199-3*cc_D/7))))-fcd_cc*(1-(1-MAX(0,MIN(1,IF($E199&lt;=cc_D,0.0035*($E199-AD$9)/$E199,0.002*($E199-AD$9)/($E199-3*cc_D/7))/0.002)))^2)</f>
        <v/>
      </c>
      <c r="AE199">
        <f>MAX(-fyd_cc,MIN(fyd_cc,Es_cc*IF($E199&lt;=cc_D,0.0035*($E199-AE$9)/$E199,0.002*($E199-AE$9)/($E199-3*cc_D/7))))-fcd_cc*(1-(1-MAX(0,MIN(1,IF($E199&lt;=cc_D,0.0035*($E199-AE$9)/$E199,0.002*($E199-AE$9)/($E199-3*cc_D/7))/0.002)))^2)</f>
        <v/>
      </c>
      <c r="AF199">
        <f>MAX(-fyd_cc,MIN(fyd_cc,Es_cc*IF($E199&lt;=cc_D,0.0035*($E199-AF$9)/$E199,0.002*($E199-AF$9)/($E199-3*cc_D/7))))-fcd_cc*(1-(1-MAX(0,MIN(1,IF($E199&lt;=cc_D,0.0035*($E199-AF$9)/$E199,0.002*($E199-AF$9)/($E199-3*cc_D/7))/0.002)))^2)</f>
        <v/>
      </c>
      <c r="AG199">
        <f>MAX(-fyd_cc,MIN(fyd_cc,Es_cc*IF($E199&lt;=cc_D,0.0035*($E199-AG$9)/$E199,0.002*($E199-AG$9)/($E199-3*cc_D/7))))-fcd_cc*(1-(1-MAX(0,MIN(1,IF($E199&lt;=cc_D,0.0035*($E199-AG$9)/$E199,0.002*($E199-AG$9)/($E199-3*cc_D/7))/0.002)))^2)</f>
        <v/>
      </c>
      <c r="BF199">
        <f>3*MIN($E199,cc_D)/7</f>
        <v/>
      </c>
      <c r="BG199">
        <f>$E199-$BF199</f>
        <v/>
      </c>
      <c r="BH199">
        <f>ACOS(MAX(-1,MIN(1,1-$BF199/(cc_D/2))))</f>
        <v/>
      </c>
      <c r="BI199">
        <f>ACOS(MAX(-1,MIN(1,1-MIN($E199,cc_D)/(cc_D/2))))</f>
        <v/>
      </c>
      <c r="BJ199">
        <f>((cc_D/2*(1-COS(($BH199+0*($BI199-$BH199)/12)))-$BF199)/$BG199)^2*SIN(($BH199+0*($BI199-$BH199)/12))^2</f>
        <v/>
      </c>
      <c r="BK199">
        <f>((cc_D/2*(1-COS(($BH199+1*($BI199-$BH199)/12)))-$BF199)/$BG199)^2*SIN(($BH199+1*($BI199-$BH199)/12))^2</f>
        <v/>
      </c>
      <c r="BL199">
        <f>((cc_D/2*(1-COS(($BH199+2*($BI199-$BH199)/12)))-$BF199)/$BG199)^2*SIN(($BH199+2*($BI199-$BH199)/12))^2</f>
        <v/>
      </c>
      <c r="BM199">
        <f>((cc_D/2*(1-COS(($BH199+3*($BI199-$BH199)/12)))-$BF199)/$BG199)^2*SIN(($BH199+3*($BI199-$BH199)/12))^2</f>
        <v/>
      </c>
      <c r="BN199">
        <f>((cc_D/2*(1-COS(($BH199+4*($BI199-$BH199)/12)))-$BF199)/$BG199)^2*SIN(($BH199+4*($BI199-$BH199)/12))^2</f>
        <v/>
      </c>
      <c r="BO199">
        <f>((cc_D/2*(1-COS(($BH199+5*($BI199-$BH199)/12)))-$BF199)/$BG199)^2*SIN(($BH199+5*($BI199-$BH199)/12))^2</f>
        <v/>
      </c>
      <c r="BP199">
        <f>((cc_D/2*(1-COS(($BH199+6*($BI199-$BH199)/12)))-$BF199)/$BG199)^2*SIN(($BH199+6*($BI199-$BH199)/12))^2</f>
        <v/>
      </c>
      <c r="BQ199">
        <f>((cc_D/2*(1-COS(($BH199+7*($BI199-$BH199)/12)))-$BF199)/$BG199)^2*SIN(($BH199+7*($BI199-$BH199)/12))^2</f>
        <v/>
      </c>
      <c r="BR199">
        <f>((cc_D/2*(1-COS(($BH199+8*($BI199-$BH199)/12)))-$BF199)/$BG199)^2*SIN(($BH199+8*($BI199-$BH199)/12))^2</f>
        <v/>
      </c>
      <c r="BS199">
        <f>((cc_D/2*(1-COS(($BH199+9*($BI199-$BH199)/12)))-$BF199)/$BG199)^2*SIN(($BH199+9*($BI199-$BH199)/12))^2</f>
        <v/>
      </c>
      <c r="BT199">
        <f>((cc_D/2*(1-COS(($BH199+10*($BI199-$BH199)/12)))-$BF199)/$BG199)^2*SIN(($BH199+10*($BI199-$BH199)/12))^2</f>
        <v/>
      </c>
      <c r="BU199">
        <f>((cc_D/2*(1-COS(($BH199+11*($BI199-$BH199)/12)))-$BF199)/$BG199)^2*SIN(($BH199+11*($BI199-$BH199)/12))^2</f>
        <v/>
      </c>
      <c r="BV199">
        <f>((cc_D/2*(1-COS(($BH199+12*($BI199-$BH199)/12)))-$BF199)/$BG199)^2*SIN(($BH199+12*($BI199-$BH199)/12))^2</f>
        <v/>
      </c>
      <c r="BW199">
        <f>BJ199*COS(($BH199+0*($BI199-$BH199)/12))</f>
        <v/>
      </c>
      <c r="BX199">
        <f>BK199*COS(($BH199+1*($BI199-$BH199)/12))</f>
        <v/>
      </c>
      <c r="BY199">
        <f>BL199*COS(($BH199+2*($BI199-$BH199)/12))</f>
        <v/>
      </c>
      <c r="BZ199">
        <f>BM199*COS(($BH199+3*($BI199-$BH199)/12))</f>
        <v/>
      </c>
      <c r="CA199">
        <f>BN199*COS(($BH199+4*($BI199-$BH199)/12))</f>
        <v/>
      </c>
      <c r="CB199">
        <f>BO199*COS(($BH199+5*($BI199-$BH199)/12))</f>
        <v/>
      </c>
      <c r="CC199">
        <f>BP199*COS(($BH199+6*($BI199-$BH199)/12))</f>
        <v/>
      </c>
      <c r="CD199">
        <f>BQ199*COS(($BH199+7*($BI199-$BH199)/12))</f>
        <v/>
      </c>
      <c r="CE199">
        <f>BR199*COS(($BH199+8*($BI199-$BH199)/12))</f>
        <v/>
      </c>
      <c r="CF199">
        <f>BS199*COS(($BH199+9*($BI199-$BH199)/12))</f>
        <v/>
      </c>
      <c r="CG199">
        <f>BT199*COS(($BH199+10*($BI199-$BH199)/12))</f>
        <v/>
      </c>
      <c r="CH199">
        <f>BU199*COS(($BH199+11*($BI199-$BH199)/12))</f>
        <v/>
      </c>
      <c r="CI199">
        <f>BV199*COS(($BH199+12*($BI199-$BH199)/12))</f>
        <v/>
      </c>
    </row>
    <row r="200">
      <c r="B200" s="65" t="n">
        <v>48</v>
      </c>
      <c r="C200" s="66">
        <f>IF($G199&lt;cc_NEd-1E-9*ABS(cc_NEd),($C199+$D199)/2,$C199)</f>
        <v/>
      </c>
      <c r="D200" s="66">
        <f>IF($G199&lt;cc_NEd-1E-9*ABS(cc_NEd),$D199,($C199+$D199)/2)</f>
        <v/>
      </c>
      <c r="E200" s="67">
        <f>cc_D*(($C200+$D200)/2)/(1-(($C200+$D200)/2))</f>
        <v/>
      </c>
      <c r="F200" s="68">
        <f>IF($E200&lt;=cc_D,3.5,2*$E200/($E200-3*cc_D/7))</f>
        <v/>
      </c>
      <c r="G200" s="67">
        <f>(fcd_cc*((cc_D/2)^2*($BI200-COS($BI200)*SIN($BI200))-2*(cc_D/2)^2*($BI200-$BH200)/12/3*SUMPRODUCT($BJ$4:$BV$4,$BJ200:$BV200))+SUMPRODUCT($J$5:$AG$5,$J200:$AG200))/1000</f>
        <v/>
      </c>
      <c r="H200" s="67">
        <f>(fcd_cc*(2/3*(cc_D/2)^3*SIN($BI200)^3-2*(cc_D/2)^3*($BI200-$BH200)/12/3*SUMPRODUCT($BW$4:$CI$4,$BW200:$CI200))+SUMPRODUCT($J$5:$AG$5,$J200:$AG200,$J$10:$AG$10))/1E6</f>
        <v/>
      </c>
      <c r="I200" s="67">
        <f>SUMPRODUCT($J$5:$AG$5,$J200:$AG200,$J$11:$AG$11)/1E6</f>
        <v/>
      </c>
      <c r="J200">
        <f>MAX(-fyd_cc,MIN(fyd_cc,Es_cc*IF($E200&lt;=cc_D,0.0035*($E200-J$9)/$E200,0.002*($E200-J$9)/($E200-3*cc_D/7))))-fcd_cc*(1-(1-MAX(0,MIN(1,IF($E200&lt;=cc_D,0.0035*($E200-J$9)/$E200,0.002*($E200-J$9)/($E200-3*cc_D/7))/0.002)))^2)</f>
        <v/>
      </c>
      <c r="K200">
        <f>MAX(-fyd_cc,MIN(fyd_cc,Es_cc*IF($E200&lt;=cc_D,0.0035*($E200-K$9)/$E200,0.002*($E200-K$9)/($E200-3*cc_D/7))))-fcd_cc*(1-(1-MAX(0,MIN(1,IF($E200&lt;=cc_D,0.0035*($E200-K$9)/$E200,0.002*($E200-K$9)/($E200-3*cc_D/7))/0.002)))^2)</f>
        <v/>
      </c>
      <c r="L200">
        <f>MAX(-fyd_cc,MIN(fyd_cc,Es_cc*IF($E200&lt;=cc_D,0.0035*($E200-L$9)/$E200,0.002*($E200-L$9)/($E200-3*cc_D/7))))-fcd_cc*(1-(1-MAX(0,MIN(1,IF($E200&lt;=cc_D,0.0035*($E200-L$9)/$E200,0.002*($E200-L$9)/($E200-3*cc_D/7))/0.002)))^2)</f>
        <v/>
      </c>
      <c r="M200">
        <f>MAX(-fyd_cc,MIN(fyd_cc,Es_cc*IF($E200&lt;=cc_D,0.0035*($E200-M$9)/$E200,0.002*($E200-M$9)/($E200-3*cc_D/7))))-fcd_cc*(1-(1-MAX(0,MIN(1,IF($E200&lt;=cc_D,0.0035*($E200-M$9)/$E200,0.002*($E200-M$9)/($E200-3*cc_D/7))/0.002)))^2)</f>
        <v/>
      </c>
      <c r="N200">
        <f>MAX(-fyd_cc,MIN(fyd_cc,Es_cc*IF($E200&lt;=cc_D,0.0035*($E200-N$9)/$E200,0.002*($E200-N$9)/($E200-3*cc_D/7))))-fcd_cc*(1-(1-MAX(0,MIN(1,IF($E200&lt;=cc_D,0.0035*($E200-N$9)/$E200,0.002*($E200-N$9)/($E200-3*cc_D/7))/0.002)))^2)</f>
        <v/>
      </c>
      <c r="O200">
        <f>MAX(-fyd_cc,MIN(fyd_cc,Es_cc*IF($E200&lt;=cc_D,0.0035*($E200-O$9)/$E200,0.002*($E200-O$9)/($E200-3*cc_D/7))))-fcd_cc*(1-(1-MAX(0,MIN(1,IF($E200&lt;=cc_D,0.0035*($E200-O$9)/$E200,0.002*($E200-O$9)/($E200-3*cc_D/7))/0.002)))^2)</f>
        <v/>
      </c>
      <c r="P200">
        <f>MAX(-fyd_cc,MIN(fyd_cc,Es_cc*IF($E200&lt;=cc_D,0.0035*($E200-P$9)/$E200,0.002*($E200-P$9)/($E200-3*cc_D/7))))-fcd_cc*(1-(1-MAX(0,MIN(1,IF($E200&lt;=cc_D,0.0035*($E200-P$9)/$E200,0.002*($E200-P$9)/($E200-3*cc_D/7))/0.002)))^2)</f>
        <v/>
      </c>
      <c r="Q200">
        <f>MAX(-fyd_cc,MIN(fyd_cc,Es_cc*IF($E200&lt;=cc_D,0.0035*($E200-Q$9)/$E200,0.002*($E200-Q$9)/($E200-3*cc_D/7))))-fcd_cc*(1-(1-MAX(0,MIN(1,IF($E200&lt;=cc_D,0.0035*($E200-Q$9)/$E200,0.002*($E200-Q$9)/($E200-3*cc_D/7))/0.002)))^2)</f>
        <v/>
      </c>
      <c r="R200">
        <f>MAX(-fyd_cc,MIN(fyd_cc,Es_cc*IF($E200&lt;=cc_D,0.0035*($E200-R$9)/$E200,0.002*($E200-R$9)/($E200-3*cc_D/7))))-fcd_cc*(1-(1-MAX(0,MIN(1,IF($E200&lt;=cc_D,0.0035*($E200-R$9)/$E200,0.002*($E200-R$9)/($E200-3*cc_D/7))/0.002)))^2)</f>
        <v/>
      </c>
      <c r="S200">
        <f>MAX(-fyd_cc,MIN(fyd_cc,Es_cc*IF($E200&lt;=cc_D,0.0035*($E200-S$9)/$E200,0.002*($E200-S$9)/($E200-3*cc_D/7))))-fcd_cc*(1-(1-MAX(0,MIN(1,IF($E200&lt;=cc_D,0.0035*($E200-S$9)/$E200,0.002*($E200-S$9)/($E200-3*cc_D/7))/0.002)))^2)</f>
        <v/>
      </c>
      <c r="T200">
        <f>MAX(-fyd_cc,MIN(fyd_cc,Es_cc*IF($E200&lt;=cc_D,0.0035*($E200-T$9)/$E200,0.002*($E200-T$9)/($E200-3*cc_D/7))))-fcd_cc*(1-(1-MAX(0,MIN(1,IF($E200&lt;=cc_D,0.0035*($E200-T$9)/$E200,0.002*($E200-T$9)/($E200-3*cc_D/7))/0.002)))^2)</f>
        <v/>
      </c>
      <c r="U200">
        <f>MAX(-fyd_cc,MIN(fyd_cc,Es_cc*IF($E200&lt;=cc_D,0.0035*($E200-U$9)/$E200,0.002*($E200-U$9)/($E200-3*cc_D/7))))-fcd_cc*(1-(1-MAX(0,MIN(1,IF($E200&lt;=cc_D,0.0035*($E200-U$9)/$E200,0.002*($E200-U$9)/($E200-3*cc_D/7))/0.002)))^2)</f>
        <v/>
      </c>
      <c r="V200">
        <f>MAX(-fyd_cc,MIN(fyd_cc,Es_cc*IF($E200&lt;=cc_D,0.0035*($E200-V$9)/$E200,0.002*($E200-V$9)/($E200-3*cc_D/7))))-fcd_cc*(1-(1-MAX(0,MIN(1,IF($E200&lt;=cc_D,0.0035*($E200-V$9)/$E200,0.002*($E200-V$9)/($E200-3*cc_D/7))/0.002)))^2)</f>
        <v/>
      </c>
      <c r="W200">
        <f>MAX(-fyd_cc,MIN(fyd_cc,Es_cc*IF($E200&lt;=cc_D,0.0035*($E200-W$9)/$E200,0.002*($E200-W$9)/($E200-3*cc_D/7))))-fcd_cc*(1-(1-MAX(0,MIN(1,IF($E200&lt;=cc_D,0.0035*($E200-W$9)/$E200,0.002*($E200-W$9)/($E200-3*cc_D/7))/0.002)))^2)</f>
        <v/>
      </c>
      <c r="X200">
        <f>MAX(-fyd_cc,MIN(fyd_cc,Es_cc*IF($E200&lt;=cc_D,0.0035*($E200-X$9)/$E200,0.002*($E200-X$9)/($E200-3*cc_D/7))))-fcd_cc*(1-(1-MAX(0,MIN(1,IF($E200&lt;=cc_D,0.0035*($E200-X$9)/$E200,0.002*($E200-X$9)/($E200-3*cc_D/7))/0.002)))^2)</f>
        <v/>
      </c>
      <c r="Y200">
        <f>MAX(-fyd_cc,MIN(fyd_cc,Es_cc*IF($E200&lt;=cc_D,0.0035*($E200-Y$9)/$E200,0.002*($E200-Y$9)/($E200-3*cc_D/7))))-fcd_cc*(1-(1-MAX(0,MIN(1,IF($E200&lt;=cc_D,0.0035*($E200-Y$9)/$E200,0.002*($E200-Y$9)/($E200-3*cc_D/7))/0.002)))^2)</f>
        <v/>
      </c>
      <c r="Z200">
        <f>MAX(-fyd_cc,MIN(fyd_cc,Es_cc*IF($E200&lt;=cc_D,0.0035*($E200-Z$9)/$E200,0.002*($E200-Z$9)/($E200-3*cc_D/7))))-fcd_cc*(1-(1-MAX(0,MIN(1,IF($E200&lt;=cc_D,0.0035*($E200-Z$9)/$E200,0.002*($E200-Z$9)/($E200-3*cc_D/7))/0.002)))^2)</f>
        <v/>
      </c>
      <c r="AA200">
        <f>MAX(-fyd_cc,MIN(fyd_cc,Es_cc*IF($E200&lt;=cc_D,0.0035*($E200-AA$9)/$E200,0.002*($E200-AA$9)/($E200-3*cc_D/7))))-fcd_cc*(1-(1-MAX(0,MIN(1,IF($E200&lt;=cc_D,0.0035*($E200-AA$9)/$E200,0.002*($E200-AA$9)/($E200-3*cc_D/7))/0.002)))^2)</f>
        <v/>
      </c>
      <c r="AB200">
        <f>MAX(-fyd_cc,MIN(fyd_cc,Es_cc*IF($E200&lt;=cc_D,0.0035*($E200-AB$9)/$E200,0.002*($E200-AB$9)/($E200-3*cc_D/7))))-fcd_cc*(1-(1-MAX(0,MIN(1,IF($E200&lt;=cc_D,0.0035*($E200-AB$9)/$E200,0.002*($E200-AB$9)/($E200-3*cc_D/7))/0.002)))^2)</f>
        <v/>
      </c>
      <c r="AC200">
        <f>MAX(-fyd_cc,MIN(fyd_cc,Es_cc*IF($E200&lt;=cc_D,0.0035*($E200-AC$9)/$E200,0.002*($E200-AC$9)/($E200-3*cc_D/7))))-fcd_cc*(1-(1-MAX(0,MIN(1,IF($E200&lt;=cc_D,0.0035*($E200-AC$9)/$E200,0.002*($E200-AC$9)/($E200-3*cc_D/7))/0.002)))^2)</f>
        <v/>
      </c>
      <c r="AD200">
        <f>MAX(-fyd_cc,MIN(fyd_cc,Es_cc*IF($E200&lt;=cc_D,0.0035*($E200-AD$9)/$E200,0.002*($E200-AD$9)/($E200-3*cc_D/7))))-fcd_cc*(1-(1-MAX(0,MIN(1,IF($E200&lt;=cc_D,0.0035*($E200-AD$9)/$E200,0.002*($E200-AD$9)/($E200-3*cc_D/7))/0.002)))^2)</f>
        <v/>
      </c>
      <c r="AE200">
        <f>MAX(-fyd_cc,MIN(fyd_cc,Es_cc*IF($E200&lt;=cc_D,0.0035*($E200-AE$9)/$E200,0.002*($E200-AE$9)/($E200-3*cc_D/7))))-fcd_cc*(1-(1-MAX(0,MIN(1,IF($E200&lt;=cc_D,0.0035*($E200-AE$9)/$E200,0.002*($E200-AE$9)/($E200-3*cc_D/7))/0.002)))^2)</f>
        <v/>
      </c>
      <c r="AF200">
        <f>MAX(-fyd_cc,MIN(fyd_cc,Es_cc*IF($E200&lt;=cc_D,0.0035*($E200-AF$9)/$E200,0.002*($E200-AF$9)/($E200-3*cc_D/7))))-fcd_cc*(1-(1-MAX(0,MIN(1,IF($E200&lt;=cc_D,0.0035*($E200-AF$9)/$E200,0.002*($E200-AF$9)/($E200-3*cc_D/7))/0.002)))^2)</f>
        <v/>
      </c>
      <c r="AG200">
        <f>MAX(-fyd_cc,MIN(fyd_cc,Es_cc*IF($E200&lt;=cc_D,0.0035*($E200-AG$9)/$E200,0.002*($E200-AG$9)/($E200-3*cc_D/7))))-fcd_cc*(1-(1-MAX(0,MIN(1,IF($E200&lt;=cc_D,0.0035*($E200-AG$9)/$E200,0.002*($E200-AG$9)/($E200-3*cc_D/7))/0.002)))^2)</f>
        <v/>
      </c>
      <c r="BF200">
        <f>3*MIN($E200,cc_D)/7</f>
        <v/>
      </c>
      <c r="BG200">
        <f>$E200-$BF200</f>
        <v/>
      </c>
      <c r="BH200">
        <f>ACOS(MAX(-1,MIN(1,1-$BF200/(cc_D/2))))</f>
        <v/>
      </c>
      <c r="BI200">
        <f>ACOS(MAX(-1,MIN(1,1-MIN($E200,cc_D)/(cc_D/2))))</f>
        <v/>
      </c>
      <c r="BJ200">
        <f>((cc_D/2*(1-COS(($BH200+0*($BI200-$BH200)/12)))-$BF200)/$BG200)^2*SIN(($BH200+0*($BI200-$BH200)/12))^2</f>
        <v/>
      </c>
      <c r="BK200">
        <f>((cc_D/2*(1-COS(($BH200+1*($BI200-$BH200)/12)))-$BF200)/$BG200)^2*SIN(($BH200+1*($BI200-$BH200)/12))^2</f>
        <v/>
      </c>
      <c r="BL200">
        <f>((cc_D/2*(1-COS(($BH200+2*($BI200-$BH200)/12)))-$BF200)/$BG200)^2*SIN(($BH200+2*($BI200-$BH200)/12))^2</f>
        <v/>
      </c>
      <c r="BM200">
        <f>((cc_D/2*(1-COS(($BH200+3*($BI200-$BH200)/12)))-$BF200)/$BG200)^2*SIN(($BH200+3*($BI200-$BH200)/12))^2</f>
        <v/>
      </c>
      <c r="BN200">
        <f>((cc_D/2*(1-COS(($BH200+4*($BI200-$BH200)/12)))-$BF200)/$BG200)^2*SIN(($BH200+4*($BI200-$BH200)/12))^2</f>
        <v/>
      </c>
      <c r="BO200">
        <f>((cc_D/2*(1-COS(($BH200+5*($BI200-$BH200)/12)))-$BF200)/$BG200)^2*SIN(($BH200+5*($BI200-$BH200)/12))^2</f>
        <v/>
      </c>
      <c r="BP200">
        <f>((cc_D/2*(1-COS(($BH200+6*($BI200-$BH200)/12)))-$BF200)/$BG200)^2*SIN(($BH200+6*($BI200-$BH200)/12))^2</f>
        <v/>
      </c>
      <c r="BQ200">
        <f>((cc_D/2*(1-COS(($BH200+7*($BI200-$BH200)/12)))-$BF200)/$BG200)^2*SIN(($BH200+7*($BI200-$BH200)/12))^2</f>
        <v/>
      </c>
      <c r="BR200">
        <f>((cc_D/2*(1-COS(($BH200+8*($BI200-$BH200)/12)))-$BF200)/$BG200)^2*SIN(($BH200+8*($BI200-$BH200)/12))^2</f>
        <v/>
      </c>
      <c r="BS200">
        <f>((cc_D/2*(1-COS(($BH200+9*($BI200-$BH200)/12)))-$BF200)/$BG200)^2*SIN(($BH200+9*($BI200-$BH200)/12))^2</f>
        <v/>
      </c>
      <c r="BT200">
        <f>((cc_D/2*(1-COS(($BH200+10*($BI200-$BH200)/12)))-$BF200)/$BG200)^2*SIN(($BH200+10*($BI200-$BH200)/12))^2</f>
        <v/>
      </c>
      <c r="BU200">
        <f>((cc_D/2*(1-COS(($BH200+11*($BI200-$BH200)/12)))-$BF200)/$BG200)^2*SIN(($BH200+11*($BI200-$BH200)/12))^2</f>
        <v/>
      </c>
      <c r="BV200">
        <f>((cc_D/2*(1-COS(($BH200+12*($BI200-$BH200)/12)))-$BF200)/$BG200)^2*SIN(($BH200+12*($BI200-$BH200)/12))^2</f>
        <v/>
      </c>
      <c r="BW200">
        <f>BJ200*COS(($BH200+0*($BI200-$BH200)/12))</f>
        <v/>
      </c>
      <c r="BX200">
        <f>BK200*COS(($BH200+1*($BI200-$BH200)/12))</f>
        <v/>
      </c>
      <c r="BY200">
        <f>BL200*COS(($BH200+2*($BI200-$BH200)/12))</f>
        <v/>
      </c>
      <c r="BZ200">
        <f>BM200*COS(($BH200+3*($BI200-$BH200)/12))</f>
        <v/>
      </c>
      <c r="CA200">
        <f>BN200*COS(($BH200+4*($BI200-$BH200)/12))</f>
        <v/>
      </c>
      <c r="CB200">
        <f>BO200*COS(($BH200+5*($BI200-$BH200)/12))</f>
        <v/>
      </c>
      <c r="CC200">
        <f>BP200*COS(($BH200+6*($BI200-$BH200)/12))</f>
        <v/>
      </c>
      <c r="CD200">
        <f>BQ200*COS(($BH200+7*($BI200-$BH200)/12))</f>
        <v/>
      </c>
      <c r="CE200">
        <f>BR200*COS(($BH200+8*($BI200-$BH200)/12))</f>
        <v/>
      </c>
      <c r="CF200">
        <f>BS200*COS(($BH200+9*($BI200-$BH200)/12))</f>
        <v/>
      </c>
      <c r="CG200">
        <f>BT200*COS(($BH200+10*($BI200-$BH200)/12))</f>
        <v/>
      </c>
      <c r="CH200">
        <f>BU200*COS(($BH200+11*($BI200-$BH200)/12))</f>
        <v/>
      </c>
      <c r="CI200">
        <f>BV200*COS(($BH200+12*($BI200-$BH200)/12))</f>
        <v/>
      </c>
    </row>
    <row r="201">
      <c r="B201" s="65" t="n">
        <v>49</v>
      </c>
      <c r="C201" s="66">
        <f>IF($G200&lt;cc_NEd-1E-9*ABS(cc_NEd),($C200+$D200)/2,$C200)</f>
        <v/>
      </c>
      <c r="D201" s="66">
        <f>IF($G200&lt;cc_NEd-1E-9*ABS(cc_NEd),$D200,($C200+$D200)/2)</f>
        <v/>
      </c>
      <c r="E201" s="67">
        <f>cc_D*(($C201+$D201)/2)/(1-(($C201+$D201)/2))</f>
        <v/>
      </c>
      <c r="F201" s="68">
        <f>IF($E201&lt;=cc_D,3.5,2*$E201/($E201-3*cc_D/7))</f>
        <v/>
      </c>
      <c r="G201" s="67">
        <f>(fcd_cc*((cc_D/2)^2*($BI201-COS($BI201)*SIN($BI201))-2*(cc_D/2)^2*($BI201-$BH201)/12/3*SUMPRODUCT($BJ$4:$BV$4,$BJ201:$BV201))+SUMPRODUCT($J$5:$AG$5,$J201:$AG201))/1000</f>
        <v/>
      </c>
      <c r="H201" s="67">
        <f>(fcd_cc*(2/3*(cc_D/2)^3*SIN($BI201)^3-2*(cc_D/2)^3*($BI201-$BH201)/12/3*SUMPRODUCT($BW$4:$CI$4,$BW201:$CI201))+SUMPRODUCT($J$5:$AG$5,$J201:$AG201,$J$10:$AG$10))/1E6</f>
        <v/>
      </c>
      <c r="I201" s="67">
        <f>SUMPRODUCT($J$5:$AG$5,$J201:$AG201,$J$11:$AG$11)/1E6</f>
        <v/>
      </c>
      <c r="J201">
        <f>MAX(-fyd_cc,MIN(fyd_cc,Es_cc*IF($E201&lt;=cc_D,0.0035*($E201-J$9)/$E201,0.002*($E201-J$9)/($E201-3*cc_D/7))))-fcd_cc*(1-(1-MAX(0,MIN(1,IF($E201&lt;=cc_D,0.0035*($E201-J$9)/$E201,0.002*($E201-J$9)/($E201-3*cc_D/7))/0.002)))^2)</f>
        <v/>
      </c>
      <c r="K201">
        <f>MAX(-fyd_cc,MIN(fyd_cc,Es_cc*IF($E201&lt;=cc_D,0.0035*($E201-K$9)/$E201,0.002*($E201-K$9)/($E201-3*cc_D/7))))-fcd_cc*(1-(1-MAX(0,MIN(1,IF($E201&lt;=cc_D,0.0035*($E201-K$9)/$E201,0.002*($E201-K$9)/($E201-3*cc_D/7))/0.002)))^2)</f>
        <v/>
      </c>
      <c r="L201">
        <f>MAX(-fyd_cc,MIN(fyd_cc,Es_cc*IF($E201&lt;=cc_D,0.0035*($E201-L$9)/$E201,0.002*($E201-L$9)/($E201-3*cc_D/7))))-fcd_cc*(1-(1-MAX(0,MIN(1,IF($E201&lt;=cc_D,0.0035*($E201-L$9)/$E201,0.002*($E201-L$9)/($E201-3*cc_D/7))/0.002)))^2)</f>
        <v/>
      </c>
      <c r="M201">
        <f>MAX(-fyd_cc,MIN(fyd_cc,Es_cc*IF($E201&lt;=cc_D,0.0035*($E201-M$9)/$E201,0.002*($E201-M$9)/($E201-3*cc_D/7))))-fcd_cc*(1-(1-MAX(0,MIN(1,IF($E201&lt;=cc_D,0.0035*($E201-M$9)/$E201,0.002*($E201-M$9)/($E201-3*cc_D/7))/0.002)))^2)</f>
        <v/>
      </c>
      <c r="N201">
        <f>MAX(-fyd_cc,MIN(fyd_cc,Es_cc*IF($E201&lt;=cc_D,0.0035*($E201-N$9)/$E201,0.002*($E201-N$9)/($E201-3*cc_D/7))))-fcd_cc*(1-(1-MAX(0,MIN(1,IF($E201&lt;=cc_D,0.0035*($E201-N$9)/$E201,0.002*($E201-N$9)/($E201-3*cc_D/7))/0.002)))^2)</f>
        <v/>
      </c>
      <c r="O201">
        <f>MAX(-fyd_cc,MIN(fyd_cc,Es_cc*IF($E201&lt;=cc_D,0.0035*($E201-O$9)/$E201,0.002*($E201-O$9)/($E201-3*cc_D/7))))-fcd_cc*(1-(1-MAX(0,MIN(1,IF($E201&lt;=cc_D,0.0035*($E201-O$9)/$E201,0.002*($E201-O$9)/($E201-3*cc_D/7))/0.002)))^2)</f>
        <v/>
      </c>
      <c r="P201">
        <f>MAX(-fyd_cc,MIN(fyd_cc,Es_cc*IF($E201&lt;=cc_D,0.0035*($E201-P$9)/$E201,0.002*($E201-P$9)/($E201-3*cc_D/7))))-fcd_cc*(1-(1-MAX(0,MIN(1,IF($E201&lt;=cc_D,0.0035*($E201-P$9)/$E201,0.002*($E201-P$9)/($E201-3*cc_D/7))/0.002)))^2)</f>
        <v/>
      </c>
      <c r="Q201">
        <f>MAX(-fyd_cc,MIN(fyd_cc,Es_cc*IF($E201&lt;=cc_D,0.0035*($E201-Q$9)/$E201,0.002*($E201-Q$9)/($E201-3*cc_D/7))))-fcd_cc*(1-(1-MAX(0,MIN(1,IF($E201&lt;=cc_D,0.0035*($E201-Q$9)/$E201,0.002*($E201-Q$9)/($E201-3*cc_D/7))/0.002)))^2)</f>
        <v/>
      </c>
      <c r="R201">
        <f>MAX(-fyd_cc,MIN(fyd_cc,Es_cc*IF($E201&lt;=cc_D,0.0035*($E201-R$9)/$E201,0.002*($E201-R$9)/($E201-3*cc_D/7))))-fcd_cc*(1-(1-MAX(0,MIN(1,IF($E201&lt;=cc_D,0.0035*($E201-R$9)/$E201,0.002*($E201-R$9)/($E201-3*cc_D/7))/0.002)))^2)</f>
        <v/>
      </c>
      <c r="S201">
        <f>MAX(-fyd_cc,MIN(fyd_cc,Es_cc*IF($E201&lt;=cc_D,0.0035*($E201-S$9)/$E201,0.002*($E201-S$9)/($E201-3*cc_D/7))))-fcd_cc*(1-(1-MAX(0,MIN(1,IF($E201&lt;=cc_D,0.0035*($E201-S$9)/$E201,0.002*($E201-S$9)/($E201-3*cc_D/7))/0.002)))^2)</f>
        <v/>
      </c>
      <c r="T201">
        <f>MAX(-fyd_cc,MIN(fyd_cc,Es_cc*IF($E201&lt;=cc_D,0.0035*($E201-T$9)/$E201,0.002*($E201-T$9)/($E201-3*cc_D/7))))-fcd_cc*(1-(1-MAX(0,MIN(1,IF($E201&lt;=cc_D,0.0035*($E201-T$9)/$E201,0.002*($E201-T$9)/($E201-3*cc_D/7))/0.002)))^2)</f>
        <v/>
      </c>
      <c r="U201">
        <f>MAX(-fyd_cc,MIN(fyd_cc,Es_cc*IF($E201&lt;=cc_D,0.0035*($E201-U$9)/$E201,0.002*($E201-U$9)/($E201-3*cc_D/7))))-fcd_cc*(1-(1-MAX(0,MIN(1,IF($E201&lt;=cc_D,0.0035*($E201-U$9)/$E201,0.002*($E201-U$9)/($E201-3*cc_D/7))/0.002)))^2)</f>
        <v/>
      </c>
      <c r="V201">
        <f>MAX(-fyd_cc,MIN(fyd_cc,Es_cc*IF($E201&lt;=cc_D,0.0035*($E201-V$9)/$E201,0.002*($E201-V$9)/($E201-3*cc_D/7))))-fcd_cc*(1-(1-MAX(0,MIN(1,IF($E201&lt;=cc_D,0.0035*($E201-V$9)/$E201,0.002*($E201-V$9)/($E201-3*cc_D/7))/0.002)))^2)</f>
        <v/>
      </c>
      <c r="W201">
        <f>MAX(-fyd_cc,MIN(fyd_cc,Es_cc*IF($E201&lt;=cc_D,0.0035*($E201-W$9)/$E201,0.002*($E201-W$9)/($E201-3*cc_D/7))))-fcd_cc*(1-(1-MAX(0,MIN(1,IF($E201&lt;=cc_D,0.0035*($E201-W$9)/$E201,0.002*($E201-W$9)/($E201-3*cc_D/7))/0.002)))^2)</f>
        <v/>
      </c>
      <c r="X201">
        <f>MAX(-fyd_cc,MIN(fyd_cc,Es_cc*IF($E201&lt;=cc_D,0.0035*($E201-X$9)/$E201,0.002*($E201-X$9)/($E201-3*cc_D/7))))-fcd_cc*(1-(1-MAX(0,MIN(1,IF($E201&lt;=cc_D,0.0035*($E201-X$9)/$E201,0.002*($E201-X$9)/($E201-3*cc_D/7))/0.002)))^2)</f>
        <v/>
      </c>
      <c r="Y201">
        <f>MAX(-fyd_cc,MIN(fyd_cc,Es_cc*IF($E201&lt;=cc_D,0.0035*($E201-Y$9)/$E201,0.002*($E201-Y$9)/($E201-3*cc_D/7))))-fcd_cc*(1-(1-MAX(0,MIN(1,IF($E201&lt;=cc_D,0.0035*($E201-Y$9)/$E201,0.002*($E201-Y$9)/($E201-3*cc_D/7))/0.002)))^2)</f>
        <v/>
      </c>
      <c r="Z201">
        <f>MAX(-fyd_cc,MIN(fyd_cc,Es_cc*IF($E201&lt;=cc_D,0.0035*($E201-Z$9)/$E201,0.002*($E201-Z$9)/($E201-3*cc_D/7))))-fcd_cc*(1-(1-MAX(0,MIN(1,IF($E201&lt;=cc_D,0.0035*($E201-Z$9)/$E201,0.002*($E201-Z$9)/($E201-3*cc_D/7))/0.002)))^2)</f>
        <v/>
      </c>
      <c r="AA201">
        <f>MAX(-fyd_cc,MIN(fyd_cc,Es_cc*IF($E201&lt;=cc_D,0.0035*($E201-AA$9)/$E201,0.002*($E201-AA$9)/($E201-3*cc_D/7))))-fcd_cc*(1-(1-MAX(0,MIN(1,IF($E201&lt;=cc_D,0.0035*($E201-AA$9)/$E201,0.002*($E201-AA$9)/($E201-3*cc_D/7))/0.002)))^2)</f>
        <v/>
      </c>
      <c r="AB201">
        <f>MAX(-fyd_cc,MIN(fyd_cc,Es_cc*IF($E201&lt;=cc_D,0.0035*($E201-AB$9)/$E201,0.002*($E201-AB$9)/($E201-3*cc_D/7))))-fcd_cc*(1-(1-MAX(0,MIN(1,IF($E201&lt;=cc_D,0.0035*($E201-AB$9)/$E201,0.002*($E201-AB$9)/($E201-3*cc_D/7))/0.002)))^2)</f>
        <v/>
      </c>
      <c r="AC201">
        <f>MAX(-fyd_cc,MIN(fyd_cc,Es_cc*IF($E201&lt;=cc_D,0.0035*($E201-AC$9)/$E201,0.002*($E201-AC$9)/($E201-3*cc_D/7))))-fcd_cc*(1-(1-MAX(0,MIN(1,IF($E201&lt;=cc_D,0.0035*($E201-AC$9)/$E201,0.002*($E201-AC$9)/($E201-3*cc_D/7))/0.002)))^2)</f>
        <v/>
      </c>
      <c r="AD201">
        <f>MAX(-fyd_cc,MIN(fyd_cc,Es_cc*IF($E201&lt;=cc_D,0.0035*($E201-AD$9)/$E201,0.002*($E201-AD$9)/($E201-3*cc_D/7))))-fcd_cc*(1-(1-MAX(0,MIN(1,IF($E201&lt;=cc_D,0.0035*($E201-AD$9)/$E201,0.002*($E201-AD$9)/($E201-3*cc_D/7))/0.002)))^2)</f>
        <v/>
      </c>
      <c r="AE201">
        <f>MAX(-fyd_cc,MIN(fyd_cc,Es_cc*IF($E201&lt;=cc_D,0.0035*($E201-AE$9)/$E201,0.002*($E201-AE$9)/($E201-3*cc_D/7))))-fcd_cc*(1-(1-MAX(0,MIN(1,IF($E201&lt;=cc_D,0.0035*($E201-AE$9)/$E201,0.002*($E201-AE$9)/($E201-3*cc_D/7))/0.002)))^2)</f>
        <v/>
      </c>
      <c r="AF201">
        <f>MAX(-fyd_cc,MIN(fyd_cc,Es_cc*IF($E201&lt;=cc_D,0.0035*($E201-AF$9)/$E201,0.002*($E201-AF$9)/($E201-3*cc_D/7))))-fcd_cc*(1-(1-MAX(0,MIN(1,IF($E201&lt;=cc_D,0.0035*($E201-AF$9)/$E201,0.002*($E201-AF$9)/($E201-3*cc_D/7))/0.002)))^2)</f>
        <v/>
      </c>
      <c r="AG201">
        <f>MAX(-fyd_cc,MIN(fyd_cc,Es_cc*IF($E201&lt;=cc_D,0.0035*($E201-AG$9)/$E201,0.002*($E201-AG$9)/($E201-3*cc_D/7))))-fcd_cc*(1-(1-MAX(0,MIN(1,IF($E201&lt;=cc_D,0.0035*($E201-AG$9)/$E201,0.002*($E201-AG$9)/($E201-3*cc_D/7))/0.002)))^2)</f>
        <v/>
      </c>
      <c r="BF201">
        <f>3*MIN($E201,cc_D)/7</f>
        <v/>
      </c>
      <c r="BG201">
        <f>$E201-$BF201</f>
        <v/>
      </c>
      <c r="BH201">
        <f>ACOS(MAX(-1,MIN(1,1-$BF201/(cc_D/2))))</f>
        <v/>
      </c>
      <c r="BI201">
        <f>ACOS(MAX(-1,MIN(1,1-MIN($E201,cc_D)/(cc_D/2))))</f>
        <v/>
      </c>
      <c r="BJ201">
        <f>((cc_D/2*(1-COS(($BH201+0*($BI201-$BH201)/12)))-$BF201)/$BG201)^2*SIN(($BH201+0*($BI201-$BH201)/12))^2</f>
        <v/>
      </c>
      <c r="BK201">
        <f>((cc_D/2*(1-COS(($BH201+1*($BI201-$BH201)/12)))-$BF201)/$BG201)^2*SIN(($BH201+1*($BI201-$BH201)/12))^2</f>
        <v/>
      </c>
      <c r="BL201">
        <f>((cc_D/2*(1-COS(($BH201+2*($BI201-$BH201)/12)))-$BF201)/$BG201)^2*SIN(($BH201+2*($BI201-$BH201)/12))^2</f>
        <v/>
      </c>
      <c r="BM201">
        <f>((cc_D/2*(1-COS(($BH201+3*($BI201-$BH201)/12)))-$BF201)/$BG201)^2*SIN(($BH201+3*($BI201-$BH201)/12))^2</f>
        <v/>
      </c>
      <c r="BN201">
        <f>((cc_D/2*(1-COS(($BH201+4*($BI201-$BH201)/12)))-$BF201)/$BG201)^2*SIN(($BH201+4*($BI201-$BH201)/12))^2</f>
        <v/>
      </c>
      <c r="BO201">
        <f>((cc_D/2*(1-COS(($BH201+5*($BI201-$BH201)/12)))-$BF201)/$BG201)^2*SIN(($BH201+5*($BI201-$BH201)/12))^2</f>
        <v/>
      </c>
      <c r="BP201">
        <f>((cc_D/2*(1-COS(($BH201+6*($BI201-$BH201)/12)))-$BF201)/$BG201)^2*SIN(($BH201+6*($BI201-$BH201)/12))^2</f>
        <v/>
      </c>
      <c r="BQ201">
        <f>((cc_D/2*(1-COS(($BH201+7*($BI201-$BH201)/12)))-$BF201)/$BG201)^2*SIN(($BH201+7*($BI201-$BH201)/12))^2</f>
        <v/>
      </c>
      <c r="BR201">
        <f>((cc_D/2*(1-COS(($BH201+8*($BI201-$BH201)/12)))-$BF201)/$BG201)^2*SIN(($BH201+8*($BI201-$BH201)/12))^2</f>
        <v/>
      </c>
      <c r="BS201">
        <f>((cc_D/2*(1-COS(($BH201+9*($BI201-$BH201)/12)))-$BF201)/$BG201)^2*SIN(($BH201+9*($BI201-$BH201)/12))^2</f>
        <v/>
      </c>
      <c r="BT201">
        <f>((cc_D/2*(1-COS(($BH201+10*($BI201-$BH201)/12)))-$BF201)/$BG201)^2*SIN(($BH201+10*($BI201-$BH201)/12))^2</f>
        <v/>
      </c>
      <c r="BU201">
        <f>((cc_D/2*(1-COS(($BH201+11*($BI201-$BH201)/12)))-$BF201)/$BG201)^2*SIN(($BH201+11*($BI201-$BH201)/12))^2</f>
        <v/>
      </c>
      <c r="BV201">
        <f>((cc_D/2*(1-COS(($BH201+12*($BI201-$BH201)/12)))-$BF201)/$BG201)^2*SIN(($BH201+12*($BI201-$BH201)/12))^2</f>
        <v/>
      </c>
      <c r="BW201">
        <f>BJ201*COS(($BH201+0*($BI201-$BH201)/12))</f>
        <v/>
      </c>
      <c r="BX201">
        <f>BK201*COS(($BH201+1*($BI201-$BH201)/12))</f>
        <v/>
      </c>
      <c r="BY201">
        <f>BL201*COS(($BH201+2*($BI201-$BH201)/12))</f>
        <v/>
      </c>
      <c r="BZ201">
        <f>BM201*COS(($BH201+3*($BI201-$BH201)/12))</f>
        <v/>
      </c>
      <c r="CA201">
        <f>BN201*COS(($BH201+4*($BI201-$BH201)/12))</f>
        <v/>
      </c>
      <c r="CB201">
        <f>BO201*COS(($BH201+5*($BI201-$BH201)/12))</f>
        <v/>
      </c>
      <c r="CC201">
        <f>BP201*COS(($BH201+6*($BI201-$BH201)/12))</f>
        <v/>
      </c>
      <c r="CD201">
        <f>BQ201*COS(($BH201+7*($BI201-$BH201)/12))</f>
        <v/>
      </c>
      <c r="CE201">
        <f>BR201*COS(($BH201+8*($BI201-$BH201)/12))</f>
        <v/>
      </c>
      <c r="CF201">
        <f>BS201*COS(($BH201+9*($BI201-$BH201)/12))</f>
        <v/>
      </c>
      <c r="CG201">
        <f>BT201*COS(($BH201+10*($BI201-$BH201)/12))</f>
        <v/>
      </c>
      <c r="CH201">
        <f>BU201*COS(($BH201+11*($BI201-$BH201)/12))</f>
        <v/>
      </c>
      <c r="CI201">
        <f>BV201*COS(($BH201+12*($BI201-$BH201)/12))</f>
        <v/>
      </c>
    </row>
    <row r="202">
      <c r="B202" s="65" t="n">
        <v>50</v>
      </c>
      <c r="C202" s="66">
        <f>IF($G201&lt;cc_NEd-1E-9*ABS(cc_NEd),($C201+$D201)/2,$C201)</f>
        <v/>
      </c>
      <c r="D202" s="66">
        <f>IF($G201&lt;cc_NEd-1E-9*ABS(cc_NEd),$D201,($C201+$D201)/2)</f>
        <v/>
      </c>
      <c r="E202" s="67">
        <f>cc_D*(($C202+$D202)/2)/(1-(($C202+$D202)/2))</f>
        <v/>
      </c>
      <c r="F202" s="68">
        <f>IF($E202&lt;=cc_D,3.5,2*$E202/($E202-3*cc_D/7))</f>
        <v/>
      </c>
      <c r="G202" s="67">
        <f>(fcd_cc*((cc_D/2)^2*($BI202-COS($BI202)*SIN($BI202))-2*(cc_D/2)^2*($BI202-$BH202)/12/3*SUMPRODUCT($BJ$4:$BV$4,$BJ202:$BV202))+SUMPRODUCT($J$5:$AG$5,$J202:$AG202))/1000</f>
        <v/>
      </c>
      <c r="H202" s="67">
        <f>(fcd_cc*(2/3*(cc_D/2)^3*SIN($BI202)^3-2*(cc_D/2)^3*($BI202-$BH202)/12/3*SUMPRODUCT($BW$4:$CI$4,$BW202:$CI202))+SUMPRODUCT($J$5:$AG$5,$J202:$AG202,$J$10:$AG$10))/1E6</f>
        <v/>
      </c>
      <c r="I202" s="67">
        <f>SUMPRODUCT($J$5:$AG$5,$J202:$AG202,$J$11:$AG$11)/1E6</f>
        <v/>
      </c>
      <c r="J202">
        <f>MAX(-fyd_cc,MIN(fyd_cc,Es_cc*IF($E202&lt;=cc_D,0.0035*($E202-J$9)/$E202,0.002*($E202-J$9)/($E202-3*cc_D/7))))-fcd_cc*(1-(1-MAX(0,MIN(1,IF($E202&lt;=cc_D,0.0035*($E202-J$9)/$E202,0.002*($E202-J$9)/($E202-3*cc_D/7))/0.002)))^2)</f>
        <v/>
      </c>
      <c r="K202">
        <f>MAX(-fyd_cc,MIN(fyd_cc,Es_cc*IF($E202&lt;=cc_D,0.0035*($E202-K$9)/$E202,0.002*($E202-K$9)/($E202-3*cc_D/7))))-fcd_cc*(1-(1-MAX(0,MIN(1,IF($E202&lt;=cc_D,0.0035*($E202-K$9)/$E202,0.002*($E202-K$9)/($E202-3*cc_D/7))/0.002)))^2)</f>
        <v/>
      </c>
      <c r="L202">
        <f>MAX(-fyd_cc,MIN(fyd_cc,Es_cc*IF($E202&lt;=cc_D,0.0035*($E202-L$9)/$E202,0.002*($E202-L$9)/($E202-3*cc_D/7))))-fcd_cc*(1-(1-MAX(0,MIN(1,IF($E202&lt;=cc_D,0.0035*($E202-L$9)/$E202,0.002*($E202-L$9)/($E202-3*cc_D/7))/0.002)))^2)</f>
        <v/>
      </c>
      <c r="M202">
        <f>MAX(-fyd_cc,MIN(fyd_cc,Es_cc*IF($E202&lt;=cc_D,0.0035*($E202-M$9)/$E202,0.002*($E202-M$9)/($E202-3*cc_D/7))))-fcd_cc*(1-(1-MAX(0,MIN(1,IF($E202&lt;=cc_D,0.0035*($E202-M$9)/$E202,0.002*($E202-M$9)/($E202-3*cc_D/7))/0.002)))^2)</f>
        <v/>
      </c>
      <c r="N202">
        <f>MAX(-fyd_cc,MIN(fyd_cc,Es_cc*IF($E202&lt;=cc_D,0.0035*($E202-N$9)/$E202,0.002*($E202-N$9)/($E202-3*cc_D/7))))-fcd_cc*(1-(1-MAX(0,MIN(1,IF($E202&lt;=cc_D,0.0035*($E202-N$9)/$E202,0.002*($E202-N$9)/($E202-3*cc_D/7))/0.002)))^2)</f>
        <v/>
      </c>
      <c r="O202">
        <f>MAX(-fyd_cc,MIN(fyd_cc,Es_cc*IF($E202&lt;=cc_D,0.0035*($E202-O$9)/$E202,0.002*($E202-O$9)/($E202-3*cc_D/7))))-fcd_cc*(1-(1-MAX(0,MIN(1,IF($E202&lt;=cc_D,0.0035*($E202-O$9)/$E202,0.002*($E202-O$9)/($E202-3*cc_D/7))/0.002)))^2)</f>
        <v/>
      </c>
      <c r="P202">
        <f>MAX(-fyd_cc,MIN(fyd_cc,Es_cc*IF($E202&lt;=cc_D,0.0035*($E202-P$9)/$E202,0.002*($E202-P$9)/($E202-3*cc_D/7))))-fcd_cc*(1-(1-MAX(0,MIN(1,IF($E202&lt;=cc_D,0.0035*($E202-P$9)/$E202,0.002*($E202-P$9)/($E202-3*cc_D/7))/0.002)))^2)</f>
        <v/>
      </c>
      <c r="Q202">
        <f>MAX(-fyd_cc,MIN(fyd_cc,Es_cc*IF($E202&lt;=cc_D,0.0035*($E202-Q$9)/$E202,0.002*($E202-Q$9)/($E202-3*cc_D/7))))-fcd_cc*(1-(1-MAX(0,MIN(1,IF($E202&lt;=cc_D,0.0035*($E202-Q$9)/$E202,0.002*($E202-Q$9)/($E202-3*cc_D/7))/0.002)))^2)</f>
        <v/>
      </c>
      <c r="R202">
        <f>MAX(-fyd_cc,MIN(fyd_cc,Es_cc*IF($E202&lt;=cc_D,0.0035*($E202-R$9)/$E202,0.002*($E202-R$9)/($E202-3*cc_D/7))))-fcd_cc*(1-(1-MAX(0,MIN(1,IF($E202&lt;=cc_D,0.0035*($E202-R$9)/$E202,0.002*($E202-R$9)/($E202-3*cc_D/7))/0.002)))^2)</f>
        <v/>
      </c>
      <c r="S202">
        <f>MAX(-fyd_cc,MIN(fyd_cc,Es_cc*IF($E202&lt;=cc_D,0.0035*($E202-S$9)/$E202,0.002*($E202-S$9)/($E202-3*cc_D/7))))-fcd_cc*(1-(1-MAX(0,MIN(1,IF($E202&lt;=cc_D,0.0035*($E202-S$9)/$E202,0.002*($E202-S$9)/($E202-3*cc_D/7))/0.002)))^2)</f>
        <v/>
      </c>
      <c r="T202">
        <f>MAX(-fyd_cc,MIN(fyd_cc,Es_cc*IF($E202&lt;=cc_D,0.0035*($E202-T$9)/$E202,0.002*($E202-T$9)/($E202-3*cc_D/7))))-fcd_cc*(1-(1-MAX(0,MIN(1,IF($E202&lt;=cc_D,0.0035*($E202-T$9)/$E202,0.002*($E202-T$9)/($E202-3*cc_D/7))/0.002)))^2)</f>
        <v/>
      </c>
      <c r="U202">
        <f>MAX(-fyd_cc,MIN(fyd_cc,Es_cc*IF($E202&lt;=cc_D,0.0035*($E202-U$9)/$E202,0.002*($E202-U$9)/($E202-3*cc_D/7))))-fcd_cc*(1-(1-MAX(0,MIN(1,IF($E202&lt;=cc_D,0.0035*($E202-U$9)/$E202,0.002*($E202-U$9)/($E202-3*cc_D/7))/0.002)))^2)</f>
        <v/>
      </c>
      <c r="V202">
        <f>MAX(-fyd_cc,MIN(fyd_cc,Es_cc*IF($E202&lt;=cc_D,0.0035*($E202-V$9)/$E202,0.002*($E202-V$9)/($E202-3*cc_D/7))))-fcd_cc*(1-(1-MAX(0,MIN(1,IF($E202&lt;=cc_D,0.0035*($E202-V$9)/$E202,0.002*($E202-V$9)/($E202-3*cc_D/7))/0.002)))^2)</f>
        <v/>
      </c>
      <c r="W202">
        <f>MAX(-fyd_cc,MIN(fyd_cc,Es_cc*IF($E202&lt;=cc_D,0.0035*($E202-W$9)/$E202,0.002*($E202-W$9)/($E202-3*cc_D/7))))-fcd_cc*(1-(1-MAX(0,MIN(1,IF($E202&lt;=cc_D,0.0035*($E202-W$9)/$E202,0.002*($E202-W$9)/($E202-3*cc_D/7))/0.002)))^2)</f>
        <v/>
      </c>
      <c r="X202">
        <f>MAX(-fyd_cc,MIN(fyd_cc,Es_cc*IF($E202&lt;=cc_D,0.0035*($E202-X$9)/$E202,0.002*($E202-X$9)/($E202-3*cc_D/7))))-fcd_cc*(1-(1-MAX(0,MIN(1,IF($E202&lt;=cc_D,0.0035*($E202-X$9)/$E202,0.002*($E202-X$9)/($E202-3*cc_D/7))/0.002)))^2)</f>
        <v/>
      </c>
      <c r="Y202">
        <f>MAX(-fyd_cc,MIN(fyd_cc,Es_cc*IF($E202&lt;=cc_D,0.0035*($E202-Y$9)/$E202,0.002*($E202-Y$9)/($E202-3*cc_D/7))))-fcd_cc*(1-(1-MAX(0,MIN(1,IF($E202&lt;=cc_D,0.0035*($E202-Y$9)/$E202,0.002*($E202-Y$9)/($E202-3*cc_D/7))/0.002)))^2)</f>
        <v/>
      </c>
      <c r="Z202">
        <f>MAX(-fyd_cc,MIN(fyd_cc,Es_cc*IF($E202&lt;=cc_D,0.0035*($E202-Z$9)/$E202,0.002*($E202-Z$9)/($E202-3*cc_D/7))))-fcd_cc*(1-(1-MAX(0,MIN(1,IF($E202&lt;=cc_D,0.0035*($E202-Z$9)/$E202,0.002*($E202-Z$9)/($E202-3*cc_D/7))/0.002)))^2)</f>
        <v/>
      </c>
      <c r="AA202">
        <f>MAX(-fyd_cc,MIN(fyd_cc,Es_cc*IF($E202&lt;=cc_D,0.0035*($E202-AA$9)/$E202,0.002*($E202-AA$9)/($E202-3*cc_D/7))))-fcd_cc*(1-(1-MAX(0,MIN(1,IF($E202&lt;=cc_D,0.0035*($E202-AA$9)/$E202,0.002*($E202-AA$9)/($E202-3*cc_D/7))/0.002)))^2)</f>
        <v/>
      </c>
      <c r="AB202">
        <f>MAX(-fyd_cc,MIN(fyd_cc,Es_cc*IF($E202&lt;=cc_D,0.0035*($E202-AB$9)/$E202,0.002*($E202-AB$9)/($E202-3*cc_D/7))))-fcd_cc*(1-(1-MAX(0,MIN(1,IF($E202&lt;=cc_D,0.0035*($E202-AB$9)/$E202,0.002*($E202-AB$9)/($E202-3*cc_D/7))/0.002)))^2)</f>
        <v/>
      </c>
      <c r="AC202">
        <f>MAX(-fyd_cc,MIN(fyd_cc,Es_cc*IF($E202&lt;=cc_D,0.0035*($E202-AC$9)/$E202,0.002*($E202-AC$9)/($E202-3*cc_D/7))))-fcd_cc*(1-(1-MAX(0,MIN(1,IF($E202&lt;=cc_D,0.0035*($E202-AC$9)/$E202,0.002*($E202-AC$9)/($E202-3*cc_D/7))/0.002)))^2)</f>
        <v/>
      </c>
      <c r="AD202">
        <f>MAX(-fyd_cc,MIN(fyd_cc,Es_cc*IF($E202&lt;=cc_D,0.0035*($E202-AD$9)/$E202,0.002*($E202-AD$9)/($E202-3*cc_D/7))))-fcd_cc*(1-(1-MAX(0,MIN(1,IF($E202&lt;=cc_D,0.0035*($E202-AD$9)/$E202,0.002*($E202-AD$9)/($E202-3*cc_D/7))/0.002)))^2)</f>
        <v/>
      </c>
      <c r="AE202">
        <f>MAX(-fyd_cc,MIN(fyd_cc,Es_cc*IF($E202&lt;=cc_D,0.0035*($E202-AE$9)/$E202,0.002*($E202-AE$9)/($E202-3*cc_D/7))))-fcd_cc*(1-(1-MAX(0,MIN(1,IF($E202&lt;=cc_D,0.0035*($E202-AE$9)/$E202,0.002*($E202-AE$9)/($E202-3*cc_D/7))/0.002)))^2)</f>
        <v/>
      </c>
      <c r="AF202">
        <f>MAX(-fyd_cc,MIN(fyd_cc,Es_cc*IF($E202&lt;=cc_D,0.0035*($E202-AF$9)/$E202,0.002*($E202-AF$9)/($E202-3*cc_D/7))))-fcd_cc*(1-(1-MAX(0,MIN(1,IF($E202&lt;=cc_D,0.0035*($E202-AF$9)/$E202,0.002*($E202-AF$9)/($E202-3*cc_D/7))/0.002)))^2)</f>
        <v/>
      </c>
      <c r="AG202">
        <f>MAX(-fyd_cc,MIN(fyd_cc,Es_cc*IF($E202&lt;=cc_D,0.0035*($E202-AG$9)/$E202,0.002*($E202-AG$9)/($E202-3*cc_D/7))))-fcd_cc*(1-(1-MAX(0,MIN(1,IF($E202&lt;=cc_D,0.0035*($E202-AG$9)/$E202,0.002*($E202-AG$9)/($E202-3*cc_D/7))/0.002)))^2)</f>
        <v/>
      </c>
      <c r="BF202">
        <f>3*MIN($E202,cc_D)/7</f>
        <v/>
      </c>
      <c r="BG202">
        <f>$E202-$BF202</f>
        <v/>
      </c>
      <c r="BH202">
        <f>ACOS(MAX(-1,MIN(1,1-$BF202/(cc_D/2))))</f>
        <v/>
      </c>
      <c r="BI202">
        <f>ACOS(MAX(-1,MIN(1,1-MIN($E202,cc_D)/(cc_D/2))))</f>
        <v/>
      </c>
      <c r="BJ202">
        <f>((cc_D/2*(1-COS(($BH202+0*($BI202-$BH202)/12)))-$BF202)/$BG202)^2*SIN(($BH202+0*($BI202-$BH202)/12))^2</f>
        <v/>
      </c>
      <c r="BK202">
        <f>((cc_D/2*(1-COS(($BH202+1*($BI202-$BH202)/12)))-$BF202)/$BG202)^2*SIN(($BH202+1*($BI202-$BH202)/12))^2</f>
        <v/>
      </c>
      <c r="BL202">
        <f>((cc_D/2*(1-COS(($BH202+2*($BI202-$BH202)/12)))-$BF202)/$BG202)^2*SIN(($BH202+2*($BI202-$BH202)/12))^2</f>
        <v/>
      </c>
      <c r="BM202">
        <f>((cc_D/2*(1-COS(($BH202+3*($BI202-$BH202)/12)))-$BF202)/$BG202)^2*SIN(($BH202+3*($BI202-$BH202)/12))^2</f>
        <v/>
      </c>
      <c r="BN202">
        <f>((cc_D/2*(1-COS(($BH202+4*($BI202-$BH202)/12)))-$BF202)/$BG202)^2*SIN(($BH202+4*($BI202-$BH202)/12))^2</f>
        <v/>
      </c>
      <c r="BO202">
        <f>((cc_D/2*(1-COS(($BH202+5*($BI202-$BH202)/12)))-$BF202)/$BG202)^2*SIN(($BH202+5*($BI202-$BH202)/12))^2</f>
        <v/>
      </c>
      <c r="BP202">
        <f>((cc_D/2*(1-COS(($BH202+6*($BI202-$BH202)/12)))-$BF202)/$BG202)^2*SIN(($BH202+6*($BI202-$BH202)/12))^2</f>
        <v/>
      </c>
      <c r="BQ202">
        <f>((cc_D/2*(1-COS(($BH202+7*($BI202-$BH202)/12)))-$BF202)/$BG202)^2*SIN(($BH202+7*($BI202-$BH202)/12))^2</f>
        <v/>
      </c>
      <c r="BR202">
        <f>((cc_D/2*(1-COS(($BH202+8*($BI202-$BH202)/12)))-$BF202)/$BG202)^2*SIN(($BH202+8*($BI202-$BH202)/12))^2</f>
        <v/>
      </c>
      <c r="BS202">
        <f>((cc_D/2*(1-COS(($BH202+9*($BI202-$BH202)/12)))-$BF202)/$BG202)^2*SIN(($BH202+9*($BI202-$BH202)/12))^2</f>
        <v/>
      </c>
      <c r="BT202">
        <f>((cc_D/2*(1-COS(($BH202+10*($BI202-$BH202)/12)))-$BF202)/$BG202)^2*SIN(($BH202+10*($BI202-$BH202)/12))^2</f>
        <v/>
      </c>
      <c r="BU202">
        <f>((cc_D/2*(1-COS(($BH202+11*($BI202-$BH202)/12)))-$BF202)/$BG202)^2*SIN(($BH202+11*($BI202-$BH202)/12))^2</f>
        <v/>
      </c>
      <c r="BV202">
        <f>((cc_D/2*(1-COS(($BH202+12*($BI202-$BH202)/12)))-$BF202)/$BG202)^2*SIN(($BH202+12*($BI202-$BH202)/12))^2</f>
        <v/>
      </c>
      <c r="BW202">
        <f>BJ202*COS(($BH202+0*($BI202-$BH202)/12))</f>
        <v/>
      </c>
      <c r="BX202">
        <f>BK202*COS(($BH202+1*($BI202-$BH202)/12))</f>
        <v/>
      </c>
      <c r="BY202">
        <f>BL202*COS(($BH202+2*($BI202-$BH202)/12))</f>
        <v/>
      </c>
      <c r="BZ202">
        <f>BM202*COS(($BH202+3*($BI202-$BH202)/12))</f>
        <v/>
      </c>
      <c r="CA202">
        <f>BN202*COS(($BH202+4*($BI202-$BH202)/12))</f>
        <v/>
      </c>
      <c r="CB202">
        <f>BO202*COS(($BH202+5*($BI202-$BH202)/12))</f>
        <v/>
      </c>
      <c r="CC202">
        <f>BP202*COS(($BH202+6*($BI202-$BH202)/12))</f>
        <v/>
      </c>
      <c r="CD202">
        <f>BQ202*COS(($BH202+7*($BI202-$BH202)/12))</f>
        <v/>
      </c>
      <c r="CE202">
        <f>BR202*COS(($BH202+8*($BI202-$BH202)/12))</f>
        <v/>
      </c>
      <c r="CF202">
        <f>BS202*COS(($BH202+9*($BI202-$BH202)/12))</f>
        <v/>
      </c>
      <c r="CG202">
        <f>BT202*COS(($BH202+10*($BI202-$BH202)/12))</f>
        <v/>
      </c>
      <c r="CH202">
        <f>BU202*COS(($BH202+11*($BI202-$BH202)/12))</f>
        <v/>
      </c>
      <c r="CI202">
        <f>BV202*COS(($BH202+12*($BI202-$BH202)/12))</f>
        <v/>
      </c>
    </row>
    <row r="203">
      <c r="B203" s="65" t="n">
        <v>51</v>
      </c>
      <c r="C203" s="66">
        <f>IF($G202&lt;cc_NEd-1E-9*ABS(cc_NEd),($C202+$D202)/2,$C202)</f>
        <v/>
      </c>
      <c r="D203" s="66">
        <f>IF($G202&lt;cc_NEd-1E-9*ABS(cc_NEd),$D202,($C202+$D202)/2)</f>
        <v/>
      </c>
      <c r="E203" s="67">
        <f>cc_D*(($C203+$D203)/2)/(1-(($C203+$D203)/2))</f>
        <v/>
      </c>
      <c r="F203" s="68">
        <f>IF($E203&lt;=cc_D,3.5,2*$E203/($E203-3*cc_D/7))</f>
        <v/>
      </c>
      <c r="G203" s="67">
        <f>(fcd_cc*((cc_D/2)^2*($BI203-COS($BI203)*SIN($BI203))-2*(cc_D/2)^2*($BI203-$BH203)/12/3*SUMPRODUCT($BJ$4:$BV$4,$BJ203:$BV203))+SUMPRODUCT($J$5:$AG$5,$J203:$AG203))/1000</f>
        <v/>
      </c>
      <c r="H203" s="67">
        <f>(fcd_cc*(2/3*(cc_D/2)^3*SIN($BI203)^3-2*(cc_D/2)^3*($BI203-$BH203)/12/3*SUMPRODUCT($BW$4:$CI$4,$BW203:$CI203))+SUMPRODUCT($J$5:$AG$5,$J203:$AG203,$J$10:$AG$10))/1E6</f>
        <v/>
      </c>
      <c r="I203" s="67">
        <f>SUMPRODUCT($J$5:$AG$5,$J203:$AG203,$J$11:$AG$11)/1E6</f>
        <v/>
      </c>
      <c r="J203">
        <f>MAX(-fyd_cc,MIN(fyd_cc,Es_cc*IF($E203&lt;=cc_D,0.0035*($E203-J$9)/$E203,0.002*($E203-J$9)/($E203-3*cc_D/7))))-fcd_cc*(1-(1-MAX(0,MIN(1,IF($E203&lt;=cc_D,0.0035*($E203-J$9)/$E203,0.002*($E203-J$9)/($E203-3*cc_D/7))/0.002)))^2)</f>
        <v/>
      </c>
      <c r="K203">
        <f>MAX(-fyd_cc,MIN(fyd_cc,Es_cc*IF($E203&lt;=cc_D,0.0035*($E203-K$9)/$E203,0.002*($E203-K$9)/($E203-3*cc_D/7))))-fcd_cc*(1-(1-MAX(0,MIN(1,IF($E203&lt;=cc_D,0.0035*($E203-K$9)/$E203,0.002*($E203-K$9)/($E203-3*cc_D/7))/0.002)))^2)</f>
        <v/>
      </c>
      <c r="L203">
        <f>MAX(-fyd_cc,MIN(fyd_cc,Es_cc*IF($E203&lt;=cc_D,0.0035*($E203-L$9)/$E203,0.002*($E203-L$9)/($E203-3*cc_D/7))))-fcd_cc*(1-(1-MAX(0,MIN(1,IF($E203&lt;=cc_D,0.0035*($E203-L$9)/$E203,0.002*($E203-L$9)/($E203-3*cc_D/7))/0.002)))^2)</f>
        <v/>
      </c>
      <c r="M203">
        <f>MAX(-fyd_cc,MIN(fyd_cc,Es_cc*IF($E203&lt;=cc_D,0.0035*($E203-M$9)/$E203,0.002*($E203-M$9)/($E203-3*cc_D/7))))-fcd_cc*(1-(1-MAX(0,MIN(1,IF($E203&lt;=cc_D,0.0035*($E203-M$9)/$E203,0.002*($E203-M$9)/($E203-3*cc_D/7))/0.002)))^2)</f>
        <v/>
      </c>
      <c r="N203">
        <f>MAX(-fyd_cc,MIN(fyd_cc,Es_cc*IF($E203&lt;=cc_D,0.0035*($E203-N$9)/$E203,0.002*($E203-N$9)/($E203-3*cc_D/7))))-fcd_cc*(1-(1-MAX(0,MIN(1,IF($E203&lt;=cc_D,0.0035*($E203-N$9)/$E203,0.002*($E203-N$9)/($E203-3*cc_D/7))/0.002)))^2)</f>
        <v/>
      </c>
      <c r="O203">
        <f>MAX(-fyd_cc,MIN(fyd_cc,Es_cc*IF($E203&lt;=cc_D,0.0035*($E203-O$9)/$E203,0.002*($E203-O$9)/($E203-3*cc_D/7))))-fcd_cc*(1-(1-MAX(0,MIN(1,IF($E203&lt;=cc_D,0.0035*($E203-O$9)/$E203,0.002*($E203-O$9)/($E203-3*cc_D/7))/0.002)))^2)</f>
        <v/>
      </c>
      <c r="P203">
        <f>MAX(-fyd_cc,MIN(fyd_cc,Es_cc*IF($E203&lt;=cc_D,0.0035*($E203-P$9)/$E203,0.002*($E203-P$9)/($E203-3*cc_D/7))))-fcd_cc*(1-(1-MAX(0,MIN(1,IF($E203&lt;=cc_D,0.0035*($E203-P$9)/$E203,0.002*($E203-P$9)/($E203-3*cc_D/7))/0.002)))^2)</f>
        <v/>
      </c>
      <c r="Q203">
        <f>MAX(-fyd_cc,MIN(fyd_cc,Es_cc*IF($E203&lt;=cc_D,0.0035*($E203-Q$9)/$E203,0.002*($E203-Q$9)/($E203-3*cc_D/7))))-fcd_cc*(1-(1-MAX(0,MIN(1,IF($E203&lt;=cc_D,0.0035*($E203-Q$9)/$E203,0.002*($E203-Q$9)/($E203-3*cc_D/7))/0.002)))^2)</f>
        <v/>
      </c>
      <c r="R203">
        <f>MAX(-fyd_cc,MIN(fyd_cc,Es_cc*IF($E203&lt;=cc_D,0.0035*($E203-R$9)/$E203,0.002*($E203-R$9)/($E203-3*cc_D/7))))-fcd_cc*(1-(1-MAX(0,MIN(1,IF($E203&lt;=cc_D,0.0035*($E203-R$9)/$E203,0.002*($E203-R$9)/($E203-3*cc_D/7))/0.002)))^2)</f>
        <v/>
      </c>
      <c r="S203">
        <f>MAX(-fyd_cc,MIN(fyd_cc,Es_cc*IF($E203&lt;=cc_D,0.0035*($E203-S$9)/$E203,0.002*($E203-S$9)/($E203-3*cc_D/7))))-fcd_cc*(1-(1-MAX(0,MIN(1,IF($E203&lt;=cc_D,0.0035*($E203-S$9)/$E203,0.002*($E203-S$9)/($E203-3*cc_D/7))/0.002)))^2)</f>
        <v/>
      </c>
      <c r="T203">
        <f>MAX(-fyd_cc,MIN(fyd_cc,Es_cc*IF($E203&lt;=cc_D,0.0035*($E203-T$9)/$E203,0.002*($E203-T$9)/($E203-3*cc_D/7))))-fcd_cc*(1-(1-MAX(0,MIN(1,IF($E203&lt;=cc_D,0.0035*($E203-T$9)/$E203,0.002*($E203-T$9)/($E203-3*cc_D/7))/0.002)))^2)</f>
        <v/>
      </c>
      <c r="U203">
        <f>MAX(-fyd_cc,MIN(fyd_cc,Es_cc*IF($E203&lt;=cc_D,0.0035*($E203-U$9)/$E203,0.002*($E203-U$9)/($E203-3*cc_D/7))))-fcd_cc*(1-(1-MAX(0,MIN(1,IF($E203&lt;=cc_D,0.0035*($E203-U$9)/$E203,0.002*($E203-U$9)/($E203-3*cc_D/7))/0.002)))^2)</f>
        <v/>
      </c>
      <c r="V203">
        <f>MAX(-fyd_cc,MIN(fyd_cc,Es_cc*IF($E203&lt;=cc_D,0.0035*($E203-V$9)/$E203,0.002*($E203-V$9)/($E203-3*cc_D/7))))-fcd_cc*(1-(1-MAX(0,MIN(1,IF($E203&lt;=cc_D,0.0035*($E203-V$9)/$E203,0.002*($E203-V$9)/($E203-3*cc_D/7))/0.002)))^2)</f>
        <v/>
      </c>
      <c r="W203">
        <f>MAX(-fyd_cc,MIN(fyd_cc,Es_cc*IF($E203&lt;=cc_D,0.0035*($E203-W$9)/$E203,0.002*($E203-W$9)/($E203-3*cc_D/7))))-fcd_cc*(1-(1-MAX(0,MIN(1,IF($E203&lt;=cc_D,0.0035*($E203-W$9)/$E203,0.002*($E203-W$9)/($E203-3*cc_D/7))/0.002)))^2)</f>
        <v/>
      </c>
      <c r="X203">
        <f>MAX(-fyd_cc,MIN(fyd_cc,Es_cc*IF($E203&lt;=cc_D,0.0035*($E203-X$9)/$E203,0.002*($E203-X$9)/($E203-3*cc_D/7))))-fcd_cc*(1-(1-MAX(0,MIN(1,IF($E203&lt;=cc_D,0.0035*($E203-X$9)/$E203,0.002*($E203-X$9)/($E203-3*cc_D/7))/0.002)))^2)</f>
        <v/>
      </c>
      <c r="Y203">
        <f>MAX(-fyd_cc,MIN(fyd_cc,Es_cc*IF($E203&lt;=cc_D,0.0035*($E203-Y$9)/$E203,0.002*($E203-Y$9)/($E203-3*cc_D/7))))-fcd_cc*(1-(1-MAX(0,MIN(1,IF($E203&lt;=cc_D,0.0035*($E203-Y$9)/$E203,0.002*($E203-Y$9)/($E203-3*cc_D/7))/0.002)))^2)</f>
        <v/>
      </c>
      <c r="Z203">
        <f>MAX(-fyd_cc,MIN(fyd_cc,Es_cc*IF($E203&lt;=cc_D,0.0035*($E203-Z$9)/$E203,0.002*($E203-Z$9)/($E203-3*cc_D/7))))-fcd_cc*(1-(1-MAX(0,MIN(1,IF($E203&lt;=cc_D,0.0035*($E203-Z$9)/$E203,0.002*($E203-Z$9)/($E203-3*cc_D/7))/0.002)))^2)</f>
        <v/>
      </c>
      <c r="AA203">
        <f>MAX(-fyd_cc,MIN(fyd_cc,Es_cc*IF($E203&lt;=cc_D,0.0035*($E203-AA$9)/$E203,0.002*($E203-AA$9)/($E203-3*cc_D/7))))-fcd_cc*(1-(1-MAX(0,MIN(1,IF($E203&lt;=cc_D,0.0035*($E203-AA$9)/$E203,0.002*($E203-AA$9)/($E203-3*cc_D/7))/0.002)))^2)</f>
        <v/>
      </c>
      <c r="AB203">
        <f>MAX(-fyd_cc,MIN(fyd_cc,Es_cc*IF($E203&lt;=cc_D,0.0035*($E203-AB$9)/$E203,0.002*($E203-AB$9)/($E203-3*cc_D/7))))-fcd_cc*(1-(1-MAX(0,MIN(1,IF($E203&lt;=cc_D,0.0035*($E203-AB$9)/$E203,0.002*($E203-AB$9)/($E203-3*cc_D/7))/0.002)))^2)</f>
        <v/>
      </c>
      <c r="AC203">
        <f>MAX(-fyd_cc,MIN(fyd_cc,Es_cc*IF($E203&lt;=cc_D,0.0035*($E203-AC$9)/$E203,0.002*($E203-AC$9)/($E203-3*cc_D/7))))-fcd_cc*(1-(1-MAX(0,MIN(1,IF($E203&lt;=cc_D,0.0035*($E203-AC$9)/$E203,0.002*($E203-AC$9)/($E203-3*cc_D/7))/0.002)))^2)</f>
        <v/>
      </c>
      <c r="AD203">
        <f>MAX(-fyd_cc,MIN(fyd_cc,Es_cc*IF($E203&lt;=cc_D,0.0035*($E203-AD$9)/$E203,0.002*($E203-AD$9)/($E203-3*cc_D/7))))-fcd_cc*(1-(1-MAX(0,MIN(1,IF($E203&lt;=cc_D,0.0035*($E203-AD$9)/$E203,0.002*($E203-AD$9)/($E203-3*cc_D/7))/0.002)))^2)</f>
        <v/>
      </c>
      <c r="AE203">
        <f>MAX(-fyd_cc,MIN(fyd_cc,Es_cc*IF($E203&lt;=cc_D,0.0035*($E203-AE$9)/$E203,0.002*($E203-AE$9)/($E203-3*cc_D/7))))-fcd_cc*(1-(1-MAX(0,MIN(1,IF($E203&lt;=cc_D,0.0035*($E203-AE$9)/$E203,0.002*($E203-AE$9)/($E203-3*cc_D/7))/0.002)))^2)</f>
        <v/>
      </c>
      <c r="AF203">
        <f>MAX(-fyd_cc,MIN(fyd_cc,Es_cc*IF($E203&lt;=cc_D,0.0035*($E203-AF$9)/$E203,0.002*($E203-AF$9)/($E203-3*cc_D/7))))-fcd_cc*(1-(1-MAX(0,MIN(1,IF($E203&lt;=cc_D,0.0035*($E203-AF$9)/$E203,0.002*($E203-AF$9)/($E203-3*cc_D/7))/0.002)))^2)</f>
        <v/>
      </c>
      <c r="AG203">
        <f>MAX(-fyd_cc,MIN(fyd_cc,Es_cc*IF($E203&lt;=cc_D,0.0035*($E203-AG$9)/$E203,0.002*($E203-AG$9)/($E203-3*cc_D/7))))-fcd_cc*(1-(1-MAX(0,MIN(1,IF($E203&lt;=cc_D,0.0035*($E203-AG$9)/$E203,0.002*($E203-AG$9)/($E203-3*cc_D/7))/0.002)))^2)</f>
        <v/>
      </c>
      <c r="BF203">
        <f>3*MIN($E203,cc_D)/7</f>
        <v/>
      </c>
      <c r="BG203">
        <f>$E203-$BF203</f>
        <v/>
      </c>
      <c r="BH203">
        <f>ACOS(MAX(-1,MIN(1,1-$BF203/(cc_D/2))))</f>
        <v/>
      </c>
      <c r="BI203">
        <f>ACOS(MAX(-1,MIN(1,1-MIN($E203,cc_D)/(cc_D/2))))</f>
        <v/>
      </c>
      <c r="BJ203">
        <f>((cc_D/2*(1-COS(($BH203+0*($BI203-$BH203)/12)))-$BF203)/$BG203)^2*SIN(($BH203+0*($BI203-$BH203)/12))^2</f>
        <v/>
      </c>
      <c r="BK203">
        <f>((cc_D/2*(1-COS(($BH203+1*($BI203-$BH203)/12)))-$BF203)/$BG203)^2*SIN(($BH203+1*($BI203-$BH203)/12))^2</f>
        <v/>
      </c>
      <c r="BL203">
        <f>((cc_D/2*(1-COS(($BH203+2*($BI203-$BH203)/12)))-$BF203)/$BG203)^2*SIN(($BH203+2*($BI203-$BH203)/12))^2</f>
        <v/>
      </c>
      <c r="BM203">
        <f>((cc_D/2*(1-COS(($BH203+3*($BI203-$BH203)/12)))-$BF203)/$BG203)^2*SIN(($BH203+3*($BI203-$BH203)/12))^2</f>
        <v/>
      </c>
      <c r="BN203">
        <f>((cc_D/2*(1-COS(($BH203+4*($BI203-$BH203)/12)))-$BF203)/$BG203)^2*SIN(($BH203+4*($BI203-$BH203)/12))^2</f>
        <v/>
      </c>
      <c r="BO203">
        <f>((cc_D/2*(1-COS(($BH203+5*($BI203-$BH203)/12)))-$BF203)/$BG203)^2*SIN(($BH203+5*($BI203-$BH203)/12))^2</f>
        <v/>
      </c>
      <c r="BP203">
        <f>((cc_D/2*(1-COS(($BH203+6*($BI203-$BH203)/12)))-$BF203)/$BG203)^2*SIN(($BH203+6*($BI203-$BH203)/12))^2</f>
        <v/>
      </c>
      <c r="BQ203">
        <f>((cc_D/2*(1-COS(($BH203+7*($BI203-$BH203)/12)))-$BF203)/$BG203)^2*SIN(($BH203+7*($BI203-$BH203)/12))^2</f>
        <v/>
      </c>
      <c r="BR203">
        <f>((cc_D/2*(1-COS(($BH203+8*($BI203-$BH203)/12)))-$BF203)/$BG203)^2*SIN(($BH203+8*($BI203-$BH203)/12))^2</f>
        <v/>
      </c>
      <c r="BS203">
        <f>((cc_D/2*(1-COS(($BH203+9*($BI203-$BH203)/12)))-$BF203)/$BG203)^2*SIN(($BH203+9*($BI203-$BH203)/12))^2</f>
        <v/>
      </c>
      <c r="BT203">
        <f>((cc_D/2*(1-COS(($BH203+10*($BI203-$BH203)/12)))-$BF203)/$BG203)^2*SIN(($BH203+10*($BI203-$BH203)/12))^2</f>
        <v/>
      </c>
      <c r="BU203">
        <f>((cc_D/2*(1-COS(($BH203+11*($BI203-$BH203)/12)))-$BF203)/$BG203)^2*SIN(($BH203+11*($BI203-$BH203)/12))^2</f>
        <v/>
      </c>
      <c r="BV203">
        <f>((cc_D/2*(1-COS(($BH203+12*($BI203-$BH203)/12)))-$BF203)/$BG203)^2*SIN(($BH203+12*($BI203-$BH203)/12))^2</f>
        <v/>
      </c>
      <c r="BW203">
        <f>BJ203*COS(($BH203+0*($BI203-$BH203)/12))</f>
        <v/>
      </c>
      <c r="BX203">
        <f>BK203*COS(($BH203+1*($BI203-$BH203)/12))</f>
        <v/>
      </c>
      <c r="BY203">
        <f>BL203*COS(($BH203+2*($BI203-$BH203)/12))</f>
        <v/>
      </c>
      <c r="BZ203">
        <f>BM203*COS(($BH203+3*($BI203-$BH203)/12))</f>
        <v/>
      </c>
      <c r="CA203">
        <f>BN203*COS(($BH203+4*($BI203-$BH203)/12))</f>
        <v/>
      </c>
      <c r="CB203">
        <f>BO203*COS(($BH203+5*($BI203-$BH203)/12))</f>
        <v/>
      </c>
      <c r="CC203">
        <f>BP203*COS(($BH203+6*($BI203-$BH203)/12))</f>
        <v/>
      </c>
      <c r="CD203">
        <f>BQ203*COS(($BH203+7*($BI203-$BH203)/12))</f>
        <v/>
      </c>
      <c r="CE203">
        <f>BR203*COS(($BH203+8*($BI203-$BH203)/12))</f>
        <v/>
      </c>
      <c r="CF203">
        <f>BS203*COS(($BH203+9*($BI203-$BH203)/12))</f>
        <v/>
      </c>
      <c r="CG203">
        <f>BT203*COS(($BH203+10*($BI203-$BH203)/12))</f>
        <v/>
      </c>
      <c r="CH203">
        <f>BU203*COS(($BH203+11*($BI203-$BH203)/12))</f>
        <v/>
      </c>
      <c r="CI203">
        <f>BV203*COS(($BH203+12*($BI203-$BH203)/12))</f>
        <v/>
      </c>
    </row>
    <row r="204">
      <c r="B204" s="65" t="n">
        <v>52</v>
      </c>
      <c r="C204" s="66">
        <f>IF($G203&lt;cc_NEd-1E-9*ABS(cc_NEd),($C203+$D203)/2,$C203)</f>
        <v/>
      </c>
      <c r="D204" s="66">
        <f>IF($G203&lt;cc_NEd-1E-9*ABS(cc_NEd),$D203,($C203+$D203)/2)</f>
        <v/>
      </c>
      <c r="E204" s="67">
        <f>cc_D*(($C204+$D204)/2)/(1-(($C204+$D204)/2))</f>
        <v/>
      </c>
      <c r="F204" s="68">
        <f>IF($E204&lt;=cc_D,3.5,2*$E204/($E204-3*cc_D/7))</f>
        <v/>
      </c>
      <c r="G204" s="67">
        <f>(fcd_cc*((cc_D/2)^2*($BI204-COS($BI204)*SIN($BI204))-2*(cc_D/2)^2*($BI204-$BH204)/12/3*SUMPRODUCT($BJ$4:$BV$4,$BJ204:$BV204))+SUMPRODUCT($J$5:$AG$5,$J204:$AG204))/1000</f>
        <v/>
      </c>
      <c r="H204" s="67">
        <f>(fcd_cc*(2/3*(cc_D/2)^3*SIN($BI204)^3-2*(cc_D/2)^3*($BI204-$BH204)/12/3*SUMPRODUCT($BW$4:$CI$4,$BW204:$CI204))+SUMPRODUCT($J$5:$AG$5,$J204:$AG204,$J$10:$AG$10))/1E6</f>
        <v/>
      </c>
      <c r="I204" s="67">
        <f>SUMPRODUCT($J$5:$AG$5,$J204:$AG204,$J$11:$AG$11)/1E6</f>
        <v/>
      </c>
      <c r="J204">
        <f>MAX(-fyd_cc,MIN(fyd_cc,Es_cc*IF($E204&lt;=cc_D,0.0035*($E204-J$9)/$E204,0.002*($E204-J$9)/($E204-3*cc_D/7))))-fcd_cc*(1-(1-MAX(0,MIN(1,IF($E204&lt;=cc_D,0.0035*($E204-J$9)/$E204,0.002*($E204-J$9)/($E204-3*cc_D/7))/0.002)))^2)</f>
        <v/>
      </c>
      <c r="K204">
        <f>MAX(-fyd_cc,MIN(fyd_cc,Es_cc*IF($E204&lt;=cc_D,0.0035*($E204-K$9)/$E204,0.002*($E204-K$9)/($E204-3*cc_D/7))))-fcd_cc*(1-(1-MAX(0,MIN(1,IF($E204&lt;=cc_D,0.0035*($E204-K$9)/$E204,0.002*($E204-K$9)/($E204-3*cc_D/7))/0.002)))^2)</f>
        <v/>
      </c>
      <c r="L204">
        <f>MAX(-fyd_cc,MIN(fyd_cc,Es_cc*IF($E204&lt;=cc_D,0.0035*($E204-L$9)/$E204,0.002*($E204-L$9)/($E204-3*cc_D/7))))-fcd_cc*(1-(1-MAX(0,MIN(1,IF($E204&lt;=cc_D,0.0035*($E204-L$9)/$E204,0.002*($E204-L$9)/($E204-3*cc_D/7))/0.002)))^2)</f>
        <v/>
      </c>
      <c r="M204">
        <f>MAX(-fyd_cc,MIN(fyd_cc,Es_cc*IF($E204&lt;=cc_D,0.0035*($E204-M$9)/$E204,0.002*($E204-M$9)/($E204-3*cc_D/7))))-fcd_cc*(1-(1-MAX(0,MIN(1,IF($E204&lt;=cc_D,0.0035*($E204-M$9)/$E204,0.002*($E204-M$9)/($E204-3*cc_D/7))/0.002)))^2)</f>
        <v/>
      </c>
      <c r="N204">
        <f>MAX(-fyd_cc,MIN(fyd_cc,Es_cc*IF($E204&lt;=cc_D,0.0035*($E204-N$9)/$E204,0.002*($E204-N$9)/($E204-3*cc_D/7))))-fcd_cc*(1-(1-MAX(0,MIN(1,IF($E204&lt;=cc_D,0.0035*($E204-N$9)/$E204,0.002*($E204-N$9)/($E204-3*cc_D/7))/0.002)))^2)</f>
        <v/>
      </c>
      <c r="O204">
        <f>MAX(-fyd_cc,MIN(fyd_cc,Es_cc*IF($E204&lt;=cc_D,0.0035*($E204-O$9)/$E204,0.002*($E204-O$9)/($E204-3*cc_D/7))))-fcd_cc*(1-(1-MAX(0,MIN(1,IF($E204&lt;=cc_D,0.0035*($E204-O$9)/$E204,0.002*($E204-O$9)/($E204-3*cc_D/7))/0.002)))^2)</f>
        <v/>
      </c>
      <c r="P204">
        <f>MAX(-fyd_cc,MIN(fyd_cc,Es_cc*IF($E204&lt;=cc_D,0.0035*($E204-P$9)/$E204,0.002*($E204-P$9)/($E204-3*cc_D/7))))-fcd_cc*(1-(1-MAX(0,MIN(1,IF($E204&lt;=cc_D,0.0035*($E204-P$9)/$E204,0.002*($E204-P$9)/($E204-3*cc_D/7))/0.002)))^2)</f>
        <v/>
      </c>
      <c r="Q204">
        <f>MAX(-fyd_cc,MIN(fyd_cc,Es_cc*IF($E204&lt;=cc_D,0.0035*($E204-Q$9)/$E204,0.002*($E204-Q$9)/($E204-3*cc_D/7))))-fcd_cc*(1-(1-MAX(0,MIN(1,IF($E204&lt;=cc_D,0.0035*($E204-Q$9)/$E204,0.002*($E204-Q$9)/($E204-3*cc_D/7))/0.002)))^2)</f>
        <v/>
      </c>
      <c r="R204">
        <f>MAX(-fyd_cc,MIN(fyd_cc,Es_cc*IF($E204&lt;=cc_D,0.0035*($E204-R$9)/$E204,0.002*($E204-R$9)/($E204-3*cc_D/7))))-fcd_cc*(1-(1-MAX(0,MIN(1,IF($E204&lt;=cc_D,0.0035*($E204-R$9)/$E204,0.002*($E204-R$9)/($E204-3*cc_D/7))/0.002)))^2)</f>
        <v/>
      </c>
      <c r="S204">
        <f>MAX(-fyd_cc,MIN(fyd_cc,Es_cc*IF($E204&lt;=cc_D,0.0035*($E204-S$9)/$E204,0.002*($E204-S$9)/($E204-3*cc_D/7))))-fcd_cc*(1-(1-MAX(0,MIN(1,IF($E204&lt;=cc_D,0.0035*($E204-S$9)/$E204,0.002*($E204-S$9)/($E204-3*cc_D/7))/0.002)))^2)</f>
        <v/>
      </c>
      <c r="T204">
        <f>MAX(-fyd_cc,MIN(fyd_cc,Es_cc*IF($E204&lt;=cc_D,0.0035*($E204-T$9)/$E204,0.002*($E204-T$9)/($E204-3*cc_D/7))))-fcd_cc*(1-(1-MAX(0,MIN(1,IF($E204&lt;=cc_D,0.0035*($E204-T$9)/$E204,0.002*($E204-T$9)/($E204-3*cc_D/7))/0.002)))^2)</f>
        <v/>
      </c>
      <c r="U204">
        <f>MAX(-fyd_cc,MIN(fyd_cc,Es_cc*IF($E204&lt;=cc_D,0.0035*($E204-U$9)/$E204,0.002*($E204-U$9)/($E204-3*cc_D/7))))-fcd_cc*(1-(1-MAX(0,MIN(1,IF($E204&lt;=cc_D,0.0035*($E204-U$9)/$E204,0.002*($E204-U$9)/($E204-3*cc_D/7))/0.002)))^2)</f>
        <v/>
      </c>
      <c r="V204">
        <f>MAX(-fyd_cc,MIN(fyd_cc,Es_cc*IF($E204&lt;=cc_D,0.0035*($E204-V$9)/$E204,0.002*($E204-V$9)/($E204-3*cc_D/7))))-fcd_cc*(1-(1-MAX(0,MIN(1,IF($E204&lt;=cc_D,0.0035*($E204-V$9)/$E204,0.002*($E204-V$9)/($E204-3*cc_D/7))/0.002)))^2)</f>
        <v/>
      </c>
      <c r="W204">
        <f>MAX(-fyd_cc,MIN(fyd_cc,Es_cc*IF($E204&lt;=cc_D,0.0035*($E204-W$9)/$E204,0.002*($E204-W$9)/($E204-3*cc_D/7))))-fcd_cc*(1-(1-MAX(0,MIN(1,IF($E204&lt;=cc_D,0.0035*($E204-W$9)/$E204,0.002*($E204-W$9)/($E204-3*cc_D/7))/0.002)))^2)</f>
        <v/>
      </c>
      <c r="X204">
        <f>MAX(-fyd_cc,MIN(fyd_cc,Es_cc*IF($E204&lt;=cc_D,0.0035*($E204-X$9)/$E204,0.002*($E204-X$9)/($E204-3*cc_D/7))))-fcd_cc*(1-(1-MAX(0,MIN(1,IF($E204&lt;=cc_D,0.0035*($E204-X$9)/$E204,0.002*($E204-X$9)/($E204-3*cc_D/7))/0.002)))^2)</f>
        <v/>
      </c>
      <c r="Y204">
        <f>MAX(-fyd_cc,MIN(fyd_cc,Es_cc*IF($E204&lt;=cc_D,0.0035*($E204-Y$9)/$E204,0.002*($E204-Y$9)/($E204-3*cc_D/7))))-fcd_cc*(1-(1-MAX(0,MIN(1,IF($E204&lt;=cc_D,0.0035*($E204-Y$9)/$E204,0.002*($E204-Y$9)/($E204-3*cc_D/7))/0.002)))^2)</f>
        <v/>
      </c>
      <c r="Z204">
        <f>MAX(-fyd_cc,MIN(fyd_cc,Es_cc*IF($E204&lt;=cc_D,0.0035*($E204-Z$9)/$E204,0.002*($E204-Z$9)/($E204-3*cc_D/7))))-fcd_cc*(1-(1-MAX(0,MIN(1,IF($E204&lt;=cc_D,0.0035*($E204-Z$9)/$E204,0.002*($E204-Z$9)/($E204-3*cc_D/7))/0.002)))^2)</f>
        <v/>
      </c>
      <c r="AA204">
        <f>MAX(-fyd_cc,MIN(fyd_cc,Es_cc*IF($E204&lt;=cc_D,0.0035*($E204-AA$9)/$E204,0.002*($E204-AA$9)/($E204-3*cc_D/7))))-fcd_cc*(1-(1-MAX(0,MIN(1,IF($E204&lt;=cc_D,0.0035*($E204-AA$9)/$E204,0.002*($E204-AA$9)/($E204-3*cc_D/7))/0.002)))^2)</f>
        <v/>
      </c>
      <c r="AB204">
        <f>MAX(-fyd_cc,MIN(fyd_cc,Es_cc*IF($E204&lt;=cc_D,0.0035*($E204-AB$9)/$E204,0.002*($E204-AB$9)/($E204-3*cc_D/7))))-fcd_cc*(1-(1-MAX(0,MIN(1,IF($E204&lt;=cc_D,0.0035*($E204-AB$9)/$E204,0.002*($E204-AB$9)/($E204-3*cc_D/7))/0.002)))^2)</f>
        <v/>
      </c>
      <c r="AC204">
        <f>MAX(-fyd_cc,MIN(fyd_cc,Es_cc*IF($E204&lt;=cc_D,0.0035*($E204-AC$9)/$E204,0.002*($E204-AC$9)/($E204-3*cc_D/7))))-fcd_cc*(1-(1-MAX(0,MIN(1,IF($E204&lt;=cc_D,0.0035*($E204-AC$9)/$E204,0.002*($E204-AC$9)/($E204-3*cc_D/7))/0.002)))^2)</f>
        <v/>
      </c>
      <c r="AD204">
        <f>MAX(-fyd_cc,MIN(fyd_cc,Es_cc*IF($E204&lt;=cc_D,0.0035*($E204-AD$9)/$E204,0.002*($E204-AD$9)/($E204-3*cc_D/7))))-fcd_cc*(1-(1-MAX(0,MIN(1,IF($E204&lt;=cc_D,0.0035*($E204-AD$9)/$E204,0.002*($E204-AD$9)/($E204-3*cc_D/7))/0.002)))^2)</f>
        <v/>
      </c>
      <c r="AE204">
        <f>MAX(-fyd_cc,MIN(fyd_cc,Es_cc*IF($E204&lt;=cc_D,0.0035*($E204-AE$9)/$E204,0.002*($E204-AE$9)/($E204-3*cc_D/7))))-fcd_cc*(1-(1-MAX(0,MIN(1,IF($E204&lt;=cc_D,0.0035*($E204-AE$9)/$E204,0.002*($E204-AE$9)/($E204-3*cc_D/7))/0.002)))^2)</f>
        <v/>
      </c>
      <c r="AF204">
        <f>MAX(-fyd_cc,MIN(fyd_cc,Es_cc*IF($E204&lt;=cc_D,0.0035*($E204-AF$9)/$E204,0.002*($E204-AF$9)/($E204-3*cc_D/7))))-fcd_cc*(1-(1-MAX(0,MIN(1,IF($E204&lt;=cc_D,0.0035*($E204-AF$9)/$E204,0.002*($E204-AF$9)/($E204-3*cc_D/7))/0.002)))^2)</f>
        <v/>
      </c>
      <c r="AG204">
        <f>MAX(-fyd_cc,MIN(fyd_cc,Es_cc*IF($E204&lt;=cc_D,0.0035*($E204-AG$9)/$E204,0.002*($E204-AG$9)/($E204-3*cc_D/7))))-fcd_cc*(1-(1-MAX(0,MIN(1,IF($E204&lt;=cc_D,0.0035*($E204-AG$9)/$E204,0.002*($E204-AG$9)/($E204-3*cc_D/7))/0.002)))^2)</f>
        <v/>
      </c>
      <c r="BF204">
        <f>3*MIN($E204,cc_D)/7</f>
        <v/>
      </c>
      <c r="BG204">
        <f>$E204-$BF204</f>
        <v/>
      </c>
      <c r="BH204">
        <f>ACOS(MAX(-1,MIN(1,1-$BF204/(cc_D/2))))</f>
        <v/>
      </c>
      <c r="BI204">
        <f>ACOS(MAX(-1,MIN(1,1-MIN($E204,cc_D)/(cc_D/2))))</f>
        <v/>
      </c>
      <c r="BJ204">
        <f>((cc_D/2*(1-COS(($BH204+0*($BI204-$BH204)/12)))-$BF204)/$BG204)^2*SIN(($BH204+0*($BI204-$BH204)/12))^2</f>
        <v/>
      </c>
      <c r="BK204">
        <f>((cc_D/2*(1-COS(($BH204+1*($BI204-$BH204)/12)))-$BF204)/$BG204)^2*SIN(($BH204+1*($BI204-$BH204)/12))^2</f>
        <v/>
      </c>
      <c r="BL204">
        <f>((cc_D/2*(1-COS(($BH204+2*($BI204-$BH204)/12)))-$BF204)/$BG204)^2*SIN(($BH204+2*($BI204-$BH204)/12))^2</f>
        <v/>
      </c>
      <c r="BM204">
        <f>((cc_D/2*(1-COS(($BH204+3*($BI204-$BH204)/12)))-$BF204)/$BG204)^2*SIN(($BH204+3*($BI204-$BH204)/12))^2</f>
        <v/>
      </c>
      <c r="BN204">
        <f>((cc_D/2*(1-COS(($BH204+4*($BI204-$BH204)/12)))-$BF204)/$BG204)^2*SIN(($BH204+4*($BI204-$BH204)/12))^2</f>
        <v/>
      </c>
      <c r="BO204">
        <f>((cc_D/2*(1-COS(($BH204+5*($BI204-$BH204)/12)))-$BF204)/$BG204)^2*SIN(($BH204+5*($BI204-$BH204)/12))^2</f>
        <v/>
      </c>
      <c r="BP204">
        <f>((cc_D/2*(1-COS(($BH204+6*($BI204-$BH204)/12)))-$BF204)/$BG204)^2*SIN(($BH204+6*($BI204-$BH204)/12))^2</f>
        <v/>
      </c>
      <c r="BQ204">
        <f>((cc_D/2*(1-COS(($BH204+7*($BI204-$BH204)/12)))-$BF204)/$BG204)^2*SIN(($BH204+7*($BI204-$BH204)/12))^2</f>
        <v/>
      </c>
      <c r="BR204">
        <f>((cc_D/2*(1-COS(($BH204+8*($BI204-$BH204)/12)))-$BF204)/$BG204)^2*SIN(($BH204+8*($BI204-$BH204)/12))^2</f>
        <v/>
      </c>
      <c r="BS204">
        <f>((cc_D/2*(1-COS(($BH204+9*($BI204-$BH204)/12)))-$BF204)/$BG204)^2*SIN(($BH204+9*($BI204-$BH204)/12))^2</f>
        <v/>
      </c>
      <c r="BT204">
        <f>((cc_D/2*(1-COS(($BH204+10*($BI204-$BH204)/12)))-$BF204)/$BG204)^2*SIN(($BH204+10*($BI204-$BH204)/12))^2</f>
        <v/>
      </c>
      <c r="BU204">
        <f>((cc_D/2*(1-COS(($BH204+11*($BI204-$BH204)/12)))-$BF204)/$BG204)^2*SIN(($BH204+11*($BI204-$BH204)/12))^2</f>
        <v/>
      </c>
      <c r="BV204">
        <f>((cc_D/2*(1-COS(($BH204+12*($BI204-$BH204)/12)))-$BF204)/$BG204)^2*SIN(($BH204+12*($BI204-$BH204)/12))^2</f>
        <v/>
      </c>
      <c r="BW204">
        <f>BJ204*COS(($BH204+0*($BI204-$BH204)/12))</f>
        <v/>
      </c>
      <c r="BX204">
        <f>BK204*COS(($BH204+1*($BI204-$BH204)/12))</f>
        <v/>
      </c>
      <c r="BY204">
        <f>BL204*COS(($BH204+2*($BI204-$BH204)/12))</f>
        <v/>
      </c>
      <c r="BZ204">
        <f>BM204*COS(($BH204+3*($BI204-$BH204)/12))</f>
        <v/>
      </c>
      <c r="CA204">
        <f>BN204*COS(($BH204+4*($BI204-$BH204)/12))</f>
        <v/>
      </c>
      <c r="CB204">
        <f>BO204*COS(($BH204+5*($BI204-$BH204)/12))</f>
        <v/>
      </c>
      <c r="CC204">
        <f>BP204*COS(($BH204+6*($BI204-$BH204)/12))</f>
        <v/>
      </c>
      <c r="CD204">
        <f>BQ204*COS(($BH204+7*($BI204-$BH204)/12))</f>
        <v/>
      </c>
      <c r="CE204">
        <f>BR204*COS(($BH204+8*($BI204-$BH204)/12))</f>
        <v/>
      </c>
      <c r="CF204">
        <f>BS204*COS(($BH204+9*($BI204-$BH204)/12))</f>
        <v/>
      </c>
      <c r="CG204">
        <f>BT204*COS(($BH204+10*($BI204-$BH204)/12))</f>
        <v/>
      </c>
      <c r="CH204">
        <f>BU204*COS(($BH204+11*($BI204-$BH204)/12))</f>
        <v/>
      </c>
      <c r="CI204">
        <f>BV204*COS(($BH204+12*($BI204-$BH204)/12))</f>
        <v/>
      </c>
    </row>
    <row r="205">
      <c r="B205" s="65" t="n">
        <v>53</v>
      </c>
      <c r="C205" s="66">
        <f>IF($G204&lt;cc_NEd-1E-9*ABS(cc_NEd),($C204+$D204)/2,$C204)</f>
        <v/>
      </c>
      <c r="D205" s="66">
        <f>IF($G204&lt;cc_NEd-1E-9*ABS(cc_NEd),$D204,($C204+$D204)/2)</f>
        <v/>
      </c>
      <c r="E205" s="67">
        <f>cc_D*(($C205+$D205)/2)/(1-(($C205+$D205)/2))</f>
        <v/>
      </c>
      <c r="F205" s="68">
        <f>IF($E205&lt;=cc_D,3.5,2*$E205/($E205-3*cc_D/7))</f>
        <v/>
      </c>
      <c r="G205" s="67">
        <f>(fcd_cc*((cc_D/2)^2*($BI205-COS($BI205)*SIN($BI205))-2*(cc_D/2)^2*($BI205-$BH205)/12/3*SUMPRODUCT($BJ$4:$BV$4,$BJ205:$BV205))+SUMPRODUCT($J$5:$AG$5,$J205:$AG205))/1000</f>
        <v/>
      </c>
      <c r="H205" s="67">
        <f>(fcd_cc*(2/3*(cc_D/2)^3*SIN($BI205)^3-2*(cc_D/2)^3*($BI205-$BH205)/12/3*SUMPRODUCT($BW$4:$CI$4,$BW205:$CI205))+SUMPRODUCT($J$5:$AG$5,$J205:$AG205,$J$10:$AG$10))/1E6</f>
        <v/>
      </c>
      <c r="I205" s="67">
        <f>SUMPRODUCT($J$5:$AG$5,$J205:$AG205,$J$11:$AG$11)/1E6</f>
        <v/>
      </c>
      <c r="J205">
        <f>MAX(-fyd_cc,MIN(fyd_cc,Es_cc*IF($E205&lt;=cc_D,0.0035*($E205-J$9)/$E205,0.002*($E205-J$9)/($E205-3*cc_D/7))))-fcd_cc*(1-(1-MAX(0,MIN(1,IF($E205&lt;=cc_D,0.0035*($E205-J$9)/$E205,0.002*($E205-J$9)/($E205-3*cc_D/7))/0.002)))^2)</f>
        <v/>
      </c>
      <c r="K205">
        <f>MAX(-fyd_cc,MIN(fyd_cc,Es_cc*IF($E205&lt;=cc_D,0.0035*($E205-K$9)/$E205,0.002*($E205-K$9)/($E205-3*cc_D/7))))-fcd_cc*(1-(1-MAX(0,MIN(1,IF($E205&lt;=cc_D,0.0035*($E205-K$9)/$E205,0.002*($E205-K$9)/($E205-3*cc_D/7))/0.002)))^2)</f>
        <v/>
      </c>
      <c r="L205">
        <f>MAX(-fyd_cc,MIN(fyd_cc,Es_cc*IF($E205&lt;=cc_D,0.0035*($E205-L$9)/$E205,0.002*($E205-L$9)/($E205-3*cc_D/7))))-fcd_cc*(1-(1-MAX(0,MIN(1,IF($E205&lt;=cc_D,0.0035*($E205-L$9)/$E205,0.002*($E205-L$9)/($E205-3*cc_D/7))/0.002)))^2)</f>
        <v/>
      </c>
      <c r="M205">
        <f>MAX(-fyd_cc,MIN(fyd_cc,Es_cc*IF($E205&lt;=cc_D,0.0035*($E205-M$9)/$E205,0.002*($E205-M$9)/($E205-3*cc_D/7))))-fcd_cc*(1-(1-MAX(0,MIN(1,IF($E205&lt;=cc_D,0.0035*($E205-M$9)/$E205,0.002*($E205-M$9)/($E205-3*cc_D/7))/0.002)))^2)</f>
        <v/>
      </c>
      <c r="N205">
        <f>MAX(-fyd_cc,MIN(fyd_cc,Es_cc*IF($E205&lt;=cc_D,0.0035*($E205-N$9)/$E205,0.002*($E205-N$9)/($E205-3*cc_D/7))))-fcd_cc*(1-(1-MAX(0,MIN(1,IF($E205&lt;=cc_D,0.0035*($E205-N$9)/$E205,0.002*($E205-N$9)/($E205-3*cc_D/7))/0.002)))^2)</f>
        <v/>
      </c>
      <c r="O205">
        <f>MAX(-fyd_cc,MIN(fyd_cc,Es_cc*IF($E205&lt;=cc_D,0.0035*($E205-O$9)/$E205,0.002*($E205-O$9)/($E205-3*cc_D/7))))-fcd_cc*(1-(1-MAX(0,MIN(1,IF($E205&lt;=cc_D,0.0035*($E205-O$9)/$E205,0.002*($E205-O$9)/($E205-3*cc_D/7))/0.002)))^2)</f>
        <v/>
      </c>
      <c r="P205">
        <f>MAX(-fyd_cc,MIN(fyd_cc,Es_cc*IF($E205&lt;=cc_D,0.0035*($E205-P$9)/$E205,0.002*($E205-P$9)/($E205-3*cc_D/7))))-fcd_cc*(1-(1-MAX(0,MIN(1,IF($E205&lt;=cc_D,0.0035*($E205-P$9)/$E205,0.002*($E205-P$9)/($E205-3*cc_D/7))/0.002)))^2)</f>
        <v/>
      </c>
      <c r="Q205">
        <f>MAX(-fyd_cc,MIN(fyd_cc,Es_cc*IF($E205&lt;=cc_D,0.0035*($E205-Q$9)/$E205,0.002*($E205-Q$9)/($E205-3*cc_D/7))))-fcd_cc*(1-(1-MAX(0,MIN(1,IF($E205&lt;=cc_D,0.0035*($E205-Q$9)/$E205,0.002*($E205-Q$9)/($E205-3*cc_D/7))/0.002)))^2)</f>
        <v/>
      </c>
      <c r="R205">
        <f>MAX(-fyd_cc,MIN(fyd_cc,Es_cc*IF($E205&lt;=cc_D,0.0035*($E205-R$9)/$E205,0.002*($E205-R$9)/($E205-3*cc_D/7))))-fcd_cc*(1-(1-MAX(0,MIN(1,IF($E205&lt;=cc_D,0.0035*($E205-R$9)/$E205,0.002*($E205-R$9)/($E205-3*cc_D/7))/0.002)))^2)</f>
        <v/>
      </c>
      <c r="S205">
        <f>MAX(-fyd_cc,MIN(fyd_cc,Es_cc*IF($E205&lt;=cc_D,0.0035*($E205-S$9)/$E205,0.002*($E205-S$9)/($E205-3*cc_D/7))))-fcd_cc*(1-(1-MAX(0,MIN(1,IF($E205&lt;=cc_D,0.0035*($E205-S$9)/$E205,0.002*($E205-S$9)/($E205-3*cc_D/7))/0.002)))^2)</f>
        <v/>
      </c>
      <c r="T205">
        <f>MAX(-fyd_cc,MIN(fyd_cc,Es_cc*IF($E205&lt;=cc_D,0.0035*($E205-T$9)/$E205,0.002*($E205-T$9)/($E205-3*cc_D/7))))-fcd_cc*(1-(1-MAX(0,MIN(1,IF($E205&lt;=cc_D,0.0035*($E205-T$9)/$E205,0.002*($E205-T$9)/($E205-3*cc_D/7))/0.002)))^2)</f>
        <v/>
      </c>
      <c r="U205">
        <f>MAX(-fyd_cc,MIN(fyd_cc,Es_cc*IF($E205&lt;=cc_D,0.0035*($E205-U$9)/$E205,0.002*($E205-U$9)/($E205-3*cc_D/7))))-fcd_cc*(1-(1-MAX(0,MIN(1,IF($E205&lt;=cc_D,0.0035*($E205-U$9)/$E205,0.002*($E205-U$9)/($E205-3*cc_D/7))/0.002)))^2)</f>
        <v/>
      </c>
      <c r="V205">
        <f>MAX(-fyd_cc,MIN(fyd_cc,Es_cc*IF($E205&lt;=cc_D,0.0035*($E205-V$9)/$E205,0.002*($E205-V$9)/($E205-3*cc_D/7))))-fcd_cc*(1-(1-MAX(0,MIN(1,IF($E205&lt;=cc_D,0.0035*($E205-V$9)/$E205,0.002*($E205-V$9)/($E205-3*cc_D/7))/0.002)))^2)</f>
        <v/>
      </c>
      <c r="W205">
        <f>MAX(-fyd_cc,MIN(fyd_cc,Es_cc*IF($E205&lt;=cc_D,0.0035*($E205-W$9)/$E205,0.002*($E205-W$9)/($E205-3*cc_D/7))))-fcd_cc*(1-(1-MAX(0,MIN(1,IF($E205&lt;=cc_D,0.0035*($E205-W$9)/$E205,0.002*($E205-W$9)/($E205-3*cc_D/7))/0.002)))^2)</f>
        <v/>
      </c>
      <c r="X205">
        <f>MAX(-fyd_cc,MIN(fyd_cc,Es_cc*IF($E205&lt;=cc_D,0.0035*($E205-X$9)/$E205,0.002*($E205-X$9)/($E205-3*cc_D/7))))-fcd_cc*(1-(1-MAX(0,MIN(1,IF($E205&lt;=cc_D,0.0035*($E205-X$9)/$E205,0.002*($E205-X$9)/($E205-3*cc_D/7))/0.002)))^2)</f>
        <v/>
      </c>
      <c r="Y205">
        <f>MAX(-fyd_cc,MIN(fyd_cc,Es_cc*IF($E205&lt;=cc_D,0.0035*($E205-Y$9)/$E205,0.002*($E205-Y$9)/($E205-3*cc_D/7))))-fcd_cc*(1-(1-MAX(0,MIN(1,IF($E205&lt;=cc_D,0.0035*($E205-Y$9)/$E205,0.002*($E205-Y$9)/($E205-3*cc_D/7))/0.002)))^2)</f>
        <v/>
      </c>
      <c r="Z205">
        <f>MAX(-fyd_cc,MIN(fyd_cc,Es_cc*IF($E205&lt;=cc_D,0.0035*($E205-Z$9)/$E205,0.002*($E205-Z$9)/($E205-3*cc_D/7))))-fcd_cc*(1-(1-MAX(0,MIN(1,IF($E205&lt;=cc_D,0.0035*($E205-Z$9)/$E205,0.002*($E205-Z$9)/($E205-3*cc_D/7))/0.002)))^2)</f>
        <v/>
      </c>
      <c r="AA205">
        <f>MAX(-fyd_cc,MIN(fyd_cc,Es_cc*IF($E205&lt;=cc_D,0.0035*($E205-AA$9)/$E205,0.002*($E205-AA$9)/($E205-3*cc_D/7))))-fcd_cc*(1-(1-MAX(0,MIN(1,IF($E205&lt;=cc_D,0.0035*($E205-AA$9)/$E205,0.002*($E205-AA$9)/($E205-3*cc_D/7))/0.002)))^2)</f>
        <v/>
      </c>
      <c r="AB205">
        <f>MAX(-fyd_cc,MIN(fyd_cc,Es_cc*IF($E205&lt;=cc_D,0.0035*($E205-AB$9)/$E205,0.002*($E205-AB$9)/($E205-3*cc_D/7))))-fcd_cc*(1-(1-MAX(0,MIN(1,IF($E205&lt;=cc_D,0.0035*($E205-AB$9)/$E205,0.002*($E205-AB$9)/($E205-3*cc_D/7))/0.002)))^2)</f>
        <v/>
      </c>
      <c r="AC205">
        <f>MAX(-fyd_cc,MIN(fyd_cc,Es_cc*IF($E205&lt;=cc_D,0.0035*($E205-AC$9)/$E205,0.002*($E205-AC$9)/($E205-3*cc_D/7))))-fcd_cc*(1-(1-MAX(0,MIN(1,IF($E205&lt;=cc_D,0.0035*($E205-AC$9)/$E205,0.002*($E205-AC$9)/($E205-3*cc_D/7))/0.002)))^2)</f>
        <v/>
      </c>
      <c r="AD205">
        <f>MAX(-fyd_cc,MIN(fyd_cc,Es_cc*IF($E205&lt;=cc_D,0.0035*($E205-AD$9)/$E205,0.002*($E205-AD$9)/($E205-3*cc_D/7))))-fcd_cc*(1-(1-MAX(0,MIN(1,IF($E205&lt;=cc_D,0.0035*($E205-AD$9)/$E205,0.002*($E205-AD$9)/($E205-3*cc_D/7))/0.002)))^2)</f>
        <v/>
      </c>
      <c r="AE205">
        <f>MAX(-fyd_cc,MIN(fyd_cc,Es_cc*IF($E205&lt;=cc_D,0.0035*($E205-AE$9)/$E205,0.002*($E205-AE$9)/($E205-3*cc_D/7))))-fcd_cc*(1-(1-MAX(0,MIN(1,IF($E205&lt;=cc_D,0.0035*($E205-AE$9)/$E205,0.002*($E205-AE$9)/($E205-3*cc_D/7))/0.002)))^2)</f>
        <v/>
      </c>
      <c r="AF205">
        <f>MAX(-fyd_cc,MIN(fyd_cc,Es_cc*IF($E205&lt;=cc_D,0.0035*($E205-AF$9)/$E205,0.002*($E205-AF$9)/($E205-3*cc_D/7))))-fcd_cc*(1-(1-MAX(0,MIN(1,IF($E205&lt;=cc_D,0.0035*($E205-AF$9)/$E205,0.002*($E205-AF$9)/($E205-3*cc_D/7))/0.002)))^2)</f>
        <v/>
      </c>
      <c r="AG205">
        <f>MAX(-fyd_cc,MIN(fyd_cc,Es_cc*IF($E205&lt;=cc_D,0.0035*($E205-AG$9)/$E205,0.002*($E205-AG$9)/($E205-3*cc_D/7))))-fcd_cc*(1-(1-MAX(0,MIN(1,IF($E205&lt;=cc_D,0.0035*($E205-AG$9)/$E205,0.002*($E205-AG$9)/($E205-3*cc_D/7))/0.002)))^2)</f>
        <v/>
      </c>
      <c r="BF205">
        <f>3*MIN($E205,cc_D)/7</f>
        <v/>
      </c>
      <c r="BG205">
        <f>$E205-$BF205</f>
        <v/>
      </c>
      <c r="BH205">
        <f>ACOS(MAX(-1,MIN(1,1-$BF205/(cc_D/2))))</f>
        <v/>
      </c>
      <c r="BI205">
        <f>ACOS(MAX(-1,MIN(1,1-MIN($E205,cc_D)/(cc_D/2))))</f>
        <v/>
      </c>
      <c r="BJ205">
        <f>((cc_D/2*(1-COS(($BH205+0*($BI205-$BH205)/12)))-$BF205)/$BG205)^2*SIN(($BH205+0*($BI205-$BH205)/12))^2</f>
        <v/>
      </c>
      <c r="BK205">
        <f>((cc_D/2*(1-COS(($BH205+1*($BI205-$BH205)/12)))-$BF205)/$BG205)^2*SIN(($BH205+1*($BI205-$BH205)/12))^2</f>
        <v/>
      </c>
      <c r="BL205">
        <f>((cc_D/2*(1-COS(($BH205+2*($BI205-$BH205)/12)))-$BF205)/$BG205)^2*SIN(($BH205+2*($BI205-$BH205)/12))^2</f>
        <v/>
      </c>
      <c r="BM205">
        <f>((cc_D/2*(1-COS(($BH205+3*($BI205-$BH205)/12)))-$BF205)/$BG205)^2*SIN(($BH205+3*($BI205-$BH205)/12))^2</f>
        <v/>
      </c>
      <c r="BN205">
        <f>((cc_D/2*(1-COS(($BH205+4*($BI205-$BH205)/12)))-$BF205)/$BG205)^2*SIN(($BH205+4*($BI205-$BH205)/12))^2</f>
        <v/>
      </c>
      <c r="BO205">
        <f>((cc_D/2*(1-COS(($BH205+5*($BI205-$BH205)/12)))-$BF205)/$BG205)^2*SIN(($BH205+5*($BI205-$BH205)/12))^2</f>
        <v/>
      </c>
      <c r="BP205">
        <f>((cc_D/2*(1-COS(($BH205+6*($BI205-$BH205)/12)))-$BF205)/$BG205)^2*SIN(($BH205+6*($BI205-$BH205)/12))^2</f>
        <v/>
      </c>
      <c r="BQ205">
        <f>((cc_D/2*(1-COS(($BH205+7*($BI205-$BH205)/12)))-$BF205)/$BG205)^2*SIN(($BH205+7*($BI205-$BH205)/12))^2</f>
        <v/>
      </c>
      <c r="BR205">
        <f>((cc_D/2*(1-COS(($BH205+8*($BI205-$BH205)/12)))-$BF205)/$BG205)^2*SIN(($BH205+8*($BI205-$BH205)/12))^2</f>
        <v/>
      </c>
      <c r="BS205">
        <f>((cc_D/2*(1-COS(($BH205+9*($BI205-$BH205)/12)))-$BF205)/$BG205)^2*SIN(($BH205+9*($BI205-$BH205)/12))^2</f>
        <v/>
      </c>
      <c r="BT205">
        <f>((cc_D/2*(1-COS(($BH205+10*($BI205-$BH205)/12)))-$BF205)/$BG205)^2*SIN(($BH205+10*($BI205-$BH205)/12))^2</f>
        <v/>
      </c>
      <c r="BU205">
        <f>((cc_D/2*(1-COS(($BH205+11*($BI205-$BH205)/12)))-$BF205)/$BG205)^2*SIN(($BH205+11*($BI205-$BH205)/12))^2</f>
        <v/>
      </c>
      <c r="BV205">
        <f>((cc_D/2*(1-COS(($BH205+12*($BI205-$BH205)/12)))-$BF205)/$BG205)^2*SIN(($BH205+12*($BI205-$BH205)/12))^2</f>
        <v/>
      </c>
      <c r="BW205">
        <f>BJ205*COS(($BH205+0*($BI205-$BH205)/12))</f>
        <v/>
      </c>
      <c r="BX205">
        <f>BK205*COS(($BH205+1*($BI205-$BH205)/12))</f>
        <v/>
      </c>
      <c r="BY205">
        <f>BL205*COS(($BH205+2*($BI205-$BH205)/12))</f>
        <v/>
      </c>
      <c r="BZ205">
        <f>BM205*COS(($BH205+3*($BI205-$BH205)/12))</f>
        <v/>
      </c>
      <c r="CA205">
        <f>BN205*COS(($BH205+4*($BI205-$BH205)/12))</f>
        <v/>
      </c>
      <c r="CB205">
        <f>BO205*COS(($BH205+5*($BI205-$BH205)/12))</f>
        <v/>
      </c>
      <c r="CC205">
        <f>BP205*COS(($BH205+6*($BI205-$BH205)/12))</f>
        <v/>
      </c>
      <c r="CD205">
        <f>BQ205*COS(($BH205+7*($BI205-$BH205)/12))</f>
        <v/>
      </c>
      <c r="CE205">
        <f>BR205*COS(($BH205+8*($BI205-$BH205)/12))</f>
        <v/>
      </c>
      <c r="CF205">
        <f>BS205*COS(($BH205+9*($BI205-$BH205)/12))</f>
        <v/>
      </c>
      <c r="CG205">
        <f>BT205*COS(($BH205+10*($BI205-$BH205)/12))</f>
        <v/>
      </c>
      <c r="CH205">
        <f>BU205*COS(($BH205+11*($BI205-$BH205)/12))</f>
        <v/>
      </c>
      <c r="CI205">
        <f>BV205*COS(($BH205+12*($BI205-$BH205)/12))</f>
        <v/>
      </c>
    </row>
    <row r="206">
      <c r="B206" s="65" t="n">
        <v>54</v>
      </c>
      <c r="C206" s="66">
        <f>IF($G205&lt;cc_NEd-1E-9*ABS(cc_NEd),($C205+$D205)/2,$C205)</f>
        <v/>
      </c>
      <c r="D206" s="66">
        <f>IF($G205&lt;cc_NEd-1E-9*ABS(cc_NEd),$D205,($C205+$D205)/2)</f>
        <v/>
      </c>
      <c r="E206" s="67">
        <f>cc_D*(($C206+$D206)/2)/(1-(($C206+$D206)/2))</f>
        <v/>
      </c>
      <c r="F206" s="68">
        <f>IF($E206&lt;=cc_D,3.5,2*$E206/($E206-3*cc_D/7))</f>
        <v/>
      </c>
      <c r="G206" s="67">
        <f>(fcd_cc*((cc_D/2)^2*($BI206-COS($BI206)*SIN($BI206))-2*(cc_D/2)^2*($BI206-$BH206)/12/3*SUMPRODUCT($BJ$4:$BV$4,$BJ206:$BV206))+SUMPRODUCT($J$5:$AG$5,$J206:$AG206))/1000</f>
        <v/>
      </c>
      <c r="H206" s="67">
        <f>(fcd_cc*(2/3*(cc_D/2)^3*SIN($BI206)^3-2*(cc_D/2)^3*($BI206-$BH206)/12/3*SUMPRODUCT($BW$4:$CI$4,$BW206:$CI206))+SUMPRODUCT($J$5:$AG$5,$J206:$AG206,$J$10:$AG$10))/1E6</f>
        <v/>
      </c>
      <c r="I206" s="67">
        <f>SUMPRODUCT($J$5:$AG$5,$J206:$AG206,$J$11:$AG$11)/1E6</f>
        <v/>
      </c>
      <c r="J206">
        <f>MAX(-fyd_cc,MIN(fyd_cc,Es_cc*IF($E206&lt;=cc_D,0.0035*($E206-J$9)/$E206,0.002*($E206-J$9)/($E206-3*cc_D/7))))-fcd_cc*(1-(1-MAX(0,MIN(1,IF($E206&lt;=cc_D,0.0035*($E206-J$9)/$E206,0.002*($E206-J$9)/($E206-3*cc_D/7))/0.002)))^2)</f>
        <v/>
      </c>
      <c r="K206">
        <f>MAX(-fyd_cc,MIN(fyd_cc,Es_cc*IF($E206&lt;=cc_D,0.0035*($E206-K$9)/$E206,0.002*($E206-K$9)/($E206-3*cc_D/7))))-fcd_cc*(1-(1-MAX(0,MIN(1,IF($E206&lt;=cc_D,0.0035*($E206-K$9)/$E206,0.002*($E206-K$9)/($E206-3*cc_D/7))/0.002)))^2)</f>
        <v/>
      </c>
      <c r="L206">
        <f>MAX(-fyd_cc,MIN(fyd_cc,Es_cc*IF($E206&lt;=cc_D,0.0035*($E206-L$9)/$E206,0.002*($E206-L$9)/($E206-3*cc_D/7))))-fcd_cc*(1-(1-MAX(0,MIN(1,IF($E206&lt;=cc_D,0.0035*($E206-L$9)/$E206,0.002*($E206-L$9)/($E206-3*cc_D/7))/0.002)))^2)</f>
        <v/>
      </c>
      <c r="M206">
        <f>MAX(-fyd_cc,MIN(fyd_cc,Es_cc*IF($E206&lt;=cc_D,0.0035*($E206-M$9)/$E206,0.002*($E206-M$9)/($E206-3*cc_D/7))))-fcd_cc*(1-(1-MAX(0,MIN(1,IF($E206&lt;=cc_D,0.0035*($E206-M$9)/$E206,0.002*($E206-M$9)/($E206-3*cc_D/7))/0.002)))^2)</f>
        <v/>
      </c>
      <c r="N206">
        <f>MAX(-fyd_cc,MIN(fyd_cc,Es_cc*IF($E206&lt;=cc_D,0.0035*($E206-N$9)/$E206,0.002*($E206-N$9)/($E206-3*cc_D/7))))-fcd_cc*(1-(1-MAX(0,MIN(1,IF($E206&lt;=cc_D,0.0035*($E206-N$9)/$E206,0.002*($E206-N$9)/($E206-3*cc_D/7))/0.002)))^2)</f>
        <v/>
      </c>
      <c r="O206">
        <f>MAX(-fyd_cc,MIN(fyd_cc,Es_cc*IF($E206&lt;=cc_D,0.0035*($E206-O$9)/$E206,0.002*($E206-O$9)/($E206-3*cc_D/7))))-fcd_cc*(1-(1-MAX(0,MIN(1,IF($E206&lt;=cc_D,0.0035*($E206-O$9)/$E206,0.002*($E206-O$9)/($E206-3*cc_D/7))/0.002)))^2)</f>
        <v/>
      </c>
      <c r="P206">
        <f>MAX(-fyd_cc,MIN(fyd_cc,Es_cc*IF($E206&lt;=cc_D,0.0035*($E206-P$9)/$E206,0.002*($E206-P$9)/($E206-3*cc_D/7))))-fcd_cc*(1-(1-MAX(0,MIN(1,IF($E206&lt;=cc_D,0.0035*($E206-P$9)/$E206,0.002*($E206-P$9)/($E206-3*cc_D/7))/0.002)))^2)</f>
        <v/>
      </c>
      <c r="Q206">
        <f>MAX(-fyd_cc,MIN(fyd_cc,Es_cc*IF($E206&lt;=cc_D,0.0035*($E206-Q$9)/$E206,0.002*($E206-Q$9)/($E206-3*cc_D/7))))-fcd_cc*(1-(1-MAX(0,MIN(1,IF($E206&lt;=cc_D,0.0035*($E206-Q$9)/$E206,0.002*($E206-Q$9)/($E206-3*cc_D/7))/0.002)))^2)</f>
        <v/>
      </c>
      <c r="R206">
        <f>MAX(-fyd_cc,MIN(fyd_cc,Es_cc*IF($E206&lt;=cc_D,0.0035*($E206-R$9)/$E206,0.002*($E206-R$9)/($E206-3*cc_D/7))))-fcd_cc*(1-(1-MAX(0,MIN(1,IF($E206&lt;=cc_D,0.0035*($E206-R$9)/$E206,0.002*($E206-R$9)/($E206-3*cc_D/7))/0.002)))^2)</f>
        <v/>
      </c>
      <c r="S206">
        <f>MAX(-fyd_cc,MIN(fyd_cc,Es_cc*IF($E206&lt;=cc_D,0.0035*($E206-S$9)/$E206,0.002*($E206-S$9)/($E206-3*cc_D/7))))-fcd_cc*(1-(1-MAX(0,MIN(1,IF($E206&lt;=cc_D,0.0035*($E206-S$9)/$E206,0.002*($E206-S$9)/($E206-3*cc_D/7))/0.002)))^2)</f>
        <v/>
      </c>
      <c r="T206">
        <f>MAX(-fyd_cc,MIN(fyd_cc,Es_cc*IF($E206&lt;=cc_D,0.0035*($E206-T$9)/$E206,0.002*($E206-T$9)/($E206-3*cc_D/7))))-fcd_cc*(1-(1-MAX(0,MIN(1,IF($E206&lt;=cc_D,0.0035*($E206-T$9)/$E206,0.002*($E206-T$9)/($E206-3*cc_D/7))/0.002)))^2)</f>
        <v/>
      </c>
      <c r="U206">
        <f>MAX(-fyd_cc,MIN(fyd_cc,Es_cc*IF($E206&lt;=cc_D,0.0035*($E206-U$9)/$E206,0.002*($E206-U$9)/($E206-3*cc_D/7))))-fcd_cc*(1-(1-MAX(0,MIN(1,IF($E206&lt;=cc_D,0.0035*($E206-U$9)/$E206,0.002*($E206-U$9)/($E206-3*cc_D/7))/0.002)))^2)</f>
        <v/>
      </c>
      <c r="V206">
        <f>MAX(-fyd_cc,MIN(fyd_cc,Es_cc*IF($E206&lt;=cc_D,0.0035*($E206-V$9)/$E206,0.002*($E206-V$9)/($E206-3*cc_D/7))))-fcd_cc*(1-(1-MAX(0,MIN(1,IF($E206&lt;=cc_D,0.0035*($E206-V$9)/$E206,0.002*($E206-V$9)/($E206-3*cc_D/7))/0.002)))^2)</f>
        <v/>
      </c>
      <c r="W206">
        <f>MAX(-fyd_cc,MIN(fyd_cc,Es_cc*IF($E206&lt;=cc_D,0.0035*($E206-W$9)/$E206,0.002*($E206-W$9)/($E206-3*cc_D/7))))-fcd_cc*(1-(1-MAX(0,MIN(1,IF($E206&lt;=cc_D,0.0035*($E206-W$9)/$E206,0.002*($E206-W$9)/($E206-3*cc_D/7))/0.002)))^2)</f>
        <v/>
      </c>
      <c r="X206">
        <f>MAX(-fyd_cc,MIN(fyd_cc,Es_cc*IF($E206&lt;=cc_D,0.0035*($E206-X$9)/$E206,0.002*($E206-X$9)/($E206-3*cc_D/7))))-fcd_cc*(1-(1-MAX(0,MIN(1,IF($E206&lt;=cc_D,0.0035*($E206-X$9)/$E206,0.002*($E206-X$9)/($E206-3*cc_D/7))/0.002)))^2)</f>
        <v/>
      </c>
      <c r="Y206">
        <f>MAX(-fyd_cc,MIN(fyd_cc,Es_cc*IF($E206&lt;=cc_D,0.0035*($E206-Y$9)/$E206,0.002*($E206-Y$9)/($E206-3*cc_D/7))))-fcd_cc*(1-(1-MAX(0,MIN(1,IF($E206&lt;=cc_D,0.0035*($E206-Y$9)/$E206,0.002*($E206-Y$9)/($E206-3*cc_D/7))/0.002)))^2)</f>
        <v/>
      </c>
      <c r="Z206">
        <f>MAX(-fyd_cc,MIN(fyd_cc,Es_cc*IF($E206&lt;=cc_D,0.0035*($E206-Z$9)/$E206,0.002*($E206-Z$9)/($E206-3*cc_D/7))))-fcd_cc*(1-(1-MAX(0,MIN(1,IF($E206&lt;=cc_D,0.0035*($E206-Z$9)/$E206,0.002*($E206-Z$9)/($E206-3*cc_D/7))/0.002)))^2)</f>
        <v/>
      </c>
      <c r="AA206">
        <f>MAX(-fyd_cc,MIN(fyd_cc,Es_cc*IF($E206&lt;=cc_D,0.0035*($E206-AA$9)/$E206,0.002*($E206-AA$9)/($E206-3*cc_D/7))))-fcd_cc*(1-(1-MAX(0,MIN(1,IF($E206&lt;=cc_D,0.0035*($E206-AA$9)/$E206,0.002*($E206-AA$9)/($E206-3*cc_D/7))/0.002)))^2)</f>
        <v/>
      </c>
      <c r="AB206">
        <f>MAX(-fyd_cc,MIN(fyd_cc,Es_cc*IF($E206&lt;=cc_D,0.0035*($E206-AB$9)/$E206,0.002*($E206-AB$9)/($E206-3*cc_D/7))))-fcd_cc*(1-(1-MAX(0,MIN(1,IF($E206&lt;=cc_D,0.0035*($E206-AB$9)/$E206,0.002*($E206-AB$9)/($E206-3*cc_D/7))/0.002)))^2)</f>
        <v/>
      </c>
      <c r="AC206">
        <f>MAX(-fyd_cc,MIN(fyd_cc,Es_cc*IF($E206&lt;=cc_D,0.0035*($E206-AC$9)/$E206,0.002*($E206-AC$9)/($E206-3*cc_D/7))))-fcd_cc*(1-(1-MAX(0,MIN(1,IF($E206&lt;=cc_D,0.0035*($E206-AC$9)/$E206,0.002*($E206-AC$9)/($E206-3*cc_D/7))/0.002)))^2)</f>
        <v/>
      </c>
      <c r="AD206">
        <f>MAX(-fyd_cc,MIN(fyd_cc,Es_cc*IF($E206&lt;=cc_D,0.0035*($E206-AD$9)/$E206,0.002*($E206-AD$9)/($E206-3*cc_D/7))))-fcd_cc*(1-(1-MAX(0,MIN(1,IF($E206&lt;=cc_D,0.0035*($E206-AD$9)/$E206,0.002*($E206-AD$9)/($E206-3*cc_D/7))/0.002)))^2)</f>
        <v/>
      </c>
      <c r="AE206">
        <f>MAX(-fyd_cc,MIN(fyd_cc,Es_cc*IF($E206&lt;=cc_D,0.0035*($E206-AE$9)/$E206,0.002*($E206-AE$9)/($E206-3*cc_D/7))))-fcd_cc*(1-(1-MAX(0,MIN(1,IF($E206&lt;=cc_D,0.0035*($E206-AE$9)/$E206,0.002*($E206-AE$9)/($E206-3*cc_D/7))/0.002)))^2)</f>
        <v/>
      </c>
      <c r="AF206">
        <f>MAX(-fyd_cc,MIN(fyd_cc,Es_cc*IF($E206&lt;=cc_D,0.0035*($E206-AF$9)/$E206,0.002*($E206-AF$9)/($E206-3*cc_D/7))))-fcd_cc*(1-(1-MAX(0,MIN(1,IF($E206&lt;=cc_D,0.0035*($E206-AF$9)/$E206,0.002*($E206-AF$9)/($E206-3*cc_D/7))/0.002)))^2)</f>
        <v/>
      </c>
      <c r="AG206">
        <f>MAX(-fyd_cc,MIN(fyd_cc,Es_cc*IF($E206&lt;=cc_D,0.0035*($E206-AG$9)/$E206,0.002*($E206-AG$9)/($E206-3*cc_D/7))))-fcd_cc*(1-(1-MAX(0,MIN(1,IF($E206&lt;=cc_D,0.0035*($E206-AG$9)/$E206,0.002*($E206-AG$9)/($E206-3*cc_D/7))/0.002)))^2)</f>
        <v/>
      </c>
      <c r="BF206">
        <f>3*MIN($E206,cc_D)/7</f>
        <v/>
      </c>
      <c r="BG206">
        <f>$E206-$BF206</f>
        <v/>
      </c>
      <c r="BH206">
        <f>ACOS(MAX(-1,MIN(1,1-$BF206/(cc_D/2))))</f>
        <v/>
      </c>
      <c r="BI206">
        <f>ACOS(MAX(-1,MIN(1,1-MIN($E206,cc_D)/(cc_D/2))))</f>
        <v/>
      </c>
      <c r="BJ206">
        <f>((cc_D/2*(1-COS(($BH206+0*($BI206-$BH206)/12)))-$BF206)/$BG206)^2*SIN(($BH206+0*($BI206-$BH206)/12))^2</f>
        <v/>
      </c>
      <c r="BK206">
        <f>((cc_D/2*(1-COS(($BH206+1*($BI206-$BH206)/12)))-$BF206)/$BG206)^2*SIN(($BH206+1*($BI206-$BH206)/12))^2</f>
        <v/>
      </c>
      <c r="BL206">
        <f>((cc_D/2*(1-COS(($BH206+2*($BI206-$BH206)/12)))-$BF206)/$BG206)^2*SIN(($BH206+2*($BI206-$BH206)/12))^2</f>
        <v/>
      </c>
      <c r="BM206">
        <f>((cc_D/2*(1-COS(($BH206+3*($BI206-$BH206)/12)))-$BF206)/$BG206)^2*SIN(($BH206+3*($BI206-$BH206)/12))^2</f>
        <v/>
      </c>
      <c r="BN206">
        <f>((cc_D/2*(1-COS(($BH206+4*($BI206-$BH206)/12)))-$BF206)/$BG206)^2*SIN(($BH206+4*($BI206-$BH206)/12))^2</f>
        <v/>
      </c>
      <c r="BO206">
        <f>((cc_D/2*(1-COS(($BH206+5*($BI206-$BH206)/12)))-$BF206)/$BG206)^2*SIN(($BH206+5*($BI206-$BH206)/12))^2</f>
        <v/>
      </c>
      <c r="BP206">
        <f>((cc_D/2*(1-COS(($BH206+6*($BI206-$BH206)/12)))-$BF206)/$BG206)^2*SIN(($BH206+6*($BI206-$BH206)/12))^2</f>
        <v/>
      </c>
      <c r="BQ206">
        <f>((cc_D/2*(1-COS(($BH206+7*($BI206-$BH206)/12)))-$BF206)/$BG206)^2*SIN(($BH206+7*($BI206-$BH206)/12))^2</f>
        <v/>
      </c>
      <c r="BR206">
        <f>((cc_D/2*(1-COS(($BH206+8*($BI206-$BH206)/12)))-$BF206)/$BG206)^2*SIN(($BH206+8*($BI206-$BH206)/12))^2</f>
        <v/>
      </c>
      <c r="BS206">
        <f>((cc_D/2*(1-COS(($BH206+9*($BI206-$BH206)/12)))-$BF206)/$BG206)^2*SIN(($BH206+9*($BI206-$BH206)/12))^2</f>
        <v/>
      </c>
      <c r="BT206">
        <f>((cc_D/2*(1-COS(($BH206+10*($BI206-$BH206)/12)))-$BF206)/$BG206)^2*SIN(($BH206+10*($BI206-$BH206)/12))^2</f>
        <v/>
      </c>
      <c r="BU206">
        <f>((cc_D/2*(1-COS(($BH206+11*($BI206-$BH206)/12)))-$BF206)/$BG206)^2*SIN(($BH206+11*($BI206-$BH206)/12))^2</f>
        <v/>
      </c>
      <c r="BV206">
        <f>((cc_D/2*(1-COS(($BH206+12*($BI206-$BH206)/12)))-$BF206)/$BG206)^2*SIN(($BH206+12*($BI206-$BH206)/12))^2</f>
        <v/>
      </c>
      <c r="BW206">
        <f>BJ206*COS(($BH206+0*($BI206-$BH206)/12))</f>
        <v/>
      </c>
      <c r="BX206">
        <f>BK206*COS(($BH206+1*($BI206-$BH206)/12))</f>
        <v/>
      </c>
      <c r="BY206">
        <f>BL206*COS(($BH206+2*($BI206-$BH206)/12))</f>
        <v/>
      </c>
      <c r="BZ206">
        <f>BM206*COS(($BH206+3*($BI206-$BH206)/12))</f>
        <v/>
      </c>
      <c r="CA206">
        <f>BN206*COS(($BH206+4*($BI206-$BH206)/12))</f>
        <v/>
      </c>
      <c r="CB206">
        <f>BO206*COS(($BH206+5*($BI206-$BH206)/12))</f>
        <v/>
      </c>
      <c r="CC206">
        <f>BP206*COS(($BH206+6*($BI206-$BH206)/12))</f>
        <v/>
      </c>
      <c r="CD206">
        <f>BQ206*COS(($BH206+7*($BI206-$BH206)/12))</f>
        <v/>
      </c>
      <c r="CE206">
        <f>BR206*COS(($BH206+8*($BI206-$BH206)/12))</f>
        <v/>
      </c>
      <c r="CF206">
        <f>BS206*COS(($BH206+9*($BI206-$BH206)/12))</f>
        <v/>
      </c>
      <c r="CG206">
        <f>BT206*COS(($BH206+10*($BI206-$BH206)/12))</f>
        <v/>
      </c>
      <c r="CH206">
        <f>BU206*COS(($BH206+11*($BI206-$BH206)/12))</f>
        <v/>
      </c>
      <c r="CI206">
        <f>BV206*COS(($BH206+12*($BI206-$BH206)/12))</f>
        <v/>
      </c>
    </row>
    <row r="207">
      <c r="B207" s="65" t="n">
        <v>55</v>
      </c>
      <c r="C207" s="66">
        <f>IF($G206&lt;cc_NEd-1E-9*ABS(cc_NEd),($C206+$D206)/2,$C206)</f>
        <v/>
      </c>
      <c r="D207" s="66">
        <f>IF($G206&lt;cc_NEd-1E-9*ABS(cc_NEd),$D206,($C206+$D206)/2)</f>
        <v/>
      </c>
      <c r="E207" s="67">
        <f>cc_D*(($C207+$D207)/2)/(1-(($C207+$D207)/2))</f>
        <v/>
      </c>
      <c r="F207" s="68">
        <f>IF($E207&lt;=cc_D,3.5,2*$E207/($E207-3*cc_D/7))</f>
        <v/>
      </c>
      <c r="G207" s="67">
        <f>(fcd_cc*((cc_D/2)^2*($BI207-COS($BI207)*SIN($BI207))-2*(cc_D/2)^2*($BI207-$BH207)/12/3*SUMPRODUCT($BJ$4:$BV$4,$BJ207:$BV207))+SUMPRODUCT($J$5:$AG$5,$J207:$AG207))/1000</f>
        <v/>
      </c>
      <c r="H207" s="67">
        <f>(fcd_cc*(2/3*(cc_D/2)^3*SIN($BI207)^3-2*(cc_D/2)^3*($BI207-$BH207)/12/3*SUMPRODUCT($BW$4:$CI$4,$BW207:$CI207))+SUMPRODUCT($J$5:$AG$5,$J207:$AG207,$J$10:$AG$10))/1E6</f>
        <v/>
      </c>
      <c r="I207" s="67">
        <f>SUMPRODUCT($J$5:$AG$5,$J207:$AG207,$J$11:$AG$11)/1E6</f>
        <v/>
      </c>
      <c r="J207">
        <f>MAX(-fyd_cc,MIN(fyd_cc,Es_cc*IF($E207&lt;=cc_D,0.0035*($E207-J$9)/$E207,0.002*($E207-J$9)/($E207-3*cc_D/7))))-fcd_cc*(1-(1-MAX(0,MIN(1,IF($E207&lt;=cc_D,0.0035*($E207-J$9)/$E207,0.002*($E207-J$9)/($E207-3*cc_D/7))/0.002)))^2)</f>
        <v/>
      </c>
      <c r="K207">
        <f>MAX(-fyd_cc,MIN(fyd_cc,Es_cc*IF($E207&lt;=cc_D,0.0035*($E207-K$9)/$E207,0.002*($E207-K$9)/($E207-3*cc_D/7))))-fcd_cc*(1-(1-MAX(0,MIN(1,IF($E207&lt;=cc_D,0.0035*($E207-K$9)/$E207,0.002*($E207-K$9)/($E207-3*cc_D/7))/0.002)))^2)</f>
        <v/>
      </c>
      <c r="L207">
        <f>MAX(-fyd_cc,MIN(fyd_cc,Es_cc*IF($E207&lt;=cc_D,0.0035*($E207-L$9)/$E207,0.002*($E207-L$9)/($E207-3*cc_D/7))))-fcd_cc*(1-(1-MAX(0,MIN(1,IF($E207&lt;=cc_D,0.0035*($E207-L$9)/$E207,0.002*($E207-L$9)/($E207-3*cc_D/7))/0.002)))^2)</f>
        <v/>
      </c>
      <c r="M207">
        <f>MAX(-fyd_cc,MIN(fyd_cc,Es_cc*IF($E207&lt;=cc_D,0.0035*($E207-M$9)/$E207,0.002*($E207-M$9)/($E207-3*cc_D/7))))-fcd_cc*(1-(1-MAX(0,MIN(1,IF($E207&lt;=cc_D,0.0035*($E207-M$9)/$E207,0.002*($E207-M$9)/($E207-3*cc_D/7))/0.002)))^2)</f>
        <v/>
      </c>
      <c r="N207">
        <f>MAX(-fyd_cc,MIN(fyd_cc,Es_cc*IF($E207&lt;=cc_D,0.0035*($E207-N$9)/$E207,0.002*($E207-N$9)/($E207-3*cc_D/7))))-fcd_cc*(1-(1-MAX(0,MIN(1,IF($E207&lt;=cc_D,0.0035*($E207-N$9)/$E207,0.002*($E207-N$9)/($E207-3*cc_D/7))/0.002)))^2)</f>
        <v/>
      </c>
      <c r="O207">
        <f>MAX(-fyd_cc,MIN(fyd_cc,Es_cc*IF($E207&lt;=cc_D,0.0035*($E207-O$9)/$E207,0.002*($E207-O$9)/($E207-3*cc_D/7))))-fcd_cc*(1-(1-MAX(0,MIN(1,IF($E207&lt;=cc_D,0.0035*($E207-O$9)/$E207,0.002*($E207-O$9)/($E207-3*cc_D/7))/0.002)))^2)</f>
        <v/>
      </c>
      <c r="P207">
        <f>MAX(-fyd_cc,MIN(fyd_cc,Es_cc*IF($E207&lt;=cc_D,0.0035*($E207-P$9)/$E207,0.002*($E207-P$9)/($E207-3*cc_D/7))))-fcd_cc*(1-(1-MAX(0,MIN(1,IF($E207&lt;=cc_D,0.0035*($E207-P$9)/$E207,0.002*($E207-P$9)/($E207-3*cc_D/7))/0.002)))^2)</f>
        <v/>
      </c>
      <c r="Q207">
        <f>MAX(-fyd_cc,MIN(fyd_cc,Es_cc*IF($E207&lt;=cc_D,0.0035*($E207-Q$9)/$E207,0.002*($E207-Q$9)/($E207-3*cc_D/7))))-fcd_cc*(1-(1-MAX(0,MIN(1,IF($E207&lt;=cc_D,0.0035*($E207-Q$9)/$E207,0.002*($E207-Q$9)/($E207-3*cc_D/7))/0.002)))^2)</f>
        <v/>
      </c>
      <c r="R207">
        <f>MAX(-fyd_cc,MIN(fyd_cc,Es_cc*IF($E207&lt;=cc_D,0.0035*($E207-R$9)/$E207,0.002*($E207-R$9)/($E207-3*cc_D/7))))-fcd_cc*(1-(1-MAX(0,MIN(1,IF($E207&lt;=cc_D,0.0035*($E207-R$9)/$E207,0.002*($E207-R$9)/($E207-3*cc_D/7))/0.002)))^2)</f>
        <v/>
      </c>
      <c r="S207">
        <f>MAX(-fyd_cc,MIN(fyd_cc,Es_cc*IF($E207&lt;=cc_D,0.0035*($E207-S$9)/$E207,0.002*($E207-S$9)/($E207-3*cc_D/7))))-fcd_cc*(1-(1-MAX(0,MIN(1,IF($E207&lt;=cc_D,0.0035*($E207-S$9)/$E207,0.002*($E207-S$9)/($E207-3*cc_D/7))/0.002)))^2)</f>
        <v/>
      </c>
      <c r="T207">
        <f>MAX(-fyd_cc,MIN(fyd_cc,Es_cc*IF($E207&lt;=cc_D,0.0035*($E207-T$9)/$E207,0.002*($E207-T$9)/($E207-3*cc_D/7))))-fcd_cc*(1-(1-MAX(0,MIN(1,IF($E207&lt;=cc_D,0.0035*($E207-T$9)/$E207,0.002*($E207-T$9)/($E207-3*cc_D/7))/0.002)))^2)</f>
        <v/>
      </c>
      <c r="U207">
        <f>MAX(-fyd_cc,MIN(fyd_cc,Es_cc*IF($E207&lt;=cc_D,0.0035*($E207-U$9)/$E207,0.002*($E207-U$9)/($E207-3*cc_D/7))))-fcd_cc*(1-(1-MAX(0,MIN(1,IF($E207&lt;=cc_D,0.0035*($E207-U$9)/$E207,0.002*($E207-U$9)/($E207-3*cc_D/7))/0.002)))^2)</f>
        <v/>
      </c>
      <c r="V207">
        <f>MAX(-fyd_cc,MIN(fyd_cc,Es_cc*IF($E207&lt;=cc_D,0.0035*($E207-V$9)/$E207,0.002*($E207-V$9)/($E207-3*cc_D/7))))-fcd_cc*(1-(1-MAX(0,MIN(1,IF($E207&lt;=cc_D,0.0035*($E207-V$9)/$E207,0.002*($E207-V$9)/($E207-3*cc_D/7))/0.002)))^2)</f>
        <v/>
      </c>
      <c r="W207">
        <f>MAX(-fyd_cc,MIN(fyd_cc,Es_cc*IF($E207&lt;=cc_D,0.0035*($E207-W$9)/$E207,0.002*($E207-W$9)/($E207-3*cc_D/7))))-fcd_cc*(1-(1-MAX(0,MIN(1,IF($E207&lt;=cc_D,0.0035*($E207-W$9)/$E207,0.002*($E207-W$9)/($E207-3*cc_D/7))/0.002)))^2)</f>
        <v/>
      </c>
      <c r="X207">
        <f>MAX(-fyd_cc,MIN(fyd_cc,Es_cc*IF($E207&lt;=cc_D,0.0035*($E207-X$9)/$E207,0.002*($E207-X$9)/($E207-3*cc_D/7))))-fcd_cc*(1-(1-MAX(0,MIN(1,IF($E207&lt;=cc_D,0.0035*($E207-X$9)/$E207,0.002*($E207-X$9)/($E207-3*cc_D/7))/0.002)))^2)</f>
        <v/>
      </c>
      <c r="Y207">
        <f>MAX(-fyd_cc,MIN(fyd_cc,Es_cc*IF($E207&lt;=cc_D,0.0035*($E207-Y$9)/$E207,0.002*($E207-Y$9)/($E207-3*cc_D/7))))-fcd_cc*(1-(1-MAX(0,MIN(1,IF($E207&lt;=cc_D,0.0035*($E207-Y$9)/$E207,0.002*($E207-Y$9)/($E207-3*cc_D/7))/0.002)))^2)</f>
        <v/>
      </c>
      <c r="Z207">
        <f>MAX(-fyd_cc,MIN(fyd_cc,Es_cc*IF($E207&lt;=cc_D,0.0035*($E207-Z$9)/$E207,0.002*($E207-Z$9)/($E207-3*cc_D/7))))-fcd_cc*(1-(1-MAX(0,MIN(1,IF($E207&lt;=cc_D,0.0035*($E207-Z$9)/$E207,0.002*($E207-Z$9)/($E207-3*cc_D/7))/0.002)))^2)</f>
        <v/>
      </c>
      <c r="AA207">
        <f>MAX(-fyd_cc,MIN(fyd_cc,Es_cc*IF($E207&lt;=cc_D,0.0035*($E207-AA$9)/$E207,0.002*($E207-AA$9)/($E207-3*cc_D/7))))-fcd_cc*(1-(1-MAX(0,MIN(1,IF($E207&lt;=cc_D,0.0035*($E207-AA$9)/$E207,0.002*($E207-AA$9)/($E207-3*cc_D/7))/0.002)))^2)</f>
        <v/>
      </c>
      <c r="AB207">
        <f>MAX(-fyd_cc,MIN(fyd_cc,Es_cc*IF($E207&lt;=cc_D,0.0035*($E207-AB$9)/$E207,0.002*($E207-AB$9)/($E207-3*cc_D/7))))-fcd_cc*(1-(1-MAX(0,MIN(1,IF($E207&lt;=cc_D,0.0035*($E207-AB$9)/$E207,0.002*($E207-AB$9)/($E207-3*cc_D/7))/0.002)))^2)</f>
        <v/>
      </c>
      <c r="AC207">
        <f>MAX(-fyd_cc,MIN(fyd_cc,Es_cc*IF($E207&lt;=cc_D,0.0035*($E207-AC$9)/$E207,0.002*($E207-AC$9)/($E207-3*cc_D/7))))-fcd_cc*(1-(1-MAX(0,MIN(1,IF($E207&lt;=cc_D,0.0035*($E207-AC$9)/$E207,0.002*($E207-AC$9)/($E207-3*cc_D/7))/0.002)))^2)</f>
        <v/>
      </c>
      <c r="AD207">
        <f>MAX(-fyd_cc,MIN(fyd_cc,Es_cc*IF($E207&lt;=cc_D,0.0035*($E207-AD$9)/$E207,0.002*($E207-AD$9)/($E207-3*cc_D/7))))-fcd_cc*(1-(1-MAX(0,MIN(1,IF($E207&lt;=cc_D,0.0035*($E207-AD$9)/$E207,0.002*($E207-AD$9)/($E207-3*cc_D/7))/0.002)))^2)</f>
        <v/>
      </c>
      <c r="AE207">
        <f>MAX(-fyd_cc,MIN(fyd_cc,Es_cc*IF($E207&lt;=cc_D,0.0035*($E207-AE$9)/$E207,0.002*($E207-AE$9)/($E207-3*cc_D/7))))-fcd_cc*(1-(1-MAX(0,MIN(1,IF($E207&lt;=cc_D,0.0035*($E207-AE$9)/$E207,0.002*($E207-AE$9)/($E207-3*cc_D/7))/0.002)))^2)</f>
        <v/>
      </c>
      <c r="AF207">
        <f>MAX(-fyd_cc,MIN(fyd_cc,Es_cc*IF($E207&lt;=cc_D,0.0035*($E207-AF$9)/$E207,0.002*($E207-AF$9)/($E207-3*cc_D/7))))-fcd_cc*(1-(1-MAX(0,MIN(1,IF($E207&lt;=cc_D,0.0035*($E207-AF$9)/$E207,0.002*($E207-AF$9)/($E207-3*cc_D/7))/0.002)))^2)</f>
        <v/>
      </c>
      <c r="AG207">
        <f>MAX(-fyd_cc,MIN(fyd_cc,Es_cc*IF($E207&lt;=cc_D,0.0035*($E207-AG$9)/$E207,0.002*($E207-AG$9)/($E207-3*cc_D/7))))-fcd_cc*(1-(1-MAX(0,MIN(1,IF($E207&lt;=cc_D,0.0035*($E207-AG$9)/$E207,0.002*($E207-AG$9)/($E207-3*cc_D/7))/0.002)))^2)</f>
        <v/>
      </c>
      <c r="BF207">
        <f>3*MIN($E207,cc_D)/7</f>
        <v/>
      </c>
      <c r="BG207">
        <f>$E207-$BF207</f>
        <v/>
      </c>
      <c r="BH207">
        <f>ACOS(MAX(-1,MIN(1,1-$BF207/(cc_D/2))))</f>
        <v/>
      </c>
      <c r="BI207">
        <f>ACOS(MAX(-1,MIN(1,1-MIN($E207,cc_D)/(cc_D/2))))</f>
        <v/>
      </c>
      <c r="BJ207">
        <f>((cc_D/2*(1-COS(($BH207+0*($BI207-$BH207)/12)))-$BF207)/$BG207)^2*SIN(($BH207+0*($BI207-$BH207)/12))^2</f>
        <v/>
      </c>
      <c r="BK207">
        <f>((cc_D/2*(1-COS(($BH207+1*($BI207-$BH207)/12)))-$BF207)/$BG207)^2*SIN(($BH207+1*($BI207-$BH207)/12))^2</f>
        <v/>
      </c>
      <c r="BL207">
        <f>((cc_D/2*(1-COS(($BH207+2*($BI207-$BH207)/12)))-$BF207)/$BG207)^2*SIN(($BH207+2*($BI207-$BH207)/12))^2</f>
        <v/>
      </c>
      <c r="BM207">
        <f>((cc_D/2*(1-COS(($BH207+3*($BI207-$BH207)/12)))-$BF207)/$BG207)^2*SIN(($BH207+3*($BI207-$BH207)/12))^2</f>
        <v/>
      </c>
      <c r="BN207">
        <f>((cc_D/2*(1-COS(($BH207+4*($BI207-$BH207)/12)))-$BF207)/$BG207)^2*SIN(($BH207+4*($BI207-$BH207)/12))^2</f>
        <v/>
      </c>
      <c r="BO207">
        <f>((cc_D/2*(1-COS(($BH207+5*($BI207-$BH207)/12)))-$BF207)/$BG207)^2*SIN(($BH207+5*($BI207-$BH207)/12))^2</f>
        <v/>
      </c>
      <c r="BP207">
        <f>((cc_D/2*(1-COS(($BH207+6*($BI207-$BH207)/12)))-$BF207)/$BG207)^2*SIN(($BH207+6*($BI207-$BH207)/12))^2</f>
        <v/>
      </c>
      <c r="BQ207">
        <f>((cc_D/2*(1-COS(($BH207+7*($BI207-$BH207)/12)))-$BF207)/$BG207)^2*SIN(($BH207+7*($BI207-$BH207)/12))^2</f>
        <v/>
      </c>
      <c r="BR207">
        <f>((cc_D/2*(1-COS(($BH207+8*($BI207-$BH207)/12)))-$BF207)/$BG207)^2*SIN(($BH207+8*($BI207-$BH207)/12))^2</f>
        <v/>
      </c>
      <c r="BS207">
        <f>((cc_D/2*(1-COS(($BH207+9*($BI207-$BH207)/12)))-$BF207)/$BG207)^2*SIN(($BH207+9*($BI207-$BH207)/12))^2</f>
        <v/>
      </c>
      <c r="BT207">
        <f>((cc_D/2*(1-COS(($BH207+10*($BI207-$BH207)/12)))-$BF207)/$BG207)^2*SIN(($BH207+10*($BI207-$BH207)/12))^2</f>
        <v/>
      </c>
      <c r="BU207">
        <f>((cc_D/2*(1-COS(($BH207+11*($BI207-$BH207)/12)))-$BF207)/$BG207)^2*SIN(($BH207+11*($BI207-$BH207)/12))^2</f>
        <v/>
      </c>
      <c r="BV207">
        <f>((cc_D/2*(1-COS(($BH207+12*($BI207-$BH207)/12)))-$BF207)/$BG207)^2*SIN(($BH207+12*($BI207-$BH207)/12))^2</f>
        <v/>
      </c>
      <c r="BW207">
        <f>BJ207*COS(($BH207+0*($BI207-$BH207)/12))</f>
        <v/>
      </c>
      <c r="BX207">
        <f>BK207*COS(($BH207+1*($BI207-$BH207)/12))</f>
        <v/>
      </c>
      <c r="BY207">
        <f>BL207*COS(($BH207+2*($BI207-$BH207)/12))</f>
        <v/>
      </c>
      <c r="BZ207">
        <f>BM207*COS(($BH207+3*($BI207-$BH207)/12))</f>
        <v/>
      </c>
      <c r="CA207">
        <f>BN207*COS(($BH207+4*($BI207-$BH207)/12))</f>
        <v/>
      </c>
      <c r="CB207">
        <f>BO207*COS(($BH207+5*($BI207-$BH207)/12))</f>
        <v/>
      </c>
      <c r="CC207">
        <f>BP207*COS(($BH207+6*($BI207-$BH207)/12))</f>
        <v/>
      </c>
      <c r="CD207">
        <f>BQ207*COS(($BH207+7*($BI207-$BH207)/12))</f>
        <v/>
      </c>
      <c r="CE207">
        <f>BR207*COS(($BH207+8*($BI207-$BH207)/12))</f>
        <v/>
      </c>
      <c r="CF207">
        <f>BS207*COS(($BH207+9*($BI207-$BH207)/12))</f>
        <v/>
      </c>
      <c r="CG207">
        <f>BT207*COS(($BH207+10*($BI207-$BH207)/12))</f>
        <v/>
      </c>
      <c r="CH207">
        <f>BU207*COS(($BH207+11*($BI207-$BH207)/12))</f>
        <v/>
      </c>
      <c r="CI207">
        <f>BV207*COS(($BH207+12*($BI207-$BH207)/12))</f>
        <v/>
      </c>
    </row>
    <row r="208">
      <c r="B208" s="65" t="n">
        <v>56</v>
      </c>
      <c r="C208" s="66">
        <f>IF($G207&lt;cc_NEd-1E-9*ABS(cc_NEd),($C207+$D207)/2,$C207)</f>
        <v/>
      </c>
      <c r="D208" s="66">
        <f>IF($G207&lt;cc_NEd-1E-9*ABS(cc_NEd),$D207,($C207+$D207)/2)</f>
        <v/>
      </c>
      <c r="E208" s="67">
        <f>cc_D*(($C208+$D208)/2)/(1-(($C208+$D208)/2))</f>
        <v/>
      </c>
      <c r="F208" s="68">
        <f>IF($E208&lt;=cc_D,3.5,2*$E208/($E208-3*cc_D/7))</f>
        <v/>
      </c>
      <c r="G208" s="67">
        <f>(fcd_cc*((cc_D/2)^2*($BI208-COS($BI208)*SIN($BI208))-2*(cc_D/2)^2*($BI208-$BH208)/12/3*SUMPRODUCT($BJ$4:$BV$4,$BJ208:$BV208))+SUMPRODUCT($J$5:$AG$5,$J208:$AG208))/1000</f>
        <v/>
      </c>
      <c r="H208" s="67">
        <f>(fcd_cc*(2/3*(cc_D/2)^3*SIN($BI208)^3-2*(cc_D/2)^3*($BI208-$BH208)/12/3*SUMPRODUCT($BW$4:$CI$4,$BW208:$CI208))+SUMPRODUCT($J$5:$AG$5,$J208:$AG208,$J$10:$AG$10))/1E6</f>
        <v/>
      </c>
      <c r="I208" s="67">
        <f>SUMPRODUCT($J$5:$AG$5,$J208:$AG208,$J$11:$AG$11)/1E6</f>
        <v/>
      </c>
      <c r="J208">
        <f>MAX(-fyd_cc,MIN(fyd_cc,Es_cc*IF($E208&lt;=cc_D,0.0035*($E208-J$9)/$E208,0.002*($E208-J$9)/($E208-3*cc_D/7))))-fcd_cc*(1-(1-MAX(0,MIN(1,IF($E208&lt;=cc_D,0.0035*($E208-J$9)/$E208,0.002*($E208-J$9)/($E208-3*cc_D/7))/0.002)))^2)</f>
        <v/>
      </c>
      <c r="K208">
        <f>MAX(-fyd_cc,MIN(fyd_cc,Es_cc*IF($E208&lt;=cc_D,0.0035*($E208-K$9)/$E208,0.002*($E208-K$9)/($E208-3*cc_D/7))))-fcd_cc*(1-(1-MAX(0,MIN(1,IF($E208&lt;=cc_D,0.0035*($E208-K$9)/$E208,0.002*($E208-K$9)/($E208-3*cc_D/7))/0.002)))^2)</f>
        <v/>
      </c>
      <c r="L208">
        <f>MAX(-fyd_cc,MIN(fyd_cc,Es_cc*IF($E208&lt;=cc_D,0.0035*($E208-L$9)/$E208,0.002*($E208-L$9)/($E208-3*cc_D/7))))-fcd_cc*(1-(1-MAX(0,MIN(1,IF($E208&lt;=cc_D,0.0035*($E208-L$9)/$E208,0.002*($E208-L$9)/($E208-3*cc_D/7))/0.002)))^2)</f>
        <v/>
      </c>
      <c r="M208">
        <f>MAX(-fyd_cc,MIN(fyd_cc,Es_cc*IF($E208&lt;=cc_D,0.0035*($E208-M$9)/$E208,0.002*($E208-M$9)/($E208-3*cc_D/7))))-fcd_cc*(1-(1-MAX(0,MIN(1,IF($E208&lt;=cc_D,0.0035*($E208-M$9)/$E208,0.002*($E208-M$9)/($E208-3*cc_D/7))/0.002)))^2)</f>
        <v/>
      </c>
      <c r="N208">
        <f>MAX(-fyd_cc,MIN(fyd_cc,Es_cc*IF($E208&lt;=cc_D,0.0035*($E208-N$9)/$E208,0.002*($E208-N$9)/($E208-3*cc_D/7))))-fcd_cc*(1-(1-MAX(0,MIN(1,IF($E208&lt;=cc_D,0.0035*($E208-N$9)/$E208,0.002*($E208-N$9)/($E208-3*cc_D/7))/0.002)))^2)</f>
        <v/>
      </c>
      <c r="O208">
        <f>MAX(-fyd_cc,MIN(fyd_cc,Es_cc*IF($E208&lt;=cc_D,0.0035*($E208-O$9)/$E208,0.002*($E208-O$9)/($E208-3*cc_D/7))))-fcd_cc*(1-(1-MAX(0,MIN(1,IF($E208&lt;=cc_D,0.0035*($E208-O$9)/$E208,0.002*($E208-O$9)/($E208-3*cc_D/7))/0.002)))^2)</f>
        <v/>
      </c>
      <c r="P208">
        <f>MAX(-fyd_cc,MIN(fyd_cc,Es_cc*IF($E208&lt;=cc_D,0.0035*($E208-P$9)/$E208,0.002*($E208-P$9)/($E208-3*cc_D/7))))-fcd_cc*(1-(1-MAX(0,MIN(1,IF($E208&lt;=cc_D,0.0035*($E208-P$9)/$E208,0.002*($E208-P$9)/($E208-3*cc_D/7))/0.002)))^2)</f>
        <v/>
      </c>
      <c r="Q208">
        <f>MAX(-fyd_cc,MIN(fyd_cc,Es_cc*IF($E208&lt;=cc_D,0.0035*($E208-Q$9)/$E208,0.002*($E208-Q$9)/($E208-3*cc_D/7))))-fcd_cc*(1-(1-MAX(0,MIN(1,IF($E208&lt;=cc_D,0.0035*($E208-Q$9)/$E208,0.002*($E208-Q$9)/($E208-3*cc_D/7))/0.002)))^2)</f>
        <v/>
      </c>
      <c r="R208">
        <f>MAX(-fyd_cc,MIN(fyd_cc,Es_cc*IF($E208&lt;=cc_D,0.0035*($E208-R$9)/$E208,0.002*($E208-R$9)/($E208-3*cc_D/7))))-fcd_cc*(1-(1-MAX(0,MIN(1,IF($E208&lt;=cc_D,0.0035*($E208-R$9)/$E208,0.002*($E208-R$9)/($E208-3*cc_D/7))/0.002)))^2)</f>
        <v/>
      </c>
      <c r="S208">
        <f>MAX(-fyd_cc,MIN(fyd_cc,Es_cc*IF($E208&lt;=cc_D,0.0035*($E208-S$9)/$E208,0.002*($E208-S$9)/($E208-3*cc_D/7))))-fcd_cc*(1-(1-MAX(0,MIN(1,IF($E208&lt;=cc_D,0.0035*($E208-S$9)/$E208,0.002*($E208-S$9)/($E208-3*cc_D/7))/0.002)))^2)</f>
        <v/>
      </c>
      <c r="T208">
        <f>MAX(-fyd_cc,MIN(fyd_cc,Es_cc*IF($E208&lt;=cc_D,0.0035*($E208-T$9)/$E208,0.002*($E208-T$9)/($E208-3*cc_D/7))))-fcd_cc*(1-(1-MAX(0,MIN(1,IF($E208&lt;=cc_D,0.0035*($E208-T$9)/$E208,0.002*($E208-T$9)/($E208-3*cc_D/7))/0.002)))^2)</f>
        <v/>
      </c>
      <c r="U208">
        <f>MAX(-fyd_cc,MIN(fyd_cc,Es_cc*IF($E208&lt;=cc_D,0.0035*($E208-U$9)/$E208,0.002*($E208-U$9)/($E208-3*cc_D/7))))-fcd_cc*(1-(1-MAX(0,MIN(1,IF($E208&lt;=cc_D,0.0035*($E208-U$9)/$E208,0.002*($E208-U$9)/($E208-3*cc_D/7))/0.002)))^2)</f>
        <v/>
      </c>
      <c r="V208">
        <f>MAX(-fyd_cc,MIN(fyd_cc,Es_cc*IF($E208&lt;=cc_D,0.0035*($E208-V$9)/$E208,0.002*($E208-V$9)/($E208-3*cc_D/7))))-fcd_cc*(1-(1-MAX(0,MIN(1,IF($E208&lt;=cc_D,0.0035*($E208-V$9)/$E208,0.002*($E208-V$9)/($E208-3*cc_D/7))/0.002)))^2)</f>
        <v/>
      </c>
      <c r="W208">
        <f>MAX(-fyd_cc,MIN(fyd_cc,Es_cc*IF($E208&lt;=cc_D,0.0035*($E208-W$9)/$E208,0.002*($E208-W$9)/($E208-3*cc_D/7))))-fcd_cc*(1-(1-MAX(0,MIN(1,IF($E208&lt;=cc_D,0.0035*($E208-W$9)/$E208,0.002*($E208-W$9)/($E208-3*cc_D/7))/0.002)))^2)</f>
        <v/>
      </c>
      <c r="X208">
        <f>MAX(-fyd_cc,MIN(fyd_cc,Es_cc*IF($E208&lt;=cc_D,0.0035*($E208-X$9)/$E208,0.002*($E208-X$9)/($E208-3*cc_D/7))))-fcd_cc*(1-(1-MAX(0,MIN(1,IF($E208&lt;=cc_D,0.0035*($E208-X$9)/$E208,0.002*($E208-X$9)/($E208-3*cc_D/7))/0.002)))^2)</f>
        <v/>
      </c>
      <c r="Y208">
        <f>MAX(-fyd_cc,MIN(fyd_cc,Es_cc*IF($E208&lt;=cc_D,0.0035*($E208-Y$9)/$E208,0.002*($E208-Y$9)/($E208-3*cc_D/7))))-fcd_cc*(1-(1-MAX(0,MIN(1,IF($E208&lt;=cc_D,0.0035*($E208-Y$9)/$E208,0.002*($E208-Y$9)/($E208-3*cc_D/7))/0.002)))^2)</f>
        <v/>
      </c>
      <c r="Z208">
        <f>MAX(-fyd_cc,MIN(fyd_cc,Es_cc*IF($E208&lt;=cc_D,0.0035*($E208-Z$9)/$E208,0.002*($E208-Z$9)/($E208-3*cc_D/7))))-fcd_cc*(1-(1-MAX(0,MIN(1,IF($E208&lt;=cc_D,0.0035*($E208-Z$9)/$E208,0.002*($E208-Z$9)/($E208-3*cc_D/7))/0.002)))^2)</f>
        <v/>
      </c>
      <c r="AA208">
        <f>MAX(-fyd_cc,MIN(fyd_cc,Es_cc*IF($E208&lt;=cc_D,0.0035*($E208-AA$9)/$E208,0.002*($E208-AA$9)/($E208-3*cc_D/7))))-fcd_cc*(1-(1-MAX(0,MIN(1,IF($E208&lt;=cc_D,0.0035*($E208-AA$9)/$E208,0.002*($E208-AA$9)/($E208-3*cc_D/7))/0.002)))^2)</f>
        <v/>
      </c>
      <c r="AB208">
        <f>MAX(-fyd_cc,MIN(fyd_cc,Es_cc*IF($E208&lt;=cc_D,0.0035*($E208-AB$9)/$E208,0.002*($E208-AB$9)/($E208-3*cc_D/7))))-fcd_cc*(1-(1-MAX(0,MIN(1,IF($E208&lt;=cc_D,0.0035*($E208-AB$9)/$E208,0.002*($E208-AB$9)/($E208-3*cc_D/7))/0.002)))^2)</f>
        <v/>
      </c>
      <c r="AC208">
        <f>MAX(-fyd_cc,MIN(fyd_cc,Es_cc*IF($E208&lt;=cc_D,0.0035*($E208-AC$9)/$E208,0.002*($E208-AC$9)/($E208-3*cc_D/7))))-fcd_cc*(1-(1-MAX(0,MIN(1,IF($E208&lt;=cc_D,0.0035*($E208-AC$9)/$E208,0.002*($E208-AC$9)/($E208-3*cc_D/7))/0.002)))^2)</f>
        <v/>
      </c>
      <c r="AD208">
        <f>MAX(-fyd_cc,MIN(fyd_cc,Es_cc*IF($E208&lt;=cc_D,0.0035*($E208-AD$9)/$E208,0.002*($E208-AD$9)/($E208-3*cc_D/7))))-fcd_cc*(1-(1-MAX(0,MIN(1,IF($E208&lt;=cc_D,0.0035*($E208-AD$9)/$E208,0.002*($E208-AD$9)/($E208-3*cc_D/7))/0.002)))^2)</f>
        <v/>
      </c>
      <c r="AE208">
        <f>MAX(-fyd_cc,MIN(fyd_cc,Es_cc*IF($E208&lt;=cc_D,0.0035*($E208-AE$9)/$E208,0.002*($E208-AE$9)/($E208-3*cc_D/7))))-fcd_cc*(1-(1-MAX(0,MIN(1,IF($E208&lt;=cc_D,0.0035*($E208-AE$9)/$E208,0.002*($E208-AE$9)/($E208-3*cc_D/7))/0.002)))^2)</f>
        <v/>
      </c>
      <c r="AF208">
        <f>MAX(-fyd_cc,MIN(fyd_cc,Es_cc*IF($E208&lt;=cc_D,0.0035*($E208-AF$9)/$E208,0.002*($E208-AF$9)/($E208-3*cc_D/7))))-fcd_cc*(1-(1-MAX(0,MIN(1,IF($E208&lt;=cc_D,0.0035*($E208-AF$9)/$E208,0.002*($E208-AF$9)/($E208-3*cc_D/7))/0.002)))^2)</f>
        <v/>
      </c>
      <c r="AG208">
        <f>MAX(-fyd_cc,MIN(fyd_cc,Es_cc*IF($E208&lt;=cc_D,0.0035*($E208-AG$9)/$E208,0.002*($E208-AG$9)/($E208-3*cc_D/7))))-fcd_cc*(1-(1-MAX(0,MIN(1,IF($E208&lt;=cc_D,0.0035*($E208-AG$9)/$E208,0.002*($E208-AG$9)/($E208-3*cc_D/7))/0.002)))^2)</f>
        <v/>
      </c>
      <c r="BF208">
        <f>3*MIN($E208,cc_D)/7</f>
        <v/>
      </c>
      <c r="BG208">
        <f>$E208-$BF208</f>
        <v/>
      </c>
      <c r="BH208">
        <f>ACOS(MAX(-1,MIN(1,1-$BF208/(cc_D/2))))</f>
        <v/>
      </c>
      <c r="BI208">
        <f>ACOS(MAX(-1,MIN(1,1-MIN($E208,cc_D)/(cc_D/2))))</f>
        <v/>
      </c>
      <c r="BJ208">
        <f>((cc_D/2*(1-COS(($BH208+0*($BI208-$BH208)/12)))-$BF208)/$BG208)^2*SIN(($BH208+0*($BI208-$BH208)/12))^2</f>
        <v/>
      </c>
      <c r="BK208">
        <f>((cc_D/2*(1-COS(($BH208+1*($BI208-$BH208)/12)))-$BF208)/$BG208)^2*SIN(($BH208+1*($BI208-$BH208)/12))^2</f>
        <v/>
      </c>
      <c r="BL208">
        <f>((cc_D/2*(1-COS(($BH208+2*($BI208-$BH208)/12)))-$BF208)/$BG208)^2*SIN(($BH208+2*($BI208-$BH208)/12))^2</f>
        <v/>
      </c>
      <c r="BM208">
        <f>((cc_D/2*(1-COS(($BH208+3*($BI208-$BH208)/12)))-$BF208)/$BG208)^2*SIN(($BH208+3*($BI208-$BH208)/12))^2</f>
        <v/>
      </c>
      <c r="BN208">
        <f>((cc_D/2*(1-COS(($BH208+4*($BI208-$BH208)/12)))-$BF208)/$BG208)^2*SIN(($BH208+4*($BI208-$BH208)/12))^2</f>
        <v/>
      </c>
      <c r="BO208">
        <f>((cc_D/2*(1-COS(($BH208+5*($BI208-$BH208)/12)))-$BF208)/$BG208)^2*SIN(($BH208+5*($BI208-$BH208)/12))^2</f>
        <v/>
      </c>
      <c r="BP208">
        <f>((cc_D/2*(1-COS(($BH208+6*($BI208-$BH208)/12)))-$BF208)/$BG208)^2*SIN(($BH208+6*($BI208-$BH208)/12))^2</f>
        <v/>
      </c>
      <c r="BQ208">
        <f>((cc_D/2*(1-COS(($BH208+7*($BI208-$BH208)/12)))-$BF208)/$BG208)^2*SIN(($BH208+7*($BI208-$BH208)/12))^2</f>
        <v/>
      </c>
      <c r="BR208">
        <f>((cc_D/2*(1-COS(($BH208+8*($BI208-$BH208)/12)))-$BF208)/$BG208)^2*SIN(($BH208+8*($BI208-$BH208)/12))^2</f>
        <v/>
      </c>
      <c r="BS208">
        <f>((cc_D/2*(1-COS(($BH208+9*($BI208-$BH208)/12)))-$BF208)/$BG208)^2*SIN(($BH208+9*($BI208-$BH208)/12))^2</f>
        <v/>
      </c>
      <c r="BT208">
        <f>((cc_D/2*(1-COS(($BH208+10*($BI208-$BH208)/12)))-$BF208)/$BG208)^2*SIN(($BH208+10*($BI208-$BH208)/12))^2</f>
        <v/>
      </c>
      <c r="BU208">
        <f>((cc_D/2*(1-COS(($BH208+11*($BI208-$BH208)/12)))-$BF208)/$BG208)^2*SIN(($BH208+11*($BI208-$BH208)/12))^2</f>
        <v/>
      </c>
      <c r="BV208">
        <f>((cc_D/2*(1-COS(($BH208+12*($BI208-$BH208)/12)))-$BF208)/$BG208)^2*SIN(($BH208+12*($BI208-$BH208)/12))^2</f>
        <v/>
      </c>
      <c r="BW208">
        <f>BJ208*COS(($BH208+0*($BI208-$BH208)/12))</f>
        <v/>
      </c>
      <c r="BX208">
        <f>BK208*COS(($BH208+1*($BI208-$BH208)/12))</f>
        <v/>
      </c>
      <c r="BY208">
        <f>BL208*COS(($BH208+2*($BI208-$BH208)/12))</f>
        <v/>
      </c>
      <c r="BZ208">
        <f>BM208*COS(($BH208+3*($BI208-$BH208)/12))</f>
        <v/>
      </c>
      <c r="CA208">
        <f>BN208*COS(($BH208+4*($BI208-$BH208)/12))</f>
        <v/>
      </c>
      <c r="CB208">
        <f>BO208*COS(($BH208+5*($BI208-$BH208)/12))</f>
        <v/>
      </c>
      <c r="CC208">
        <f>BP208*COS(($BH208+6*($BI208-$BH208)/12))</f>
        <v/>
      </c>
      <c r="CD208">
        <f>BQ208*COS(($BH208+7*($BI208-$BH208)/12))</f>
        <v/>
      </c>
      <c r="CE208">
        <f>BR208*COS(($BH208+8*($BI208-$BH208)/12))</f>
        <v/>
      </c>
      <c r="CF208">
        <f>BS208*COS(($BH208+9*($BI208-$BH208)/12))</f>
        <v/>
      </c>
      <c r="CG208">
        <f>BT208*COS(($BH208+10*($BI208-$BH208)/12))</f>
        <v/>
      </c>
      <c r="CH208">
        <f>BU208*COS(($BH208+11*($BI208-$BH208)/12))</f>
        <v/>
      </c>
      <c r="CI208">
        <f>BV208*COS(($BH208+12*($BI208-$BH208)/12))</f>
        <v/>
      </c>
    </row>
    <row r="209">
      <c r="B209" s="65" t="n">
        <v>57</v>
      </c>
      <c r="C209" s="66">
        <f>IF($G208&lt;cc_NEd-1E-9*ABS(cc_NEd),($C208+$D208)/2,$C208)</f>
        <v/>
      </c>
      <c r="D209" s="66">
        <f>IF($G208&lt;cc_NEd-1E-9*ABS(cc_NEd),$D208,($C208+$D208)/2)</f>
        <v/>
      </c>
      <c r="E209" s="67">
        <f>cc_D*(($C209+$D209)/2)/(1-(($C209+$D209)/2))</f>
        <v/>
      </c>
      <c r="F209" s="68">
        <f>IF($E209&lt;=cc_D,3.5,2*$E209/($E209-3*cc_D/7))</f>
        <v/>
      </c>
      <c r="G209" s="67">
        <f>(fcd_cc*((cc_D/2)^2*($BI209-COS($BI209)*SIN($BI209))-2*(cc_D/2)^2*($BI209-$BH209)/12/3*SUMPRODUCT($BJ$4:$BV$4,$BJ209:$BV209))+SUMPRODUCT($J$5:$AG$5,$J209:$AG209))/1000</f>
        <v/>
      </c>
      <c r="H209" s="67">
        <f>(fcd_cc*(2/3*(cc_D/2)^3*SIN($BI209)^3-2*(cc_D/2)^3*($BI209-$BH209)/12/3*SUMPRODUCT($BW$4:$CI$4,$BW209:$CI209))+SUMPRODUCT($J$5:$AG$5,$J209:$AG209,$J$10:$AG$10))/1E6</f>
        <v/>
      </c>
      <c r="I209" s="67">
        <f>SUMPRODUCT($J$5:$AG$5,$J209:$AG209,$J$11:$AG$11)/1E6</f>
        <v/>
      </c>
      <c r="J209">
        <f>MAX(-fyd_cc,MIN(fyd_cc,Es_cc*IF($E209&lt;=cc_D,0.0035*($E209-J$9)/$E209,0.002*($E209-J$9)/($E209-3*cc_D/7))))-fcd_cc*(1-(1-MAX(0,MIN(1,IF($E209&lt;=cc_D,0.0035*($E209-J$9)/$E209,0.002*($E209-J$9)/($E209-3*cc_D/7))/0.002)))^2)</f>
        <v/>
      </c>
      <c r="K209">
        <f>MAX(-fyd_cc,MIN(fyd_cc,Es_cc*IF($E209&lt;=cc_D,0.0035*($E209-K$9)/$E209,0.002*($E209-K$9)/($E209-3*cc_D/7))))-fcd_cc*(1-(1-MAX(0,MIN(1,IF($E209&lt;=cc_D,0.0035*($E209-K$9)/$E209,0.002*($E209-K$9)/($E209-3*cc_D/7))/0.002)))^2)</f>
        <v/>
      </c>
      <c r="L209">
        <f>MAX(-fyd_cc,MIN(fyd_cc,Es_cc*IF($E209&lt;=cc_D,0.0035*($E209-L$9)/$E209,0.002*($E209-L$9)/($E209-3*cc_D/7))))-fcd_cc*(1-(1-MAX(0,MIN(1,IF($E209&lt;=cc_D,0.0035*($E209-L$9)/$E209,0.002*($E209-L$9)/($E209-3*cc_D/7))/0.002)))^2)</f>
        <v/>
      </c>
      <c r="M209">
        <f>MAX(-fyd_cc,MIN(fyd_cc,Es_cc*IF($E209&lt;=cc_D,0.0035*($E209-M$9)/$E209,0.002*($E209-M$9)/($E209-3*cc_D/7))))-fcd_cc*(1-(1-MAX(0,MIN(1,IF($E209&lt;=cc_D,0.0035*($E209-M$9)/$E209,0.002*($E209-M$9)/($E209-3*cc_D/7))/0.002)))^2)</f>
        <v/>
      </c>
      <c r="N209">
        <f>MAX(-fyd_cc,MIN(fyd_cc,Es_cc*IF($E209&lt;=cc_D,0.0035*($E209-N$9)/$E209,0.002*($E209-N$9)/($E209-3*cc_D/7))))-fcd_cc*(1-(1-MAX(0,MIN(1,IF($E209&lt;=cc_D,0.0035*($E209-N$9)/$E209,0.002*($E209-N$9)/($E209-3*cc_D/7))/0.002)))^2)</f>
        <v/>
      </c>
      <c r="O209">
        <f>MAX(-fyd_cc,MIN(fyd_cc,Es_cc*IF($E209&lt;=cc_D,0.0035*($E209-O$9)/$E209,0.002*($E209-O$9)/($E209-3*cc_D/7))))-fcd_cc*(1-(1-MAX(0,MIN(1,IF($E209&lt;=cc_D,0.0035*($E209-O$9)/$E209,0.002*($E209-O$9)/($E209-3*cc_D/7))/0.002)))^2)</f>
        <v/>
      </c>
      <c r="P209">
        <f>MAX(-fyd_cc,MIN(fyd_cc,Es_cc*IF($E209&lt;=cc_D,0.0035*($E209-P$9)/$E209,0.002*($E209-P$9)/($E209-3*cc_D/7))))-fcd_cc*(1-(1-MAX(0,MIN(1,IF($E209&lt;=cc_D,0.0035*($E209-P$9)/$E209,0.002*($E209-P$9)/($E209-3*cc_D/7))/0.002)))^2)</f>
        <v/>
      </c>
      <c r="Q209">
        <f>MAX(-fyd_cc,MIN(fyd_cc,Es_cc*IF($E209&lt;=cc_D,0.0035*($E209-Q$9)/$E209,0.002*($E209-Q$9)/($E209-3*cc_D/7))))-fcd_cc*(1-(1-MAX(0,MIN(1,IF($E209&lt;=cc_D,0.0035*($E209-Q$9)/$E209,0.002*($E209-Q$9)/($E209-3*cc_D/7))/0.002)))^2)</f>
        <v/>
      </c>
      <c r="R209">
        <f>MAX(-fyd_cc,MIN(fyd_cc,Es_cc*IF($E209&lt;=cc_D,0.0035*($E209-R$9)/$E209,0.002*($E209-R$9)/($E209-3*cc_D/7))))-fcd_cc*(1-(1-MAX(0,MIN(1,IF($E209&lt;=cc_D,0.0035*($E209-R$9)/$E209,0.002*($E209-R$9)/($E209-3*cc_D/7))/0.002)))^2)</f>
        <v/>
      </c>
      <c r="S209">
        <f>MAX(-fyd_cc,MIN(fyd_cc,Es_cc*IF($E209&lt;=cc_D,0.0035*($E209-S$9)/$E209,0.002*($E209-S$9)/($E209-3*cc_D/7))))-fcd_cc*(1-(1-MAX(0,MIN(1,IF($E209&lt;=cc_D,0.0035*($E209-S$9)/$E209,0.002*($E209-S$9)/($E209-3*cc_D/7))/0.002)))^2)</f>
        <v/>
      </c>
      <c r="T209">
        <f>MAX(-fyd_cc,MIN(fyd_cc,Es_cc*IF($E209&lt;=cc_D,0.0035*($E209-T$9)/$E209,0.002*($E209-T$9)/($E209-3*cc_D/7))))-fcd_cc*(1-(1-MAX(0,MIN(1,IF($E209&lt;=cc_D,0.0035*($E209-T$9)/$E209,0.002*($E209-T$9)/($E209-3*cc_D/7))/0.002)))^2)</f>
        <v/>
      </c>
      <c r="U209">
        <f>MAX(-fyd_cc,MIN(fyd_cc,Es_cc*IF($E209&lt;=cc_D,0.0035*($E209-U$9)/$E209,0.002*($E209-U$9)/($E209-3*cc_D/7))))-fcd_cc*(1-(1-MAX(0,MIN(1,IF($E209&lt;=cc_D,0.0035*($E209-U$9)/$E209,0.002*($E209-U$9)/($E209-3*cc_D/7))/0.002)))^2)</f>
        <v/>
      </c>
      <c r="V209">
        <f>MAX(-fyd_cc,MIN(fyd_cc,Es_cc*IF($E209&lt;=cc_D,0.0035*($E209-V$9)/$E209,0.002*($E209-V$9)/($E209-3*cc_D/7))))-fcd_cc*(1-(1-MAX(0,MIN(1,IF($E209&lt;=cc_D,0.0035*($E209-V$9)/$E209,0.002*($E209-V$9)/($E209-3*cc_D/7))/0.002)))^2)</f>
        <v/>
      </c>
      <c r="W209">
        <f>MAX(-fyd_cc,MIN(fyd_cc,Es_cc*IF($E209&lt;=cc_D,0.0035*($E209-W$9)/$E209,0.002*($E209-W$9)/($E209-3*cc_D/7))))-fcd_cc*(1-(1-MAX(0,MIN(1,IF($E209&lt;=cc_D,0.0035*($E209-W$9)/$E209,0.002*($E209-W$9)/($E209-3*cc_D/7))/0.002)))^2)</f>
        <v/>
      </c>
      <c r="X209">
        <f>MAX(-fyd_cc,MIN(fyd_cc,Es_cc*IF($E209&lt;=cc_D,0.0035*($E209-X$9)/$E209,0.002*($E209-X$9)/($E209-3*cc_D/7))))-fcd_cc*(1-(1-MAX(0,MIN(1,IF($E209&lt;=cc_D,0.0035*($E209-X$9)/$E209,0.002*($E209-X$9)/($E209-3*cc_D/7))/0.002)))^2)</f>
        <v/>
      </c>
      <c r="Y209">
        <f>MAX(-fyd_cc,MIN(fyd_cc,Es_cc*IF($E209&lt;=cc_D,0.0035*($E209-Y$9)/$E209,0.002*($E209-Y$9)/($E209-3*cc_D/7))))-fcd_cc*(1-(1-MAX(0,MIN(1,IF($E209&lt;=cc_D,0.0035*($E209-Y$9)/$E209,0.002*($E209-Y$9)/($E209-3*cc_D/7))/0.002)))^2)</f>
        <v/>
      </c>
      <c r="Z209">
        <f>MAX(-fyd_cc,MIN(fyd_cc,Es_cc*IF($E209&lt;=cc_D,0.0035*($E209-Z$9)/$E209,0.002*($E209-Z$9)/($E209-3*cc_D/7))))-fcd_cc*(1-(1-MAX(0,MIN(1,IF($E209&lt;=cc_D,0.0035*($E209-Z$9)/$E209,0.002*($E209-Z$9)/($E209-3*cc_D/7))/0.002)))^2)</f>
        <v/>
      </c>
      <c r="AA209">
        <f>MAX(-fyd_cc,MIN(fyd_cc,Es_cc*IF($E209&lt;=cc_D,0.0035*($E209-AA$9)/$E209,0.002*($E209-AA$9)/($E209-3*cc_D/7))))-fcd_cc*(1-(1-MAX(0,MIN(1,IF($E209&lt;=cc_D,0.0035*($E209-AA$9)/$E209,0.002*($E209-AA$9)/($E209-3*cc_D/7))/0.002)))^2)</f>
        <v/>
      </c>
      <c r="AB209">
        <f>MAX(-fyd_cc,MIN(fyd_cc,Es_cc*IF($E209&lt;=cc_D,0.0035*($E209-AB$9)/$E209,0.002*($E209-AB$9)/($E209-3*cc_D/7))))-fcd_cc*(1-(1-MAX(0,MIN(1,IF($E209&lt;=cc_D,0.0035*($E209-AB$9)/$E209,0.002*($E209-AB$9)/($E209-3*cc_D/7))/0.002)))^2)</f>
        <v/>
      </c>
      <c r="AC209">
        <f>MAX(-fyd_cc,MIN(fyd_cc,Es_cc*IF($E209&lt;=cc_D,0.0035*($E209-AC$9)/$E209,0.002*($E209-AC$9)/($E209-3*cc_D/7))))-fcd_cc*(1-(1-MAX(0,MIN(1,IF($E209&lt;=cc_D,0.0035*($E209-AC$9)/$E209,0.002*($E209-AC$9)/($E209-3*cc_D/7))/0.002)))^2)</f>
        <v/>
      </c>
      <c r="AD209">
        <f>MAX(-fyd_cc,MIN(fyd_cc,Es_cc*IF($E209&lt;=cc_D,0.0035*($E209-AD$9)/$E209,0.002*($E209-AD$9)/($E209-3*cc_D/7))))-fcd_cc*(1-(1-MAX(0,MIN(1,IF($E209&lt;=cc_D,0.0035*($E209-AD$9)/$E209,0.002*($E209-AD$9)/($E209-3*cc_D/7))/0.002)))^2)</f>
        <v/>
      </c>
      <c r="AE209">
        <f>MAX(-fyd_cc,MIN(fyd_cc,Es_cc*IF($E209&lt;=cc_D,0.0035*($E209-AE$9)/$E209,0.002*($E209-AE$9)/($E209-3*cc_D/7))))-fcd_cc*(1-(1-MAX(0,MIN(1,IF($E209&lt;=cc_D,0.0035*($E209-AE$9)/$E209,0.002*($E209-AE$9)/($E209-3*cc_D/7))/0.002)))^2)</f>
        <v/>
      </c>
      <c r="AF209">
        <f>MAX(-fyd_cc,MIN(fyd_cc,Es_cc*IF($E209&lt;=cc_D,0.0035*($E209-AF$9)/$E209,0.002*($E209-AF$9)/($E209-3*cc_D/7))))-fcd_cc*(1-(1-MAX(0,MIN(1,IF($E209&lt;=cc_D,0.0035*($E209-AF$9)/$E209,0.002*($E209-AF$9)/($E209-3*cc_D/7))/0.002)))^2)</f>
        <v/>
      </c>
      <c r="AG209">
        <f>MAX(-fyd_cc,MIN(fyd_cc,Es_cc*IF($E209&lt;=cc_D,0.0035*($E209-AG$9)/$E209,0.002*($E209-AG$9)/($E209-3*cc_D/7))))-fcd_cc*(1-(1-MAX(0,MIN(1,IF($E209&lt;=cc_D,0.0035*($E209-AG$9)/$E209,0.002*($E209-AG$9)/($E209-3*cc_D/7))/0.002)))^2)</f>
        <v/>
      </c>
      <c r="BF209">
        <f>3*MIN($E209,cc_D)/7</f>
        <v/>
      </c>
      <c r="BG209">
        <f>$E209-$BF209</f>
        <v/>
      </c>
      <c r="BH209">
        <f>ACOS(MAX(-1,MIN(1,1-$BF209/(cc_D/2))))</f>
        <v/>
      </c>
      <c r="BI209">
        <f>ACOS(MAX(-1,MIN(1,1-MIN($E209,cc_D)/(cc_D/2))))</f>
        <v/>
      </c>
      <c r="BJ209">
        <f>((cc_D/2*(1-COS(($BH209+0*($BI209-$BH209)/12)))-$BF209)/$BG209)^2*SIN(($BH209+0*($BI209-$BH209)/12))^2</f>
        <v/>
      </c>
      <c r="BK209">
        <f>((cc_D/2*(1-COS(($BH209+1*($BI209-$BH209)/12)))-$BF209)/$BG209)^2*SIN(($BH209+1*($BI209-$BH209)/12))^2</f>
        <v/>
      </c>
      <c r="BL209">
        <f>((cc_D/2*(1-COS(($BH209+2*($BI209-$BH209)/12)))-$BF209)/$BG209)^2*SIN(($BH209+2*($BI209-$BH209)/12))^2</f>
        <v/>
      </c>
      <c r="BM209">
        <f>((cc_D/2*(1-COS(($BH209+3*($BI209-$BH209)/12)))-$BF209)/$BG209)^2*SIN(($BH209+3*($BI209-$BH209)/12))^2</f>
        <v/>
      </c>
      <c r="BN209">
        <f>((cc_D/2*(1-COS(($BH209+4*($BI209-$BH209)/12)))-$BF209)/$BG209)^2*SIN(($BH209+4*($BI209-$BH209)/12))^2</f>
        <v/>
      </c>
      <c r="BO209">
        <f>((cc_D/2*(1-COS(($BH209+5*($BI209-$BH209)/12)))-$BF209)/$BG209)^2*SIN(($BH209+5*($BI209-$BH209)/12))^2</f>
        <v/>
      </c>
      <c r="BP209">
        <f>((cc_D/2*(1-COS(($BH209+6*($BI209-$BH209)/12)))-$BF209)/$BG209)^2*SIN(($BH209+6*($BI209-$BH209)/12))^2</f>
        <v/>
      </c>
      <c r="BQ209">
        <f>((cc_D/2*(1-COS(($BH209+7*($BI209-$BH209)/12)))-$BF209)/$BG209)^2*SIN(($BH209+7*($BI209-$BH209)/12))^2</f>
        <v/>
      </c>
      <c r="BR209">
        <f>((cc_D/2*(1-COS(($BH209+8*($BI209-$BH209)/12)))-$BF209)/$BG209)^2*SIN(($BH209+8*($BI209-$BH209)/12))^2</f>
        <v/>
      </c>
      <c r="BS209">
        <f>((cc_D/2*(1-COS(($BH209+9*($BI209-$BH209)/12)))-$BF209)/$BG209)^2*SIN(($BH209+9*($BI209-$BH209)/12))^2</f>
        <v/>
      </c>
      <c r="BT209">
        <f>((cc_D/2*(1-COS(($BH209+10*($BI209-$BH209)/12)))-$BF209)/$BG209)^2*SIN(($BH209+10*($BI209-$BH209)/12))^2</f>
        <v/>
      </c>
      <c r="BU209">
        <f>((cc_D/2*(1-COS(($BH209+11*($BI209-$BH209)/12)))-$BF209)/$BG209)^2*SIN(($BH209+11*($BI209-$BH209)/12))^2</f>
        <v/>
      </c>
      <c r="BV209">
        <f>((cc_D/2*(1-COS(($BH209+12*($BI209-$BH209)/12)))-$BF209)/$BG209)^2*SIN(($BH209+12*($BI209-$BH209)/12))^2</f>
        <v/>
      </c>
      <c r="BW209">
        <f>BJ209*COS(($BH209+0*($BI209-$BH209)/12))</f>
        <v/>
      </c>
      <c r="BX209">
        <f>BK209*COS(($BH209+1*($BI209-$BH209)/12))</f>
        <v/>
      </c>
      <c r="BY209">
        <f>BL209*COS(($BH209+2*($BI209-$BH209)/12))</f>
        <v/>
      </c>
      <c r="BZ209">
        <f>BM209*COS(($BH209+3*($BI209-$BH209)/12))</f>
        <v/>
      </c>
      <c r="CA209">
        <f>BN209*COS(($BH209+4*($BI209-$BH209)/12))</f>
        <v/>
      </c>
      <c r="CB209">
        <f>BO209*COS(($BH209+5*($BI209-$BH209)/12))</f>
        <v/>
      </c>
      <c r="CC209">
        <f>BP209*COS(($BH209+6*($BI209-$BH209)/12))</f>
        <v/>
      </c>
      <c r="CD209">
        <f>BQ209*COS(($BH209+7*($BI209-$BH209)/12))</f>
        <v/>
      </c>
      <c r="CE209">
        <f>BR209*COS(($BH209+8*($BI209-$BH209)/12))</f>
        <v/>
      </c>
      <c r="CF209">
        <f>BS209*COS(($BH209+9*($BI209-$BH209)/12))</f>
        <v/>
      </c>
      <c r="CG209">
        <f>BT209*COS(($BH209+10*($BI209-$BH209)/12))</f>
        <v/>
      </c>
      <c r="CH209">
        <f>BU209*COS(($BH209+11*($BI209-$BH209)/12))</f>
        <v/>
      </c>
      <c r="CI209">
        <f>BV209*COS(($BH209+12*($BI209-$BH209)/12))</f>
        <v/>
      </c>
    </row>
    <row r="210">
      <c r="B210" s="65" t="n">
        <v>58</v>
      </c>
      <c r="C210" s="66">
        <f>IF($G209&lt;cc_NEd-1E-9*ABS(cc_NEd),($C209+$D209)/2,$C209)</f>
        <v/>
      </c>
      <c r="D210" s="66">
        <f>IF($G209&lt;cc_NEd-1E-9*ABS(cc_NEd),$D209,($C209+$D209)/2)</f>
        <v/>
      </c>
      <c r="E210" s="67">
        <f>cc_D*(($C210+$D210)/2)/(1-(($C210+$D210)/2))</f>
        <v/>
      </c>
      <c r="F210" s="68">
        <f>IF($E210&lt;=cc_D,3.5,2*$E210/($E210-3*cc_D/7))</f>
        <v/>
      </c>
      <c r="G210" s="67">
        <f>(fcd_cc*((cc_D/2)^2*($BI210-COS($BI210)*SIN($BI210))-2*(cc_D/2)^2*($BI210-$BH210)/12/3*SUMPRODUCT($BJ$4:$BV$4,$BJ210:$BV210))+SUMPRODUCT($J$5:$AG$5,$J210:$AG210))/1000</f>
        <v/>
      </c>
      <c r="H210" s="67">
        <f>(fcd_cc*(2/3*(cc_D/2)^3*SIN($BI210)^3-2*(cc_D/2)^3*($BI210-$BH210)/12/3*SUMPRODUCT($BW$4:$CI$4,$BW210:$CI210))+SUMPRODUCT($J$5:$AG$5,$J210:$AG210,$J$10:$AG$10))/1E6</f>
        <v/>
      </c>
      <c r="I210" s="67">
        <f>SUMPRODUCT($J$5:$AG$5,$J210:$AG210,$J$11:$AG$11)/1E6</f>
        <v/>
      </c>
      <c r="J210">
        <f>MAX(-fyd_cc,MIN(fyd_cc,Es_cc*IF($E210&lt;=cc_D,0.0035*($E210-J$9)/$E210,0.002*($E210-J$9)/($E210-3*cc_D/7))))-fcd_cc*(1-(1-MAX(0,MIN(1,IF($E210&lt;=cc_D,0.0035*($E210-J$9)/$E210,0.002*($E210-J$9)/($E210-3*cc_D/7))/0.002)))^2)</f>
        <v/>
      </c>
      <c r="K210">
        <f>MAX(-fyd_cc,MIN(fyd_cc,Es_cc*IF($E210&lt;=cc_D,0.0035*($E210-K$9)/$E210,0.002*($E210-K$9)/($E210-3*cc_D/7))))-fcd_cc*(1-(1-MAX(0,MIN(1,IF($E210&lt;=cc_D,0.0035*($E210-K$9)/$E210,0.002*($E210-K$9)/($E210-3*cc_D/7))/0.002)))^2)</f>
        <v/>
      </c>
      <c r="L210">
        <f>MAX(-fyd_cc,MIN(fyd_cc,Es_cc*IF($E210&lt;=cc_D,0.0035*($E210-L$9)/$E210,0.002*($E210-L$9)/($E210-3*cc_D/7))))-fcd_cc*(1-(1-MAX(0,MIN(1,IF($E210&lt;=cc_D,0.0035*($E210-L$9)/$E210,0.002*($E210-L$9)/($E210-3*cc_D/7))/0.002)))^2)</f>
        <v/>
      </c>
      <c r="M210">
        <f>MAX(-fyd_cc,MIN(fyd_cc,Es_cc*IF($E210&lt;=cc_D,0.0035*($E210-M$9)/$E210,0.002*($E210-M$9)/($E210-3*cc_D/7))))-fcd_cc*(1-(1-MAX(0,MIN(1,IF($E210&lt;=cc_D,0.0035*($E210-M$9)/$E210,0.002*($E210-M$9)/($E210-3*cc_D/7))/0.002)))^2)</f>
        <v/>
      </c>
      <c r="N210">
        <f>MAX(-fyd_cc,MIN(fyd_cc,Es_cc*IF($E210&lt;=cc_D,0.0035*($E210-N$9)/$E210,0.002*($E210-N$9)/($E210-3*cc_D/7))))-fcd_cc*(1-(1-MAX(0,MIN(1,IF($E210&lt;=cc_D,0.0035*($E210-N$9)/$E210,0.002*($E210-N$9)/($E210-3*cc_D/7))/0.002)))^2)</f>
        <v/>
      </c>
      <c r="O210">
        <f>MAX(-fyd_cc,MIN(fyd_cc,Es_cc*IF($E210&lt;=cc_D,0.0035*($E210-O$9)/$E210,0.002*($E210-O$9)/($E210-3*cc_D/7))))-fcd_cc*(1-(1-MAX(0,MIN(1,IF($E210&lt;=cc_D,0.0035*($E210-O$9)/$E210,0.002*($E210-O$9)/($E210-3*cc_D/7))/0.002)))^2)</f>
        <v/>
      </c>
      <c r="P210">
        <f>MAX(-fyd_cc,MIN(fyd_cc,Es_cc*IF($E210&lt;=cc_D,0.0035*($E210-P$9)/$E210,0.002*($E210-P$9)/($E210-3*cc_D/7))))-fcd_cc*(1-(1-MAX(0,MIN(1,IF($E210&lt;=cc_D,0.0035*($E210-P$9)/$E210,0.002*($E210-P$9)/($E210-3*cc_D/7))/0.002)))^2)</f>
        <v/>
      </c>
      <c r="Q210">
        <f>MAX(-fyd_cc,MIN(fyd_cc,Es_cc*IF($E210&lt;=cc_D,0.0035*($E210-Q$9)/$E210,0.002*($E210-Q$9)/($E210-3*cc_D/7))))-fcd_cc*(1-(1-MAX(0,MIN(1,IF($E210&lt;=cc_D,0.0035*($E210-Q$9)/$E210,0.002*($E210-Q$9)/($E210-3*cc_D/7))/0.002)))^2)</f>
        <v/>
      </c>
      <c r="R210">
        <f>MAX(-fyd_cc,MIN(fyd_cc,Es_cc*IF($E210&lt;=cc_D,0.0035*($E210-R$9)/$E210,0.002*($E210-R$9)/($E210-3*cc_D/7))))-fcd_cc*(1-(1-MAX(0,MIN(1,IF($E210&lt;=cc_D,0.0035*($E210-R$9)/$E210,0.002*($E210-R$9)/($E210-3*cc_D/7))/0.002)))^2)</f>
        <v/>
      </c>
      <c r="S210">
        <f>MAX(-fyd_cc,MIN(fyd_cc,Es_cc*IF($E210&lt;=cc_D,0.0035*($E210-S$9)/$E210,0.002*($E210-S$9)/($E210-3*cc_D/7))))-fcd_cc*(1-(1-MAX(0,MIN(1,IF($E210&lt;=cc_D,0.0035*($E210-S$9)/$E210,0.002*($E210-S$9)/($E210-3*cc_D/7))/0.002)))^2)</f>
        <v/>
      </c>
      <c r="T210">
        <f>MAX(-fyd_cc,MIN(fyd_cc,Es_cc*IF($E210&lt;=cc_D,0.0035*($E210-T$9)/$E210,0.002*($E210-T$9)/($E210-3*cc_D/7))))-fcd_cc*(1-(1-MAX(0,MIN(1,IF($E210&lt;=cc_D,0.0035*($E210-T$9)/$E210,0.002*($E210-T$9)/($E210-3*cc_D/7))/0.002)))^2)</f>
        <v/>
      </c>
      <c r="U210">
        <f>MAX(-fyd_cc,MIN(fyd_cc,Es_cc*IF($E210&lt;=cc_D,0.0035*($E210-U$9)/$E210,0.002*($E210-U$9)/($E210-3*cc_D/7))))-fcd_cc*(1-(1-MAX(0,MIN(1,IF($E210&lt;=cc_D,0.0035*($E210-U$9)/$E210,0.002*($E210-U$9)/($E210-3*cc_D/7))/0.002)))^2)</f>
        <v/>
      </c>
      <c r="V210">
        <f>MAX(-fyd_cc,MIN(fyd_cc,Es_cc*IF($E210&lt;=cc_D,0.0035*($E210-V$9)/$E210,0.002*($E210-V$9)/($E210-3*cc_D/7))))-fcd_cc*(1-(1-MAX(0,MIN(1,IF($E210&lt;=cc_D,0.0035*($E210-V$9)/$E210,0.002*($E210-V$9)/($E210-3*cc_D/7))/0.002)))^2)</f>
        <v/>
      </c>
      <c r="W210">
        <f>MAX(-fyd_cc,MIN(fyd_cc,Es_cc*IF($E210&lt;=cc_D,0.0035*($E210-W$9)/$E210,0.002*($E210-W$9)/($E210-3*cc_D/7))))-fcd_cc*(1-(1-MAX(0,MIN(1,IF($E210&lt;=cc_D,0.0035*($E210-W$9)/$E210,0.002*($E210-W$9)/($E210-3*cc_D/7))/0.002)))^2)</f>
        <v/>
      </c>
      <c r="X210">
        <f>MAX(-fyd_cc,MIN(fyd_cc,Es_cc*IF($E210&lt;=cc_D,0.0035*($E210-X$9)/$E210,0.002*($E210-X$9)/($E210-3*cc_D/7))))-fcd_cc*(1-(1-MAX(0,MIN(1,IF($E210&lt;=cc_D,0.0035*($E210-X$9)/$E210,0.002*($E210-X$9)/($E210-3*cc_D/7))/0.002)))^2)</f>
        <v/>
      </c>
      <c r="Y210">
        <f>MAX(-fyd_cc,MIN(fyd_cc,Es_cc*IF($E210&lt;=cc_D,0.0035*($E210-Y$9)/$E210,0.002*($E210-Y$9)/($E210-3*cc_D/7))))-fcd_cc*(1-(1-MAX(0,MIN(1,IF($E210&lt;=cc_D,0.0035*($E210-Y$9)/$E210,0.002*($E210-Y$9)/($E210-3*cc_D/7))/0.002)))^2)</f>
        <v/>
      </c>
      <c r="Z210">
        <f>MAX(-fyd_cc,MIN(fyd_cc,Es_cc*IF($E210&lt;=cc_D,0.0035*($E210-Z$9)/$E210,0.002*($E210-Z$9)/($E210-3*cc_D/7))))-fcd_cc*(1-(1-MAX(0,MIN(1,IF($E210&lt;=cc_D,0.0035*($E210-Z$9)/$E210,0.002*($E210-Z$9)/($E210-3*cc_D/7))/0.002)))^2)</f>
        <v/>
      </c>
      <c r="AA210">
        <f>MAX(-fyd_cc,MIN(fyd_cc,Es_cc*IF($E210&lt;=cc_D,0.0035*($E210-AA$9)/$E210,0.002*($E210-AA$9)/($E210-3*cc_D/7))))-fcd_cc*(1-(1-MAX(0,MIN(1,IF($E210&lt;=cc_D,0.0035*($E210-AA$9)/$E210,0.002*($E210-AA$9)/($E210-3*cc_D/7))/0.002)))^2)</f>
        <v/>
      </c>
      <c r="AB210">
        <f>MAX(-fyd_cc,MIN(fyd_cc,Es_cc*IF($E210&lt;=cc_D,0.0035*($E210-AB$9)/$E210,0.002*($E210-AB$9)/($E210-3*cc_D/7))))-fcd_cc*(1-(1-MAX(0,MIN(1,IF($E210&lt;=cc_D,0.0035*($E210-AB$9)/$E210,0.002*($E210-AB$9)/($E210-3*cc_D/7))/0.002)))^2)</f>
        <v/>
      </c>
      <c r="AC210">
        <f>MAX(-fyd_cc,MIN(fyd_cc,Es_cc*IF($E210&lt;=cc_D,0.0035*($E210-AC$9)/$E210,0.002*($E210-AC$9)/($E210-3*cc_D/7))))-fcd_cc*(1-(1-MAX(0,MIN(1,IF($E210&lt;=cc_D,0.0035*($E210-AC$9)/$E210,0.002*($E210-AC$9)/($E210-3*cc_D/7))/0.002)))^2)</f>
        <v/>
      </c>
      <c r="AD210">
        <f>MAX(-fyd_cc,MIN(fyd_cc,Es_cc*IF($E210&lt;=cc_D,0.0035*($E210-AD$9)/$E210,0.002*($E210-AD$9)/($E210-3*cc_D/7))))-fcd_cc*(1-(1-MAX(0,MIN(1,IF($E210&lt;=cc_D,0.0035*($E210-AD$9)/$E210,0.002*($E210-AD$9)/($E210-3*cc_D/7))/0.002)))^2)</f>
        <v/>
      </c>
      <c r="AE210">
        <f>MAX(-fyd_cc,MIN(fyd_cc,Es_cc*IF($E210&lt;=cc_D,0.0035*($E210-AE$9)/$E210,0.002*($E210-AE$9)/($E210-3*cc_D/7))))-fcd_cc*(1-(1-MAX(0,MIN(1,IF($E210&lt;=cc_D,0.0035*($E210-AE$9)/$E210,0.002*($E210-AE$9)/($E210-3*cc_D/7))/0.002)))^2)</f>
        <v/>
      </c>
      <c r="AF210">
        <f>MAX(-fyd_cc,MIN(fyd_cc,Es_cc*IF($E210&lt;=cc_D,0.0035*($E210-AF$9)/$E210,0.002*($E210-AF$9)/($E210-3*cc_D/7))))-fcd_cc*(1-(1-MAX(0,MIN(1,IF($E210&lt;=cc_D,0.0035*($E210-AF$9)/$E210,0.002*($E210-AF$9)/($E210-3*cc_D/7))/0.002)))^2)</f>
        <v/>
      </c>
      <c r="AG210">
        <f>MAX(-fyd_cc,MIN(fyd_cc,Es_cc*IF($E210&lt;=cc_D,0.0035*($E210-AG$9)/$E210,0.002*($E210-AG$9)/($E210-3*cc_D/7))))-fcd_cc*(1-(1-MAX(0,MIN(1,IF($E210&lt;=cc_D,0.0035*($E210-AG$9)/$E210,0.002*($E210-AG$9)/($E210-3*cc_D/7))/0.002)))^2)</f>
        <v/>
      </c>
      <c r="BF210">
        <f>3*MIN($E210,cc_D)/7</f>
        <v/>
      </c>
      <c r="BG210">
        <f>$E210-$BF210</f>
        <v/>
      </c>
      <c r="BH210">
        <f>ACOS(MAX(-1,MIN(1,1-$BF210/(cc_D/2))))</f>
        <v/>
      </c>
      <c r="BI210">
        <f>ACOS(MAX(-1,MIN(1,1-MIN($E210,cc_D)/(cc_D/2))))</f>
        <v/>
      </c>
      <c r="BJ210">
        <f>((cc_D/2*(1-COS(($BH210+0*($BI210-$BH210)/12)))-$BF210)/$BG210)^2*SIN(($BH210+0*($BI210-$BH210)/12))^2</f>
        <v/>
      </c>
      <c r="BK210">
        <f>((cc_D/2*(1-COS(($BH210+1*($BI210-$BH210)/12)))-$BF210)/$BG210)^2*SIN(($BH210+1*($BI210-$BH210)/12))^2</f>
        <v/>
      </c>
      <c r="BL210">
        <f>((cc_D/2*(1-COS(($BH210+2*($BI210-$BH210)/12)))-$BF210)/$BG210)^2*SIN(($BH210+2*($BI210-$BH210)/12))^2</f>
        <v/>
      </c>
      <c r="BM210">
        <f>((cc_D/2*(1-COS(($BH210+3*($BI210-$BH210)/12)))-$BF210)/$BG210)^2*SIN(($BH210+3*($BI210-$BH210)/12))^2</f>
        <v/>
      </c>
      <c r="BN210">
        <f>((cc_D/2*(1-COS(($BH210+4*($BI210-$BH210)/12)))-$BF210)/$BG210)^2*SIN(($BH210+4*($BI210-$BH210)/12))^2</f>
        <v/>
      </c>
      <c r="BO210">
        <f>((cc_D/2*(1-COS(($BH210+5*($BI210-$BH210)/12)))-$BF210)/$BG210)^2*SIN(($BH210+5*($BI210-$BH210)/12))^2</f>
        <v/>
      </c>
      <c r="BP210">
        <f>((cc_D/2*(1-COS(($BH210+6*($BI210-$BH210)/12)))-$BF210)/$BG210)^2*SIN(($BH210+6*($BI210-$BH210)/12))^2</f>
        <v/>
      </c>
      <c r="BQ210">
        <f>((cc_D/2*(1-COS(($BH210+7*($BI210-$BH210)/12)))-$BF210)/$BG210)^2*SIN(($BH210+7*($BI210-$BH210)/12))^2</f>
        <v/>
      </c>
      <c r="BR210">
        <f>((cc_D/2*(1-COS(($BH210+8*($BI210-$BH210)/12)))-$BF210)/$BG210)^2*SIN(($BH210+8*($BI210-$BH210)/12))^2</f>
        <v/>
      </c>
      <c r="BS210">
        <f>((cc_D/2*(1-COS(($BH210+9*($BI210-$BH210)/12)))-$BF210)/$BG210)^2*SIN(($BH210+9*($BI210-$BH210)/12))^2</f>
        <v/>
      </c>
      <c r="BT210">
        <f>((cc_D/2*(1-COS(($BH210+10*($BI210-$BH210)/12)))-$BF210)/$BG210)^2*SIN(($BH210+10*($BI210-$BH210)/12))^2</f>
        <v/>
      </c>
      <c r="BU210">
        <f>((cc_D/2*(1-COS(($BH210+11*($BI210-$BH210)/12)))-$BF210)/$BG210)^2*SIN(($BH210+11*($BI210-$BH210)/12))^2</f>
        <v/>
      </c>
      <c r="BV210">
        <f>((cc_D/2*(1-COS(($BH210+12*($BI210-$BH210)/12)))-$BF210)/$BG210)^2*SIN(($BH210+12*($BI210-$BH210)/12))^2</f>
        <v/>
      </c>
      <c r="BW210">
        <f>BJ210*COS(($BH210+0*($BI210-$BH210)/12))</f>
        <v/>
      </c>
      <c r="BX210">
        <f>BK210*COS(($BH210+1*($BI210-$BH210)/12))</f>
        <v/>
      </c>
      <c r="BY210">
        <f>BL210*COS(($BH210+2*($BI210-$BH210)/12))</f>
        <v/>
      </c>
      <c r="BZ210">
        <f>BM210*COS(($BH210+3*($BI210-$BH210)/12))</f>
        <v/>
      </c>
      <c r="CA210">
        <f>BN210*COS(($BH210+4*($BI210-$BH210)/12))</f>
        <v/>
      </c>
      <c r="CB210">
        <f>BO210*COS(($BH210+5*($BI210-$BH210)/12))</f>
        <v/>
      </c>
      <c r="CC210">
        <f>BP210*COS(($BH210+6*($BI210-$BH210)/12))</f>
        <v/>
      </c>
      <c r="CD210">
        <f>BQ210*COS(($BH210+7*($BI210-$BH210)/12))</f>
        <v/>
      </c>
      <c r="CE210">
        <f>BR210*COS(($BH210+8*($BI210-$BH210)/12))</f>
        <v/>
      </c>
      <c r="CF210">
        <f>BS210*COS(($BH210+9*($BI210-$BH210)/12))</f>
        <v/>
      </c>
      <c r="CG210">
        <f>BT210*COS(($BH210+10*($BI210-$BH210)/12))</f>
        <v/>
      </c>
      <c r="CH210">
        <f>BU210*COS(($BH210+11*($BI210-$BH210)/12))</f>
        <v/>
      </c>
      <c r="CI210">
        <f>BV210*COS(($BH210+12*($BI210-$BH210)/12))</f>
        <v/>
      </c>
    </row>
    <row r="211">
      <c r="B211" s="65" t="n">
        <v>59</v>
      </c>
      <c r="C211" s="66">
        <f>IF($G210&lt;cc_NEd-1E-9*ABS(cc_NEd),($C210+$D210)/2,$C210)</f>
        <v/>
      </c>
      <c r="D211" s="66">
        <f>IF($G210&lt;cc_NEd-1E-9*ABS(cc_NEd),$D210,($C210+$D210)/2)</f>
        <v/>
      </c>
      <c r="E211" s="67">
        <f>cc_D*(($C211+$D211)/2)/(1-(($C211+$D211)/2))</f>
        <v/>
      </c>
      <c r="F211" s="68">
        <f>IF($E211&lt;=cc_D,3.5,2*$E211/($E211-3*cc_D/7))</f>
        <v/>
      </c>
      <c r="G211" s="67">
        <f>(fcd_cc*((cc_D/2)^2*($BI211-COS($BI211)*SIN($BI211))-2*(cc_D/2)^2*($BI211-$BH211)/12/3*SUMPRODUCT($BJ$4:$BV$4,$BJ211:$BV211))+SUMPRODUCT($J$5:$AG$5,$J211:$AG211))/1000</f>
        <v/>
      </c>
      <c r="H211" s="67">
        <f>(fcd_cc*(2/3*(cc_D/2)^3*SIN($BI211)^3-2*(cc_D/2)^3*($BI211-$BH211)/12/3*SUMPRODUCT($BW$4:$CI$4,$BW211:$CI211))+SUMPRODUCT($J$5:$AG$5,$J211:$AG211,$J$10:$AG$10))/1E6</f>
        <v/>
      </c>
      <c r="I211" s="67">
        <f>SUMPRODUCT($J$5:$AG$5,$J211:$AG211,$J$11:$AG$11)/1E6</f>
        <v/>
      </c>
      <c r="J211">
        <f>MAX(-fyd_cc,MIN(fyd_cc,Es_cc*IF($E211&lt;=cc_D,0.0035*($E211-J$9)/$E211,0.002*($E211-J$9)/($E211-3*cc_D/7))))-fcd_cc*(1-(1-MAX(0,MIN(1,IF($E211&lt;=cc_D,0.0035*($E211-J$9)/$E211,0.002*($E211-J$9)/($E211-3*cc_D/7))/0.002)))^2)</f>
        <v/>
      </c>
      <c r="K211">
        <f>MAX(-fyd_cc,MIN(fyd_cc,Es_cc*IF($E211&lt;=cc_D,0.0035*($E211-K$9)/$E211,0.002*($E211-K$9)/($E211-3*cc_D/7))))-fcd_cc*(1-(1-MAX(0,MIN(1,IF($E211&lt;=cc_D,0.0035*($E211-K$9)/$E211,0.002*($E211-K$9)/($E211-3*cc_D/7))/0.002)))^2)</f>
        <v/>
      </c>
      <c r="L211">
        <f>MAX(-fyd_cc,MIN(fyd_cc,Es_cc*IF($E211&lt;=cc_D,0.0035*($E211-L$9)/$E211,0.002*($E211-L$9)/($E211-3*cc_D/7))))-fcd_cc*(1-(1-MAX(0,MIN(1,IF($E211&lt;=cc_D,0.0035*($E211-L$9)/$E211,0.002*($E211-L$9)/($E211-3*cc_D/7))/0.002)))^2)</f>
        <v/>
      </c>
      <c r="M211">
        <f>MAX(-fyd_cc,MIN(fyd_cc,Es_cc*IF($E211&lt;=cc_D,0.0035*($E211-M$9)/$E211,0.002*($E211-M$9)/($E211-3*cc_D/7))))-fcd_cc*(1-(1-MAX(0,MIN(1,IF($E211&lt;=cc_D,0.0035*($E211-M$9)/$E211,0.002*($E211-M$9)/($E211-3*cc_D/7))/0.002)))^2)</f>
        <v/>
      </c>
      <c r="N211">
        <f>MAX(-fyd_cc,MIN(fyd_cc,Es_cc*IF($E211&lt;=cc_D,0.0035*($E211-N$9)/$E211,0.002*($E211-N$9)/($E211-3*cc_D/7))))-fcd_cc*(1-(1-MAX(0,MIN(1,IF($E211&lt;=cc_D,0.0035*($E211-N$9)/$E211,0.002*($E211-N$9)/($E211-3*cc_D/7))/0.002)))^2)</f>
        <v/>
      </c>
      <c r="O211">
        <f>MAX(-fyd_cc,MIN(fyd_cc,Es_cc*IF($E211&lt;=cc_D,0.0035*($E211-O$9)/$E211,0.002*($E211-O$9)/($E211-3*cc_D/7))))-fcd_cc*(1-(1-MAX(0,MIN(1,IF($E211&lt;=cc_D,0.0035*($E211-O$9)/$E211,0.002*($E211-O$9)/($E211-3*cc_D/7))/0.002)))^2)</f>
        <v/>
      </c>
      <c r="P211">
        <f>MAX(-fyd_cc,MIN(fyd_cc,Es_cc*IF($E211&lt;=cc_D,0.0035*($E211-P$9)/$E211,0.002*($E211-P$9)/($E211-3*cc_D/7))))-fcd_cc*(1-(1-MAX(0,MIN(1,IF($E211&lt;=cc_D,0.0035*($E211-P$9)/$E211,0.002*($E211-P$9)/($E211-3*cc_D/7))/0.002)))^2)</f>
        <v/>
      </c>
      <c r="Q211">
        <f>MAX(-fyd_cc,MIN(fyd_cc,Es_cc*IF($E211&lt;=cc_D,0.0035*($E211-Q$9)/$E211,0.002*($E211-Q$9)/($E211-3*cc_D/7))))-fcd_cc*(1-(1-MAX(0,MIN(1,IF($E211&lt;=cc_D,0.0035*($E211-Q$9)/$E211,0.002*($E211-Q$9)/($E211-3*cc_D/7))/0.002)))^2)</f>
        <v/>
      </c>
      <c r="R211">
        <f>MAX(-fyd_cc,MIN(fyd_cc,Es_cc*IF($E211&lt;=cc_D,0.0035*($E211-R$9)/$E211,0.002*($E211-R$9)/($E211-3*cc_D/7))))-fcd_cc*(1-(1-MAX(0,MIN(1,IF($E211&lt;=cc_D,0.0035*($E211-R$9)/$E211,0.002*($E211-R$9)/($E211-3*cc_D/7))/0.002)))^2)</f>
        <v/>
      </c>
      <c r="S211">
        <f>MAX(-fyd_cc,MIN(fyd_cc,Es_cc*IF($E211&lt;=cc_D,0.0035*($E211-S$9)/$E211,0.002*($E211-S$9)/($E211-3*cc_D/7))))-fcd_cc*(1-(1-MAX(0,MIN(1,IF($E211&lt;=cc_D,0.0035*($E211-S$9)/$E211,0.002*($E211-S$9)/($E211-3*cc_D/7))/0.002)))^2)</f>
        <v/>
      </c>
      <c r="T211">
        <f>MAX(-fyd_cc,MIN(fyd_cc,Es_cc*IF($E211&lt;=cc_D,0.0035*($E211-T$9)/$E211,0.002*($E211-T$9)/($E211-3*cc_D/7))))-fcd_cc*(1-(1-MAX(0,MIN(1,IF($E211&lt;=cc_D,0.0035*($E211-T$9)/$E211,0.002*($E211-T$9)/($E211-3*cc_D/7))/0.002)))^2)</f>
        <v/>
      </c>
      <c r="U211">
        <f>MAX(-fyd_cc,MIN(fyd_cc,Es_cc*IF($E211&lt;=cc_D,0.0035*($E211-U$9)/$E211,0.002*($E211-U$9)/($E211-3*cc_D/7))))-fcd_cc*(1-(1-MAX(0,MIN(1,IF($E211&lt;=cc_D,0.0035*($E211-U$9)/$E211,0.002*($E211-U$9)/($E211-3*cc_D/7))/0.002)))^2)</f>
        <v/>
      </c>
      <c r="V211">
        <f>MAX(-fyd_cc,MIN(fyd_cc,Es_cc*IF($E211&lt;=cc_D,0.0035*($E211-V$9)/$E211,0.002*($E211-V$9)/($E211-3*cc_D/7))))-fcd_cc*(1-(1-MAX(0,MIN(1,IF($E211&lt;=cc_D,0.0035*($E211-V$9)/$E211,0.002*($E211-V$9)/($E211-3*cc_D/7))/0.002)))^2)</f>
        <v/>
      </c>
      <c r="W211">
        <f>MAX(-fyd_cc,MIN(fyd_cc,Es_cc*IF($E211&lt;=cc_D,0.0035*($E211-W$9)/$E211,0.002*($E211-W$9)/($E211-3*cc_D/7))))-fcd_cc*(1-(1-MAX(0,MIN(1,IF($E211&lt;=cc_D,0.0035*($E211-W$9)/$E211,0.002*($E211-W$9)/($E211-3*cc_D/7))/0.002)))^2)</f>
        <v/>
      </c>
      <c r="X211">
        <f>MAX(-fyd_cc,MIN(fyd_cc,Es_cc*IF($E211&lt;=cc_D,0.0035*($E211-X$9)/$E211,0.002*($E211-X$9)/($E211-3*cc_D/7))))-fcd_cc*(1-(1-MAX(0,MIN(1,IF($E211&lt;=cc_D,0.0035*($E211-X$9)/$E211,0.002*($E211-X$9)/($E211-3*cc_D/7))/0.002)))^2)</f>
        <v/>
      </c>
      <c r="Y211">
        <f>MAX(-fyd_cc,MIN(fyd_cc,Es_cc*IF($E211&lt;=cc_D,0.0035*($E211-Y$9)/$E211,0.002*($E211-Y$9)/($E211-3*cc_D/7))))-fcd_cc*(1-(1-MAX(0,MIN(1,IF($E211&lt;=cc_D,0.0035*($E211-Y$9)/$E211,0.002*($E211-Y$9)/($E211-3*cc_D/7))/0.002)))^2)</f>
        <v/>
      </c>
      <c r="Z211">
        <f>MAX(-fyd_cc,MIN(fyd_cc,Es_cc*IF($E211&lt;=cc_D,0.0035*($E211-Z$9)/$E211,0.002*($E211-Z$9)/($E211-3*cc_D/7))))-fcd_cc*(1-(1-MAX(0,MIN(1,IF($E211&lt;=cc_D,0.0035*($E211-Z$9)/$E211,0.002*($E211-Z$9)/($E211-3*cc_D/7))/0.002)))^2)</f>
        <v/>
      </c>
      <c r="AA211">
        <f>MAX(-fyd_cc,MIN(fyd_cc,Es_cc*IF($E211&lt;=cc_D,0.0035*($E211-AA$9)/$E211,0.002*($E211-AA$9)/($E211-3*cc_D/7))))-fcd_cc*(1-(1-MAX(0,MIN(1,IF($E211&lt;=cc_D,0.0035*($E211-AA$9)/$E211,0.002*($E211-AA$9)/($E211-3*cc_D/7))/0.002)))^2)</f>
        <v/>
      </c>
      <c r="AB211">
        <f>MAX(-fyd_cc,MIN(fyd_cc,Es_cc*IF($E211&lt;=cc_D,0.0035*($E211-AB$9)/$E211,0.002*($E211-AB$9)/($E211-3*cc_D/7))))-fcd_cc*(1-(1-MAX(0,MIN(1,IF($E211&lt;=cc_D,0.0035*($E211-AB$9)/$E211,0.002*($E211-AB$9)/($E211-3*cc_D/7))/0.002)))^2)</f>
        <v/>
      </c>
      <c r="AC211">
        <f>MAX(-fyd_cc,MIN(fyd_cc,Es_cc*IF($E211&lt;=cc_D,0.0035*($E211-AC$9)/$E211,0.002*($E211-AC$9)/($E211-3*cc_D/7))))-fcd_cc*(1-(1-MAX(0,MIN(1,IF($E211&lt;=cc_D,0.0035*($E211-AC$9)/$E211,0.002*($E211-AC$9)/($E211-3*cc_D/7))/0.002)))^2)</f>
        <v/>
      </c>
      <c r="AD211">
        <f>MAX(-fyd_cc,MIN(fyd_cc,Es_cc*IF($E211&lt;=cc_D,0.0035*($E211-AD$9)/$E211,0.002*($E211-AD$9)/($E211-3*cc_D/7))))-fcd_cc*(1-(1-MAX(0,MIN(1,IF($E211&lt;=cc_D,0.0035*($E211-AD$9)/$E211,0.002*($E211-AD$9)/($E211-3*cc_D/7))/0.002)))^2)</f>
        <v/>
      </c>
      <c r="AE211">
        <f>MAX(-fyd_cc,MIN(fyd_cc,Es_cc*IF($E211&lt;=cc_D,0.0035*($E211-AE$9)/$E211,0.002*($E211-AE$9)/($E211-3*cc_D/7))))-fcd_cc*(1-(1-MAX(0,MIN(1,IF($E211&lt;=cc_D,0.0035*($E211-AE$9)/$E211,0.002*($E211-AE$9)/($E211-3*cc_D/7))/0.002)))^2)</f>
        <v/>
      </c>
      <c r="AF211">
        <f>MAX(-fyd_cc,MIN(fyd_cc,Es_cc*IF($E211&lt;=cc_D,0.0035*($E211-AF$9)/$E211,0.002*($E211-AF$9)/($E211-3*cc_D/7))))-fcd_cc*(1-(1-MAX(0,MIN(1,IF($E211&lt;=cc_D,0.0035*($E211-AF$9)/$E211,0.002*($E211-AF$9)/($E211-3*cc_D/7))/0.002)))^2)</f>
        <v/>
      </c>
      <c r="AG211">
        <f>MAX(-fyd_cc,MIN(fyd_cc,Es_cc*IF($E211&lt;=cc_D,0.0035*($E211-AG$9)/$E211,0.002*($E211-AG$9)/($E211-3*cc_D/7))))-fcd_cc*(1-(1-MAX(0,MIN(1,IF($E211&lt;=cc_D,0.0035*($E211-AG$9)/$E211,0.002*($E211-AG$9)/($E211-3*cc_D/7))/0.002)))^2)</f>
        <v/>
      </c>
      <c r="BF211">
        <f>3*MIN($E211,cc_D)/7</f>
        <v/>
      </c>
      <c r="BG211">
        <f>$E211-$BF211</f>
        <v/>
      </c>
      <c r="BH211">
        <f>ACOS(MAX(-1,MIN(1,1-$BF211/(cc_D/2))))</f>
        <v/>
      </c>
      <c r="BI211">
        <f>ACOS(MAX(-1,MIN(1,1-MIN($E211,cc_D)/(cc_D/2))))</f>
        <v/>
      </c>
      <c r="BJ211">
        <f>((cc_D/2*(1-COS(($BH211+0*($BI211-$BH211)/12)))-$BF211)/$BG211)^2*SIN(($BH211+0*($BI211-$BH211)/12))^2</f>
        <v/>
      </c>
      <c r="BK211">
        <f>((cc_D/2*(1-COS(($BH211+1*($BI211-$BH211)/12)))-$BF211)/$BG211)^2*SIN(($BH211+1*($BI211-$BH211)/12))^2</f>
        <v/>
      </c>
      <c r="BL211">
        <f>((cc_D/2*(1-COS(($BH211+2*($BI211-$BH211)/12)))-$BF211)/$BG211)^2*SIN(($BH211+2*($BI211-$BH211)/12))^2</f>
        <v/>
      </c>
      <c r="BM211">
        <f>((cc_D/2*(1-COS(($BH211+3*($BI211-$BH211)/12)))-$BF211)/$BG211)^2*SIN(($BH211+3*($BI211-$BH211)/12))^2</f>
        <v/>
      </c>
      <c r="BN211">
        <f>((cc_D/2*(1-COS(($BH211+4*($BI211-$BH211)/12)))-$BF211)/$BG211)^2*SIN(($BH211+4*($BI211-$BH211)/12))^2</f>
        <v/>
      </c>
      <c r="BO211">
        <f>((cc_D/2*(1-COS(($BH211+5*($BI211-$BH211)/12)))-$BF211)/$BG211)^2*SIN(($BH211+5*($BI211-$BH211)/12))^2</f>
        <v/>
      </c>
      <c r="BP211">
        <f>((cc_D/2*(1-COS(($BH211+6*($BI211-$BH211)/12)))-$BF211)/$BG211)^2*SIN(($BH211+6*($BI211-$BH211)/12))^2</f>
        <v/>
      </c>
      <c r="BQ211">
        <f>((cc_D/2*(1-COS(($BH211+7*($BI211-$BH211)/12)))-$BF211)/$BG211)^2*SIN(($BH211+7*($BI211-$BH211)/12))^2</f>
        <v/>
      </c>
      <c r="BR211">
        <f>((cc_D/2*(1-COS(($BH211+8*($BI211-$BH211)/12)))-$BF211)/$BG211)^2*SIN(($BH211+8*($BI211-$BH211)/12))^2</f>
        <v/>
      </c>
      <c r="BS211">
        <f>((cc_D/2*(1-COS(($BH211+9*($BI211-$BH211)/12)))-$BF211)/$BG211)^2*SIN(($BH211+9*($BI211-$BH211)/12))^2</f>
        <v/>
      </c>
      <c r="BT211">
        <f>((cc_D/2*(1-COS(($BH211+10*($BI211-$BH211)/12)))-$BF211)/$BG211)^2*SIN(($BH211+10*($BI211-$BH211)/12))^2</f>
        <v/>
      </c>
      <c r="BU211">
        <f>((cc_D/2*(1-COS(($BH211+11*($BI211-$BH211)/12)))-$BF211)/$BG211)^2*SIN(($BH211+11*($BI211-$BH211)/12))^2</f>
        <v/>
      </c>
      <c r="BV211">
        <f>((cc_D/2*(1-COS(($BH211+12*($BI211-$BH211)/12)))-$BF211)/$BG211)^2*SIN(($BH211+12*($BI211-$BH211)/12))^2</f>
        <v/>
      </c>
      <c r="BW211">
        <f>BJ211*COS(($BH211+0*($BI211-$BH211)/12))</f>
        <v/>
      </c>
      <c r="BX211">
        <f>BK211*COS(($BH211+1*($BI211-$BH211)/12))</f>
        <v/>
      </c>
      <c r="BY211">
        <f>BL211*COS(($BH211+2*($BI211-$BH211)/12))</f>
        <v/>
      </c>
      <c r="BZ211">
        <f>BM211*COS(($BH211+3*($BI211-$BH211)/12))</f>
        <v/>
      </c>
      <c r="CA211">
        <f>BN211*COS(($BH211+4*($BI211-$BH211)/12))</f>
        <v/>
      </c>
      <c r="CB211">
        <f>BO211*COS(($BH211+5*($BI211-$BH211)/12))</f>
        <v/>
      </c>
      <c r="CC211">
        <f>BP211*COS(($BH211+6*($BI211-$BH211)/12))</f>
        <v/>
      </c>
      <c r="CD211">
        <f>BQ211*COS(($BH211+7*($BI211-$BH211)/12))</f>
        <v/>
      </c>
      <c r="CE211">
        <f>BR211*COS(($BH211+8*($BI211-$BH211)/12))</f>
        <v/>
      </c>
      <c r="CF211">
        <f>BS211*COS(($BH211+9*($BI211-$BH211)/12))</f>
        <v/>
      </c>
      <c r="CG211">
        <f>BT211*COS(($BH211+10*($BI211-$BH211)/12))</f>
        <v/>
      </c>
      <c r="CH211">
        <f>BU211*COS(($BH211+11*($BI211-$BH211)/12))</f>
        <v/>
      </c>
      <c r="CI211">
        <f>BV211*COS(($BH211+12*($BI211-$BH211)/12))</f>
        <v/>
      </c>
    </row>
    <row r="212">
      <c r="B212" s="65" t="n">
        <v>60</v>
      </c>
      <c r="C212" s="66">
        <f>IF($G211&lt;cc_NEd-1E-9*ABS(cc_NEd),($C211+$D211)/2,$C211)</f>
        <v/>
      </c>
      <c r="D212" s="66">
        <f>IF($G211&lt;cc_NEd-1E-9*ABS(cc_NEd),$D211,($C211+$D211)/2)</f>
        <v/>
      </c>
      <c r="E212" s="67">
        <f>cc_D*(($C212+$D212)/2)/(1-(($C212+$D212)/2))</f>
        <v/>
      </c>
      <c r="F212" s="68">
        <f>IF($E212&lt;=cc_D,3.5,2*$E212/($E212-3*cc_D/7))</f>
        <v/>
      </c>
      <c r="G212" s="67">
        <f>(fcd_cc*((cc_D/2)^2*($BI212-COS($BI212)*SIN($BI212))-2*(cc_D/2)^2*($BI212-$BH212)/12/3*SUMPRODUCT($BJ$4:$BV$4,$BJ212:$BV212))+SUMPRODUCT($J$5:$AG$5,$J212:$AG212))/1000</f>
        <v/>
      </c>
      <c r="H212" s="67">
        <f>(fcd_cc*(2/3*(cc_D/2)^3*SIN($BI212)^3-2*(cc_D/2)^3*($BI212-$BH212)/12/3*SUMPRODUCT($BW$4:$CI$4,$BW212:$CI212))+SUMPRODUCT($J$5:$AG$5,$J212:$AG212,$J$10:$AG$10))/1E6</f>
        <v/>
      </c>
      <c r="I212" s="67">
        <f>SUMPRODUCT($J$5:$AG$5,$J212:$AG212,$J$11:$AG$11)/1E6</f>
        <v/>
      </c>
      <c r="J212">
        <f>MAX(-fyd_cc,MIN(fyd_cc,Es_cc*IF($E212&lt;=cc_D,0.0035*($E212-J$9)/$E212,0.002*($E212-J$9)/($E212-3*cc_D/7))))-fcd_cc*(1-(1-MAX(0,MIN(1,IF($E212&lt;=cc_D,0.0035*($E212-J$9)/$E212,0.002*($E212-J$9)/($E212-3*cc_D/7))/0.002)))^2)</f>
        <v/>
      </c>
      <c r="K212">
        <f>MAX(-fyd_cc,MIN(fyd_cc,Es_cc*IF($E212&lt;=cc_D,0.0035*($E212-K$9)/$E212,0.002*($E212-K$9)/($E212-3*cc_D/7))))-fcd_cc*(1-(1-MAX(0,MIN(1,IF($E212&lt;=cc_D,0.0035*($E212-K$9)/$E212,0.002*($E212-K$9)/($E212-3*cc_D/7))/0.002)))^2)</f>
        <v/>
      </c>
      <c r="L212">
        <f>MAX(-fyd_cc,MIN(fyd_cc,Es_cc*IF($E212&lt;=cc_D,0.0035*($E212-L$9)/$E212,0.002*($E212-L$9)/($E212-3*cc_D/7))))-fcd_cc*(1-(1-MAX(0,MIN(1,IF($E212&lt;=cc_D,0.0035*($E212-L$9)/$E212,0.002*($E212-L$9)/($E212-3*cc_D/7))/0.002)))^2)</f>
        <v/>
      </c>
      <c r="M212">
        <f>MAX(-fyd_cc,MIN(fyd_cc,Es_cc*IF($E212&lt;=cc_D,0.0035*($E212-M$9)/$E212,0.002*($E212-M$9)/($E212-3*cc_D/7))))-fcd_cc*(1-(1-MAX(0,MIN(1,IF($E212&lt;=cc_D,0.0035*($E212-M$9)/$E212,0.002*($E212-M$9)/($E212-3*cc_D/7))/0.002)))^2)</f>
        <v/>
      </c>
      <c r="N212">
        <f>MAX(-fyd_cc,MIN(fyd_cc,Es_cc*IF($E212&lt;=cc_D,0.0035*($E212-N$9)/$E212,0.002*($E212-N$9)/($E212-3*cc_D/7))))-fcd_cc*(1-(1-MAX(0,MIN(1,IF($E212&lt;=cc_D,0.0035*($E212-N$9)/$E212,0.002*($E212-N$9)/($E212-3*cc_D/7))/0.002)))^2)</f>
        <v/>
      </c>
      <c r="O212">
        <f>MAX(-fyd_cc,MIN(fyd_cc,Es_cc*IF($E212&lt;=cc_D,0.0035*($E212-O$9)/$E212,0.002*($E212-O$9)/($E212-3*cc_D/7))))-fcd_cc*(1-(1-MAX(0,MIN(1,IF($E212&lt;=cc_D,0.0035*($E212-O$9)/$E212,0.002*($E212-O$9)/($E212-3*cc_D/7))/0.002)))^2)</f>
        <v/>
      </c>
      <c r="P212">
        <f>MAX(-fyd_cc,MIN(fyd_cc,Es_cc*IF($E212&lt;=cc_D,0.0035*($E212-P$9)/$E212,0.002*($E212-P$9)/($E212-3*cc_D/7))))-fcd_cc*(1-(1-MAX(0,MIN(1,IF($E212&lt;=cc_D,0.0035*($E212-P$9)/$E212,0.002*($E212-P$9)/($E212-3*cc_D/7))/0.002)))^2)</f>
        <v/>
      </c>
      <c r="Q212">
        <f>MAX(-fyd_cc,MIN(fyd_cc,Es_cc*IF($E212&lt;=cc_D,0.0035*($E212-Q$9)/$E212,0.002*($E212-Q$9)/($E212-3*cc_D/7))))-fcd_cc*(1-(1-MAX(0,MIN(1,IF($E212&lt;=cc_D,0.0035*($E212-Q$9)/$E212,0.002*($E212-Q$9)/($E212-3*cc_D/7))/0.002)))^2)</f>
        <v/>
      </c>
      <c r="R212">
        <f>MAX(-fyd_cc,MIN(fyd_cc,Es_cc*IF($E212&lt;=cc_D,0.0035*($E212-R$9)/$E212,0.002*($E212-R$9)/($E212-3*cc_D/7))))-fcd_cc*(1-(1-MAX(0,MIN(1,IF($E212&lt;=cc_D,0.0035*($E212-R$9)/$E212,0.002*($E212-R$9)/($E212-3*cc_D/7))/0.002)))^2)</f>
        <v/>
      </c>
      <c r="S212">
        <f>MAX(-fyd_cc,MIN(fyd_cc,Es_cc*IF($E212&lt;=cc_D,0.0035*($E212-S$9)/$E212,0.002*($E212-S$9)/($E212-3*cc_D/7))))-fcd_cc*(1-(1-MAX(0,MIN(1,IF($E212&lt;=cc_D,0.0035*($E212-S$9)/$E212,0.002*($E212-S$9)/($E212-3*cc_D/7))/0.002)))^2)</f>
        <v/>
      </c>
      <c r="T212">
        <f>MAX(-fyd_cc,MIN(fyd_cc,Es_cc*IF($E212&lt;=cc_D,0.0035*($E212-T$9)/$E212,0.002*($E212-T$9)/($E212-3*cc_D/7))))-fcd_cc*(1-(1-MAX(0,MIN(1,IF($E212&lt;=cc_D,0.0035*($E212-T$9)/$E212,0.002*($E212-T$9)/($E212-3*cc_D/7))/0.002)))^2)</f>
        <v/>
      </c>
      <c r="U212">
        <f>MAX(-fyd_cc,MIN(fyd_cc,Es_cc*IF($E212&lt;=cc_D,0.0035*($E212-U$9)/$E212,0.002*($E212-U$9)/($E212-3*cc_D/7))))-fcd_cc*(1-(1-MAX(0,MIN(1,IF($E212&lt;=cc_D,0.0035*($E212-U$9)/$E212,0.002*($E212-U$9)/($E212-3*cc_D/7))/0.002)))^2)</f>
        <v/>
      </c>
      <c r="V212">
        <f>MAX(-fyd_cc,MIN(fyd_cc,Es_cc*IF($E212&lt;=cc_D,0.0035*($E212-V$9)/$E212,0.002*($E212-V$9)/($E212-3*cc_D/7))))-fcd_cc*(1-(1-MAX(0,MIN(1,IF($E212&lt;=cc_D,0.0035*($E212-V$9)/$E212,0.002*($E212-V$9)/($E212-3*cc_D/7))/0.002)))^2)</f>
        <v/>
      </c>
      <c r="W212">
        <f>MAX(-fyd_cc,MIN(fyd_cc,Es_cc*IF($E212&lt;=cc_D,0.0035*($E212-W$9)/$E212,0.002*($E212-W$9)/($E212-3*cc_D/7))))-fcd_cc*(1-(1-MAX(0,MIN(1,IF($E212&lt;=cc_D,0.0035*($E212-W$9)/$E212,0.002*($E212-W$9)/($E212-3*cc_D/7))/0.002)))^2)</f>
        <v/>
      </c>
      <c r="X212">
        <f>MAX(-fyd_cc,MIN(fyd_cc,Es_cc*IF($E212&lt;=cc_D,0.0035*($E212-X$9)/$E212,0.002*($E212-X$9)/($E212-3*cc_D/7))))-fcd_cc*(1-(1-MAX(0,MIN(1,IF($E212&lt;=cc_D,0.0035*($E212-X$9)/$E212,0.002*($E212-X$9)/($E212-3*cc_D/7))/0.002)))^2)</f>
        <v/>
      </c>
      <c r="Y212">
        <f>MAX(-fyd_cc,MIN(fyd_cc,Es_cc*IF($E212&lt;=cc_D,0.0035*($E212-Y$9)/$E212,0.002*($E212-Y$9)/($E212-3*cc_D/7))))-fcd_cc*(1-(1-MAX(0,MIN(1,IF($E212&lt;=cc_D,0.0035*($E212-Y$9)/$E212,0.002*($E212-Y$9)/($E212-3*cc_D/7))/0.002)))^2)</f>
        <v/>
      </c>
      <c r="Z212">
        <f>MAX(-fyd_cc,MIN(fyd_cc,Es_cc*IF($E212&lt;=cc_D,0.0035*($E212-Z$9)/$E212,0.002*($E212-Z$9)/($E212-3*cc_D/7))))-fcd_cc*(1-(1-MAX(0,MIN(1,IF($E212&lt;=cc_D,0.0035*($E212-Z$9)/$E212,0.002*($E212-Z$9)/($E212-3*cc_D/7))/0.002)))^2)</f>
        <v/>
      </c>
      <c r="AA212">
        <f>MAX(-fyd_cc,MIN(fyd_cc,Es_cc*IF($E212&lt;=cc_D,0.0035*($E212-AA$9)/$E212,0.002*($E212-AA$9)/($E212-3*cc_D/7))))-fcd_cc*(1-(1-MAX(0,MIN(1,IF($E212&lt;=cc_D,0.0035*($E212-AA$9)/$E212,0.002*($E212-AA$9)/($E212-3*cc_D/7))/0.002)))^2)</f>
        <v/>
      </c>
      <c r="AB212">
        <f>MAX(-fyd_cc,MIN(fyd_cc,Es_cc*IF($E212&lt;=cc_D,0.0035*($E212-AB$9)/$E212,0.002*($E212-AB$9)/($E212-3*cc_D/7))))-fcd_cc*(1-(1-MAX(0,MIN(1,IF($E212&lt;=cc_D,0.0035*($E212-AB$9)/$E212,0.002*($E212-AB$9)/($E212-3*cc_D/7))/0.002)))^2)</f>
        <v/>
      </c>
      <c r="AC212">
        <f>MAX(-fyd_cc,MIN(fyd_cc,Es_cc*IF($E212&lt;=cc_D,0.0035*($E212-AC$9)/$E212,0.002*($E212-AC$9)/($E212-3*cc_D/7))))-fcd_cc*(1-(1-MAX(0,MIN(1,IF($E212&lt;=cc_D,0.0035*($E212-AC$9)/$E212,0.002*($E212-AC$9)/($E212-3*cc_D/7))/0.002)))^2)</f>
        <v/>
      </c>
      <c r="AD212">
        <f>MAX(-fyd_cc,MIN(fyd_cc,Es_cc*IF($E212&lt;=cc_D,0.0035*($E212-AD$9)/$E212,0.002*($E212-AD$9)/($E212-3*cc_D/7))))-fcd_cc*(1-(1-MAX(0,MIN(1,IF($E212&lt;=cc_D,0.0035*($E212-AD$9)/$E212,0.002*($E212-AD$9)/($E212-3*cc_D/7))/0.002)))^2)</f>
        <v/>
      </c>
      <c r="AE212">
        <f>MAX(-fyd_cc,MIN(fyd_cc,Es_cc*IF($E212&lt;=cc_D,0.0035*($E212-AE$9)/$E212,0.002*($E212-AE$9)/($E212-3*cc_D/7))))-fcd_cc*(1-(1-MAX(0,MIN(1,IF($E212&lt;=cc_D,0.0035*($E212-AE$9)/$E212,0.002*($E212-AE$9)/($E212-3*cc_D/7))/0.002)))^2)</f>
        <v/>
      </c>
      <c r="AF212">
        <f>MAX(-fyd_cc,MIN(fyd_cc,Es_cc*IF($E212&lt;=cc_D,0.0035*($E212-AF$9)/$E212,0.002*($E212-AF$9)/($E212-3*cc_D/7))))-fcd_cc*(1-(1-MAX(0,MIN(1,IF($E212&lt;=cc_D,0.0035*($E212-AF$9)/$E212,0.002*($E212-AF$9)/($E212-3*cc_D/7))/0.002)))^2)</f>
        <v/>
      </c>
      <c r="AG212">
        <f>MAX(-fyd_cc,MIN(fyd_cc,Es_cc*IF($E212&lt;=cc_D,0.0035*($E212-AG$9)/$E212,0.002*($E212-AG$9)/($E212-3*cc_D/7))))-fcd_cc*(1-(1-MAX(0,MIN(1,IF($E212&lt;=cc_D,0.0035*($E212-AG$9)/$E212,0.002*($E212-AG$9)/($E212-3*cc_D/7))/0.002)))^2)</f>
        <v/>
      </c>
      <c r="BF212">
        <f>3*MIN($E212,cc_D)/7</f>
        <v/>
      </c>
      <c r="BG212">
        <f>$E212-$BF212</f>
        <v/>
      </c>
      <c r="BH212">
        <f>ACOS(MAX(-1,MIN(1,1-$BF212/(cc_D/2))))</f>
        <v/>
      </c>
      <c r="BI212">
        <f>ACOS(MAX(-1,MIN(1,1-MIN($E212,cc_D)/(cc_D/2))))</f>
        <v/>
      </c>
      <c r="BJ212">
        <f>((cc_D/2*(1-COS(($BH212+0*($BI212-$BH212)/12)))-$BF212)/$BG212)^2*SIN(($BH212+0*($BI212-$BH212)/12))^2</f>
        <v/>
      </c>
      <c r="BK212">
        <f>((cc_D/2*(1-COS(($BH212+1*($BI212-$BH212)/12)))-$BF212)/$BG212)^2*SIN(($BH212+1*($BI212-$BH212)/12))^2</f>
        <v/>
      </c>
      <c r="BL212">
        <f>((cc_D/2*(1-COS(($BH212+2*($BI212-$BH212)/12)))-$BF212)/$BG212)^2*SIN(($BH212+2*($BI212-$BH212)/12))^2</f>
        <v/>
      </c>
      <c r="BM212">
        <f>((cc_D/2*(1-COS(($BH212+3*($BI212-$BH212)/12)))-$BF212)/$BG212)^2*SIN(($BH212+3*($BI212-$BH212)/12))^2</f>
        <v/>
      </c>
      <c r="BN212">
        <f>((cc_D/2*(1-COS(($BH212+4*($BI212-$BH212)/12)))-$BF212)/$BG212)^2*SIN(($BH212+4*($BI212-$BH212)/12))^2</f>
        <v/>
      </c>
      <c r="BO212">
        <f>((cc_D/2*(1-COS(($BH212+5*($BI212-$BH212)/12)))-$BF212)/$BG212)^2*SIN(($BH212+5*($BI212-$BH212)/12))^2</f>
        <v/>
      </c>
      <c r="BP212">
        <f>((cc_D/2*(1-COS(($BH212+6*($BI212-$BH212)/12)))-$BF212)/$BG212)^2*SIN(($BH212+6*($BI212-$BH212)/12))^2</f>
        <v/>
      </c>
      <c r="BQ212">
        <f>((cc_D/2*(1-COS(($BH212+7*($BI212-$BH212)/12)))-$BF212)/$BG212)^2*SIN(($BH212+7*($BI212-$BH212)/12))^2</f>
        <v/>
      </c>
      <c r="BR212">
        <f>((cc_D/2*(1-COS(($BH212+8*($BI212-$BH212)/12)))-$BF212)/$BG212)^2*SIN(($BH212+8*($BI212-$BH212)/12))^2</f>
        <v/>
      </c>
      <c r="BS212">
        <f>((cc_D/2*(1-COS(($BH212+9*($BI212-$BH212)/12)))-$BF212)/$BG212)^2*SIN(($BH212+9*($BI212-$BH212)/12))^2</f>
        <v/>
      </c>
      <c r="BT212">
        <f>((cc_D/2*(1-COS(($BH212+10*($BI212-$BH212)/12)))-$BF212)/$BG212)^2*SIN(($BH212+10*($BI212-$BH212)/12))^2</f>
        <v/>
      </c>
      <c r="BU212">
        <f>((cc_D/2*(1-COS(($BH212+11*($BI212-$BH212)/12)))-$BF212)/$BG212)^2*SIN(($BH212+11*($BI212-$BH212)/12))^2</f>
        <v/>
      </c>
      <c r="BV212">
        <f>((cc_D/2*(1-COS(($BH212+12*($BI212-$BH212)/12)))-$BF212)/$BG212)^2*SIN(($BH212+12*($BI212-$BH212)/12))^2</f>
        <v/>
      </c>
      <c r="BW212">
        <f>BJ212*COS(($BH212+0*($BI212-$BH212)/12))</f>
        <v/>
      </c>
      <c r="BX212">
        <f>BK212*COS(($BH212+1*($BI212-$BH212)/12))</f>
        <v/>
      </c>
      <c r="BY212">
        <f>BL212*COS(($BH212+2*($BI212-$BH212)/12))</f>
        <v/>
      </c>
      <c r="BZ212">
        <f>BM212*COS(($BH212+3*($BI212-$BH212)/12))</f>
        <v/>
      </c>
      <c r="CA212">
        <f>BN212*COS(($BH212+4*($BI212-$BH212)/12))</f>
        <v/>
      </c>
      <c r="CB212">
        <f>BO212*COS(($BH212+5*($BI212-$BH212)/12))</f>
        <v/>
      </c>
      <c r="CC212">
        <f>BP212*COS(($BH212+6*($BI212-$BH212)/12))</f>
        <v/>
      </c>
      <c r="CD212">
        <f>BQ212*COS(($BH212+7*($BI212-$BH212)/12))</f>
        <v/>
      </c>
      <c r="CE212">
        <f>BR212*COS(($BH212+8*($BI212-$BH212)/12))</f>
        <v/>
      </c>
      <c r="CF212">
        <f>BS212*COS(($BH212+9*($BI212-$BH212)/12))</f>
        <v/>
      </c>
      <c r="CG212">
        <f>BT212*COS(($BH212+10*($BI212-$BH212)/12))</f>
        <v/>
      </c>
      <c r="CH212">
        <f>BU212*COS(($BH212+11*($BI212-$BH212)/12))</f>
        <v/>
      </c>
      <c r="CI212">
        <f>BV212*COS(($BH212+12*($BI212-$BH212)/12))</f>
        <v/>
      </c>
    </row>
    <row r="214">
      <c r="B214" s="59" t="inlineStr">
        <is>
          <t>Orientation Q2  ·  turned by 0.5 π/n</t>
        </is>
      </c>
    </row>
    <row r="215">
      <c r="B215" s="52" t="inlineStr">
        <is>
          <t>step</t>
        </is>
      </c>
      <c r="C215" s="52" t="inlineStr">
        <is>
          <t>u low</t>
        </is>
      </c>
      <c r="D215" s="52" t="inlineStr">
        <is>
          <t>u high</t>
        </is>
      </c>
      <c r="E215" s="52" t="inlineStr">
        <is>
          <t>x (mm)</t>
        </is>
      </c>
      <c r="F215" s="52" t="inlineStr">
        <is>
          <t>εc top (‰)</t>
        </is>
      </c>
      <c r="G215" s="52" t="inlineStr">
        <is>
          <t>N (kN)</t>
        </is>
      </c>
      <c r="H215" s="52" t="inlineStr">
        <is>
          <t>M (kNm)</t>
        </is>
      </c>
      <c r="I215" s="52" t="inlineStr">
        <is>
          <t>M⊥ (kNm)</t>
        </is>
      </c>
    </row>
    <row r="216">
      <c r="B216" s="65" t="n">
        <v>1</v>
      </c>
      <c r="C216" s="66" t="n">
        <v>0</v>
      </c>
      <c r="D216" s="66">
        <f>1-1E-12</f>
        <v/>
      </c>
      <c r="E216" s="67">
        <f>cc_D*(($C216+$D216)/2)/(1-(($C216+$D216)/2))</f>
        <v/>
      </c>
      <c r="F216" s="68">
        <f>IF($E216&lt;=cc_D,3.5,2*$E216/($E216-3*cc_D/7))</f>
        <v/>
      </c>
      <c r="G216" s="67">
        <f>(fcd_cc*((cc_D/2)^2*($BI216-COS($BI216)*SIN($BI216))-2*(cc_D/2)^2*($BI216-$BH216)/12/3*SUMPRODUCT($BJ$4:$BV$4,$BJ216:$BV216))+SUMPRODUCT($J$5:$AG$5,$J216:$AG216))/1000</f>
        <v/>
      </c>
      <c r="H216" s="67">
        <f>(fcd_cc*(2/3*(cc_D/2)^3*SIN($BI216)^3-2*(cc_D/2)^3*($BI216-$BH216)/12/3*SUMPRODUCT($BW$4:$CI$4,$BW216:$CI216))+SUMPRODUCT($J$5:$AG$5,$J216:$AG216,$J$13:$AG$13))/1E6</f>
        <v/>
      </c>
      <c r="I216" s="67">
        <f>SUMPRODUCT($J$5:$AG$5,$J216:$AG216,$J$14:$AG$14)/1E6</f>
        <v/>
      </c>
      <c r="J216">
        <f>MAX(-fyd_cc,MIN(fyd_cc,Es_cc*IF($E216&lt;=cc_D,0.0035*($E216-J$12)/$E216,0.002*($E216-J$12)/($E216-3*cc_D/7))))-fcd_cc*(1-(1-MAX(0,MIN(1,IF($E216&lt;=cc_D,0.0035*($E216-J$12)/$E216,0.002*($E216-J$12)/($E216-3*cc_D/7))/0.002)))^2)</f>
        <v/>
      </c>
      <c r="K216">
        <f>MAX(-fyd_cc,MIN(fyd_cc,Es_cc*IF($E216&lt;=cc_D,0.0035*($E216-K$12)/$E216,0.002*($E216-K$12)/($E216-3*cc_D/7))))-fcd_cc*(1-(1-MAX(0,MIN(1,IF($E216&lt;=cc_D,0.0035*($E216-K$12)/$E216,0.002*($E216-K$12)/($E216-3*cc_D/7))/0.002)))^2)</f>
        <v/>
      </c>
      <c r="L216">
        <f>MAX(-fyd_cc,MIN(fyd_cc,Es_cc*IF($E216&lt;=cc_D,0.0035*($E216-L$12)/$E216,0.002*($E216-L$12)/($E216-3*cc_D/7))))-fcd_cc*(1-(1-MAX(0,MIN(1,IF($E216&lt;=cc_D,0.0035*($E216-L$12)/$E216,0.002*($E216-L$12)/($E216-3*cc_D/7))/0.002)))^2)</f>
        <v/>
      </c>
      <c r="M216">
        <f>MAX(-fyd_cc,MIN(fyd_cc,Es_cc*IF($E216&lt;=cc_D,0.0035*($E216-M$12)/$E216,0.002*($E216-M$12)/($E216-3*cc_D/7))))-fcd_cc*(1-(1-MAX(0,MIN(1,IF($E216&lt;=cc_D,0.0035*($E216-M$12)/$E216,0.002*($E216-M$12)/($E216-3*cc_D/7))/0.002)))^2)</f>
        <v/>
      </c>
      <c r="N216">
        <f>MAX(-fyd_cc,MIN(fyd_cc,Es_cc*IF($E216&lt;=cc_D,0.0035*($E216-N$12)/$E216,0.002*($E216-N$12)/($E216-3*cc_D/7))))-fcd_cc*(1-(1-MAX(0,MIN(1,IF($E216&lt;=cc_D,0.0035*($E216-N$12)/$E216,0.002*($E216-N$12)/($E216-3*cc_D/7))/0.002)))^2)</f>
        <v/>
      </c>
      <c r="O216">
        <f>MAX(-fyd_cc,MIN(fyd_cc,Es_cc*IF($E216&lt;=cc_D,0.0035*($E216-O$12)/$E216,0.002*($E216-O$12)/($E216-3*cc_D/7))))-fcd_cc*(1-(1-MAX(0,MIN(1,IF($E216&lt;=cc_D,0.0035*($E216-O$12)/$E216,0.002*($E216-O$12)/($E216-3*cc_D/7))/0.002)))^2)</f>
        <v/>
      </c>
      <c r="P216">
        <f>MAX(-fyd_cc,MIN(fyd_cc,Es_cc*IF($E216&lt;=cc_D,0.0035*($E216-P$12)/$E216,0.002*($E216-P$12)/($E216-3*cc_D/7))))-fcd_cc*(1-(1-MAX(0,MIN(1,IF($E216&lt;=cc_D,0.0035*($E216-P$12)/$E216,0.002*($E216-P$12)/($E216-3*cc_D/7))/0.002)))^2)</f>
        <v/>
      </c>
      <c r="Q216">
        <f>MAX(-fyd_cc,MIN(fyd_cc,Es_cc*IF($E216&lt;=cc_D,0.0035*($E216-Q$12)/$E216,0.002*($E216-Q$12)/($E216-3*cc_D/7))))-fcd_cc*(1-(1-MAX(0,MIN(1,IF($E216&lt;=cc_D,0.0035*($E216-Q$12)/$E216,0.002*($E216-Q$12)/($E216-3*cc_D/7))/0.002)))^2)</f>
        <v/>
      </c>
      <c r="R216">
        <f>MAX(-fyd_cc,MIN(fyd_cc,Es_cc*IF($E216&lt;=cc_D,0.0035*($E216-R$12)/$E216,0.002*($E216-R$12)/($E216-3*cc_D/7))))-fcd_cc*(1-(1-MAX(0,MIN(1,IF($E216&lt;=cc_D,0.0035*($E216-R$12)/$E216,0.002*($E216-R$12)/($E216-3*cc_D/7))/0.002)))^2)</f>
        <v/>
      </c>
      <c r="S216">
        <f>MAX(-fyd_cc,MIN(fyd_cc,Es_cc*IF($E216&lt;=cc_D,0.0035*($E216-S$12)/$E216,0.002*($E216-S$12)/($E216-3*cc_D/7))))-fcd_cc*(1-(1-MAX(0,MIN(1,IF($E216&lt;=cc_D,0.0035*($E216-S$12)/$E216,0.002*($E216-S$12)/($E216-3*cc_D/7))/0.002)))^2)</f>
        <v/>
      </c>
      <c r="T216">
        <f>MAX(-fyd_cc,MIN(fyd_cc,Es_cc*IF($E216&lt;=cc_D,0.0035*($E216-T$12)/$E216,0.002*($E216-T$12)/($E216-3*cc_D/7))))-fcd_cc*(1-(1-MAX(0,MIN(1,IF($E216&lt;=cc_D,0.0035*($E216-T$12)/$E216,0.002*($E216-T$12)/($E216-3*cc_D/7))/0.002)))^2)</f>
        <v/>
      </c>
      <c r="U216">
        <f>MAX(-fyd_cc,MIN(fyd_cc,Es_cc*IF($E216&lt;=cc_D,0.0035*($E216-U$12)/$E216,0.002*($E216-U$12)/($E216-3*cc_D/7))))-fcd_cc*(1-(1-MAX(0,MIN(1,IF($E216&lt;=cc_D,0.0035*($E216-U$12)/$E216,0.002*($E216-U$12)/($E216-3*cc_D/7))/0.002)))^2)</f>
        <v/>
      </c>
      <c r="V216">
        <f>MAX(-fyd_cc,MIN(fyd_cc,Es_cc*IF($E216&lt;=cc_D,0.0035*($E216-V$12)/$E216,0.002*($E216-V$12)/($E216-3*cc_D/7))))-fcd_cc*(1-(1-MAX(0,MIN(1,IF($E216&lt;=cc_D,0.0035*($E216-V$12)/$E216,0.002*($E216-V$12)/($E216-3*cc_D/7))/0.002)))^2)</f>
        <v/>
      </c>
      <c r="W216">
        <f>MAX(-fyd_cc,MIN(fyd_cc,Es_cc*IF($E216&lt;=cc_D,0.0035*($E216-W$12)/$E216,0.002*($E216-W$12)/($E216-3*cc_D/7))))-fcd_cc*(1-(1-MAX(0,MIN(1,IF($E216&lt;=cc_D,0.0035*($E216-W$12)/$E216,0.002*($E216-W$12)/($E216-3*cc_D/7))/0.002)))^2)</f>
        <v/>
      </c>
      <c r="X216">
        <f>MAX(-fyd_cc,MIN(fyd_cc,Es_cc*IF($E216&lt;=cc_D,0.0035*($E216-X$12)/$E216,0.002*($E216-X$12)/($E216-3*cc_D/7))))-fcd_cc*(1-(1-MAX(0,MIN(1,IF($E216&lt;=cc_D,0.0035*($E216-X$12)/$E216,0.002*($E216-X$12)/($E216-3*cc_D/7))/0.002)))^2)</f>
        <v/>
      </c>
      <c r="Y216">
        <f>MAX(-fyd_cc,MIN(fyd_cc,Es_cc*IF($E216&lt;=cc_D,0.0035*($E216-Y$12)/$E216,0.002*($E216-Y$12)/($E216-3*cc_D/7))))-fcd_cc*(1-(1-MAX(0,MIN(1,IF($E216&lt;=cc_D,0.0035*($E216-Y$12)/$E216,0.002*($E216-Y$12)/($E216-3*cc_D/7))/0.002)))^2)</f>
        <v/>
      </c>
      <c r="Z216">
        <f>MAX(-fyd_cc,MIN(fyd_cc,Es_cc*IF($E216&lt;=cc_D,0.0035*($E216-Z$12)/$E216,0.002*($E216-Z$12)/($E216-3*cc_D/7))))-fcd_cc*(1-(1-MAX(0,MIN(1,IF($E216&lt;=cc_D,0.0035*($E216-Z$12)/$E216,0.002*($E216-Z$12)/($E216-3*cc_D/7))/0.002)))^2)</f>
        <v/>
      </c>
      <c r="AA216">
        <f>MAX(-fyd_cc,MIN(fyd_cc,Es_cc*IF($E216&lt;=cc_D,0.0035*($E216-AA$12)/$E216,0.002*($E216-AA$12)/($E216-3*cc_D/7))))-fcd_cc*(1-(1-MAX(0,MIN(1,IF($E216&lt;=cc_D,0.0035*($E216-AA$12)/$E216,0.002*($E216-AA$12)/($E216-3*cc_D/7))/0.002)))^2)</f>
        <v/>
      </c>
      <c r="AB216">
        <f>MAX(-fyd_cc,MIN(fyd_cc,Es_cc*IF($E216&lt;=cc_D,0.0035*($E216-AB$12)/$E216,0.002*($E216-AB$12)/($E216-3*cc_D/7))))-fcd_cc*(1-(1-MAX(0,MIN(1,IF($E216&lt;=cc_D,0.0035*($E216-AB$12)/$E216,0.002*($E216-AB$12)/($E216-3*cc_D/7))/0.002)))^2)</f>
        <v/>
      </c>
      <c r="AC216">
        <f>MAX(-fyd_cc,MIN(fyd_cc,Es_cc*IF($E216&lt;=cc_D,0.0035*($E216-AC$12)/$E216,0.002*($E216-AC$12)/($E216-3*cc_D/7))))-fcd_cc*(1-(1-MAX(0,MIN(1,IF($E216&lt;=cc_D,0.0035*($E216-AC$12)/$E216,0.002*($E216-AC$12)/($E216-3*cc_D/7))/0.002)))^2)</f>
        <v/>
      </c>
      <c r="AD216">
        <f>MAX(-fyd_cc,MIN(fyd_cc,Es_cc*IF($E216&lt;=cc_D,0.0035*($E216-AD$12)/$E216,0.002*($E216-AD$12)/($E216-3*cc_D/7))))-fcd_cc*(1-(1-MAX(0,MIN(1,IF($E216&lt;=cc_D,0.0035*($E216-AD$12)/$E216,0.002*($E216-AD$12)/($E216-3*cc_D/7))/0.002)))^2)</f>
        <v/>
      </c>
      <c r="AE216">
        <f>MAX(-fyd_cc,MIN(fyd_cc,Es_cc*IF($E216&lt;=cc_D,0.0035*($E216-AE$12)/$E216,0.002*($E216-AE$12)/($E216-3*cc_D/7))))-fcd_cc*(1-(1-MAX(0,MIN(1,IF($E216&lt;=cc_D,0.0035*($E216-AE$12)/$E216,0.002*($E216-AE$12)/($E216-3*cc_D/7))/0.002)))^2)</f>
        <v/>
      </c>
      <c r="AF216">
        <f>MAX(-fyd_cc,MIN(fyd_cc,Es_cc*IF($E216&lt;=cc_D,0.0035*($E216-AF$12)/$E216,0.002*($E216-AF$12)/($E216-3*cc_D/7))))-fcd_cc*(1-(1-MAX(0,MIN(1,IF($E216&lt;=cc_D,0.0035*($E216-AF$12)/$E216,0.002*($E216-AF$12)/($E216-3*cc_D/7))/0.002)))^2)</f>
        <v/>
      </c>
      <c r="AG216">
        <f>MAX(-fyd_cc,MIN(fyd_cc,Es_cc*IF($E216&lt;=cc_D,0.0035*($E216-AG$12)/$E216,0.002*($E216-AG$12)/($E216-3*cc_D/7))))-fcd_cc*(1-(1-MAX(0,MIN(1,IF($E216&lt;=cc_D,0.0035*($E216-AG$12)/$E216,0.002*($E216-AG$12)/($E216-3*cc_D/7))/0.002)))^2)</f>
        <v/>
      </c>
      <c r="BF216">
        <f>3*MIN($E216,cc_D)/7</f>
        <v/>
      </c>
      <c r="BG216">
        <f>$E216-$BF216</f>
        <v/>
      </c>
      <c r="BH216">
        <f>ACOS(MAX(-1,MIN(1,1-$BF216/(cc_D/2))))</f>
        <v/>
      </c>
      <c r="BI216">
        <f>ACOS(MAX(-1,MIN(1,1-MIN($E216,cc_D)/(cc_D/2))))</f>
        <v/>
      </c>
      <c r="BJ216">
        <f>((cc_D/2*(1-COS(($BH216+0*($BI216-$BH216)/12)))-$BF216)/$BG216)^2*SIN(($BH216+0*($BI216-$BH216)/12))^2</f>
        <v/>
      </c>
      <c r="BK216">
        <f>((cc_D/2*(1-COS(($BH216+1*($BI216-$BH216)/12)))-$BF216)/$BG216)^2*SIN(($BH216+1*($BI216-$BH216)/12))^2</f>
        <v/>
      </c>
      <c r="BL216">
        <f>((cc_D/2*(1-COS(($BH216+2*($BI216-$BH216)/12)))-$BF216)/$BG216)^2*SIN(($BH216+2*($BI216-$BH216)/12))^2</f>
        <v/>
      </c>
      <c r="BM216">
        <f>((cc_D/2*(1-COS(($BH216+3*($BI216-$BH216)/12)))-$BF216)/$BG216)^2*SIN(($BH216+3*($BI216-$BH216)/12))^2</f>
        <v/>
      </c>
      <c r="BN216">
        <f>((cc_D/2*(1-COS(($BH216+4*($BI216-$BH216)/12)))-$BF216)/$BG216)^2*SIN(($BH216+4*($BI216-$BH216)/12))^2</f>
        <v/>
      </c>
      <c r="BO216">
        <f>((cc_D/2*(1-COS(($BH216+5*($BI216-$BH216)/12)))-$BF216)/$BG216)^2*SIN(($BH216+5*($BI216-$BH216)/12))^2</f>
        <v/>
      </c>
      <c r="BP216">
        <f>((cc_D/2*(1-COS(($BH216+6*($BI216-$BH216)/12)))-$BF216)/$BG216)^2*SIN(($BH216+6*($BI216-$BH216)/12))^2</f>
        <v/>
      </c>
      <c r="BQ216">
        <f>((cc_D/2*(1-COS(($BH216+7*($BI216-$BH216)/12)))-$BF216)/$BG216)^2*SIN(($BH216+7*($BI216-$BH216)/12))^2</f>
        <v/>
      </c>
      <c r="BR216">
        <f>((cc_D/2*(1-COS(($BH216+8*($BI216-$BH216)/12)))-$BF216)/$BG216)^2*SIN(($BH216+8*($BI216-$BH216)/12))^2</f>
        <v/>
      </c>
      <c r="BS216">
        <f>((cc_D/2*(1-COS(($BH216+9*($BI216-$BH216)/12)))-$BF216)/$BG216)^2*SIN(($BH216+9*($BI216-$BH216)/12))^2</f>
        <v/>
      </c>
      <c r="BT216">
        <f>((cc_D/2*(1-COS(($BH216+10*($BI216-$BH216)/12)))-$BF216)/$BG216)^2*SIN(($BH216+10*($BI216-$BH216)/12))^2</f>
        <v/>
      </c>
      <c r="BU216">
        <f>((cc_D/2*(1-COS(($BH216+11*($BI216-$BH216)/12)))-$BF216)/$BG216)^2*SIN(($BH216+11*($BI216-$BH216)/12))^2</f>
        <v/>
      </c>
      <c r="BV216">
        <f>((cc_D/2*(1-COS(($BH216+12*($BI216-$BH216)/12)))-$BF216)/$BG216)^2*SIN(($BH216+12*($BI216-$BH216)/12))^2</f>
        <v/>
      </c>
      <c r="BW216">
        <f>BJ216*COS(($BH216+0*($BI216-$BH216)/12))</f>
        <v/>
      </c>
      <c r="BX216">
        <f>BK216*COS(($BH216+1*($BI216-$BH216)/12))</f>
        <v/>
      </c>
      <c r="BY216">
        <f>BL216*COS(($BH216+2*($BI216-$BH216)/12))</f>
        <v/>
      </c>
      <c r="BZ216">
        <f>BM216*COS(($BH216+3*($BI216-$BH216)/12))</f>
        <v/>
      </c>
      <c r="CA216">
        <f>BN216*COS(($BH216+4*($BI216-$BH216)/12))</f>
        <v/>
      </c>
      <c r="CB216">
        <f>BO216*COS(($BH216+5*($BI216-$BH216)/12))</f>
        <v/>
      </c>
      <c r="CC216">
        <f>BP216*COS(($BH216+6*($BI216-$BH216)/12))</f>
        <v/>
      </c>
      <c r="CD216">
        <f>BQ216*COS(($BH216+7*($BI216-$BH216)/12))</f>
        <v/>
      </c>
      <c r="CE216">
        <f>BR216*COS(($BH216+8*($BI216-$BH216)/12))</f>
        <v/>
      </c>
      <c r="CF216">
        <f>BS216*COS(($BH216+9*($BI216-$BH216)/12))</f>
        <v/>
      </c>
      <c r="CG216">
        <f>BT216*COS(($BH216+10*($BI216-$BH216)/12))</f>
        <v/>
      </c>
      <c r="CH216">
        <f>BU216*COS(($BH216+11*($BI216-$BH216)/12))</f>
        <v/>
      </c>
      <c r="CI216">
        <f>BV216*COS(($BH216+12*($BI216-$BH216)/12))</f>
        <v/>
      </c>
    </row>
    <row r="217">
      <c r="B217" s="65" t="n">
        <v>2</v>
      </c>
      <c r="C217" s="66">
        <f>IF($G216&lt;cc_NEd-1E-9*ABS(cc_NEd),($C216+$D216)/2,$C216)</f>
        <v/>
      </c>
      <c r="D217" s="66">
        <f>IF($G216&lt;cc_NEd-1E-9*ABS(cc_NEd),$D216,($C216+$D216)/2)</f>
        <v/>
      </c>
      <c r="E217" s="67">
        <f>cc_D*(($C217+$D217)/2)/(1-(($C217+$D217)/2))</f>
        <v/>
      </c>
      <c r="F217" s="68">
        <f>IF($E217&lt;=cc_D,3.5,2*$E217/($E217-3*cc_D/7))</f>
        <v/>
      </c>
      <c r="G217" s="67">
        <f>(fcd_cc*((cc_D/2)^2*($BI217-COS($BI217)*SIN($BI217))-2*(cc_D/2)^2*($BI217-$BH217)/12/3*SUMPRODUCT($BJ$4:$BV$4,$BJ217:$BV217))+SUMPRODUCT($J$5:$AG$5,$J217:$AG217))/1000</f>
        <v/>
      </c>
      <c r="H217" s="67">
        <f>(fcd_cc*(2/3*(cc_D/2)^3*SIN($BI217)^3-2*(cc_D/2)^3*($BI217-$BH217)/12/3*SUMPRODUCT($BW$4:$CI$4,$BW217:$CI217))+SUMPRODUCT($J$5:$AG$5,$J217:$AG217,$J$13:$AG$13))/1E6</f>
        <v/>
      </c>
      <c r="I217" s="67">
        <f>SUMPRODUCT($J$5:$AG$5,$J217:$AG217,$J$14:$AG$14)/1E6</f>
        <v/>
      </c>
      <c r="J217">
        <f>MAX(-fyd_cc,MIN(fyd_cc,Es_cc*IF($E217&lt;=cc_D,0.0035*($E217-J$12)/$E217,0.002*($E217-J$12)/($E217-3*cc_D/7))))-fcd_cc*(1-(1-MAX(0,MIN(1,IF($E217&lt;=cc_D,0.0035*($E217-J$12)/$E217,0.002*($E217-J$12)/($E217-3*cc_D/7))/0.002)))^2)</f>
        <v/>
      </c>
      <c r="K217">
        <f>MAX(-fyd_cc,MIN(fyd_cc,Es_cc*IF($E217&lt;=cc_D,0.0035*($E217-K$12)/$E217,0.002*($E217-K$12)/($E217-3*cc_D/7))))-fcd_cc*(1-(1-MAX(0,MIN(1,IF($E217&lt;=cc_D,0.0035*($E217-K$12)/$E217,0.002*($E217-K$12)/($E217-3*cc_D/7))/0.002)))^2)</f>
        <v/>
      </c>
      <c r="L217">
        <f>MAX(-fyd_cc,MIN(fyd_cc,Es_cc*IF($E217&lt;=cc_D,0.0035*($E217-L$12)/$E217,0.002*($E217-L$12)/($E217-3*cc_D/7))))-fcd_cc*(1-(1-MAX(0,MIN(1,IF($E217&lt;=cc_D,0.0035*($E217-L$12)/$E217,0.002*($E217-L$12)/($E217-3*cc_D/7))/0.002)))^2)</f>
        <v/>
      </c>
      <c r="M217">
        <f>MAX(-fyd_cc,MIN(fyd_cc,Es_cc*IF($E217&lt;=cc_D,0.0035*($E217-M$12)/$E217,0.002*($E217-M$12)/($E217-3*cc_D/7))))-fcd_cc*(1-(1-MAX(0,MIN(1,IF($E217&lt;=cc_D,0.0035*($E217-M$12)/$E217,0.002*($E217-M$12)/($E217-3*cc_D/7))/0.002)))^2)</f>
        <v/>
      </c>
      <c r="N217">
        <f>MAX(-fyd_cc,MIN(fyd_cc,Es_cc*IF($E217&lt;=cc_D,0.0035*($E217-N$12)/$E217,0.002*($E217-N$12)/($E217-3*cc_D/7))))-fcd_cc*(1-(1-MAX(0,MIN(1,IF($E217&lt;=cc_D,0.0035*($E217-N$12)/$E217,0.002*($E217-N$12)/($E217-3*cc_D/7))/0.002)))^2)</f>
        <v/>
      </c>
      <c r="O217">
        <f>MAX(-fyd_cc,MIN(fyd_cc,Es_cc*IF($E217&lt;=cc_D,0.0035*($E217-O$12)/$E217,0.002*($E217-O$12)/($E217-3*cc_D/7))))-fcd_cc*(1-(1-MAX(0,MIN(1,IF($E217&lt;=cc_D,0.0035*($E217-O$12)/$E217,0.002*($E217-O$12)/($E217-3*cc_D/7))/0.002)))^2)</f>
        <v/>
      </c>
      <c r="P217">
        <f>MAX(-fyd_cc,MIN(fyd_cc,Es_cc*IF($E217&lt;=cc_D,0.0035*($E217-P$12)/$E217,0.002*($E217-P$12)/($E217-3*cc_D/7))))-fcd_cc*(1-(1-MAX(0,MIN(1,IF($E217&lt;=cc_D,0.0035*($E217-P$12)/$E217,0.002*($E217-P$12)/($E217-3*cc_D/7))/0.002)))^2)</f>
        <v/>
      </c>
      <c r="Q217">
        <f>MAX(-fyd_cc,MIN(fyd_cc,Es_cc*IF($E217&lt;=cc_D,0.0035*($E217-Q$12)/$E217,0.002*($E217-Q$12)/($E217-3*cc_D/7))))-fcd_cc*(1-(1-MAX(0,MIN(1,IF($E217&lt;=cc_D,0.0035*($E217-Q$12)/$E217,0.002*($E217-Q$12)/($E217-3*cc_D/7))/0.002)))^2)</f>
        <v/>
      </c>
      <c r="R217">
        <f>MAX(-fyd_cc,MIN(fyd_cc,Es_cc*IF($E217&lt;=cc_D,0.0035*($E217-R$12)/$E217,0.002*($E217-R$12)/($E217-3*cc_D/7))))-fcd_cc*(1-(1-MAX(0,MIN(1,IF($E217&lt;=cc_D,0.0035*($E217-R$12)/$E217,0.002*($E217-R$12)/($E217-3*cc_D/7))/0.002)))^2)</f>
        <v/>
      </c>
      <c r="S217">
        <f>MAX(-fyd_cc,MIN(fyd_cc,Es_cc*IF($E217&lt;=cc_D,0.0035*($E217-S$12)/$E217,0.002*($E217-S$12)/($E217-3*cc_D/7))))-fcd_cc*(1-(1-MAX(0,MIN(1,IF($E217&lt;=cc_D,0.0035*($E217-S$12)/$E217,0.002*($E217-S$12)/($E217-3*cc_D/7))/0.002)))^2)</f>
        <v/>
      </c>
      <c r="T217">
        <f>MAX(-fyd_cc,MIN(fyd_cc,Es_cc*IF($E217&lt;=cc_D,0.0035*($E217-T$12)/$E217,0.002*($E217-T$12)/($E217-3*cc_D/7))))-fcd_cc*(1-(1-MAX(0,MIN(1,IF($E217&lt;=cc_D,0.0035*($E217-T$12)/$E217,0.002*($E217-T$12)/($E217-3*cc_D/7))/0.002)))^2)</f>
        <v/>
      </c>
      <c r="U217">
        <f>MAX(-fyd_cc,MIN(fyd_cc,Es_cc*IF($E217&lt;=cc_D,0.0035*($E217-U$12)/$E217,0.002*($E217-U$12)/($E217-3*cc_D/7))))-fcd_cc*(1-(1-MAX(0,MIN(1,IF($E217&lt;=cc_D,0.0035*($E217-U$12)/$E217,0.002*($E217-U$12)/($E217-3*cc_D/7))/0.002)))^2)</f>
        <v/>
      </c>
      <c r="V217">
        <f>MAX(-fyd_cc,MIN(fyd_cc,Es_cc*IF($E217&lt;=cc_D,0.0035*($E217-V$12)/$E217,0.002*($E217-V$12)/($E217-3*cc_D/7))))-fcd_cc*(1-(1-MAX(0,MIN(1,IF($E217&lt;=cc_D,0.0035*($E217-V$12)/$E217,0.002*($E217-V$12)/($E217-3*cc_D/7))/0.002)))^2)</f>
        <v/>
      </c>
      <c r="W217">
        <f>MAX(-fyd_cc,MIN(fyd_cc,Es_cc*IF($E217&lt;=cc_D,0.0035*($E217-W$12)/$E217,0.002*($E217-W$12)/($E217-3*cc_D/7))))-fcd_cc*(1-(1-MAX(0,MIN(1,IF($E217&lt;=cc_D,0.0035*($E217-W$12)/$E217,0.002*($E217-W$12)/($E217-3*cc_D/7))/0.002)))^2)</f>
        <v/>
      </c>
      <c r="X217">
        <f>MAX(-fyd_cc,MIN(fyd_cc,Es_cc*IF($E217&lt;=cc_D,0.0035*($E217-X$12)/$E217,0.002*($E217-X$12)/($E217-3*cc_D/7))))-fcd_cc*(1-(1-MAX(0,MIN(1,IF($E217&lt;=cc_D,0.0035*($E217-X$12)/$E217,0.002*($E217-X$12)/($E217-3*cc_D/7))/0.002)))^2)</f>
        <v/>
      </c>
      <c r="Y217">
        <f>MAX(-fyd_cc,MIN(fyd_cc,Es_cc*IF($E217&lt;=cc_D,0.0035*($E217-Y$12)/$E217,0.002*($E217-Y$12)/($E217-3*cc_D/7))))-fcd_cc*(1-(1-MAX(0,MIN(1,IF($E217&lt;=cc_D,0.0035*($E217-Y$12)/$E217,0.002*($E217-Y$12)/($E217-3*cc_D/7))/0.002)))^2)</f>
        <v/>
      </c>
      <c r="Z217">
        <f>MAX(-fyd_cc,MIN(fyd_cc,Es_cc*IF($E217&lt;=cc_D,0.0035*($E217-Z$12)/$E217,0.002*($E217-Z$12)/($E217-3*cc_D/7))))-fcd_cc*(1-(1-MAX(0,MIN(1,IF($E217&lt;=cc_D,0.0035*($E217-Z$12)/$E217,0.002*($E217-Z$12)/($E217-3*cc_D/7))/0.002)))^2)</f>
        <v/>
      </c>
      <c r="AA217">
        <f>MAX(-fyd_cc,MIN(fyd_cc,Es_cc*IF($E217&lt;=cc_D,0.0035*($E217-AA$12)/$E217,0.002*($E217-AA$12)/($E217-3*cc_D/7))))-fcd_cc*(1-(1-MAX(0,MIN(1,IF($E217&lt;=cc_D,0.0035*($E217-AA$12)/$E217,0.002*($E217-AA$12)/($E217-3*cc_D/7))/0.002)))^2)</f>
        <v/>
      </c>
      <c r="AB217">
        <f>MAX(-fyd_cc,MIN(fyd_cc,Es_cc*IF($E217&lt;=cc_D,0.0035*($E217-AB$12)/$E217,0.002*($E217-AB$12)/($E217-3*cc_D/7))))-fcd_cc*(1-(1-MAX(0,MIN(1,IF($E217&lt;=cc_D,0.0035*($E217-AB$12)/$E217,0.002*($E217-AB$12)/($E217-3*cc_D/7))/0.002)))^2)</f>
        <v/>
      </c>
      <c r="AC217">
        <f>MAX(-fyd_cc,MIN(fyd_cc,Es_cc*IF($E217&lt;=cc_D,0.0035*($E217-AC$12)/$E217,0.002*($E217-AC$12)/($E217-3*cc_D/7))))-fcd_cc*(1-(1-MAX(0,MIN(1,IF($E217&lt;=cc_D,0.0035*($E217-AC$12)/$E217,0.002*($E217-AC$12)/($E217-3*cc_D/7))/0.002)))^2)</f>
        <v/>
      </c>
      <c r="AD217">
        <f>MAX(-fyd_cc,MIN(fyd_cc,Es_cc*IF($E217&lt;=cc_D,0.0035*($E217-AD$12)/$E217,0.002*($E217-AD$12)/($E217-3*cc_D/7))))-fcd_cc*(1-(1-MAX(0,MIN(1,IF($E217&lt;=cc_D,0.0035*($E217-AD$12)/$E217,0.002*($E217-AD$12)/($E217-3*cc_D/7))/0.002)))^2)</f>
        <v/>
      </c>
      <c r="AE217">
        <f>MAX(-fyd_cc,MIN(fyd_cc,Es_cc*IF($E217&lt;=cc_D,0.0035*($E217-AE$12)/$E217,0.002*($E217-AE$12)/($E217-3*cc_D/7))))-fcd_cc*(1-(1-MAX(0,MIN(1,IF($E217&lt;=cc_D,0.0035*($E217-AE$12)/$E217,0.002*($E217-AE$12)/($E217-3*cc_D/7))/0.002)))^2)</f>
        <v/>
      </c>
      <c r="AF217">
        <f>MAX(-fyd_cc,MIN(fyd_cc,Es_cc*IF($E217&lt;=cc_D,0.0035*($E217-AF$12)/$E217,0.002*($E217-AF$12)/($E217-3*cc_D/7))))-fcd_cc*(1-(1-MAX(0,MIN(1,IF($E217&lt;=cc_D,0.0035*($E217-AF$12)/$E217,0.002*($E217-AF$12)/($E217-3*cc_D/7))/0.002)))^2)</f>
        <v/>
      </c>
      <c r="AG217">
        <f>MAX(-fyd_cc,MIN(fyd_cc,Es_cc*IF($E217&lt;=cc_D,0.0035*($E217-AG$12)/$E217,0.002*($E217-AG$12)/($E217-3*cc_D/7))))-fcd_cc*(1-(1-MAX(0,MIN(1,IF($E217&lt;=cc_D,0.0035*($E217-AG$12)/$E217,0.002*($E217-AG$12)/($E217-3*cc_D/7))/0.002)))^2)</f>
        <v/>
      </c>
      <c r="BF217">
        <f>3*MIN($E217,cc_D)/7</f>
        <v/>
      </c>
      <c r="BG217">
        <f>$E217-$BF217</f>
        <v/>
      </c>
      <c r="BH217">
        <f>ACOS(MAX(-1,MIN(1,1-$BF217/(cc_D/2))))</f>
        <v/>
      </c>
      <c r="BI217">
        <f>ACOS(MAX(-1,MIN(1,1-MIN($E217,cc_D)/(cc_D/2))))</f>
        <v/>
      </c>
      <c r="BJ217">
        <f>((cc_D/2*(1-COS(($BH217+0*($BI217-$BH217)/12)))-$BF217)/$BG217)^2*SIN(($BH217+0*($BI217-$BH217)/12))^2</f>
        <v/>
      </c>
      <c r="BK217">
        <f>((cc_D/2*(1-COS(($BH217+1*($BI217-$BH217)/12)))-$BF217)/$BG217)^2*SIN(($BH217+1*($BI217-$BH217)/12))^2</f>
        <v/>
      </c>
      <c r="BL217">
        <f>((cc_D/2*(1-COS(($BH217+2*($BI217-$BH217)/12)))-$BF217)/$BG217)^2*SIN(($BH217+2*($BI217-$BH217)/12))^2</f>
        <v/>
      </c>
      <c r="BM217">
        <f>((cc_D/2*(1-COS(($BH217+3*($BI217-$BH217)/12)))-$BF217)/$BG217)^2*SIN(($BH217+3*($BI217-$BH217)/12))^2</f>
        <v/>
      </c>
      <c r="BN217">
        <f>((cc_D/2*(1-COS(($BH217+4*($BI217-$BH217)/12)))-$BF217)/$BG217)^2*SIN(($BH217+4*($BI217-$BH217)/12))^2</f>
        <v/>
      </c>
      <c r="BO217">
        <f>((cc_D/2*(1-COS(($BH217+5*($BI217-$BH217)/12)))-$BF217)/$BG217)^2*SIN(($BH217+5*($BI217-$BH217)/12))^2</f>
        <v/>
      </c>
      <c r="BP217">
        <f>((cc_D/2*(1-COS(($BH217+6*($BI217-$BH217)/12)))-$BF217)/$BG217)^2*SIN(($BH217+6*($BI217-$BH217)/12))^2</f>
        <v/>
      </c>
      <c r="BQ217">
        <f>((cc_D/2*(1-COS(($BH217+7*($BI217-$BH217)/12)))-$BF217)/$BG217)^2*SIN(($BH217+7*($BI217-$BH217)/12))^2</f>
        <v/>
      </c>
      <c r="BR217">
        <f>((cc_D/2*(1-COS(($BH217+8*($BI217-$BH217)/12)))-$BF217)/$BG217)^2*SIN(($BH217+8*($BI217-$BH217)/12))^2</f>
        <v/>
      </c>
      <c r="BS217">
        <f>((cc_D/2*(1-COS(($BH217+9*($BI217-$BH217)/12)))-$BF217)/$BG217)^2*SIN(($BH217+9*($BI217-$BH217)/12))^2</f>
        <v/>
      </c>
      <c r="BT217">
        <f>((cc_D/2*(1-COS(($BH217+10*($BI217-$BH217)/12)))-$BF217)/$BG217)^2*SIN(($BH217+10*($BI217-$BH217)/12))^2</f>
        <v/>
      </c>
      <c r="BU217">
        <f>((cc_D/2*(1-COS(($BH217+11*($BI217-$BH217)/12)))-$BF217)/$BG217)^2*SIN(($BH217+11*($BI217-$BH217)/12))^2</f>
        <v/>
      </c>
      <c r="BV217">
        <f>((cc_D/2*(1-COS(($BH217+12*($BI217-$BH217)/12)))-$BF217)/$BG217)^2*SIN(($BH217+12*($BI217-$BH217)/12))^2</f>
        <v/>
      </c>
      <c r="BW217">
        <f>BJ217*COS(($BH217+0*($BI217-$BH217)/12))</f>
        <v/>
      </c>
      <c r="BX217">
        <f>BK217*COS(($BH217+1*($BI217-$BH217)/12))</f>
        <v/>
      </c>
      <c r="BY217">
        <f>BL217*COS(($BH217+2*($BI217-$BH217)/12))</f>
        <v/>
      </c>
      <c r="BZ217">
        <f>BM217*COS(($BH217+3*($BI217-$BH217)/12))</f>
        <v/>
      </c>
      <c r="CA217">
        <f>BN217*COS(($BH217+4*($BI217-$BH217)/12))</f>
        <v/>
      </c>
      <c r="CB217">
        <f>BO217*COS(($BH217+5*($BI217-$BH217)/12))</f>
        <v/>
      </c>
      <c r="CC217">
        <f>BP217*COS(($BH217+6*($BI217-$BH217)/12))</f>
        <v/>
      </c>
      <c r="CD217">
        <f>BQ217*COS(($BH217+7*($BI217-$BH217)/12))</f>
        <v/>
      </c>
      <c r="CE217">
        <f>BR217*COS(($BH217+8*($BI217-$BH217)/12))</f>
        <v/>
      </c>
      <c r="CF217">
        <f>BS217*COS(($BH217+9*($BI217-$BH217)/12))</f>
        <v/>
      </c>
      <c r="CG217">
        <f>BT217*COS(($BH217+10*($BI217-$BH217)/12))</f>
        <v/>
      </c>
      <c r="CH217">
        <f>BU217*COS(($BH217+11*($BI217-$BH217)/12))</f>
        <v/>
      </c>
      <c r="CI217">
        <f>BV217*COS(($BH217+12*($BI217-$BH217)/12))</f>
        <v/>
      </c>
    </row>
    <row r="218">
      <c r="B218" s="65" t="n">
        <v>3</v>
      </c>
      <c r="C218" s="66">
        <f>IF($G217&lt;cc_NEd-1E-9*ABS(cc_NEd),($C217+$D217)/2,$C217)</f>
        <v/>
      </c>
      <c r="D218" s="66">
        <f>IF($G217&lt;cc_NEd-1E-9*ABS(cc_NEd),$D217,($C217+$D217)/2)</f>
        <v/>
      </c>
      <c r="E218" s="67">
        <f>cc_D*(($C218+$D218)/2)/(1-(($C218+$D218)/2))</f>
        <v/>
      </c>
      <c r="F218" s="68">
        <f>IF($E218&lt;=cc_D,3.5,2*$E218/($E218-3*cc_D/7))</f>
        <v/>
      </c>
      <c r="G218" s="67">
        <f>(fcd_cc*((cc_D/2)^2*($BI218-COS($BI218)*SIN($BI218))-2*(cc_D/2)^2*($BI218-$BH218)/12/3*SUMPRODUCT($BJ$4:$BV$4,$BJ218:$BV218))+SUMPRODUCT($J$5:$AG$5,$J218:$AG218))/1000</f>
        <v/>
      </c>
      <c r="H218" s="67">
        <f>(fcd_cc*(2/3*(cc_D/2)^3*SIN($BI218)^3-2*(cc_D/2)^3*($BI218-$BH218)/12/3*SUMPRODUCT($BW$4:$CI$4,$BW218:$CI218))+SUMPRODUCT($J$5:$AG$5,$J218:$AG218,$J$13:$AG$13))/1E6</f>
        <v/>
      </c>
      <c r="I218" s="67">
        <f>SUMPRODUCT($J$5:$AG$5,$J218:$AG218,$J$14:$AG$14)/1E6</f>
        <v/>
      </c>
      <c r="J218">
        <f>MAX(-fyd_cc,MIN(fyd_cc,Es_cc*IF($E218&lt;=cc_D,0.0035*($E218-J$12)/$E218,0.002*($E218-J$12)/($E218-3*cc_D/7))))-fcd_cc*(1-(1-MAX(0,MIN(1,IF($E218&lt;=cc_D,0.0035*($E218-J$12)/$E218,0.002*($E218-J$12)/($E218-3*cc_D/7))/0.002)))^2)</f>
        <v/>
      </c>
      <c r="K218">
        <f>MAX(-fyd_cc,MIN(fyd_cc,Es_cc*IF($E218&lt;=cc_D,0.0035*($E218-K$12)/$E218,0.002*($E218-K$12)/($E218-3*cc_D/7))))-fcd_cc*(1-(1-MAX(0,MIN(1,IF($E218&lt;=cc_D,0.0035*($E218-K$12)/$E218,0.002*($E218-K$12)/($E218-3*cc_D/7))/0.002)))^2)</f>
        <v/>
      </c>
      <c r="L218">
        <f>MAX(-fyd_cc,MIN(fyd_cc,Es_cc*IF($E218&lt;=cc_D,0.0035*($E218-L$12)/$E218,0.002*($E218-L$12)/($E218-3*cc_D/7))))-fcd_cc*(1-(1-MAX(0,MIN(1,IF($E218&lt;=cc_D,0.0035*($E218-L$12)/$E218,0.002*($E218-L$12)/($E218-3*cc_D/7))/0.002)))^2)</f>
        <v/>
      </c>
      <c r="M218">
        <f>MAX(-fyd_cc,MIN(fyd_cc,Es_cc*IF($E218&lt;=cc_D,0.0035*($E218-M$12)/$E218,0.002*($E218-M$12)/($E218-3*cc_D/7))))-fcd_cc*(1-(1-MAX(0,MIN(1,IF($E218&lt;=cc_D,0.0035*($E218-M$12)/$E218,0.002*($E218-M$12)/($E218-3*cc_D/7))/0.002)))^2)</f>
        <v/>
      </c>
      <c r="N218">
        <f>MAX(-fyd_cc,MIN(fyd_cc,Es_cc*IF($E218&lt;=cc_D,0.0035*($E218-N$12)/$E218,0.002*($E218-N$12)/($E218-3*cc_D/7))))-fcd_cc*(1-(1-MAX(0,MIN(1,IF($E218&lt;=cc_D,0.0035*($E218-N$12)/$E218,0.002*($E218-N$12)/($E218-3*cc_D/7))/0.002)))^2)</f>
        <v/>
      </c>
      <c r="O218">
        <f>MAX(-fyd_cc,MIN(fyd_cc,Es_cc*IF($E218&lt;=cc_D,0.0035*($E218-O$12)/$E218,0.002*($E218-O$12)/($E218-3*cc_D/7))))-fcd_cc*(1-(1-MAX(0,MIN(1,IF($E218&lt;=cc_D,0.0035*($E218-O$12)/$E218,0.002*($E218-O$12)/($E218-3*cc_D/7))/0.002)))^2)</f>
        <v/>
      </c>
      <c r="P218">
        <f>MAX(-fyd_cc,MIN(fyd_cc,Es_cc*IF($E218&lt;=cc_D,0.0035*($E218-P$12)/$E218,0.002*($E218-P$12)/($E218-3*cc_D/7))))-fcd_cc*(1-(1-MAX(0,MIN(1,IF($E218&lt;=cc_D,0.0035*($E218-P$12)/$E218,0.002*($E218-P$12)/($E218-3*cc_D/7))/0.002)))^2)</f>
        <v/>
      </c>
      <c r="Q218">
        <f>MAX(-fyd_cc,MIN(fyd_cc,Es_cc*IF($E218&lt;=cc_D,0.0035*($E218-Q$12)/$E218,0.002*($E218-Q$12)/($E218-3*cc_D/7))))-fcd_cc*(1-(1-MAX(0,MIN(1,IF($E218&lt;=cc_D,0.0035*($E218-Q$12)/$E218,0.002*($E218-Q$12)/($E218-3*cc_D/7))/0.002)))^2)</f>
        <v/>
      </c>
      <c r="R218">
        <f>MAX(-fyd_cc,MIN(fyd_cc,Es_cc*IF($E218&lt;=cc_D,0.0035*($E218-R$12)/$E218,0.002*($E218-R$12)/($E218-3*cc_D/7))))-fcd_cc*(1-(1-MAX(0,MIN(1,IF($E218&lt;=cc_D,0.0035*($E218-R$12)/$E218,0.002*($E218-R$12)/($E218-3*cc_D/7))/0.002)))^2)</f>
        <v/>
      </c>
      <c r="S218">
        <f>MAX(-fyd_cc,MIN(fyd_cc,Es_cc*IF($E218&lt;=cc_D,0.0035*($E218-S$12)/$E218,0.002*($E218-S$12)/($E218-3*cc_D/7))))-fcd_cc*(1-(1-MAX(0,MIN(1,IF($E218&lt;=cc_D,0.0035*($E218-S$12)/$E218,0.002*($E218-S$12)/($E218-3*cc_D/7))/0.002)))^2)</f>
        <v/>
      </c>
      <c r="T218">
        <f>MAX(-fyd_cc,MIN(fyd_cc,Es_cc*IF($E218&lt;=cc_D,0.0035*($E218-T$12)/$E218,0.002*($E218-T$12)/($E218-3*cc_D/7))))-fcd_cc*(1-(1-MAX(0,MIN(1,IF($E218&lt;=cc_D,0.0035*($E218-T$12)/$E218,0.002*($E218-T$12)/($E218-3*cc_D/7))/0.002)))^2)</f>
        <v/>
      </c>
      <c r="U218">
        <f>MAX(-fyd_cc,MIN(fyd_cc,Es_cc*IF($E218&lt;=cc_D,0.0035*($E218-U$12)/$E218,0.002*($E218-U$12)/($E218-3*cc_D/7))))-fcd_cc*(1-(1-MAX(0,MIN(1,IF($E218&lt;=cc_D,0.0035*($E218-U$12)/$E218,0.002*($E218-U$12)/($E218-3*cc_D/7))/0.002)))^2)</f>
        <v/>
      </c>
      <c r="V218">
        <f>MAX(-fyd_cc,MIN(fyd_cc,Es_cc*IF($E218&lt;=cc_D,0.0035*($E218-V$12)/$E218,0.002*($E218-V$12)/($E218-3*cc_D/7))))-fcd_cc*(1-(1-MAX(0,MIN(1,IF($E218&lt;=cc_D,0.0035*($E218-V$12)/$E218,0.002*($E218-V$12)/($E218-3*cc_D/7))/0.002)))^2)</f>
        <v/>
      </c>
      <c r="W218">
        <f>MAX(-fyd_cc,MIN(fyd_cc,Es_cc*IF($E218&lt;=cc_D,0.0035*($E218-W$12)/$E218,0.002*($E218-W$12)/($E218-3*cc_D/7))))-fcd_cc*(1-(1-MAX(0,MIN(1,IF($E218&lt;=cc_D,0.0035*($E218-W$12)/$E218,0.002*($E218-W$12)/($E218-3*cc_D/7))/0.002)))^2)</f>
        <v/>
      </c>
      <c r="X218">
        <f>MAX(-fyd_cc,MIN(fyd_cc,Es_cc*IF($E218&lt;=cc_D,0.0035*($E218-X$12)/$E218,0.002*($E218-X$12)/($E218-3*cc_D/7))))-fcd_cc*(1-(1-MAX(0,MIN(1,IF($E218&lt;=cc_D,0.0035*($E218-X$12)/$E218,0.002*($E218-X$12)/($E218-3*cc_D/7))/0.002)))^2)</f>
        <v/>
      </c>
      <c r="Y218">
        <f>MAX(-fyd_cc,MIN(fyd_cc,Es_cc*IF($E218&lt;=cc_D,0.0035*($E218-Y$12)/$E218,0.002*($E218-Y$12)/($E218-3*cc_D/7))))-fcd_cc*(1-(1-MAX(0,MIN(1,IF($E218&lt;=cc_D,0.0035*($E218-Y$12)/$E218,0.002*($E218-Y$12)/($E218-3*cc_D/7))/0.002)))^2)</f>
        <v/>
      </c>
      <c r="Z218">
        <f>MAX(-fyd_cc,MIN(fyd_cc,Es_cc*IF($E218&lt;=cc_D,0.0035*($E218-Z$12)/$E218,0.002*($E218-Z$12)/($E218-3*cc_D/7))))-fcd_cc*(1-(1-MAX(0,MIN(1,IF($E218&lt;=cc_D,0.0035*($E218-Z$12)/$E218,0.002*($E218-Z$12)/($E218-3*cc_D/7))/0.002)))^2)</f>
        <v/>
      </c>
      <c r="AA218">
        <f>MAX(-fyd_cc,MIN(fyd_cc,Es_cc*IF($E218&lt;=cc_D,0.0035*($E218-AA$12)/$E218,0.002*($E218-AA$12)/($E218-3*cc_D/7))))-fcd_cc*(1-(1-MAX(0,MIN(1,IF($E218&lt;=cc_D,0.0035*($E218-AA$12)/$E218,0.002*($E218-AA$12)/($E218-3*cc_D/7))/0.002)))^2)</f>
        <v/>
      </c>
      <c r="AB218">
        <f>MAX(-fyd_cc,MIN(fyd_cc,Es_cc*IF($E218&lt;=cc_D,0.0035*($E218-AB$12)/$E218,0.002*($E218-AB$12)/($E218-3*cc_D/7))))-fcd_cc*(1-(1-MAX(0,MIN(1,IF($E218&lt;=cc_D,0.0035*($E218-AB$12)/$E218,0.002*($E218-AB$12)/($E218-3*cc_D/7))/0.002)))^2)</f>
        <v/>
      </c>
      <c r="AC218">
        <f>MAX(-fyd_cc,MIN(fyd_cc,Es_cc*IF($E218&lt;=cc_D,0.0035*($E218-AC$12)/$E218,0.002*($E218-AC$12)/($E218-3*cc_D/7))))-fcd_cc*(1-(1-MAX(0,MIN(1,IF($E218&lt;=cc_D,0.0035*($E218-AC$12)/$E218,0.002*($E218-AC$12)/($E218-3*cc_D/7))/0.002)))^2)</f>
        <v/>
      </c>
      <c r="AD218">
        <f>MAX(-fyd_cc,MIN(fyd_cc,Es_cc*IF($E218&lt;=cc_D,0.0035*($E218-AD$12)/$E218,0.002*($E218-AD$12)/($E218-3*cc_D/7))))-fcd_cc*(1-(1-MAX(0,MIN(1,IF($E218&lt;=cc_D,0.0035*($E218-AD$12)/$E218,0.002*($E218-AD$12)/($E218-3*cc_D/7))/0.002)))^2)</f>
        <v/>
      </c>
      <c r="AE218">
        <f>MAX(-fyd_cc,MIN(fyd_cc,Es_cc*IF($E218&lt;=cc_D,0.0035*($E218-AE$12)/$E218,0.002*($E218-AE$12)/($E218-3*cc_D/7))))-fcd_cc*(1-(1-MAX(0,MIN(1,IF($E218&lt;=cc_D,0.0035*($E218-AE$12)/$E218,0.002*($E218-AE$12)/($E218-3*cc_D/7))/0.002)))^2)</f>
        <v/>
      </c>
      <c r="AF218">
        <f>MAX(-fyd_cc,MIN(fyd_cc,Es_cc*IF($E218&lt;=cc_D,0.0035*($E218-AF$12)/$E218,0.002*($E218-AF$12)/($E218-3*cc_D/7))))-fcd_cc*(1-(1-MAX(0,MIN(1,IF($E218&lt;=cc_D,0.0035*($E218-AF$12)/$E218,0.002*($E218-AF$12)/($E218-3*cc_D/7))/0.002)))^2)</f>
        <v/>
      </c>
      <c r="AG218">
        <f>MAX(-fyd_cc,MIN(fyd_cc,Es_cc*IF($E218&lt;=cc_D,0.0035*($E218-AG$12)/$E218,0.002*($E218-AG$12)/($E218-3*cc_D/7))))-fcd_cc*(1-(1-MAX(0,MIN(1,IF($E218&lt;=cc_D,0.0035*($E218-AG$12)/$E218,0.002*($E218-AG$12)/($E218-3*cc_D/7))/0.002)))^2)</f>
        <v/>
      </c>
      <c r="BF218">
        <f>3*MIN($E218,cc_D)/7</f>
        <v/>
      </c>
      <c r="BG218">
        <f>$E218-$BF218</f>
        <v/>
      </c>
      <c r="BH218">
        <f>ACOS(MAX(-1,MIN(1,1-$BF218/(cc_D/2))))</f>
        <v/>
      </c>
      <c r="BI218">
        <f>ACOS(MAX(-1,MIN(1,1-MIN($E218,cc_D)/(cc_D/2))))</f>
        <v/>
      </c>
      <c r="BJ218">
        <f>((cc_D/2*(1-COS(($BH218+0*($BI218-$BH218)/12)))-$BF218)/$BG218)^2*SIN(($BH218+0*($BI218-$BH218)/12))^2</f>
        <v/>
      </c>
      <c r="BK218">
        <f>((cc_D/2*(1-COS(($BH218+1*($BI218-$BH218)/12)))-$BF218)/$BG218)^2*SIN(($BH218+1*($BI218-$BH218)/12))^2</f>
        <v/>
      </c>
      <c r="BL218">
        <f>((cc_D/2*(1-COS(($BH218+2*($BI218-$BH218)/12)))-$BF218)/$BG218)^2*SIN(($BH218+2*($BI218-$BH218)/12))^2</f>
        <v/>
      </c>
      <c r="BM218">
        <f>((cc_D/2*(1-COS(($BH218+3*($BI218-$BH218)/12)))-$BF218)/$BG218)^2*SIN(($BH218+3*($BI218-$BH218)/12))^2</f>
        <v/>
      </c>
      <c r="BN218">
        <f>((cc_D/2*(1-COS(($BH218+4*($BI218-$BH218)/12)))-$BF218)/$BG218)^2*SIN(($BH218+4*($BI218-$BH218)/12))^2</f>
        <v/>
      </c>
      <c r="BO218">
        <f>((cc_D/2*(1-COS(($BH218+5*($BI218-$BH218)/12)))-$BF218)/$BG218)^2*SIN(($BH218+5*($BI218-$BH218)/12))^2</f>
        <v/>
      </c>
      <c r="BP218">
        <f>((cc_D/2*(1-COS(($BH218+6*($BI218-$BH218)/12)))-$BF218)/$BG218)^2*SIN(($BH218+6*($BI218-$BH218)/12))^2</f>
        <v/>
      </c>
      <c r="BQ218">
        <f>((cc_D/2*(1-COS(($BH218+7*($BI218-$BH218)/12)))-$BF218)/$BG218)^2*SIN(($BH218+7*($BI218-$BH218)/12))^2</f>
        <v/>
      </c>
      <c r="BR218">
        <f>((cc_D/2*(1-COS(($BH218+8*($BI218-$BH218)/12)))-$BF218)/$BG218)^2*SIN(($BH218+8*($BI218-$BH218)/12))^2</f>
        <v/>
      </c>
      <c r="BS218">
        <f>((cc_D/2*(1-COS(($BH218+9*($BI218-$BH218)/12)))-$BF218)/$BG218)^2*SIN(($BH218+9*($BI218-$BH218)/12))^2</f>
        <v/>
      </c>
      <c r="BT218">
        <f>((cc_D/2*(1-COS(($BH218+10*($BI218-$BH218)/12)))-$BF218)/$BG218)^2*SIN(($BH218+10*($BI218-$BH218)/12))^2</f>
        <v/>
      </c>
      <c r="BU218">
        <f>((cc_D/2*(1-COS(($BH218+11*($BI218-$BH218)/12)))-$BF218)/$BG218)^2*SIN(($BH218+11*($BI218-$BH218)/12))^2</f>
        <v/>
      </c>
      <c r="BV218">
        <f>((cc_D/2*(1-COS(($BH218+12*($BI218-$BH218)/12)))-$BF218)/$BG218)^2*SIN(($BH218+12*($BI218-$BH218)/12))^2</f>
        <v/>
      </c>
      <c r="BW218">
        <f>BJ218*COS(($BH218+0*($BI218-$BH218)/12))</f>
        <v/>
      </c>
      <c r="BX218">
        <f>BK218*COS(($BH218+1*($BI218-$BH218)/12))</f>
        <v/>
      </c>
      <c r="BY218">
        <f>BL218*COS(($BH218+2*($BI218-$BH218)/12))</f>
        <v/>
      </c>
      <c r="BZ218">
        <f>BM218*COS(($BH218+3*($BI218-$BH218)/12))</f>
        <v/>
      </c>
      <c r="CA218">
        <f>BN218*COS(($BH218+4*($BI218-$BH218)/12))</f>
        <v/>
      </c>
      <c r="CB218">
        <f>BO218*COS(($BH218+5*($BI218-$BH218)/12))</f>
        <v/>
      </c>
      <c r="CC218">
        <f>BP218*COS(($BH218+6*($BI218-$BH218)/12))</f>
        <v/>
      </c>
      <c r="CD218">
        <f>BQ218*COS(($BH218+7*($BI218-$BH218)/12))</f>
        <v/>
      </c>
      <c r="CE218">
        <f>BR218*COS(($BH218+8*($BI218-$BH218)/12))</f>
        <v/>
      </c>
      <c r="CF218">
        <f>BS218*COS(($BH218+9*($BI218-$BH218)/12))</f>
        <v/>
      </c>
      <c r="CG218">
        <f>BT218*COS(($BH218+10*($BI218-$BH218)/12))</f>
        <v/>
      </c>
      <c r="CH218">
        <f>BU218*COS(($BH218+11*($BI218-$BH218)/12))</f>
        <v/>
      </c>
      <c r="CI218">
        <f>BV218*COS(($BH218+12*($BI218-$BH218)/12))</f>
        <v/>
      </c>
    </row>
    <row r="219">
      <c r="B219" s="65" t="n">
        <v>4</v>
      </c>
      <c r="C219" s="66">
        <f>IF($G218&lt;cc_NEd-1E-9*ABS(cc_NEd),($C218+$D218)/2,$C218)</f>
        <v/>
      </c>
      <c r="D219" s="66">
        <f>IF($G218&lt;cc_NEd-1E-9*ABS(cc_NEd),$D218,($C218+$D218)/2)</f>
        <v/>
      </c>
      <c r="E219" s="67">
        <f>cc_D*(($C219+$D219)/2)/(1-(($C219+$D219)/2))</f>
        <v/>
      </c>
      <c r="F219" s="68">
        <f>IF($E219&lt;=cc_D,3.5,2*$E219/($E219-3*cc_D/7))</f>
        <v/>
      </c>
      <c r="G219" s="67">
        <f>(fcd_cc*((cc_D/2)^2*($BI219-COS($BI219)*SIN($BI219))-2*(cc_D/2)^2*($BI219-$BH219)/12/3*SUMPRODUCT($BJ$4:$BV$4,$BJ219:$BV219))+SUMPRODUCT($J$5:$AG$5,$J219:$AG219))/1000</f>
        <v/>
      </c>
      <c r="H219" s="67">
        <f>(fcd_cc*(2/3*(cc_D/2)^3*SIN($BI219)^3-2*(cc_D/2)^3*($BI219-$BH219)/12/3*SUMPRODUCT($BW$4:$CI$4,$BW219:$CI219))+SUMPRODUCT($J$5:$AG$5,$J219:$AG219,$J$13:$AG$13))/1E6</f>
        <v/>
      </c>
      <c r="I219" s="67">
        <f>SUMPRODUCT($J$5:$AG$5,$J219:$AG219,$J$14:$AG$14)/1E6</f>
        <v/>
      </c>
      <c r="J219">
        <f>MAX(-fyd_cc,MIN(fyd_cc,Es_cc*IF($E219&lt;=cc_D,0.0035*($E219-J$12)/$E219,0.002*($E219-J$12)/($E219-3*cc_D/7))))-fcd_cc*(1-(1-MAX(0,MIN(1,IF($E219&lt;=cc_D,0.0035*($E219-J$12)/$E219,0.002*($E219-J$12)/($E219-3*cc_D/7))/0.002)))^2)</f>
        <v/>
      </c>
      <c r="K219">
        <f>MAX(-fyd_cc,MIN(fyd_cc,Es_cc*IF($E219&lt;=cc_D,0.0035*($E219-K$12)/$E219,0.002*($E219-K$12)/($E219-3*cc_D/7))))-fcd_cc*(1-(1-MAX(0,MIN(1,IF($E219&lt;=cc_D,0.0035*($E219-K$12)/$E219,0.002*($E219-K$12)/($E219-3*cc_D/7))/0.002)))^2)</f>
        <v/>
      </c>
      <c r="L219">
        <f>MAX(-fyd_cc,MIN(fyd_cc,Es_cc*IF($E219&lt;=cc_D,0.0035*($E219-L$12)/$E219,0.002*($E219-L$12)/($E219-3*cc_D/7))))-fcd_cc*(1-(1-MAX(0,MIN(1,IF($E219&lt;=cc_D,0.0035*($E219-L$12)/$E219,0.002*($E219-L$12)/($E219-3*cc_D/7))/0.002)))^2)</f>
        <v/>
      </c>
      <c r="M219">
        <f>MAX(-fyd_cc,MIN(fyd_cc,Es_cc*IF($E219&lt;=cc_D,0.0035*($E219-M$12)/$E219,0.002*($E219-M$12)/($E219-3*cc_D/7))))-fcd_cc*(1-(1-MAX(0,MIN(1,IF($E219&lt;=cc_D,0.0035*($E219-M$12)/$E219,0.002*($E219-M$12)/($E219-3*cc_D/7))/0.002)))^2)</f>
        <v/>
      </c>
      <c r="N219">
        <f>MAX(-fyd_cc,MIN(fyd_cc,Es_cc*IF($E219&lt;=cc_D,0.0035*($E219-N$12)/$E219,0.002*($E219-N$12)/($E219-3*cc_D/7))))-fcd_cc*(1-(1-MAX(0,MIN(1,IF($E219&lt;=cc_D,0.0035*($E219-N$12)/$E219,0.002*($E219-N$12)/($E219-3*cc_D/7))/0.002)))^2)</f>
        <v/>
      </c>
      <c r="O219">
        <f>MAX(-fyd_cc,MIN(fyd_cc,Es_cc*IF($E219&lt;=cc_D,0.0035*($E219-O$12)/$E219,0.002*($E219-O$12)/($E219-3*cc_D/7))))-fcd_cc*(1-(1-MAX(0,MIN(1,IF($E219&lt;=cc_D,0.0035*($E219-O$12)/$E219,0.002*($E219-O$12)/($E219-3*cc_D/7))/0.002)))^2)</f>
        <v/>
      </c>
      <c r="P219">
        <f>MAX(-fyd_cc,MIN(fyd_cc,Es_cc*IF($E219&lt;=cc_D,0.0035*($E219-P$12)/$E219,0.002*($E219-P$12)/($E219-3*cc_D/7))))-fcd_cc*(1-(1-MAX(0,MIN(1,IF($E219&lt;=cc_D,0.0035*($E219-P$12)/$E219,0.002*($E219-P$12)/($E219-3*cc_D/7))/0.002)))^2)</f>
        <v/>
      </c>
      <c r="Q219">
        <f>MAX(-fyd_cc,MIN(fyd_cc,Es_cc*IF($E219&lt;=cc_D,0.0035*($E219-Q$12)/$E219,0.002*($E219-Q$12)/($E219-3*cc_D/7))))-fcd_cc*(1-(1-MAX(0,MIN(1,IF($E219&lt;=cc_D,0.0035*($E219-Q$12)/$E219,0.002*($E219-Q$12)/($E219-3*cc_D/7))/0.002)))^2)</f>
        <v/>
      </c>
      <c r="R219">
        <f>MAX(-fyd_cc,MIN(fyd_cc,Es_cc*IF($E219&lt;=cc_D,0.0035*($E219-R$12)/$E219,0.002*($E219-R$12)/($E219-3*cc_D/7))))-fcd_cc*(1-(1-MAX(0,MIN(1,IF($E219&lt;=cc_D,0.0035*($E219-R$12)/$E219,0.002*($E219-R$12)/($E219-3*cc_D/7))/0.002)))^2)</f>
        <v/>
      </c>
      <c r="S219">
        <f>MAX(-fyd_cc,MIN(fyd_cc,Es_cc*IF($E219&lt;=cc_D,0.0035*($E219-S$12)/$E219,0.002*($E219-S$12)/($E219-3*cc_D/7))))-fcd_cc*(1-(1-MAX(0,MIN(1,IF($E219&lt;=cc_D,0.0035*($E219-S$12)/$E219,0.002*($E219-S$12)/($E219-3*cc_D/7))/0.002)))^2)</f>
        <v/>
      </c>
      <c r="T219">
        <f>MAX(-fyd_cc,MIN(fyd_cc,Es_cc*IF($E219&lt;=cc_D,0.0035*($E219-T$12)/$E219,0.002*($E219-T$12)/($E219-3*cc_D/7))))-fcd_cc*(1-(1-MAX(0,MIN(1,IF($E219&lt;=cc_D,0.0035*($E219-T$12)/$E219,0.002*($E219-T$12)/($E219-3*cc_D/7))/0.002)))^2)</f>
        <v/>
      </c>
      <c r="U219">
        <f>MAX(-fyd_cc,MIN(fyd_cc,Es_cc*IF($E219&lt;=cc_D,0.0035*($E219-U$12)/$E219,0.002*($E219-U$12)/($E219-3*cc_D/7))))-fcd_cc*(1-(1-MAX(0,MIN(1,IF($E219&lt;=cc_D,0.0035*($E219-U$12)/$E219,0.002*($E219-U$12)/($E219-3*cc_D/7))/0.002)))^2)</f>
        <v/>
      </c>
      <c r="V219">
        <f>MAX(-fyd_cc,MIN(fyd_cc,Es_cc*IF($E219&lt;=cc_D,0.0035*($E219-V$12)/$E219,0.002*($E219-V$12)/($E219-3*cc_D/7))))-fcd_cc*(1-(1-MAX(0,MIN(1,IF($E219&lt;=cc_D,0.0035*($E219-V$12)/$E219,0.002*($E219-V$12)/($E219-3*cc_D/7))/0.002)))^2)</f>
        <v/>
      </c>
      <c r="W219">
        <f>MAX(-fyd_cc,MIN(fyd_cc,Es_cc*IF($E219&lt;=cc_D,0.0035*($E219-W$12)/$E219,0.002*($E219-W$12)/($E219-3*cc_D/7))))-fcd_cc*(1-(1-MAX(0,MIN(1,IF($E219&lt;=cc_D,0.0035*($E219-W$12)/$E219,0.002*($E219-W$12)/($E219-3*cc_D/7))/0.002)))^2)</f>
        <v/>
      </c>
      <c r="X219">
        <f>MAX(-fyd_cc,MIN(fyd_cc,Es_cc*IF($E219&lt;=cc_D,0.0035*($E219-X$12)/$E219,0.002*($E219-X$12)/($E219-3*cc_D/7))))-fcd_cc*(1-(1-MAX(0,MIN(1,IF($E219&lt;=cc_D,0.0035*($E219-X$12)/$E219,0.002*($E219-X$12)/($E219-3*cc_D/7))/0.002)))^2)</f>
        <v/>
      </c>
      <c r="Y219">
        <f>MAX(-fyd_cc,MIN(fyd_cc,Es_cc*IF($E219&lt;=cc_D,0.0035*($E219-Y$12)/$E219,0.002*($E219-Y$12)/($E219-3*cc_D/7))))-fcd_cc*(1-(1-MAX(0,MIN(1,IF($E219&lt;=cc_D,0.0035*($E219-Y$12)/$E219,0.002*($E219-Y$12)/($E219-3*cc_D/7))/0.002)))^2)</f>
        <v/>
      </c>
      <c r="Z219">
        <f>MAX(-fyd_cc,MIN(fyd_cc,Es_cc*IF($E219&lt;=cc_D,0.0035*($E219-Z$12)/$E219,0.002*($E219-Z$12)/($E219-3*cc_D/7))))-fcd_cc*(1-(1-MAX(0,MIN(1,IF($E219&lt;=cc_D,0.0035*($E219-Z$12)/$E219,0.002*($E219-Z$12)/($E219-3*cc_D/7))/0.002)))^2)</f>
        <v/>
      </c>
      <c r="AA219">
        <f>MAX(-fyd_cc,MIN(fyd_cc,Es_cc*IF($E219&lt;=cc_D,0.0035*($E219-AA$12)/$E219,0.002*($E219-AA$12)/($E219-3*cc_D/7))))-fcd_cc*(1-(1-MAX(0,MIN(1,IF($E219&lt;=cc_D,0.0035*($E219-AA$12)/$E219,0.002*($E219-AA$12)/($E219-3*cc_D/7))/0.002)))^2)</f>
        <v/>
      </c>
      <c r="AB219">
        <f>MAX(-fyd_cc,MIN(fyd_cc,Es_cc*IF($E219&lt;=cc_D,0.0035*($E219-AB$12)/$E219,0.002*($E219-AB$12)/($E219-3*cc_D/7))))-fcd_cc*(1-(1-MAX(0,MIN(1,IF($E219&lt;=cc_D,0.0035*($E219-AB$12)/$E219,0.002*($E219-AB$12)/($E219-3*cc_D/7))/0.002)))^2)</f>
        <v/>
      </c>
      <c r="AC219">
        <f>MAX(-fyd_cc,MIN(fyd_cc,Es_cc*IF($E219&lt;=cc_D,0.0035*($E219-AC$12)/$E219,0.002*($E219-AC$12)/($E219-3*cc_D/7))))-fcd_cc*(1-(1-MAX(0,MIN(1,IF($E219&lt;=cc_D,0.0035*($E219-AC$12)/$E219,0.002*($E219-AC$12)/($E219-3*cc_D/7))/0.002)))^2)</f>
        <v/>
      </c>
      <c r="AD219">
        <f>MAX(-fyd_cc,MIN(fyd_cc,Es_cc*IF($E219&lt;=cc_D,0.0035*($E219-AD$12)/$E219,0.002*($E219-AD$12)/($E219-3*cc_D/7))))-fcd_cc*(1-(1-MAX(0,MIN(1,IF($E219&lt;=cc_D,0.0035*($E219-AD$12)/$E219,0.002*($E219-AD$12)/($E219-3*cc_D/7))/0.002)))^2)</f>
        <v/>
      </c>
      <c r="AE219">
        <f>MAX(-fyd_cc,MIN(fyd_cc,Es_cc*IF($E219&lt;=cc_D,0.0035*($E219-AE$12)/$E219,0.002*($E219-AE$12)/($E219-3*cc_D/7))))-fcd_cc*(1-(1-MAX(0,MIN(1,IF($E219&lt;=cc_D,0.0035*($E219-AE$12)/$E219,0.002*($E219-AE$12)/($E219-3*cc_D/7))/0.002)))^2)</f>
        <v/>
      </c>
      <c r="AF219">
        <f>MAX(-fyd_cc,MIN(fyd_cc,Es_cc*IF($E219&lt;=cc_D,0.0035*($E219-AF$12)/$E219,0.002*($E219-AF$12)/($E219-3*cc_D/7))))-fcd_cc*(1-(1-MAX(0,MIN(1,IF($E219&lt;=cc_D,0.0035*($E219-AF$12)/$E219,0.002*($E219-AF$12)/($E219-3*cc_D/7))/0.002)))^2)</f>
        <v/>
      </c>
      <c r="AG219">
        <f>MAX(-fyd_cc,MIN(fyd_cc,Es_cc*IF($E219&lt;=cc_D,0.0035*($E219-AG$12)/$E219,0.002*($E219-AG$12)/($E219-3*cc_D/7))))-fcd_cc*(1-(1-MAX(0,MIN(1,IF($E219&lt;=cc_D,0.0035*($E219-AG$12)/$E219,0.002*($E219-AG$12)/($E219-3*cc_D/7))/0.002)))^2)</f>
        <v/>
      </c>
      <c r="BF219">
        <f>3*MIN($E219,cc_D)/7</f>
        <v/>
      </c>
      <c r="BG219">
        <f>$E219-$BF219</f>
        <v/>
      </c>
      <c r="BH219">
        <f>ACOS(MAX(-1,MIN(1,1-$BF219/(cc_D/2))))</f>
        <v/>
      </c>
      <c r="BI219">
        <f>ACOS(MAX(-1,MIN(1,1-MIN($E219,cc_D)/(cc_D/2))))</f>
        <v/>
      </c>
      <c r="BJ219">
        <f>((cc_D/2*(1-COS(($BH219+0*($BI219-$BH219)/12)))-$BF219)/$BG219)^2*SIN(($BH219+0*($BI219-$BH219)/12))^2</f>
        <v/>
      </c>
      <c r="BK219">
        <f>((cc_D/2*(1-COS(($BH219+1*($BI219-$BH219)/12)))-$BF219)/$BG219)^2*SIN(($BH219+1*($BI219-$BH219)/12))^2</f>
        <v/>
      </c>
      <c r="BL219">
        <f>((cc_D/2*(1-COS(($BH219+2*($BI219-$BH219)/12)))-$BF219)/$BG219)^2*SIN(($BH219+2*($BI219-$BH219)/12))^2</f>
        <v/>
      </c>
      <c r="BM219">
        <f>((cc_D/2*(1-COS(($BH219+3*($BI219-$BH219)/12)))-$BF219)/$BG219)^2*SIN(($BH219+3*($BI219-$BH219)/12))^2</f>
        <v/>
      </c>
      <c r="BN219">
        <f>((cc_D/2*(1-COS(($BH219+4*($BI219-$BH219)/12)))-$BF219)/$BG219)^2*SIN(($BH219+4*($BI219-$BH219)/12))^2</f>
        <v/>
      </c>
      <c r="BO219">
        <f>((cc_D/2*(1-COS(($BH219+5*($BI219-$BH219)/12)))-$BF219)/$BG219)^2*SIN(($BH219+5*($BI219-$BH219)/12))^2</f>
        <v/>
      </c>
      <c r="BP219">
        <f>((cc_D/2*(1-COS(($BH219+6*($BI219-$BH219)/12)))-$BF219)/$BG219)^2*SIN(($BH219+6*($BI219-$BH219)/12))^2</f>
        <v/>
      </c>
      <c r="BQ219">
        <f>((cc_D/2*(1-COS(($BH219+7*($BI219-$BH219)/12)))-$BF219)/$BG219)^2*SIN(($BH219+7*($BI219-$BH219)/12))^2</f>
        <v/>
      </c>
      <c r="BR219">
        <f>((cc_D/2*(1-COS(($BH219+8*($BI219-$BH219)/12)))-$BF219)/$BG219)^2*SIN(($BH219+8*($BI219-$BH219)/12))^2</f>
        <v/>
      </c>
      <c r="BS219">
        <f>((cc_D/2*(1-COS(($BH219+9*($BI219-$BH219)/12)))-$BF219)/$BG219)^2*SIN(($BH219+9*($BI219-$BH219)/12))^2</f>
        <v/>
      </c>
      <c r="BT219">
        <f>((cc_D/2*(1-COS(($BH219+10*($BI219-$BH219)/12)))-$BF219)/$BG219)^2*SIN(($BH219+10*($BI219-$BH219)/12))^2</f>
        <v/>
      </c>
      <c r="BU219">
        <f>((cc_D/2*(1-COS(($BH219+11*($BI219-$BH219)/12)))-$BF219)/$BG219)^2*SIN(($BH219+11*($BI219-$BH219)/12))^2</f>
        <v/>
      </c>
      <c r="BV219">
        <f>((cc_D/2*(1-COS(($BH219+12*($BI219-$BH219)/12)))-$BF219)/$BG219)^2*SIN(($BH219+12*($BI219-$BH219)/12))^2</f>
        <v/>
      </c>
      <c r="BW219">
        <f>BJ219*COS(($BH219+0*($BI219-$BH219)/12))</f>
        <v/>
      </c>
      <c r="BX219">
        <f>BK219*COS(($BH219+1*($BI219-$BH219)/12))</f>
        <v/>
      </c>
      <c r="BY219">
        <f>BL219*COS(($BH219+2*($BI219-$BH219)/12))</f>
        <v/>
      </c>
      <c r="BZ219">
        <f>BM219*COS(($BH219+3*($BI219-$BH219)/12))</f>
        <v/>
      </c>
      <c r="CA219">
        <f>BN219*COS(($BH219+4*($BI219-$BH219)/12))</f>
        <v/>
      </c>
      <c r="CB219">
        <f>BO219*COS(($BH219+5*($BI219-$BH219)/12))</f>
        <v/>
      </c>
      <c r="CC219">
        <f>BP219*COS(($BH219+6*($BI219-$BH219)/12))</f>
        <v/>
      </c>
      <c r="CD219">
        <f>BQ219*COS(($BH219+7*($BI219-$BH219)/12))</f>
        <v/>
      </c>
      <c r="CE219">
        <f>BR219*COS(($BH219+8*($BI219-$BH219)/12))</f>
        <v/>
      </c>
      <c r="CF219">
        <f>BS219*COS(($BH219+9*($BI219-$BH219)/12))</f>
        <v/>
      </c>
      <c r="CG219">
        <f>BT219*COS(($BH219+10*($BI219-$BH219)/12))</f>
        <v/>
      </c>
      <c r="CH219">
        <f>BU219*COS(($BH219+11*($BI219-$BH219)/12))</f>
        <v/>
      </c>
      <c r="CI219">
        <f>BV219*COS(($BH219+12*($BI219-$BH219)/12))</f>
        <v/>
      </c>
    </row>
    <row r="220">
      <c r="B220" s="65" t="n">
        <v>5</v>
      </c>
      <c r="C220" s="66">
        <f>IF($G219&lt;cc_NEd-1E-9*ABS(cc_NEd),($C219+$D219)/2,$C219)</f>
        <v/>
      </c>
      <c r="D220" s="66">
        <f>IF($G219&lt;cc_NEd-1E-9*ABS(cc_NEd),$D219,($C219+$D219)/2)</f>
        <v/>
      </c>
      <c r="E220" s="67">
        <f>cc_D*(($C220+$D220)/2)/(1-(($C220+$D220)/2))</f>
        <v/>
      </c>
      <c r="F220" s="68">
        <f>IF($E220&lt;=cc_D,3.5,2*$E220/($E220-3*cc_D/7))</f>
        <v/>
      </c>
      <c r="G220" s="67">
        <f>(fcd_cc*((cc_D/2)^2*($BI220-COS($BI220)*SIN($BI220))-2*(cc_D/2)^2*($BI220-$BH220)/12/3*SUMPRODUCT($BJ$4:$BV$4,$BJ220:$BV220))+SUMPRODUCT($J$5:$AG$5,$J220:$AG220))/1000</f>
        <v/>
      </c>
      <c r="H220" s="67">
        <f>(fcd_cc*(2/3*(cc_D/2)^3*SIN($BI220)^3-2*(cc_D/2)^3*($BI220-$BH220)/12/3*SUMPRODUCT($BW$4:$CI$4,$BW220:$CI220))+SUMPRODUCT($J$5:$AG$5,$J220:$AG220,$J$13:$AG$13))/1E6</f>
        <v/>
      </c>
      <c r="I220" s="67">
        <f>SUMPRODUCT($J$5:$AG$5,$J220:$AG220,$J$14:$AG$14)/1E6</f>
        <v/>
      </c>
      <c r="J220">
        <f>MAX(-fyd_cc,MIN(fyd_cc,Es_cc*IF($E220&lt;=cc_D,0.0035*($E220-J$12)/$E220,0.002*($E220-J$12)/($E220-3*cc_D/7))))-fcd_cc*(1-(1-MAX(0,MIN(1,IF($E220&lt;=cc_D,0.0035*($E220-J$12)/$E220,0.002*($E220-J$12)/($E220-3*cc_D/7))/0.002)))^2)</f>
        <v/>
      </c>
      <c r="K220">
        <f>MAX(-fyd_cc,MIN(fyd_cc,Es_cc*IF($E220&lt;=cc_D,0.0035*($E220-K$12)/$E220,0.002*($E220-K$12)/($E220-3*cc_D/7))))-fcd_cc*(1-(1-MAX(0,MIN(1,IF($E220&lt;=cc_D,0.0035*($E220-K$12)/$E220,0.002*($E220-K$12)/($E220-3*cc_D/7))/0.002)))^2)</f>
        <v/>
      </c>
      <c r="L220">
        <f>MAX(-fyd_cc,MIN(fyd_cc,Es_cc*IF($E220&lt;=cc_D,0.0035*($E220-L$12)/$E220,0.002*($E220-L$12)/($E220-3*cc_D/7))))-fcd_cc*(1-(1-MAX(0,MIN(1,IF($E220&lt;=cc_D,0.0035*($E220-L$12)/$E220,0.002*($E220-L$12)/($E220-3*cc_D/7))/0.002)))^2)</f>
        <v/>
      </c>
      <c r="M220">
        <f>MAX(-fyd_cc,MIN(fyd_cc,Es_cc*IF($E220&lt;=cc_D,0.0035*($E220-M$12)/$E220,0.002*($E220-M$12)/($E220-3*cc_D/7))))-fcd_cc*(1-(1-MAX(0,MIN(1,IF($E220&lt;=cc_D,0.0035*($E220-M$12)/$E220,0.002*($E220-M$12)/($E220-3*cc_D/7))/0.002)))^2)</f>
        <v/>
      </c>
      <c r="N220">
        <f>MAX(-fyd_cc,MIN(fyd_cc,Es_cc*IF($E220&lt;=cc_D,0.0035*($E220-N$12)/$E220,0.002*($E220-N$12)/($E220-3*cc_D/7))))-fcd_cc*(1-(1-MAX(0,MIN(1,IF($E220&lt;=cc_D,0.0035*($E220-N$12)/$E220,0.002*($E220-N$12)/($E220-3*cc_D/7))/0.002)))^2)</f>
        <v/>
      </c>
      <c r="O220">
        <f>MAX(-fyd_cc,MIN(fyd_cc,Es_cc*IF($E220&lt;=cc_D,0.0035*($E220-O$12)/$E220,0.002*($E220-O$12)/($E220-3*cc_D/7))))-fcd_cc*(1-(1-MAX(0,MIN(1,IF($E220&lt;=cc_D,0.0035*($E220-O$12)/$E220,0.002*($E220-O$12)/($E220-3*cc_D/7))/0.002)))^2)</f>
        <v/>
      </c>
      <c r="P220">
        <f>MAX(-fyd_cc,MIN(fyd_cc,Es_cc*IF($E220&lt;=cc_D,0.0035*($E220-P$12)/$E220,0.002*($E220-P$12)/($E220-3*cc_D/7))))-fcd_cc*(1-(1-MAX(0,MIN(1,IF($E220&lt;=cc_D,0.0035*($E220-P$12)/$E220,0.002*($E220-P$12)/($E220-3*cc_D/7))/0.002)))^2)</f>
        <v/>
      </c>
      <c r="Q220">
        <f>MAX(-fyd_cc,MIN(fyd_cc,Es_cc*IF($E220&lt;=cc_D,0.0035*($E220-Q$12)/$E220,0.002*($E220-Q$12)/($E220-3*cc_D/7))))-fcd_cc*(1-(1-MAX(0,MIN(1,IF($E220&lt;=cc_D,0.0035*($E220-Q$12)/$E220,0.002*($E220-Q$12)/($E220-3*cc_D/7))/0.002)))^2)</f>
        <v/>
      </c>
      <c r="R220">
        <f>MAX(-fyd_cc,MIN(fyd_cc,Es_cc*IF($E220&lt;=cc_D,0.0035*($E220-R$12)/$E220,0.002*($E220-R$12)/($E220-3*cc_D/7))))-fcd_cc*(1-(1-MAX(0,MIN(1,IF($E220&lt;=cc_D,0.0035*($E220-R$12)/$E220,0.002*($E220-R$12)/($E220-3*cc_D/7))/0.002)))^2)</f>
        <v/>
      </c>
      <c r="S220">
        <f>MAX(-fyd_cc,MIN(fyd_cc,Es_cc*IF($E220&lt;=cc_D,0.0035*($E220-S$12)/$E220,0.002*($E220-S$12)/($E220-3*cc_D/7))))-fcd_cc*(1-(1-MAX(0,MIN(1,IF($E220&lt;=cc_D,0.0035*($E220-S$12)/$E220,0.002*($E220-S$12)/($E220-3*cc_D/7))/0.002)))^2)</f>
        <v/>
      </c>
      <c r="T220">
        <f>MAX(-fyd_cc,MIN(fyd_cc,Es_cc*IF($E220&lt;=cc_D,0.0035*($E220-T$12)/$E220,0.002*($E220-T$12)/($E220-3*cc_D/7))))-fcd_cc*(1-(1-MAX(0,MIN(1,IF($E220&lt;=cc_D,0.0035*($E220-T$12)/$E220,0.002*($E220-T$12)/($E220-3*cc_D/7))/0.002)))^2)</f>
        <v/>
      </c>
      <c r="U220">
        <f>MAX(-fyd_cc,MIN(fyd_cc,Es_cc*IF($E220&lt;=cc_D,0.0035*($E220-U$12)/$E220,0.002*($E220-U$12)/($E220-3*cc_D/7))))-fcd_cc*(1-(1-MAX(0,MIN(1,IF($E220&lt;=cc_D,0.0035*($E220-U$12)/$E220,0.002*($E220-U$12)/($E220-3*cc_D/7))/0.002)))^2)</f>
        <v/>
      </c>
      <c r="V220">
        <f>MAX(-fyd_cc,MIN(fyd_cc,Es_cc*IF($E220&lt;=cc_D,0.0035*($E220-V$12)/$E220,0.002*($E220-V$12)/($E220-3*cc_D/7))))-fcd_cc*(1-(1-MAX(0,MIN(1,IF($E220&lt;=cc_D,0.0035*($E220-V$12)/$E220,0.002*($E220-V$12)/($E220-3*cc_D/7))/0.002)))^2)</f>
        <v/>
      </c>
      <c r="W220">
        <f>MAX(-fyd_cc,MIN(fyd_cc,Es_cc*IF($E220&lt;=cc_D,0.0035*($E220-W$12)/$E220,0.002*($E220-W$12)/($E220-3*cc_D/7))))-fcd_cc*(1-(1-MAX(0,MIN(1,IF($E220&lt;=cc_D,0.0035*($E220-W$12)/$E220,0.002*($E220-W$12)/($E220-3*cc_D/7))/0.002)))^2)</f>
        <v/>
      </c>
      <c r="X220">
        <f>MAX(-fyd_cc,MIN(fyd_cc,Es_cc*IF($E220&lt;=cc_D,0.0035*($E220-X$12)/$E220,0.002*($E220-X$12)/($E220-3*cc_D/7))))-fcd_cc*(1-(1-MAX(0,MIN(1,IF($E220&lt;=cc_D,0.0035*($E220-X$12)/$E220,0.002*($E220-X$12)/($E220-3*cc_D/7))/0.002)))^2)</f>
        <v/>
      </c>
      <c r="Y220">
        <f>MAX(-fyd_cc,MIN(fyd_cc,Es_cc*IF($E220&lt;=cc_D,0.0035*($E220-Y$12)/$E220,0.002*($E220-Y$12)/($E220-3*cc_D/7))))-fcd_cc*(1-(1-MAX(0,MIN(1,IF($E220&lt;=cc_D,0.0035*($E220-Y$12)/$E220,0.002*($E220-Y$12)/($E220-3*cc_D/7))/0.002)))^2)</f>
        <v/>
      </c>
      <c r="Z220">
        <f>MAX(-fyd_cc,MIN(fyd_cc,Es_cc*IF($E220&lt;=cc_D,0.0035*($E220-Z$12)/$E220,0.002*($E220-Z$12)/($E220-3*cc_D/7))))-fcd_cc*(1-(1-MAX(0,MIN(1,IF($E220&lt;=cc_D,0.0035*($E220-Z$12)/$E220,0.002*($E220-Z$12)/($E220-3*cc_D/7))/0.002)))^2)</f>
        <v/>
      </c>
      <c r="AA220">
        <f>MAX(-fyd_cc,MIN(fyd_cc,Es_cc*IF($E220&lt;=cc_D,0.0035*($E220-AA$12)/$E220,0.002*($E220-AA$12)/($E220-3*cc_D/7))))-fcd_cc*(1-(1-MAX(0,MIN(1,IF($E220&lt;=cc_D,0.0035*($E220-AA$12)/$E220,0.002*($E220-AA$12)/($E220-3*cc_D/7))/0.002)))^2)</f>
        <v/>
      </c>
      <c r="AB220">
        <f>MAX(-fyd_cc,MIN(fyd_cc,Es_cc*IF($E220&lt;=cc_D,0.0035*($E220-AB$12)/$E220,0.002*($E220-AB$12)/($E220-3*cc_D/7))))-fcd_cc*(1-(1-MAX(0,MIN(1,IF($E220&lt;=cc_D,0.0035*($E220-AB$12)/$E220,0.002*($E220-AB$12)/($E220-3*cc_D/7))/0.002)))^2)</f>
        <v/>
      </c>
      <c r="AC220">
        <f>MAX(-fyd_cc,MIN(fyd_cc,Es_cc*IF($E220&lt;=cc_D,0.0035*($E220-AC$12)/$E220,0.002*($E220-AC$12)/($E220-3*cc_D/7))))-fcd_cc*(1-(1-MAX(0,MIN(1,IF($E220&lt;=cc_D,0.0035*($E220-AC$12)/$E220,0.002*($E220-AC$12)/($E220-3*cc_D/7))/0.002)))^2)</f>
        <v/>
      </c>
      <c r="AD220">
        <f>MAX(-fyd_cc,MIN(fyd_cc,Es_cc*IF($E220&lt;=cc_D,0.0035*($E220-AD$12)/$E220,0.002*($E220-AD$12)/($E220-3*cc_D/7))))-fcd_cc*(1-(1-MAX(0,MIN(1,IF($E220&lt;=cc_D,0.0035*($E220-AD$12)/$E220,0.002*($E220-AD$12)/($E220-3*cc_D/7))/0.002)))^2)</f>
        <v/>
      </c>
      <c r="AE220">
        <f>MAX(-fyd_cc,MIN(fyd_cc,Es_cc*IF($E220&lt;=cc_D,0.0035*($E220-AE$12)/$E220,0.002*($E220-AE$12)/($E220-3*cc_D/7))))-fcd_cc*(1-(1-MAX(0,MIN(1,IF($E220&lt;=cc_D,0.0035*($E220-AE$12)/$E220,0.002*($E220-AE$12)/($E220-3*cc_D/7))/0.002)))^2)</f>
        <v/>
      </c>
      <c r="AF220">
        <f>MAX(-fyd_cc,MIN(fyd_cc,Es_cc*IF($E220&lt;=cc_D,0.0035*($E220-AF$12)/$E220,0.002*($E220-AF$12)/($E220-3*cc_D/7))))-fcd_cc*(1-(1-MAX(0,MIN(1,IF($E220&lt;=cc_D,0.0035*($E220-AF$12)/$E220,0.002*($E220-AF$12)/($E220-3*cc_D/7))/0.002)))^2)</f>
        <v/>
      </c>
      <c r="AG220">
        <f>MAX(-fyd_cc,MIN(fyd_cc,Es_cc*IF($E220&lt;=cc_D,0.0035*($E220-AG$12)/$E220,0.002*($E220-AG$12)/($E220-3*cc_D/7))))-fcd_cc*(1-(1-MAX(0,MIN(1,IF($E220&lt;=cc_D,0.0035*($E220-AG$12)/$E220,0.002*($E220-AG$12)/($E220-3*cc_D/7))/0.002)))^2)</f>
        <v/>
      </c>
      <c r="BF220">
        <f>3*MIN($E220,cc_D)/7</f>
        <v/>
      </c>
      <c r="BG220">
        <f>$E220-$BF220</f>
        <v/>
      </c>
      <c r="BH220">
        <f>ACOS(MAX(-1,MIN(1,1-$BF220/(cc_D/2))))</f>
        <v/>
      </c>
      <c r="BI220">
        <f>ACOS(MAX(-1,MIN(1,1-MIN($E220,cc_D)/(cc_D/2))))</f>
        <v/>
      </c>
      <c r="BJ220">
        <f>((cc_D/2*(1-COS(($BH220+0*($BI220-$BH220)/12)))-$BF220)/$BG220)^2*SIN(($BH220+0*($BI220-$BH220)/12))^2</f>
        <v/>
      </c>
      <c r="BK220">
        <f>((cc_D/2*(1-COS(($BH220+1*($BI220-$BH220)/12)))-$BF220)/$BG220)^2*SIN(($BH220+1*($BI220-$BH220)/12))^2</f>
        <v/>
      </c>
      <c r="BL220">
        <f>((cc_D/2*(1-COS(($BH220+2*($BI220-$BH220)/12)))-$BF220)/$BG220)^2*SIN(($BH220+2*($BI220-$BH220)/12))^2</f>
        <v/>
      </c>
      <c r="BM220">
        <f>((cc_D/2*(1-COS(($BH220+3*($BI220-$BH220)/12)))-$BF220)/$BG220)^2*SIN(($BH220+3*($BI220-$BH220)/12))^2</f>
        <v/>
      </c>
      <c r="BN220">
        <f>((cc_D/2*(1-COS(($BH220+4*($BI220-$BH220)/12)))-$BF220)/$BG220)^2*SIN(($BH220+4*($BI220-$BH220)/12))^2</f>
        <v/>
      </c>
      <c r="BO220">
        <f>((cc_D/2*(1-COS(($BH220+5*($BI220-$BH220)/12)))-$BF220)/$BG220)^2*SIN(($BH220+5*($BI220-$BH220)/12))^2</f>
        <v/>
      </c>
      <c r="BP220">
        <f>((cc_D/2*(1-COS(($BH220+6*($BI220-$BH220)/12)))-$BF220)/$BG220)^2*SIN(($BH220+6*($BI220-$BH220)/12))^2</f>
        <v/>
      </c>
      <c r="BQ220">
        <f>((cc_D/2*(1-COS(($BH220+7*($BI220-$BH220)/12)))-$BF220)/$BG220)^2*SIN(($BH220+7*($BI220-$BH220)/12))^2</f>
        <v/>
      </c>
      <c r="BR220">
        <f>((cc_D/2*(1-COS(($BH220+8*($BI220-$BH220)/12)))-$BF220)/$BG220)^2*SIN(($BH220+8*($BI220-$BH220)/12))^2</f>
        <v/>
      </c>
      <c r="BS220">
        <f>((cc_D/2*(1-COS(($BH220+9*($BI220-$BH220)/12)))-$BF220)/$BG220)^2*SIN(($BH220+9*($BI220-$BH220)/12))^2</f>
        <v/>
      </c>
      <c r="BT220">
        <f>((cc_D/2*(1-COS(($BH220+10*($BI220-$BH220)/12)))-$BF220)/$BG220)^2*SIN(($BH220+10*($BI220-$BH220)/12))^2</f>
        <v/>
      </c>
      <c r="BU220">
        <f>((cc_D/2*(1-COS(($BH220+11*($BI220-$BH220)/12)))-$BF220)/$BG220)^2*SIN(($BH220+11*($BI220-$BH220)/12))^2</f>
        <v/>
      </c>
      <c r="BV220">
        <f>((cc_D/2*(1-COS(($BH220+12*($BI220-$BH220)/12)))-$BF220)/$BG220)^2*SIN(($BH220+12*($BI220-$BH220)/12))^2</f>
        <v/>
      </c>
      <c r="BW220">
        <f>BJ220*COS(($BH220+0*($BI220-$BH220)/12))</f>
        <v/>
      </c>
      <c r="BX220">
        <f>BK220*COS(($BH220+1*($BI220-$BH220)/12))</f>
        <v/>
      </c>
      <c r="BY220">
        <f>BL220*COS(($BH220+2*($BI220-$BH220)/12))</f>
        <v/>
      </c>
      <c r="BZ220">
        <f>BM220*COS(($BH220+3*($BI220-$BH220)/12))</f>
        <v/>
      </c>
      <c r="CA220">
        <f>BN220*COS(($BH220+4*($BI220-$BH220)/12))</f>
        <v/>
      </c>
      <c r="CB220">
        <f>BO220*COS(($BH220+5*($BI220-$BH220)/12))</f>
        <v/>
      </c>
      <c r="CC220">
        <f>BP220*COS(($BH220+6*($BI220-$BH220)/12))</f>
        <v/>
      </c>
      <c r="CD220">
        <f>BQ220*COS(($BH220+7*($BI220-$BH220)/12))</f>
        <v/>
      </c>
      <c r="CE220">
        <f>BR220*COS(($BH220+8*($BI220-$BH220)/12))</f>
        <v/>
      </c>
      <c r="CF220">
        <f>BS220*COS(($BH220+9*($BI220-$BH220)/12))</f>
        <v/>
      </c>
      <c r="CG220">
        <f>BT220*COS(($BH220+10*($BI220-$BH220)/12))</f>
        <v/>
      </c>
      <c r="CH220">
        <f>BU220*COS(($BH220+11*($BI220-$BH220)/12))</f>
        <v/>
      </c>
      <c r="CI220">
        <f>BV220*COS(($BH220+12*($BI220-$BH220)/12))</f>
        <v/>
      </c>
    </row>
    <row r="221">
      <c r="B221" s="65" t="n">
        <v>6</v>
      </c>
      <c r="C221" s="66">
        <f>IF($G220&lt;cc_NEd-1E-9*ABS(cc_NEd),($C220+$D220)/2,$C220)</f>
        <v/>
      </c>
      <c r="D221" s="66">
        <f>IF($G220&lt;cc_NEd-1E-9*ABS(cc_NEd),$D220,($C220+$D220)/2)</f>
        <v/>
      </c>
      <c r="E221" s="67">
        <f>cc_D*(($C221+$D221)/2)/(1-(($C221+$D221)/2))</f>
        <v/>
      </c>
      <c r="F221" s="68">
        <f>IF($E221&lt;=cc_D,3.5,2*$E221/($E221-3*cc_D/7))</f>
        <v/>
      </c>
      <c r="G221" s="67">
        <f>(fcd_cc*((cc_D/2)^2*($BI221-COS($BI221)*SIN($BI221))-2*(cc_D/2)^2*($BI221-$BH221)/12/3*SUMPRODUCT($BJ$4:$BV$4,$BJ221:$BV221))+SUMPRODUCT($J$5:$AG$5,$J221:$AG221))/1000</f>
        <v/>
      </c>
      <c r="H221" s="67">
        <f>(fcd_cc*(2/3*(cc_D/2)^3*SIN($BI221)^3-2*(cc_D/2)^3*($BI221-$BH221)/12/3*SUMPRODUCT($BW$4:$CI$4,$BW221:$CI221))+SUMPRODUCT($J$5:$AG$5,$J221:$AG221,$J$13:$AG$13))/1E6</f>
        <v/>
      </c>
      <c r="I221" s="67">
        <f>SUMPRODUCT($J$5:$AG$5,$J221:$AG221,$J$14:$AG$14)/1E6</f>
        <v/>
      </c>
      <c r="J221">
        <f>MAX(-fyd_cc,MIN(fyd_cc,Es_cc*IF($E221&lt;=cc_D,0.0035*($E221-J$12)/$E221,0.002*($E221-J$12)/($E221-3*cc_D/7))))-fcd_cc*(1-(1-MAX(0,MIN(1,IF($E221&lt;=cc_D,0.0035*($E221-J$12)/$E221,0.002*($E221-J$12)/($E221-3*cc_D/7))/0.002)))^2)</f>
        <v/>
      </c>
      <c r="K221">
        <f>MAX(-fyd_cc,MIN(fyd_cc,Es_cc*IF($E221&lt;=cc_D,0.0035*($E221-K$12)/$E221,0.002*($E221-K$12)/($E221-3*cc_D/7))))-fcd_cc*(1-(1-MAX(0,MIN(1,IF($E221&lt;=cc_D,0.0035*($E221-K$12)/$E221,0.002*($E221-K$12)/($E221-3*cc_D/7))/0.002)))^2)</f>
        <v/>
      </c>
      <c r="L221">
        <f>MAX(-fyd_cc,MIN(fyd_cc,Es_cc*IF($E221&lt;=cc_D,0.0035*($E221-L$12)/$E221,0.002*($E221-L$12)/($E221-3*cc_D/7))))-fcd_cc*(1-(1-MAX(0,MIN(1,IF($E221&lt;=cc_D,0.0035*($E221-L$12)/$E221,0.002*($E221-L$12)/($E221-3*cc_D/7))/0.002)))^2)</f>
        <v/>
      </c>
      <c r="M221">
        <f>MAX(-fyd_cc,MIN(fyd_cc,Es_cc*IF($E221&lt;=cc_D,0.0035*($E221-M$12)/$E221,0.002*($E221-M$12)/($E221-3*cc_D/7))))-fcd_cc*(1-(1-MAX(0,MIN(1,IF($E221&lt;=cc_D,0.0035*($E221-M$12)/$E221,0.002*($E221-M$12)/($E221-3*cc_D/7))/0.002)))^2)</f>
        <v/>
      </c>
      <c r="N221">
        <f>MAX(-fyd_cc,MIN(fyd_cc,Es_cc*IF($E221&lt;=cc_D,0.0035*($E221-N$12)/$E221,0.002*($E221-N$12)/($E221-3*cc_D/7))))-fcd_cc*(1-(1-MAX(0,MIN(1,IF($E221&lt;=cc_D,0.0035*($E221-N$12)/$E221,0.002*($E221-N$12)/($E221-3*cc_D/7))/0.002)))^2)</f>
        <v/>
      </c>
      <c r="O221">
        <f>MAX(-fyd_cc,MIN(fyd_cc,Es_cc*IF($E221&lt;=cc_D,0.0035*($E221-O$12)/$E221,0.002*($E221-O$12)/($E221-3*cc_D/7))))-fcd_cc*(1-(1-MAX(0,MIN(1,IF($E221&lt;=cc_D,0.0035*($E221-O$12)/$E221,0.002*($E221-O$12)/($E221-3*cc_D/7))/0.002)))^2)</f>
        <v/>
      </c>
      <c r="P221">
        <f>MAX(-fyd_cc,MIN(fyd_cc,Es_cc*IF($E221&lt;=cc_D,0.0035*($E221-P$12)/$E221,0.002*($E221-P$12)/($E221-3*cc_D/7))))-fcd_cc*(1-(1-MAX(0,MIN(1,IF($E221&lt;=cc_D,0.0035*($E221-P$12)/$E221,0.002*($E221-P$12)/($E221-3*cc_D/7))/0.002)))^2)</f>
        <v/>
      </c>
      <c r="Q221">
        <f>MAX(-fyd_cc,MIN(fyd_cc,Es_cc*IF($E221&lt;=cc_D,0.0035*($E221-Q$12)/$E221,0.002*($E221-Q$12)/($E221-3*cc_D/7))))-fcd_cc*(1-(1-MAX(0,MIN(1,IF($E221&lt;=cc_D,0.0035*($E221-Q$12)/$E221,0.002*($E221-Q$12)/($E221-3*cc_D/7))/0.002)))^2)</f>
        <v/>
      </c>
      <c r="R221">
        <f>MAX(-fyd_cc,MIN(fyd_cc,Es_cc*IF($E221&lt;=cc_D,0.0035*($E221-R$12)/$E221,0.002*($E221-R$12)/($E221-3*cc_D/7))))-fcd_cc*(1-(1-MAX(0,MIN(1,IF($E221&lt;=cc_D,0.0035*($E221-R$12)/$E221,0.002*($E221-R$12)/($E221-3*cc_D/7))/0.002)))^2)</f>
        <v/>
      </c>
      <c r="S221">
        <f>MAX(-fyd_cc,MIN(fyd_cc,Es_cc*IF($E221&lt;=cc_D,0.0035*($E221-S$12)/$E221,0.002*($E221-S$12)/($E221-3*cc_D/7))))-fcd_cc*(1-(1-MAX(0,MIN(1,IF($E221&lt;=cc_D,0.0035*($E221-S$12)/$E221,0.002*($E221-S$12)/($E221-3*cc_D/7))/0.002)))^2)</f>
        <v/>
      </c>
      <c r="T221">
        <f>MAX(-fyd_cc,MIN(fyd_cc,Es_cc*IF($E221&lt;=cc_D,0.0035*($E221-T$12)/$E221,0.002*($E221-T$12)/($E221-3*cc_D/7))))-fcd_cc*(1-(1-MAX(0,MIN(1,IF($E221&lt;=cc_D,0.0035*($E221-T$12)/$E221,0.002*($E221-T$12)/($E221-3*cc_D/7))/0.002)))^2)</f>
        <v/>
      </c>
      <c r="U221">
        <f>MAX(-fyd_cc,MIN(fyd_cc,Es_cc*IF($E221&lt;=cc_D,0.0035*($E221-U$12)/$E221,0.002*($E221-U$12)/($E221-3*cc_D/7))))-fcd_cc*(1-(1-MAX(0,MIN(1,IF($E221&lt;=cc_D,0.0035*($E221-U$12)/$E221,0.002*($E221-U$12)/($E221-3*cc_D/7))/0.002)))^2)</f>
        <v/>
      </c>
      <c r="V221">
        <f>MAX(-fyd_cc,MIN(fyd_cc,Es_cc*IF($E221&lt;=cc_D,0.0035*($E221-V$12)/$E221,0.002*($E221-V$12)/($E221-3*cc_D/7))))-fcd_cc*(1-(1-MAX(0,MIN(1,IF($E221&lt;=cc_D,0.0035*($E221-V$12)/$E221,0.002*($E221-V$12)/($E221-3*cc_D/7))/0.002)))^2)</f>
        <v/>
      </c>
      <c r="W221">
        <f>MAX(-fyd_cc,MIN(fyd_cc,Es_cc*IF($E221&lt;=cc_D,0.0035*($E221-W$12)/$E221,0.002*($E221-W$12)/($E221-3*cc_D/7))))-fcd_cc*(1-(1-MAX(0,MIN(1,IF($E221&lt;=cc_D,0.0035*($E221-W$12)/$E221,0.002*($E221-W$12)/($E221-3*cc_D/7))/0.002)))^2)</f>
        <v/>
      </c>
      <c r="X221">
        <f>MAX(-fyd_cc,MIN(fyd_cc,Es_cc*IF($E221&lt;=cc_D,0.0035*($E221-X$12)/$E221,0.002*($E221-X$12)/($E221-3*cc_D/7))))-fcd_cc*(1-(1-MAX(0,MIN(1,IF($E221&lt;=cc_D,0.0035*($E221-X$12)/$E221,0.002*($E221-X$12)/($E221-3*cc_D/7))/0.002)))^2)</f>
        <v/>
      </c>
      <c r="Y221">
        <f>MAX(-fyd_cc,MIN(fyd_cc,Es_cc*IF($E221&lt;=cc_D,0.0035*($E221-Y$12)/$E221,0.002*($E221-Y$12)/($E221-3*cc_D/7))))-fcd_cc*(1-(1-MAX(0,MIN(1,IF($E221&lt;=cc_D,0.0035*($E221-Y$12)/$E221,0.002*($E221-Y$12)/($E221-3*cc_D/7))/0.002)))^2)</f>
        <v/>
      </c>
      <c r="Z221">
        <f>MAX(-fyd_cc,MIN(fyd_cc,Es_cc*IF($E221&lt;=cc_D,0.0035*($E221-Z$12)/$E221,0.002*($E221-Z$12)/($E221-3*cc_D/7))))-fcd_cc*(1-(1-MAX(0,MIN(1,IF($E221&lt;=cc_D,0.0035*($E221-Z$12)/$E221,0.002*($E221-Z$12)/($E221-3*cc_D/7))/0.002)))^2)</f>
        <v/>
      </c>
      <c r="AA221">
        <f>MAX(-fyd_cc,MIN(fyd_cc,Es_cc*IF($E221&lt;=cc_D,0.0035*($E221-AA$12)/$E221,0.002*($E221-AA$12)/($E221-3*cc_D/7))))-fcd_cc*(1-(1-MAX(0,MIN(1,IF($E221&lt;=cc_D,0.0035*($E221-AA$12)/$E221,0.002*($E221-AA$12)/($E221-3*cc_D/7))/0.002)))^2)</f>
        <v/>
      </c>
      <c r="AB221">
        <f>MAX(-fyd_cc,MIN(fyd_cc,Es_cc*IF($E221&lt;=cc_D,0.0035*($E221-AB$12)/$E221,0.002*($E221-AB$12)/($E221-3*cc_D/7))))-fcd_cc*(1-(1-MAX(0,MIN(1,IF($E221&lt;=cc_D,0.0035*($E221-AB$12)/$E221,0.002*($E221-AB$12)/($E221-3*cc_D/7))/0.002)))^2)</f>
        <v/>
      </c>
      <c r="AC221">
        <f>MAX(-fyd_cc,MIN(fyd_cc,Es_cc*IF($E221&lt;=cc_D,0.0035*($E221-AC$12)/$E221,0.002*($E221-AC$12)/($E221-3*cc_D/7))))-fcd_cc*(1-(1-MAX(0,MIN(1,IF($E221&lt;=cc_D,0.0035*($E221-AC$12)/$E221,0.002*($E221-AC$12)/($E221-3*cc_D/7))/0.002)))^2)</f>
        <v/>
      </c>
      <c r="AD221">
        <f>MAX(-fyd_cc,MIN(fyd_cc,Es_cc*IF($E221&lt;=cc_D,0.0035*($E221-AD$12)/$E221,0.002*($E221-AD$12)/($E221-3*cc_D/7))))-fcd_cc*(1-(1-MAX(0,MIN(1,IF($E221&lt;=cc_D,0.0035*($E221-AD$12)/$E221,0.002*($E221-AD$12)/($E221-3*cc_D/7))/0.002)))^2)</f>
        <v/>
      </c>
      <c r="AE221">
        <f>MAX(-fyd_cc,MIN(fyd_cc,Es_cc*IF($E221&lt;=cc_D,0.0035*($E221-AE$12)/$E221,0.002*($E221-AE$12)/($E221-3*cc_D/7))))-fcd_cc*(1-(1-MAX(0,MIN(1,IF($E221&lt;=cc_D,0.0035*($E221-AE$12)/$E221,0.002*($E221-AE$12)/($E221-3*cc_D/7))/0.002)))^2)</f>
        <v/>
      </c>
      <c r="AF221">
        <f>MAX(-fyd_cc,MIN(fyd_cc,Es_cc*IF($E221&lt;=cc_D,0.0035*($E221-AF$12)/$E221,0.002*($E221-AF$12)/($E221-3*cc_D/7))))-fcd_cc*(1-(1-MAX(0,MIN(1,IF($E221&lt;=cc_D,0.0035*($E221-AF$12)/$E221,0.002*($E221-AF$12)/($E221-3*cc_D/7))/0.002)))^2)</f>
        <v/>
      </c>
      <c r="AG221">
        <f>MAX(-fyd_cc,MIN(fyd_cc,Es_cc*IF($E221&lt;=cc_D,0.0035*($E221-AG$12)/$E221,0.002*($E221-AG$12)/($E221-3*cc_D/7))))-fcd_cc*(1-(1-MAX(0,MIN(1,IF($E221&lt;=cc_D,0.0035*($E221-AG$12)/$E221,0.002*($E221-AG$12)/($E221-3*cc_D/7))/0.002)))^2)</f>
        <v/>
      </c>
      <c r="BF221">
        <f>3*MIN($E221,cc_D)/7</f>
        <v/>
      </c>
      <c r="BG221">
        <f>$E221-$BF221</f>
        <v/>
      </c>
      <c r="BH221">
        <f>ACOS(MAX(-1,MIN(1,1-$BF221/(cc_D/2))))</f>
        <v/>
      </c>
      <c r="BI221">
        <f>ACOS(MAX(-1,MIN(1,1-MIN($E221,cc_D)/(cc_D/2))))</f>
        <v/>
      </c>
      <c r="BJ221">
        <f>((cc_D/2*(1-COS(($BH221+0*($BI221-$BH221)/12)))-$BF221)/$BG221)^2*SIN(($BH221+0*($BI221-$BH221)/12))^2</f>
        <v/>
      </c>
      <c r="BK221">
        <f>((cc_D/2*(1-COS(($BH221+1*($BI221-$BH221)/12)))-$BF221)/$BG221)^2*SIN(($BH221+1*($BI221-$BH221)/12))^2</f>
        <v/>
      </c>
      <c r="BL221">
        <f>((cc_D/2*(1-COS(($BH221+2*($BI221-$BH221)/12)))-$BF221)/$BG221)^2*SIN(($BH221+2*($BI221-$BH221)/12))^2</f>
        <v/>
      </c>
      <c r="BM221">
        <f>((cc_D/2*(1-COS(($BH221+3*($BI221-$BH221)/12)))-$BF221)/$BG221)^2*SIN(($BH221+3*($BI221-$BH221)/12))^2</f>
        <v/>
      </c>
      <c r="BN221">
        <f>((cc_D/2*(1-COS(($BH221+4*($BI221-$BH221)/12)))-$BF221)/$BG221)^2*SIN(($BH221+4*($BI221-$BH221)/12))^2</f>
        <v/>
      </c>
      <c r="BO221">
        <f>((cc_D/2*(1-COS(($BH221+5*($BI221-$BH221)/12)))-$BF221)/$BG221)^2*SIN(($BH221+5*($BI221-$BH221)/12))^2</f>
        <v/>
      </c>
      <c r="BP221">
        <f>((cc_D/2*(1-COS(($BH221+6*($BI221-$BH221)/12)))-$BF221)/$BG221)^2*SIN(($BH221+6*($BI221-$BH221)/12))^2</f>
        <v/>
      </c>
      <c r="BQ221">
        <f>((cc_D/2*(1-COS(($BH221+7*($BI221-$BH221)/12)))-$BF221)/$BG221)^2*SIN(($BH221+7*($BI221-$BH221)/12))^2</f>
        <v/>
      </c>
      <c r="BR221">
        <f>((cc_D/2*(1-COS(($BH221+8*($BI221-$BH221)/12)))-$BF221)/$BG221)^2*SIN(($BH221+8*($BI221-$BH221)/12))^2</f>
        <v/>
      </c>
      <c r="BS221">
        <f>((cc_D/2*(1-COS(($BH221+9*($BI221-$BH221)/12)))-$BF221)/$BG221)^2*SIN(($BH221+9*($BI221-$BH221)/12))^2</f>
        <v/>
      </c>
      <c r="BT221">
        <f>((cc_D/2*(1-COS(($BH221+10*($BI221-$BH221)/12)))-$BF221)/$BG221)^2*SIN(($BH221+10*($BI221-$BH221)/12))^2</f>
        <v/>
      </c>
      <c r="BU221">
        <f>((cc_D/2*(1-COS(($BH221+11*($BI221-$BH221)/12)))-$BF221)/$BG221)^2*SIN(($BH221+11*($BI221-$BH221)/12))^2</f>
        <v/>
      </c>
      <c r="BV221">
        <f>((cc_D/2*(1-COS(($BH221+12*($BI221-$BH221)/12)))-$BF221)/$BG221)^2*SIN(($BH221+12*($BI221-$BH221)/12))^2</f>
        <v/>
      </c>
      <c r="BW221">
        <f>BJ221*COS(($BH221+0*($BI221-$BH221)/12))</f>
        <v/>
      </c>
      <c r="BX221">
        <f>BK221*COS(($BH221+1*($BI221-$BH221)/12))</f>
        <v/>
      </c>
      <c r="BY221">
        <f>BL221*COS(($BH221+2*($BI221-$BH221)/12))</f>
        <v/>
      </c>
      <c r="BZ221">
        <f>BM221*COS(($BH221+3*($BI221-$BH221)/12))</f>
        <v/>
      </c>
      <c r="CA221">
        <f>BN221*COS(($BH221+4*($BI221-$BH221)/12))</f>
        <v/>
      </c>
      <c r="CB221">
        <f>BO221*COS(($BH221+5*($BI221-$BH221)/12))</f>
        <v/>
      </c>
      <c r="CC221">
        <f>BP221*COS(($BH221+6*($BI221-$BH221)/12))</f>
        <v/>
      </c>
      <c r="CD221">
        <f>BQ221*COS(($BH221+7*($BI221-$BH221)/12))</f>
        <v/>
      </c>
      <c r="CE221">
        <f>BR221*COS(($BH221+8*($BI221-$BH221)/12))</f>
        <v/>
      </c>
      <c r="CF221">
        <f>BS221*COS(($BH221+9*($BI221-$BH221)/12))</f>
        <v/>
      </c>
      <c r="CG221">
        <f>BT221*COS(($BH221+10*($BI221-$BH221)/12))</f>
        <v/>
      </c>
      <c r="CH221">
        <f>BU221*COS(($BH221+11*($BI221-$BH221)/12))</f>
        <v/>
      </c>
      <c r="CI221">
        <f>BV221*COS(($BH221+12*($BI221-$BH221)/12))</f>
        <v/>
      </c>
    </row>
    <row r="222">
      <c r="B222" s="65" t="n">
        <v>7</v>
      </c>
      <c r="C222" s="66">
        <f>IF($G221&lt;cc_NEd-1E-9*ABS(cc_NEd),($C221+$D221)/2,$C221)</f>
        <v/>
      </c>
      <c r="D222" s="66">
        <f>IF($G221&lt;cc_NEd-1E-9*ABS(cc_NEd),$D221,($C221+$D221)/2)</f>
        <v/>
      </c>
      <c r="E222" s="67">
        <f>cc_D*(($C222+$D222)/2)/(1-(($C222+$D222)/2))</f>
        <v/>
      </c>
      <c r="F222" s="68">
        <f>IF($E222&lt;=cc_D,3.5,2*$E222/($E222-3*cc_D/7))</f>
        <v/>
      </c>
      <c r="G222" s="67">
        <f>(fcd_cc*((cc_D/2)^2*($BI222-COS($BI222)*SIN($BI222))-2*(cc_D/2)^2*($BI222-$BH222)/12/3*SUMPRODUCT($BJ$4:$BV$4,$BJ222:$BV222))+SUMPRODUCT($J$5:$AG$5,$J222:$AG222))/1000</f>
        <v/>
      </c>
      <c r="H222" s="67">
        <f>(fcd_cc*(2/3*(cc_D/2)^3*SIN($BI222)^3-2*(cc_D/2)^3*($BI222-$BH222)/12/3*SUMPRODUCT($BW$4:$CI$4,$BW222:$CI222))+SUMPRODUCT($J$5:$AG$5,$J222:$AG222,$J$13:$AG$13))/1E6</f>
        <v/>
      </c>
      <c r="I222" s="67">
        <f>SUMPRODUCT($J$5:$AG$5,$J222:$AG222,$J$14:$AG$14)/1E6</f>
        <v/>
      </c>
      <c r="J222">
        <f>MAX(-fyd_cc,MIN(fyd_cc,Es_cc*IF($E222&lt;=cc_D,0.0035*($E222-J$12)/$E222,0.002*($E222-J$12)/($E222-3*cc_D/7))))-fcd_cc*(1-(1-MAX(0,MIN(1,IF($E222&lt;=cc_D,0.0035*($E222-J$12)/$E222,0.002*($E222-J$12)/($E222-3*cc_D/7))/0.002)))^2)</f>
        <v/>
      </c>
      <c r="K222">
        <f>MAX(-fyd_cc,MIN(fyd_cc,Es_cc*IF($E222&lt;=cc_D,0.0035*($E222-K$12)/$E222,0.002*($E222-K$12)/($E222-3*cc_D/7))))-fcd_cc*(1-(1-MAX(0,MIN(1,IF($E222&lt;=cc_D,0.0035*($E222-K$12)/$E222,0.002*($E222-K$12)/($E222-3*cc_D/7))/0.002)))^2)</f>
        <v/>
      </c>
      <c r="L222">
        <f>MAX(-fyd_cc,MIN(fyd_cc,Es_cc*IF($E222&lt;=cc_D,0.0035*($E222-L$12)/$E222,0.002*($E222-L$12)/($E222-3*cc_D/7))))-fcd_cc*(1-(1-MAX(0,MIN(1,IF($E222&lt;=cc_D,0.0035*($E222-L$12)/$E222,0.002*($E222-L$12)/($E222-3*cc_D/7))/0.002)))^2)</f>
        <v/>
      </c>
      <c r="M222">
        <f>MAX(-fyd_cc,MIN(fyd_cc,Es_cc*IF($E222&lt;=cc_D,0.0035*($E222-M$12)/$E222,0.002*($E222-M$12)/($E222-3*cc_D/7))))-fcd_cc*(1-(1-MAX(0,MIN(1,IF($E222&lt;=cc_D,0.0035*($E222-M$12)/$E222,0.002*($E222-M$12)/($E222-3*cc_D/7))/0.002)))^2)</f>
        <v/>
      </c>
      <c r="N222">
        <f>MAX(-fyd_cc,MIN(fyd_cc,Es_cc*IF($E222&lt;=cc_D,0.0035*($E222-N$12)/$E222,0.002*($E222-N$12)/($E222-3*cc_D/7))))-fcd_cc*(1-(1-MAX(0,MIN(1,IF($E222&lt;=cc_D,0.0035*($E222-N$12)/$E222,0.002*($E222-N$12)/($E222-3*cc_D/7))/0.002)))^2)</f>
        <v/>
      </c>
      <c r="O222">
        <f>MAX(-fyd_cc,MIN(fyd_cc,Es_cc*IF($E222&lt;=cc_D,0.0035*($E222-O$12)/$E222,0.002*($E222-O$12)/($E222-3*cc_D/7))))-fcd_cc*(1-(1-MAX(0,MIN(1,IF($E222&lt;=cc_D,0.0035*($E222-O$12)/$E222,0.002*($E222-O$12)/($E222-3*cc_D/7))/0.002)))^2)</f>
        <v/>
      </c>
      <c r="P222">
        <f>MAX(-fyd_cc,MIN(fyd_cc,Es_cc*IF($E222&lt;=cc_D,0.0035*($E222-P$12)/$E222,0.002*($E222-P$12)/($E222-3*cc_D/7))))-fcd_cc*(1-(1-MAX(0,MIN(1,IF($E222&lt;=cc_D,0.0035*($E222-P$12)/$E222,0.002*($E222-P$12)/($E222-3*cc_D/7))/0.002)))^2)</f>
        <v/>
      </c>
      <c r="Q222">
        <f>MAX(-fyd_cc,MIN(fyd_cc,Es_cc*IF($E222&lt;=cc_D,0.0035*($E222-Q$12)/$E222,0.002*($E222-Q$12)/($E222-3*cc_D/7))))-fcd_cc*(1-(1-MAX(0,MIN(1,IF($E222&lt;=cc_D,0.0035*($E222-Q$12)/$E222,0.002*($E222-Q$12)/($E222-3*cc_D/7))/0.002)))^2)</f>
        <v/>
      </c>
      <c r="R222">
        <f>MAX(-fyd_cc,MIN(fyd_cc,Es_cc*IF($E222&lt;=cc_D,0.0035*($E222-R$12)/$E222,0.002*($E222-R$12)/($E222-3*cc_D/7))))-fcd_cc*(1-(1-MAX(0,MIN(1,IF($E222&lt;=cc_D,0.0035*($E222-R$12)/$E222,0.002*($E222-R$12)/($E222-3*cc_D/7))/0.002)))^2)</f>
        <v/>
      </c>
      <c r="S222">
        <f>MAX(-fyd_cc,MIN(fyd_cc,Es_cc*IF($E222&lt;=cc_D,0.0035*($E222-S$12)/$E222,0.002*($E222-S$12)/($E222-3*cc_D/7))))-fcd_cc*(1-(1-MAX(0,MIN(1,IF($E222&lt;=cc_D,0.0035*($E222-S$12)/$E222,0.002*($E222-S$12)/($E222-3*cc_D/7))/0.002)))^2)</f>
        <v/>
      </c>
      <c r="T222">
        <f>MAX(-fyd_cc,MIN(fyd_cc,Es_cc*IF($E222&lt;=cc_D,0.0035*($E222-T$12)/$E222,0.002*($E222-T$12)/($E222-3*cc_D/7))))-fcd_cc*(1-(1-MAX(0,MIN(1,IF($E222&lt;=cc_D,0.0035*($E222-T$12)/$E222,0.002*($E222-T$12)/($E222-3*cc_D/7))/0.002)))^2)</f>
        <v/>
      </c>
      <c r="U222">
        <f>MAX(-fyd_cc,MIN(fyd_cc,Es_cc*IF($E222&lt;=cc_D,0.0035*($E222-U$12)/$E222,0.002*($E222-U$12)/($E222-3*cc_D/7))))-fcd_cc*(1-(1-MAX(0,MIN(1,IF($E222&lt;=cc_D,0.0035*($E222-U$12)/$E222,0.002*($E222-U$12)/($E222-3*cc_D/7))/0.002)))^2)</f>
        <v/>
      </c>
      <c r="V222">
        <f>MAX(-fyd_cc,MIN(fyd_cc,Es_cc*IF($E222&lt;=cc_D,0.0035*($E222-V$12)/$E222,0.002*($E222-V$12)/($E222-3*cc_D/7))))-fcd_cc*(1-(1-MAX(0,MIN(1,IF($E222&lt;=cc_D,0.0035*($E222-V$12)/$E222,0.002*($E222-V$12)/($E222-3*cc_D/7))/0.002)))^2)</f>
        <v/>
      </c>
      <c r="W222">
        <f>MAX(-fyd_cc,MIN(fyd_cc,Es_cc*IF($E222&lt;=cc_D,0.0035*($E222-W$12)/$E222,0.002*($E222-W$12)/($E222-3*cc_D/7))))-fcd_cc*(1-(1-MAX(0,MIN(1,IF($E222&lt;=cc_D,0.0035*($E222-W$12)/$E222,0.002*($E222-W$12)/($E222-3*cc_D/7))/0.002)))^2)</f>
        <v/>
      </c>
      <c r="X222">
        <f>MAX(-fyd_cc,MIN(fyd_cc,Es_cc*IF($E222&lt;=cc_D,0.0035*($E222-X$12)/$E222,0.002*($E222-X$12)/($E222-3*cc_D/7))))-fcd_cc*(1-(1-MAX(0,MIN(1,IF($E222&lt;=cc_D,0.0035*($E222-X$12)/$E222,0.002*($E222-X$12)/($E222-3*cc_D/7))/0.002)))^2)</f>
        <v/>
      </c>
      <c r="Y222">
        <f>MAX(-fyd_cc,MIN(fyd_cc,Es_cc*IF($E222&lt;=cc_D,0.0035*($E222-Y$12)/$E222,0.002*($E222-Y$12)/($E222-3*cc_D/7))))-fcd_cc*(1-(1-MAX(0,MIN(1,IF($E222&lt;=cc_D,0.0035*($E222-Y$12)/$E222,0.002*($E222-Y$12)/($E222-3*cc_D/7))/0.002)))^2)</f>
        <v/>
      </c>
      <c r="Z222">
        <f>MAX(-fyd_cc,MIN(fyd_cc,Es_cc*IF($E222&lt;=cc_D,0.0035*($E222-Z$12)/$E222,0.002*($E222-Z$12)/($E222-3*cc_D/7))))-fcd_cc*(1-(1-MAX(0,MIN(1,IF($E222&lt;=cc_D,0.0035*($E222-Z$12)/$E222,0.002*($E222-Z$12)/($E222-3*cc_D/7))/0.002)))^2)</f>
        <v/>
      </c>
      <c r="AA222">
        <f>MAX(-fyd_cc,MIN(fyd_cc,Es_cc*IF($E222&lt;=cc_D,0.0035*($E222-AA$12)/$E222,0.002*($E222-AA$12)/($E222-3*cc_D/7))))-fcd_cc*(1-(1-MAX(0,MIN(1,IF($E222&lt;=cc_D,0.0035*($E222-AA$12)/$E222,0.002*($E222-AA$12)/($E222-3*cc_D/7))/0.002)))^2)</f>
        <v/>
      </c>
      <c r="AB222">
        <f>MAX(-fyd_cc,MIN(fyd_cc,Es_cc*IF($E222&lt;=cc_D,0.0035*($E222-AB$12)/$E222,0.002*($E222-AB$12)/($E222-3*cc_D/7))))-fcd_cc*(1-(1-MAX(0,MIN(1,IF($E222&lt;=cc_D,0.0035*($E222-AB$12)/$E222,0.002*($E222-AB$12)/($E222-3*cc_D/7))/0.002)))^2)</f>
        <v/>
      </c>
      <c r="AC222">
        <f>MAX(-fyd_cc,MIN(fyd_cc,Es_cc*IF($E222&lt;=cc_D,0.0035*($E222-AC$12)/$E222,0.002*($E222-AC$12)/($E222-3*cc_D/7))))-fcd_cc*(1-(1-MAX(0,MIN(1,IF($E222&lt;=cc_D,0.0035*($E222-AC$12)/$E222,0.002*($E222-AC$12)/($E222-3*cc_D/7))/0.002)))^2)</f>
        <v/>
      </c>
      <c r="AD222">
        <f>MAX(-fyd_cc,MIN(fyd_cc,Es_cc*IF($E222&lt;=cc_D,0.0035*($E222-AD$12)/$E222,0.002*($E222-AD$12)/($E222-3*cc_D/7))))-fcd_cc*(1-(1-MAX(0,MIN(1,IF($E222&lt;=cc_D,0.0035*($E222-AD$12)/$E222,0.002*($E222-AD$12)/($E222-3*cc_D/7))/0.002)))^2)</f>
        <v/>
      </c>
      <c r="AE222">
        <f>MAX(-fyd_cc,MIN(fyd_cc,Es_cc*IF($E222&lt;=cc_D,0.0035*($E222-AE$12)/$E222,0.002*($E222-AE$12)/($E222-3*cc_D/7))))-fcd_cc*(1-(1-MAX(0,MIN(1,IF($E222&lt;=cc_D,0.0035*($E222-AE$12)/$E222,0.002*($E222-AE$12)/($E222-3*cc_D/7))/0.002)))^2)</f>
        <v/>
      </c>
      <c r="AF222">
        <f>MAX(-fyd_cc,MIN(fyd_cc,Es_cc*IF($E222&lt;=cc_D,0.0035*($E222-AF$12)/$E222,0.002*($E222-AF$12)/($E222-3*cc_D/7))))-fcd_cc*(1-(1-MAX(0,MIN(1,IF($E222&lt;=cc_D,0.0035*($E222-AF$12)/$E222,0.002*($E222-AF$12)/($E222-3*cc_D/7))/0.002)))^2)</f>
        <v/>
      </c>
      <c r="AG222">
        <f>MAX(-fyd_cc,MIN(fyd_cc,Es_cc*IF($E222&lt;=cc_D,0.0035*($E222-AG$12)/$E222,0.002*($E222-AG$12)/($E222-3*cc_D/7))))-fcd_cc*(1-(1-MAX(0,MIN(1,IF($E222&lt;=cc_D,0.0035*($E222-AG$12)/$E222,0.002*($E222-AG$12)/($E222-3*cc_D/7))/0.002)))^2)</f>
        <v/>
      </c>
      <c r="BF222">
        <f>3*MIN($E222,cc_D)/7</f>
        <v/>
      </c>
      <c r="BG222">
        <f>$E222-$BF222</f>
        <v/>
      </c>
      <c r="BH222">
        <f>ACOS(MAX(-1,MIN(1,1-$BF222/(cc_D/2))))</f>
        <v/>
      </c>
      <c r="BI222">
        <f>ACOS(MAX(-1,MIN(1,1-MIN($E222,cc_D)/(cc_D/2))))</f>
        <v/>
      </c>
      <c r="BJ222">
        <f>((cc_D/2*(1-COS(($BH222+0*($BI222-$BH222)/12)))-$BF222)/$BG222)^2*SIN(($BH222+0*($BI222-$BH222)/12))^2</f>
        <v/>
      </c>
      <c r="BK222">
        <f>((cc_D/2*(1-COS(($BH222+1*($BI222-$BH222)/12)))-$BF222)/$BG222)^2*SIN(($BH222+1*($BI222-$BH222)/12))^2</f>
        <v/>
      </c>
      <c r="BL222">
        <f>((cc_D/2*(1-COS(($BH222+2*($BI222-$BH222)/12)))-$BF222)/$BG222)^2*SIN(($BH222+2*($BI222-$BH222)/12))^2</f>
        <v/>
      </c>
      <c r="BM222">
        <f>((cc_D/2*(1-COS(($BH222+3*($BI222-$BH222)/12)))-$BF222)/$BG222)^2*SIN(($BH222+3*($BI222-$BH222)/12))^2</f>
        <v/>
      </c>
      <c r="BN222">
        <f>((cc_D/2*(1-COS(($BH222+4*($BI222-$BH222)/12)))-$BF222)/$BG222)^2*SIN(($BH222+4*($BI222-$BH222)/12))^2</f>
        <v/>
      </c>
      <c r="BO222">
        <f>((cc_D/2*(1-COS(($BH222+5*($BI222-$BH222)/12)))-$BF222)/$BG222)^2*SIN(($BH222+5*($BI222-$BH222)/12))^2</f>
        <v/>
      </c>
      <c r="BP222">
        <f>((cc_D/2*(1-COS(($BH222+6*($BI222-$BH222)/12)))-$BF222)/$BG222)^2*SIN(($BH222+6*($BI222-$BH222)/12))^2</f>
        <v/>
      </c>
      <c r="BQ222">
        <f>((cc_D/2*(1-COS(($BH222+7*($BI222-$BH222)/12)))-$BF222)/$BG222)^2*SIN(($BH222+7*($BI222-$BH222)/12))^2</f>
        <v/>
      </c>
      <c r="BR222">
        <f>((cc_D/2*(1-COS(($BH222+8*($BI222-$BH222)/12)))-$BF222)/$BG222)^2*SIN(($BH222+8*($BI222-$BH222)/12))^2</f>
        <v/>
      </c>
      <c r="BS222">
        <f>((cc_D/2*(1-COS(($BH222+9*($BI222-$BH222)/12)))-$BF222)/$BG222)^2*SIN(($BH222+9*($BI222-$BH222)/12))^2</f>
        <v/>
      </c>
      <c r="BT222">
        <f>((cc_D/2*(1-COS(($BH222+10*($BI222-$BH222)/12)))-$BF222)/$BG222)^2*SIN(($BH222+10*($BI222-$BH222)/12))^2</f>
        <v/>
      </c>
      <c r="BU222">
        <f>((cc_D/2*(1-COS(($BH222+11*($BI222-$BH222)/12)))-$BF222)/$BG222)^2*SIN(($BH222+11*($BI222-$BH222)/12))^2</f>
        <v/>
      </c>
      <c r="BV222">
        <f>((cc_D/2*(1-COS(($BH222+12*($BI222-$BH222)/12)))-$BF222)/$BG222)^2*SIN(($BH222+12*($BI222-$BH222)/12))^2</f>
        <v/>
      </c>
      <c r="BW222">
        <f>BJ222*COS(($BH222+0*($BI222-$BH222)/12))</f>
        <v/>
      </c>
      <c r="BX222">
        <f>BK222*COS(($BH222+1*($BI222-$BH222)/12))</f>
        <v/>
      </c>
      <c r="BY222">
        <f>BL222*COS(($BH222+2*($BI222-$BH222)/12))</f>
        <v/>
      </c>
      <c r="BZ222">
        <f>BM222*COS(($BH222+3*($BI222-$BH222)/12))</f>
        <v/>
      </c>
      <c r="CA222">
        <f>BN222*COS(($BH222+4*($BI222-$BH222)/12))</f>
        <v/>
      </c>
      <c r="CB222">
        <f>BO222*COS(($BH222+5*($BI222-$BH222)/12))</f>
        <v/>
      </c>
      <c r="CC222">
        <f>BP222*COS(($BH222+6*($BI222-$BH222)/12))</f>
        <v/>
      </c>
      <c r="CD222">
        <f>BQ222*COS(($BH222+7*($BI222-$BH222)/12))</f>
        <v/>
      </c>
      <c r="CE222">
        <f>BR222*COS(($BH222+8*($BI222-$BH222)/12))</f>
        <v/>
      </c>
      <c r="CF222">
        <f>BS222*COS(($BH222+9*($BI222-$BH222)/12))</f>
        <v/>
      </c>
      <c r="CG222">
        <f>BT222*COS(($BH222+10*($BI222-$BH222)/12))</f>
        <v/>
      </c>
      <c r="CH222">
        <f>BU222*COS(($BH222+11*($BI222-$BH222)/12))</f>
        <v/>
      </c>
      <c r="CI222">
        <f>BV222*COS(($BH222+12*($BI222-$BH222)/12))</f>
        <v/>
      </c>
    </row>
    <row r="223">
      <c r="B223" s="65" t="n">
        <v>8</v>
      </c>
      <c r="C223" s="66">
        <f>IF($G222&lt;cc_NEd-1E-9*ABS(cc_NEd),($C222+$D222)/2,$C222)</f>
        <v/>
      </c>
      <c r="D223" s="66">
        <f>IF($G222&lt;cc_NEd-1E-9*ABS(cc_NEd),$D222,($C222+$D222)/2)</f>
        <v/>
      </c>
      <c r="E223" s="67">
        <f>cc_D*(($C223+$D223)/2)/(1-(($C223+$D223)/2))</f>
        <v/>
      </c>
      <c r="F223" s="68">
        <f>IF($E223&lt;=cc_D,3.5,2*$E223/($E223-3*cc_D/7))</f>
        <v/>
      </c>
      <c r="G223" s="67">
        <f>(fcd_cc*((cc_D/2)^2*($BI223-COS($BI223)*SIN($BI223))-2*(cc_D/2)^2*($BI223-$BH223)/12/3*SUMPRODUCT($BJ$4:$BV$4,$BJ223:$BV223))+SUMPRODUCT($J$5:$AG$5,$J223:$AG223))/1000</f>
        <v/>
      </c>
      <c r="H223" s="67">
        <f>(fcd_cc*(2/3*(cc_D/2)^3*SIN($BI223)^3-2*(cc_D/2)^3*($BI223-$BH223)/12/3*SUMPRODUCT($BW$4:$CI$4,$BW223:$CI223))+SUMPRODUCT($J$5:$AG$5,$J223:$AG223,$J$13:$AG$13))/1E6</f>
        <v/>
      </c>
      <c r="I223" s="67">
        <f>SUMPRODUCT($J$5:$AG$5,$J223:$AG223,$J$14:$AG$14)/1E6</f>
        <v/>
      </c>
      <c r="J223">
        <f>MAX(-fyd_cc,MIN(fyd_cc,Es_cc*IF($E223&lt;=cc_D,0.0035*($E223-J$12)/$E223,0.002*($E223-J$12)/($E223-3*cc_D/7))))-fcd_cc*(1-(1-MAX(0,MIN(1,IF($E223&lt;=cc_D,0.0035*($E223-J$12)/$E223,0.002*($E223-J$12)/($E223-3*cc_D/7))/0.002)))^2)</f>
        <v/>
      </c>
      <c r="K223">
        <f>MAX(-fyd_cc,MIN(fyd_cc,Es_cc*IF($E223&lt;=cc_D,0.0035*($E223-K$12)/$E223,0.002*($E223-K$12)/($E223-3*cc_D/7))))-fcd_cc*(1-(1-MAX(0,MIN(1,IF($E223&lt;=cc_D,0.0035*($E223-K$12)/$E223,0.002*($E223-K$12)/($E223-3*cc_D/7))/0.002)))^2)</f>
        <v/>
      </c>
      <c r="L223">
        <f>MAX(-fyd_cc,MIN(fyd_cc,Es_cc*IF($E223&lt;=cc_D,0.0035*($E223-L$12)/$E223,0.002*($E223-L$12)/($E223-3*cc_D/7))))-fcd_cc*(1-(1-MAX(0,MIN(1,IF($E223&lt;=cc_D,0.0035*($E223-L$12)/$E223,0.002*($E223-L$12)/($E223-3*cc_D/7))/0.002)))^2)</f>
        <v/>
      </c>
      <c r="M223">
        <f>MAX(-fyd_cc,MIN(fyd_cc,Es_cc*IF($E223&lt;=cc_D,0.0035*($E223-M$12)/$E223,0.002*($E223-M$12)/($E223-3*cc_D/7))))-fcd_cc*(1-(1-MAX(0,MIN(1,IF($E223&lt;=cc_D,0.0035*($E223-M$12)/$E223,0.002*($E223-M$12)/($E223-3*cc_D/7))/0.002)))^2)</f>
        <v/>
      </c>
      <c r="N223">
        <f>MAX(-fyd_cc,MIN(fyd_cc,Es_cc*IF($E223&lt;=cc_D,0.0035*($E223-N$12)/$E223,0.002*($E223-N$12)/($E223-3*cc_D/7))))-fcd_cc*(1-(1-MAX(0,MIN(1,IF($E223&lt;=cc_D,0.0035*($E223-N$12)/$E223,0.002*($E223-N$12)/($E223-3*cc_D/7))/0.002)))^2)</f>
        <v/>
      </c>
      <c r="O223">
        <f>MAX(-fyd_cc,MIN(fyd_cc,Es_cc*IF($E223&lt;=cc_D,0.0035*($E223-O$12)/$E223,0.002*($E223-O$12)/($E223-3*cc_D/7))))-fcd_cc*(1-(1-MAX(0,MIN(1,IF($E223&lt;=cc_D,0.0035*($E223-O$12)/$E223,0.002*($E223-O$12)/($E223-3*cc_D/7))/0.002)))^2)</f>
        <v/>
      </c>
      <c r="P223">
        <f>MAX(-fyd_cc,MIN(fyd_cc,Es_cc*IF($E223&lt;=cc_D,0.0035*($E223-P$12)/$E223,0.002*($E223-P$12)/($E223-3*cc_D/7))))-fcd_cc*(1-(1-MAX(0,MIN(1,IF($E223&lt;=cc_D,0.0035*($E223-P$12)/$E223,0.002*($E223-P$12)/($E223-3*cc_D/7))/0.002)))^2)</f>
        <v/>
      </c>
      <c r="Q223">
        <f>MAX(-fyd_cc,MIN(fyd_cc,Es_cc*IF($E223&lt;=cc_D,0.0035*($E223-Q$12)/$E223,0.002*($E223-Q$12)/($E223-3*cc_D/7))))-fcd_cc*(1-(1-MAX(0,MIN(1,IF($E223&lt;=cc_D,0.0035*($E223-Q$12)/$E223,0.002*($E223-Q$12)/($E223-3*cc_D/7))/0.002)))^2)</f>
        <v/>
      </c>
      <c r="R223">
        <f>MAX(-fyd_cc,MIN(fyd_cc,Es_cc*IF($E223&lt;=cc_D,0.0035*($E223-R$12)/$E223,0.002*($E223-R$12)/($E223-3*cc_D/7))))-fcd_cc*(1-(1-MAX(0,MIN(1,IF($E223&lt;=cc_D,0.0035*($E223-R$12)/$E223,0.002*($E223-R$12)/($E223-3*cc_D/7))/0.002)))^2)</f>
        <v/>
      </c>
      <c r="S223">
        <f>MAX(-fyd_cc,MIN(fyd_cc,Es_cc*IF($E223&lt;=cc_D,0.0035*($E223-S$12)/$E223,0.002*($E223-S$12)/($E223-3*cc_D/7))))-fcd_cc*(1-(1-MAX(0,MIN(1,IF($E223&lt;=cc_D,0.0035*($E223-S$12)/$E223,0.002*($E223-S$12)/($E223-3*cc_D/7))/0.002)))^2)</f>
        <v/>
      </c>
      <c r="T223">
        <f>MAX(-fyd_cc,MIN(fyd_cc,Es_cc*IF($E223&lt;=cc_D,0.0035*($E223-T$12)/$E223,0.002*($E223-T$12)/($E223-3*cc_D/7))))-fcd_cc*(1-(1-MAX(0,MIN(1,IF($E223&lt;=cc_D,0.0035*($E223-T$12)/$E223,0.002*($E223-T$12)/($E223-3*cc_D/7))/0.002)))^2)</f>
        <v/>
      </c>
      <c r="U223">
        <f>MAX(-fyd_cc,MIN(fyd_cc,Es_cc*IF($E223&lt;=cc_D,0.0035*($E223-U$12)/$E223,0.002*($E223-U$12)/($E223-3*cc_D/7))))-fcd_cc*(1-(1-MAX(0,MIN(1,IF($E223&lt;=cc_D,0.0035*($E223-U$12)/$E223,0.002*($E223-U$12)/($E223-3*cc_D/7))/0.002)))^2)</f>
        <v/>
      </c>
      <c r="V223">
        <f>MAX(-fyd_cc,MIN(fyd_cc,Es_cc*IF($E223&lt;=cc_D,0.0035*($E223-V$12)/$E223,0.002*($E223-V$12)/($E223-3*cc_D/7))))-fcd_cc*(1-(1-MAX(0,MIN(1,IF($E223&lt;=cc_D,0.0035*($E223-V$12)/$E223,0.002*($E223-V$12)/($E223-3*cc_D/7))/0.002)))^2)</f>
        <v/>
      </c>
      <c r="W223">
        <f>MAX(-fyd_cc,MIN(fyd_cc,Es_cc*IF($E223&lt;=cc_D,0.0035*($E223-W$12)/$E223,0.002*($E223-W$12)/($E223-3*cc_D/7))))-fcd_cc*(1-(1-MAX(0,MIN(1,IF($E223&lt;=cc_D,0.0035*($E223-W$12)/$E223,0.002*($E223-W$12)/($E223-3*cc_D/7))/0.002)))^2)</f>
        <v/>
      </c>
      <c r="X223">
        <f>MAX(-fyd_cc,MIN(fyd_cc,Es_cc*IF($E223&lt;=cc_D,0.0035*($E223-X$12)/$E223,0.002*($E223-X$12)/($E223-3*cc_D/7))))-fcd_cc*(1-(1-MAX(0,MIN(1,IF($E223&lt;=cc_D,0.0035*($E223-X$12)/$E223,0.002*($E223-X$12)/($E223-3*cc_D/7))/0.002)))^2)</f>
        <v/>
      </c>
      <c r="Y223">
        <f>MAX(-fyd_cc,MIN(fyd_cc,Es_cc*IF($E223&lt;=cc_D,0.0035*($E223-Y$12)/$E223,0.002*($E223-Y$12)/($E223-3*cc_D/7))))-fcd_cc*(1-(1-MAX(0,MIN(1,IF($E223&lt;=cc_D,0.0035*($E223-Y$12)/$E223,0.002*($E223-Y$12)/($E223-3*cc_D/7))/0.002)))^2)</f>
        <v/>
      </c>
      <c r="Z223">
        <f>MAX(-fyd_cc,MIN(fyd_cc,Es_cc*IF($E223&lt;=cc_D,0.0035*($E223-Z$12)/$E223,0.002*($E223-Z$12)/($E223-3*cc_D/7))))-fcd_cc*(1-(1-MAX(0,MIN(1,IF($E223&lt;=cc_D,0.0035*($E223-Z$12)/$E223,0.002*($E223-Z$12)/($E223-3*cc_D/7))/0.002)))^2)</f>
        <v/>
      </c>
      <c r="AA223">
        <f>MAX(-fyd_cc,MIN(fyd_cc,Es_cc*IF($E223&lt;=cc_D,0.0035*($E223-AA$12)/$E223,0.002*($E223-AA$12)/($E223-3*cc_D/7))))-fcd_cc*(1-(1-MAX(0,MIN(1,IF($E223&lt;=cc_D,0.0035*($E223-AA$12)/$E223,0.002*($E223-AA$12)/($E223-3*cc_D/7))/0.002)))^2)</f>
        <v/>
      </c>
      <c r="AB223">
        <f>MAX(-fyd_cc,MIN(fyd_cc,Es_cc*IF($E223&lt;=cc_D,0.0035*($E223-AB$12)/$E223,0.002*($E223-AB$12)/($E223-3*cc_D/7))))-fcd_cc*(1-(1-MAX(0,MIN(1,IF($E223&lt;=cc_D,0.0035*($E223-AB$12)/$E223,0.002*($E223-AB$12)/($E223-3*cc_D/7))/0.002)))^2)</f>
        <v/>
      </c>
      <c r="AC223">
        <f>MAX(-fyd_cc,MIN(fyd_cc,Es_cc*IF($E223&lt;=cc_D,0.0035*($E223-AC$12)/$E223,0.002*($E223-AC$12)/($E223-3*cc_D/7))))-fcd_cc*(1-(1-MAX(0,MIN(1,IF($E223&lt;=cc_D,0.0035*($E223-AC$12)/$E223,0.002*($E223-AC$12)/($E223-3*cc_D/7))/0.002)))^2)</f>
        <v/>
      </c>
      <c r="AD223">
        <f>MAX(-fyd_cc,MIN(fyd_cc,Es_cc*IF($E223&lt;=cc_D,0.0035*($E223-AD$12)/$E223,0.002*($E223-AD$12)/($E223-3*cc_D/7))))-fcd_cc*(1-(1-MAX(0,MIN(1,IF($E223&lt;=cc_D,0.0035*($E223-AD$12)/$E223,0.002*($E223-AD$12)/($E223-3*cc_D/7))/0.002)))^2)</f>
        <v/>
      </c>
      <c r="AE223">
        <f>MAX(-fyd_cc,MIN(fyd_cc,Es_cc*IF($E223&lt;=cc_D,0.0035*($E223-AE$12)/$E223,0.002*($E223-AE$12)/($E223-3*cc_D/7))))-fcd_cc*(1-(1-MAX(0,MIN(1,IF($E223&lt;=cc_D,0.0035*($E223-AE$12)/$E223,0.002*($E223-AE$12)/($E223-3*cc_D/7))/0.002)))^2)</f>
        <v/>
      </c>
      <c r="AF223">
        <f>MAX(-fyd_cc,MIN(fyd_cc,Es_cc*IF($E223&lt;=cc_D,0.0035*($E223-AF$12)/$E223,0.002*($E223-AF$12)/($E223-3*cc_D/7))))-fcd_cc*(1-(1-MAX(0,MIN(1,IF($E223&lt;=cc_D,0.0035*($E223-AF$12)/$E223,0.002*($E223-AF$12)/($E223-3*cc_D/7))/0.002)))^2)</f>
        <v/>
      </c>
      <c r="AG223">
        <f>MAX(-fyd_cc,MIN(fyd_cc,Es_cc*IF($E223&lt;=cc_D,0.0035*($E223-AG$12)/$E223,0.002*($E223-AG$12)/($E223-3*cc_D/7))))-fcd_cc*(1-(1-MAX(0,MIN(1,IF($E223&lt;=cc_D,0.0035*($E223-AG$12)/$E223,0.002*($E223-AG$12)/($E223-3*cc_D/7))/0.002)))^2)</f>
        <v/>
      </c>
      <c r="BF223">
        <f>3*MIN($E223,cc_D)/7</f>
        <v/>
      </c>
      <c r="BG223">
        <f>$E223-$BF223</f>
        <v/>
      </c>
      <c r="BH223">
        <f>ACOS(MAX(-1,MIN(1,1-$BF223/(cc_D/2))))</f>
        <v/>
      </c>
      <c r="BI223">
        <f>ACOS(MAX(-1,MIN(1,1-MIN($E223,cc_D)/(cc_D/2))))</f>
        <v/>
      </c>
      <c r="BJ223">
        <f>((cc_D/2*(1-COS(($BH223+0*($BI223-$BH223)/12)))-$BF223)/$BG223)^2*SIN(($BH223+0*($BI223-$BH223)/12))^2</f>
        <v/>
      </c>
      <c r="BK223">
        <f>((cc_D/2*(1-COS(($BH223+1*($BI223-$BH223)/12)))-$BF223)/$BG223)^2*SIN(($BH223+1*($BI223-$BH223)/12))^2</f>
        <v/>
      </c>
      <c r="BL223">
        <f>((cc_D/2*(1-COS(($BH223+2*($BI223-$BH223)/12)))-$BF223)/$BG223)^2*SIN(($BH223+2*($BI223-$BH223)/12))^2</f>
        <v/>
      </c>
      <c r="BM223">
        <f>((cc_D/2*(1-COS(($BH223+3*($BI223-$BH223)/12)))-$BF223)/$BG223)^2*SIN(($BH223+3*($BI223-$BH223)/12))^2</f>
        <v/>
      </c>
      <c r="BN223">
        <f>((cc_D/2*(1-COS(($BH223+4*($BI223-$BH223)/12)))-$BF223)/$BG223)^2*SIN(($BH223+4*($BI223-$BH223)/12))^2</f>
        <v/>
      </c>
      <c r="BO223">
        <f>((cc_D/2*(1-COS(($BH223+5*($BI223-$BH223)/12)))-$BF223)/$BG223)^2*SIN(($BH223+5*($BI223-$BH223)/12))^2</f>
        <v/>
      </c>
      <c r="BP223">
        <f>((cc_D/2*(1-COS(($BH223+6*($BI223-$BH223)/12)))-$BF223)/$BG223)^2*SIN(($BH223+6*($BI223-$BH223)/12))^2</f>
        <v/>
      </c>
      <c r="BQ223">
        <f>((cc_D/2*(1-COS(($BH223+7*($BI223-$BH223)/12)))-$BF223)/$BG223)^2*SIN(($BH223+7*($BI223-$BH223)/12))^2</f>
        <v/>
      </c>
      <c r="BR223">
        <f>((cc_D/2*(1-COS(($BH223+8*($BI223-$BH223)/12)))-$BF223)/$BG223)^2*SIN(($BH223+8*($BI223-$BH223)/12))^2</f>
        <v/>
      </c>
      <c r="BS223">
        <f>((cc_D/2*(1-COS(($BH223+9*($BI223-$BH223)/12)))-$BF223)/$BG223)^2*SIN(($BH223+9*($BI223-$BH223)/12))^2</f>
        <v/>
      </c>
      <c r="BT223">
        <f>((cc_D/2*(1-COS(($BH223+10*($BI223-$BH223)/12)))-$BF223)/$BG223)^2*SIN(($BH223+10*($BI223-$BH223)/12))^2</f>
        <v/>
      </c>
      <c r="BU223">
        <f>((cc_D/2*(1-COS(($BH223+11*($BI223-$BH223)/12)))-$BF223)/$BG223)^2*SIN(($BH223+11*($BI223-$BH223)/12))^2</f>
        <v/>
      </c>
      <c r="BV223">
        <f>((cc_D/2*(1-COS(($BH223+12*($BI223-$BH223)/12)))-$BF223)/$BG223)^2*SIN(($BH223+12*($BI223-$BH223)/12))^2</f>
        <v/>
      </c>
      <c r="BW223">
        <f>BJ223*COS(($BH223+0*($BI223-$BH223)/12))</f>
        <v/>
      </c>
      <c r="BX223">
        <f>BK223*COS(($BH223+1*($BI223-$BH223)/12))</f>
        <v/>
      </c>
      <c r="BY223">
        <f>BL223*COS(($BH223+2*($BI223-$BH223)/12))</f>
        <v/>
      </c>
      <c r="BZ223">
        <f>BM223*COS(($BH223+3*($BI223-$BH223)/12))</f>
        <v/>
      </c>
      <c r="CA223">
        <f>BN223*COS(($BH223+4*($BI223-$BH223)/12))</f>
        <v/>
      </c>
      <c r="CB223">
        <f>BO223*COS(($BH223+5*($BI223-$BH223)/12))</f>
        <v/>
      </c>
      <c r="CC223">
        <f>BP223*COS(($BH223+6*($BI223-$BH223)/12))</f>
        <v/>
      </c>
      <c r="CD223">
        <f>BQ223*COS(($BH223+7*($BI223-$BH223)/12))</f>
        <v/>
      </c>
      <c r="CE223">
        <f>BR223*COS(($BH223+8*($BI223-$BH223)/12))</f>
        <v/>
      </c>
      <c r="CF223">
        <f>BS223*COS(($BH223+9*($BI223-$BH223)/12))</f>
        <v/>
      </c>
      <c r="CG223">
        <f>BT223*COS(($BH223+10*($BI223-$BH223)/12))</f>
        <v/>
      </c>
      <c r="CH223">
        <f>BU223*COS(($BH223+11*($BI223-$BH223)/12))</f>
        <v/>
      </c>
      <c r="CI223">
        <f>BV223*COS(($BH223+12*($BI223-$BH223)/12))</f>
        <v/>
      </c>
    </row>
    <row r="224">
      <c r="B224" s="65" t="n">
        <v>9</v>
      </c>
      <c r="C224" s="66">
        <f>IF($G223&lt;cc_NEd-1E-9*ABS(cc_NEd),($C223+$D223)/2,$C223)</f>
        <v/>
      </c>
      <c r="D224" s="66">
        <f>IF($G223&lt;cc_NEd-1E-9*ABS(cc_NEd),$D223,($C223+$D223)/2)</f>
        <v/>
      </c>
      <c r="E224" s="67">
        <f>cc_D*(($C224+$D224)/2)/(1-(($C224+$D224)/2))</f>
        <v/>
      </c>
      <c r="F224" s="68">
        <f>IF($E224&lt;=cc_D,3.5,2*$E224/($E224-3*cc_D/7))</f>
        <v/>
      </c>
      <c r="G224" s="67">
        <f>(fcd_cc*((cc_D/2)^2*($BI224-COS($BI224)*SIN($BI224))-2*(cc_D/2)^2*($BI224-$BH224)/12/3*SUMPRODUCT($BJ$4:$BV$4,$BJ224:$BV224))+SUMPRODUCT($J$5:$AG$5,$J224:$AG224))/1000</f>
        <v/>
      </c>
      <c r="H224" s="67">
        <f>(fcd_cc*(2/3*(cc_D/2)^3*SIN($BI224)^3-2*(cc_D/2)^3*($BI224-$BH224)/12/3*SUMPRODUCT($BW$4:$CI$4,$BW224:$CI224))+SUMPRODUCT($J$5:$AG$5,$J224:$AG224,$J$13:$AG$13))/1E6</f>
        <v/>
      </c>
      <c r="I224" s="67">
        <f>SUMPRODUCT($J$5:$AG$5,$J224:$AG224,$J$14:$AG$14)/1E6</f>
        <v/>
      </c>
      <c r="J224">
        <f>MAX(-fyd_cc,MIN(fyd_cc,Es_cc*IF($E224&lt;=cc_D,0.0035*($E224-J$12)/$E224,0.002*($E224-J$12)/($E224-3*cc_D/7))))-fcd_cc*(1-(1-MAX(0,MIN(1,IF($E224&lt;=cc_D,0.0035*($E224-J$12)/$E224,0.002*($E224-J$12)/($E224-3*cc_D/7))/0.002)))^2)</f>
        <v/>
      </c>
      <c r="K224">
        <f>MAX(-fyd_cc,MIN(fyd_cc,Es_cc*IF($E224&lt;=cc_D,0.0035*($E224-K$12)/$E224,0.002*($E224-K$12)/($E224-3*cc_D/7))))-fcd_cc*(1-(1-MAX(0,MIN(1,IF($E224&lt;=cc_D,0.0035*($E224-K$12)/$E224,0.002*($E224-K$12)/($E224-3*cc_D/7))/0.002)))^2)</f>
        <v/>
      </c>
      <c r="L224">
        <f>MAX(-fyd_cc,MIN(fyd_cc,Es_cc*IF($E224&lt;=cc_D,0.0035*($E224-L$12)/$E224,0.002*($E224-L$12)/($E224-3*cc_D/7))))-fcd_cc*(1-(1-MAX(0,MIN(1,IF($E224&lt;=cc_D,0.0035*($E224-L$12)/$E224,0.002*($E224-L$12)/($E224-3*cc_D/7))/0.002)))^2)</f>
        <v/>
      </c>
      <c r="M224">
        <f>MAX(-fyd_cc,MIN(fyd_cc,Es_cc*IF($E224&lt;=cc_D,0.0035*($E224-M$12)/$E224,0.002*($E224-M$12)/($E224-3*cc_D/7))))-fcd_cc*(1-(1-MAX(0,MIN(1,IF($E224&lt;=cc_D,0.0035*($E224-M$12)/$E224,0.002*($E224-M$12)/($E224-3*cc_D/7))/0.002)))^2)</f>
        <v/>
      </c>
      <c r="N224">
        <f>MAX(-fyd_cc,MIN(fyd_cc,Es_cc*IF($E224&lt;=cc_D,0.0035*($E224-N$12)/$E224,0.002*($E224-N$12)/($E224-3*cc_D/7))))-fcd_cc*(1-(1-MAX(0,MIN(1,IF($E224&lt;=cc_D,0.0035*($E224-N$12)/$E224,0.002*($E224-N$12)/($E224-3*cc_D/7))/0.002)))^2)</f>
        <v/>
      </c>
      <c r="O224">
        <f>MAX(-fyd_cc,MIN(fyd_cc,Es_cc*IF($E224&lt;=cc_D,0.0035*($E224-O$12)/$E224,0.002*($E224-O$12)/($E224-3*cc_D/7))))-fcd_cc*(1-(1-MAX(0,MIN(1,IF($E224&lt;=cc_D,0.0035*($E224-O$12)/$E224,0.002*($E224-O$12)/($E224-3*cc_D/7))/0.002)))^2)</f>
        <v/>
      </c>
      <c r="P224">
        <f>MAX(-fyd_cc,MIN(fyd_cc,Es_cc*IF($E224&lt;=cc_D,0.0035*($E224-P$12)/$E224,0.002*($E224-P$12)/($E224-3*cc_D/7))))-fcd_cc*(1-(1-MAX(0,MIN(1,IF($E224&lt;=cc_D,0.0035*($E224-P$12)/$E224,0.002*($E224-P$12)/($E224-3*cc_D/7))/0.002)))^2)</f>
        <v/>
      </c>
      <c r="Q224">
        <f>MAX(-fyd_cc,MIN(fyd_cc,Es_cc*IF($E224&lt;=cc_D,0.0035*($E224-Q$12)/$E224,0.002*($E224-Q$12)/($E224-3*cc_D/7))))-fcd_cc*(1-(1-MAX(0,MIN(1,IF($E224&lt;=cc_D,0.0035*($E224-Q$12)/$E224,0.002*($E224-Q$12)/($E224-3*cc_D/7))/0.002)))^2)</f>
        <v/>
      </c>
      <c r="R224">
        <f>MAX(-fyd_cc,MIN(fyd_cc,Es_cc*IF($E224&lt;=cc_D,0.0035*($E224-R$12)/$E224,0.002*($E224-R$12)/($E224-3*cc_D/7))))-fcd_cc*(1-(1-MAX(0,MIN(1,IF($E224&lt;=cc_D,0.0035*($E224-R$12)/$E224,0.002*($E224-R$12)/($E224-3*cc_D/7))/0.002)))^2)</f>
        <v/>
      </c>
      <c r="S224">
        <f>MAX(-fyd_cc,MIN(fyd_cc,Es_cc*IF($E224&lt;=cc_D,0.0035*($E224-S$12)/$E224,0.002*($E224-S$12)/($E224-3*cc_D/7))))-fcd_cc*(1-(1-MAX(0,MIN(1,IF($E224&lt;=cc_D,0.0035*($E224-S$12)/$E224,0.002*($E224-S$12)/($E224-3*cc_D/7))/0.002)))^2)</f>
        <v/>
      </c>
      <c r="T224">
        <f>MAX(-fyd_cc,MIN(fyd_cc,Es_cc*IF($E224&lt;=cc_D,0.0035*($E224-T$12)/$E224,0.002*($E224-T$12)/($E224-3*cc_D/7))))-fcd_cc*(1-(1-MAX(0,MIN(1,IF($E224&lt;=cc_D,0.0035*($E224-T$12)/$E224,0.002*($E224-T$12)/($E224-3*cc_D/7))/0.002)))^2)</f>
        <v/>
      </c>
      <c r="U224">
        <f>MAX(-fyd_cc,MIN(fyd_cc,Es_cc*IF($E224&lt;=cc_D,0.0035*($E224-U$12)/$E224,0.002*($E224-U$12)/($E224-3*cc_D/7))))-fcd_cc*(1-(1-MAX(0,MIN(1,IF($E224&lt;=cc_D,0.0035*($E224-U$12)/$E224,0.002*($E224-U$12)/($E224-3*cc_D/7))/0.002)))^2)</f>
        <v/>
      </c>
      <c r="V224">
        <f>MAX(-fyd_cc,MIN(fyd_cc,Es_cc*IF($E224&lt;=cc_D,0.0035*($E224-V$12)/$E224,0.002*($E224-V$12)/($E224-3*cc_D/7))))-fcd_cc*(1-(1-MAX(0,MIN(1,IF($E224&lt;=cc_D,0.0035*($E224-V$12)/$E224,0.002*($E224-V$12)/($E224-3*cc_D/7))/0.002)))^2)</f>
        <v/>
      </c>
      <c r="W224">
        <f>MAX(-fyd_cc,MIN(fyd_cc,Es_cc*IF($E224&lt;=cc_D,0.0035*($E224-W$12)/$E224,0.002*($E224-W$12)/($E224-3*cc_D/7))))-fcd_cc*(1-(1-MAX(0,MIN(1,IF($E224&lt;=cc_D,0.0035*($E224-W$12)/$E224,0.002*($E224-W$12)/($E224-3*cc_D/7))/0.002)))^2)</f>
        <v/>
      </c>
      <c r="X224">
        <f>MAX(-fyd_cc,MIN(fyd_cc,Es_cc*IF($E224&lt;=cc_D,0.0035*($E224-X$12)/$E224,0.002*($E224-X$12)/($E224-3*cc_D/7))))-fcd_cc*(1-(1-MAX(0,MIN(1,IF($E224&lt;=cc_D,0.0035*($E224-X$12)/$E224,0.002*($E224-X$12)/($E224-3*cc_D/7))/0.002)))^2)</f>
        <v/>
      </c>
      <c r="Y224">
        <f>MAX(-fyd_cc,MIN(fyd_cc,Es_cc*IF($E224&lt;=cc_D,0.0035*($E224-Y$12)/$E224,0.002*($E224-Y$12)/($E224-3*cc_D/7))))-fcd_cc*(1-(1-MAX(0,MIN(1,IF($E224&lt;=cc_D,0.0035*($E224-Y$12)/$E224,0.002*($E224-Y$12)/($E224-3*cc_D/7))/0.002)))^2)</f>
        <v/>
      </c>
      <c r="Z224">
        <f>MAX(-fyd_cc,MIN(fyd_cc,Es_cc*IF($E224&lt;=cc_D,0.0035*($E224-Z$12)/$E224,0.002*($E224-Z$12)/($E224-3*cc_D/7))))-fcd_cc*(1-(1-MAX(0,MIN(1,IF($E224&lt;=cc_D,0.0035*($E224-Z$12)/$E224,0.002*($E224-Z$12)/($E224-3*cc_D/7))/0.002)))^2)</f>
        <v/>
      </c>
      <c r="AA224">
        <f>MAX(-fyd_cc,MIN(fyd_cc,Es_cc*IF($E224&lt;=cc_D,0.0035*($E224-AA$12)/$E224,0.002*($E224-AA$12)/($E224-3*cc_D/7))))-fcd_cc*(1-(1-MAX(0,MIN(1,IF($E224&lt;=cc_D,0.0035*($E224-AA$12)/$E224,0.002*($E224-AA$12)/($E224-3*cc_D/7))/0.002)))^2)</f>
        <v/>
      </c>
      <c r="AB224">
        <f>MAX(-fyd_cc,MIN(fyd_cc,Es_cc*IF($E224&lt;=cc_D,0.0035*($E224-AB$12)/$E224,0.002*($E224-AB$12)/($E224-3*cc_D/7))))-fcd_cc*(1-(1-MAX(0,MIN(1,IF($E224&lt;=cc_D,0.0035*($E224-AB$12)/$E224,0.002*($E224-AB$12)/($E224-3*cc_D/7))/0.002)))^2)</f>
        <v/>
      </c>
      <c r="AC224">
        <f>MAX(-fyd_cc,MIN(fyd_cc,Es_cc*IF($E224&lt;=cc_D,0.0035*($E224-AC$12)/$E224,0.002*($E224-AC$12)/($E224-3*cc_D/7))))-fcd_cc*(1-(1-MAX(0,MIN(1,IF($E224&lt;=cc_D,0.0035*($E224-AC$12)/$E224,0.002*($E224-AC$12)/($E224-3*cc_D/7))/0.002)))^2)</f>
        <v/>
      </c>
      <c r="AD224">
        <f>MAX(-fyd_cc,MIN(fyd_cc,Es_cc*IF($E224&lt;=cc_D,0.0035*($E224-AD$12)/$E224,0.002*($E224-AD$12)/($E224-3*cc_D/7))))-fcd_cc*(1-(1-MAX(0,MIN(1,IF($E224&lt;=cc_D,0.0035*($E224-AD$12)/$E224,0.002*($E224-AD$12)/($E224-3*cc_D/7))/0.002)))^2)</f>
        <v/>
      </c>
      <c r="AE224">
        <f>MAX(-fyd_cc,MIN(fyd_cc,Es_cc*IF($E224&lt;=cc_D,0.0035*($E224-AE$12)/$E224,0.002*($E224-AE$12)/($E224-3*cc_D/7))))-fcd_cc*(1-(1-MAX(0,MIN(1,IF($E224&lt;=cc_D,0.0035*($E224-AE$12)/$E224,0.002*($E224-AE$12)/($E224-3*cc_D/7))/0.002)))^2)</f>
        <v/>
      </c>
      <c r="AF224">
        <f>MAX(-fyd_cc,MIN(fyd_cc,Es_cc*IF($E224&lt;=cc_D,0.0035*($E224-AF$12)/$E224,0.002*($E224-AF$12)/($E224-3*cc_D/7))))-fcd_cc*(1-(1-MAX(0,MIN(1,IF($E224&lt;=cc_D,0.0035*($E224-AF$12)/$E224,0.002*($E224-AF$12)/($E224-3*cc_D/7))/0.002)))^2)</f>
        <v/>
      </c>
      <c r="AG224">
        <f>MAX(-fyd_cc,MIN(fyd_cc,Es_cc*IF($E224&lt;=cc_D,0.0035*($E224-AG$12)/$E224,0.002*($E224-AG$12)/($E224-3*cc_D/7))))-fcd_cc*(1-(1-MAX(0,MIN(1,IF($E224&lt;=cc_D,0.0035*($E224-AG$12)/$E224,0.002*($E224-AG$12)/($E224-3*cc_D/7))/0.002)))^2)</f>
        <v/>
      </c>
      <c r="BF224">
        <f>3*MIN($E224,cc_D)/7</f>
        <v/>
      </c>
      <c r="BG224">
        <f>$E224-$BF224</f>
        <v/>
      </c>
      <c r="BH224">
        <f>ACOS(MAX(-1,MIN(1,1-$BF224/(cc_D/2))))</f>
        <v/>
      </c>
      <c r="BI224">
        <f>ACOS(MAX(-1,MIN(1,1-MIN($E224,cc_D)/(cc_D/2))))</f>
        <v/>
      </c>
      <c r="BJ224">
        <f>((cc_D/2*(1-COS(($BH224+0*($BI224-$BH224)/12)))-$BF224)/$BG224)^2*SIN(($BH224+0*($BI224-$BH224)/12))^2</f>
        <v/>
      </c>
      <c r="BK224">
        <f>((cc_D/2*(1-COS(($BH224+1*($BI224-$BH224)/12)))-$BF224)/$BG224)^2*SIN(($BH224+1*($BI224-$BH224)/12))^2</f>
        <v/>
      </c>
      <c r="BL224">
        <f>((cc_D/2*(1-COS(($BH224+2*($BI224-$BH224)/12)))-$BF224)/$BG224)^2*SIN(($BH224+2*($BI224-$BH224)/12))^2</f>
        <v/>
      </c>
      <c r="BM224">
        <f>((cc_D/2*(1-COS(($BH224+3*($BI224-$BH224)/12)))-$BF224)/$BG224)^2*SIN(($BH224+3*($BI224-$BH224)/12))^2</f>
        <v/>
      </c>
      <c r="BN224">
        <f>((cc_D/2*(1-COS(($BH224+4*($BI224-$BH224)/12)))-$BF224)/$BG224)^2*SIN(($BH224+4*($BI224-$BH224)/12))^2</f>
        <v/>
      </c>
      <c r="BO224">
        <f>((cc_D/2*(1-COS(($BH224+5*($BI224-$BH224)/12)))-$BF224)/$BG224)^2*SIN(($BH224+5*($BI224-$BH224)/12))^2</f>
        <v/>
      </c>
      <c r="BP224">
        <f>((cc_D/2*(1-COS(($BH224+6*($BI224-$BH224)/12)))-$BF224)/$BG224)^2*SIN(($BH224+6*($BI224-$BH224)/12))^2</f>
        <v/>
      </c>
      <c r="BQ224">
        <f>((cc_D/2*(1-COS(($BH224+7*($BI224-$BH224)/12)))-$BF224)/$BG224)^2*SIN(($BH224+7*($BI224-$BH224)/12))^2</f>
        <v/>
      </c>
      <c r="BR224">
        <f>((cc_D/2*(1-COS(($BH224+8*($BI224-$BH224)/12)))-$BF224)/$BG224)^2*SIN(($BH224+8*($BI224-$BH224)/12))^2</f>
        <v/>
      </c>
      <c r="BS224">
        <f>((cc_D/2*(1-COS(($BH224+9*($BI224-$BH224)/12)))-$BF224)/$BG224)^2*SIN(($BH224+9*($BI224-$BH224)/12))^2</f>
        <v/>
      </c>
      <c r="BT224">
        <f>((cc_D/2*(1-COS(($BH224+10*($BI224-$BH224)/12)))-$BF224)/$BG224)^2*SIN(($BH224+10*($BI224-$BH224)/12))^2</f>
        <v/>
      </c>
      <c r="BU224">
        <f>((cc_D/2*(1-COS(($BH224+11*($BI224-$BH224)/12)))-$BF224)/$BG224)^2*SIN(($BH224+11*($BI224-$BH224)/12))^2</f>
        <v/>
      </c>
      <c r="BV224">
        <f>((cc_D/2*(1-COS(($BH224+12*($BI224-$BH224)/12)))-$BF224)/$BG224)^2*SIN(($BH224+12*($BI224-$BH224)/12))^2</f>
        <v/>
      </c>
      <c r="BW224">
        <f>BJ224*COS(($BH224+0*($BI224-$BH224)/12))</f>
        <v/>
      </c>
      <c r="BX224">
        <f>BK224*COS(($BH224+1*($BI224-$BH224)/12))</f>
        <v/>
      </c>
      <c r="BY224">
        <f>BL224*COS(($BH224+2*($BI224-$BH224)/12))</f>
        <v/>
      </c>
      <c r="BZ224">
        <f>BM224*COS(($BH224+3*($BI224-$BH224)/12))</f>
        <v/>
      </c>
      <c r="CA224">
        <f>BN224*COS(($BH224+4*($BI224-$BH224)/12))</f>
        <v/>
      </c>
      <c r="CB224">
        <f>BO224*COS(($BH224+5*($BI224-$BH224)/12))</f>
        <v/>
      </c>
      <c r="CC224">
        <f>BP224*COS(($BH224+6*($BI224-$BH224)/12))</f>
        <v/>
      </c>
      <c r="CD224">
        <f>BQ224*COS(($BH224+7*($BI224-$BH224)/12))</f>
        <v/>
      </c>
      <c r="CE224">
        <f>BR224*COS(($BH224+8*($BI224-$BH224)/12))</f>
        <v/>
      </c>
      <c r="CF224">
        <f>BS224*COS(($BH224+9*($BI224-$BH224)/12))</f>
        <v/>
      </c>
      <c r="CG224">
        <f>BT224*COS(($BH224+10*($BI224-$BH224)/12))</f>
        <v/>
      </c>
      <c r="CH224">
        <f>BU224*COS(($BH224+11*($BI224-$BH224)/12))</f>
        <v/>
      </c>
      <c r="CI224">
        <f>BV224*COS(($BH224+12*($BI224-$BH224)/12))</f>
        <v/>
      </c>
    </row>
    <row r="225">
      <c r="B225" s="65" t="n">
        <v>10</v>
      </c>
      <c r="C225" s="66">
        <f>IF($G224&lt;cc_NEd-1E-9*ABS(cc_NEd),($C224+$D224)/2,$C224)</f>
        <v/>
      </c>
      <c r="D225" s="66">
        <f>IF($G224&lt;cc_NEd-1E-9*ABS(cc_NEd),$D224,($C224+$D224)/2)</f>
        <v/>
      </c>
      <c r="E225" s="67">
        <f>cc_D*(($C225+$D225)/2)/(1-(($C225+$D225)/2))</f>
        <v/>
      </c>
      <c r="F225" s="68">
        <f>IF($E225&lt;=cc_D,3.5,2*$E225/($E225-3*cc_D/7))</f>
        <v/>
      </c>
      <c r="G225" s="67">
        <f>(fcd_cc*((cc_D/2)^2*($BI225-COS($BI225)*SIN($BI225))-2*(cc_D/2)^2*($BI225-$BH225)/12/3*SUMPRODUCT($BJ$4:$BV$4,$BJ225:$BV225))+SUMPRODUCT($J$5:$AG$5,$J225:$AG225))/1000</f>
        <v/>
      </c>
      <c r="H225" s="67">
        <f>(fcd_cc*(2/3*(cc_D/2)^3*SIN($BI225)^3-2*(cc_D/2)^3*($BI225-$BH225)/12/3*SUMPRODUCT($BW$4:$CI$4,$BW225:$CI225))+SUMPRODUCT($J$5:$AG$5,$J225:$AG225,$J$13:$AG$13))/1E6</f>
        <v/>
      </c>
      <c r="I225" s="67">
        <f>SUMPRODUCT($J$5:$AG$5,$J225:$AG225,$J$14:$AG$14)/1E6</f>
        <v/>
      </c>
      <c r="J225">
        <f>MAX(-fyd_cc,MIN(fyd_cc,Es_cc*IF($E225&lt;=cc_D,0.0035*($E225-J$12)/$E225,0.002*($E225-J$12)/($E225-3*cc_D/7))))-fcd_cc*(1-(1-MAX(0,MIN(1,IF($E225&lt;=cc_D,0.0035*($E225-J$12)/$E225,0.002*($E225-J$12)/($E225-3*cc_D/7))/0.002)))^2)</f>
        <v/>
      </c>
      <c r="K225">
        <f>MAX(-fyd_cc,MIN(fyd_cc,Es_cc*IF($E225&lt;=cc_D,0.0035*($E225-K$12)/$E225,0.002*($E225-K$12)/($E225-3*cc_D/7))))-fcd_cc*(1-(1-MAX(0,MIN(1,IF($E225&lt;=cc_D,0.0035*($E225-K$12)/$E225,0.002*($E225-K$12)/($E225-3*cc_D/7))/0.002)))^2)</f>
        <v/>
      </c>
      <c r="L225">
        <f>MAX(-fyd_cc,MIN(fyd_cc,Es_cc*IF($E225&lt;=cc_D,0.0035*($E225-L$12)/$E225,0.002*($E225-L$12)/($E225-3*cc_D/7))))-fcd_cc*(1-(1-MAX(0,MIN(1,IF($E225&lt;=cc_D,0.0035*($E225-L$12)/$E225,0.002*($E225-L$12)/($E225-3*cc_D/7))/0.002)))^2)</f>
        <v/>
      </c>
      <c r="M225">
        <f>MAX(-fyd_cc,MIN(fyd_cc,Es_cc*IF($E225&lt;=cc_D,0.0035*($E225-M$12)/$E225,0.002*($E225-M$12)/($E225-3*cc_D/7))))-fcd_cc*(1-(1-MAX(0,MIN(1,IF($E225&lt;=cc_D,0.0035*($E225-M$12)/$E225,0.002*($E225-M$12)/($E225-3*cc_D/7))/0.002)))^2)</f>
        <v/>
      </c>
      <c r="N225">
        <f>MAX(-fyd_cc,MIN(fyd_cc,Es_cc*IF($E225&lt;=cc_D,0.0035*($E225-N$12)/$E225,0.002*($E225-N$12)/($E225-3*cc_D/7))))-fcd_cc*(1-(1-MAX(0,MIN(1,IF($E225&lt;=cc_D,0.0035*($E225-N$12)/$E225,0.002*($E225-N$12)/($E225-3*cc_D/7))/0.002)))^2)</f>
        <v/>
      </c>
      <c r="O225">
        <f>MAX(-fyd_cc,MIN(fyd_cc,Es_cc*IF($E225&lt;=cc_D,0.0035*($E225-O$12)/$E225,0.002*($E225-O$12)/($E225-3*cc_D/7))))-fcd_cc*(1-(1-MAX(0,MIN(1,IF($E225&lt;=cc_D,0.0035*($E225-O$12)/$E225,0.002*($E225-O$12)/($E225-3*cc_D/7))/0.002)))^2)</f>
        <v/>
      </c>
      <c r="P225">
        <f>MAX(-fyd_cc,MIN(fyd_cc,Es_cc*IF($E225&lt;=cc_D,0.0035*($E225-P$12)/$E225,0.002*($E225-P$12)/($E225-3*cc_D/7))))-fcd_cc*(1-(1-MAX(0,MIN(1,IF($E225&lt;=cc_D,0.0035*($E225-P$12)/$E225,0.002*($E225-P$12)/($E225-3*cc_D/7))/0.002)))^2)</f>
        <v/>
      </c>
      <c r="Q225">
        <f>MAX(-fyd_cc,MIN(fyd_cc,Es_cc*IF($E225&lt;=cc_D,0.0035*($E225-Q$12)/$E225,0.002*($E225-Q$12)/($E225-3*cc_D/7))))-fcd_cc*(1-(1-MAX(0,MIN(1,IF($E225&lt;=cc_D,0.0035*($E225-Q$12)/$E225,0.002*($E225-Q$12)/($E225-3*cc_D/7))/0.002)))^2)</f>
        <v/>
      </c>
      <c r="R225">
        <f>MAX(-fyd_cc,MIN(fyd_cc,Es_cc*IF($E225&lt;=cc_D,0.0035*($E225-R$12)/$E225,0.002*($E225-R$12)/($E225-3*cc_D/7))))-fcd_cc*(1-(1-MAX(0,MIN(1,IF($E225&lt;=cc_D,0.0035*($E225-R$12)/$E225,0.002*($E225-R$12)/($E225-3*cc_D/7))/0.002)))^2)</f>
        <v/>
      </c>
      <c r="S225">
        <f>MAX(-fyd_cc,MIN(fyd_cc,Es_cc*IF($E225&lt;=cc_D,0.0035*($E225-S$12)/$E225,0.002*($E225-S$12)/($E225-3*cc_D/7))))-fcd_cc*(1-(1-MAX(0,MIN(1,IF($E225&lt;=cc_D,0.0035*($E225-S$12)/$E225,0.002*($E225-S$12)/($E225-3*cc_D/7))/0.002)))^2)</f>
        <v/>
      </c>
      <c r="T225">
        <f>MAX(-fyd_cc,MIN(fyd_cc,Es_cc*IF($E225&lt;=cc_D,0.0035*($E225-T$12)/$E225,0.002*($E225-T$12)/($E225-3*cc_D/7))))-fcd_cc*(1-(1-MAX(0,MIN(1,IF($E225&lt;=cc_D,0.0035*($E225-T$12)/$E225,0.002*($E225-T$12)/($E225-3*cc_D/7))/0.002)))^2)</f>
        <v/>
      </c>
      <c r="U225">
        <f>MAX(-fyd_cc,MIN(fyd_cc,Es_cc*IF($E225&lt;=cc_D,0.0035*($E225-U$12)/$E225,0.002*($E225-U$12)/($E225-3*cc_D/7))))-fcd_cc*(1-(1-MAX(0,MIN(1,IF($E225&lt;=cc_D,0.0035*($E225-U$12)/$E225,0.002*($E225-U$12)/($E225-3*cc_D/7))/0.002)))^2)</f>
        <v/>
      </c>
      <c r="V225">
        <f>MAX(-fyd_cc,MIN(fyd_cc,Es_cc*IF($E225&lt;=cc_D,0.0035*($E225-V$12)/$E225,0.002*($E225-V$12)/($E225-3*cc_D/7))))-fcd_cc*(1-(1-MAX(0,MIN(1,IF($E225&lt;=cc_D,0.0035*($E225-V$12)/$E225,0.002*($E225-V$12)/($E225-3*cc_D/7))/0.002)))^2)</f>
        <v/>
      </c>
      <c r="W225">
        <f>MAX(-fyd_cc,MIN(fyd_cc,Es_cc*IF($E225&lt;=cc_D,0.0035*($E225-W$12)/$E225,0.002*($E225-W$12)/($E225-3*cc_D/7))))-fcd_cc*(1-(1-MAX(0,MIN(1,IF($E225&lt;=cc_D,0.0035*($E225-W$12)/$E225,0.002*($E225-W$12)/($E225-3*cc_D/7))/0.002)))^2)</f>
        <v/>
      </c>
      <c r="X225">
        <f>MAX(-fyd_cc,MIN(fyd_cc,Es_cc*IF($E225&lt;=cc_D,0.0035*($E225-X$12)/$E225,0.002*($E225-X$12)/($E225-3*cc_D/7))))-fcd_cc*(1-(1-MAX(0,MIN(1,IF($E225&lt;=cc_D,0.0035*($E225-X$12)/$E225,0.002*($E225-X$12)/($E225-3*cc_D/7))/0.002)))^2)</f>
        <v/>
      </c>
      <c r="Y225">
        <f>MAX(-fyd_cc,MIN(fyd_cc,Es_cc*IF($E225&lt;=cc_D,0.0035*($E225-Y$12)/$E225,0.002*($E225-Y$12)/($E225-3*cc_D/7))))-fcd_cc*(1-(1-MAX(0,MIN(1,IF($E225&lt;=cc_D,0.0035*($E225-Y$12)/$E225,0.002*($E225-Y$12)/($E225-3*cc_D/7))/0.002)))^2)</f>
        <v/>
      </c>
      <c r="Z225">
        <f>MAX(-fyd_cc,MIN(fyd_cc,Es_cc*IF($E225&lt;=cc_D,0.0035*($E225-Z$12)/$E225,0.002*($E225-Z$12)/($E225-3*cc_D/7))))-fcd_cc*(1-(1-MAX(0,MIN(1,IF($E225&lt;=cc_D,0.0035*($E225-Z$12)/$E225,0.002*($E225-Z$12)/($E225-3*cc_D/7))/0.002)))^2)</f>
        <v/>
      </c>
      <c r="AA225">
        <f>MAX(-fyd_cc,MIN(fyd_cc,Es_cc*IF($E225&lt;=cc_D,0.0035*($E225-AA$12)/$E225,0.002*($E225-AA$12)/($E225-3*cc_D/7))))-fcd_cc*(1-(1-MAX(0,MIN(1,IF($E225&lt;=cc_D,0.0035*($E225-AA$12)/$E225,0.002*($E225-AA$12)/($E225-3*cc_D/7))/0.002)))^2)</f>
        <v/>
      </c>
      <c r="AB225">
        <f>MAX(-fyd_cc,MIN(fyd_cc,Es_cc*IF($E225&lt;=cc_D,0.0035*($E225-AB$12)/$E225,0.002*($E225-AB$12)/($E225-3*cc_D/7))))-fcd_cc*(1-(1-MAX(0,MIN(1,IF($E225&lt;=cc_D,0.0035*($E225-AB$12)/$E225,0.002*($E225-AB$12)/($E225-3*cc_D/7))/0.002)))^2)</f>
        <v/>
      </c>
      <c r="AC225">
        <f>MAX(-fyd_cc,MIN(fyd_cc,Es_cc*IF($E225&lt;=cc_D,0.0035*($E225-AC$12)/$E225,0.002*($E225-AC$12)/($E225-3*cc_D/7))))-fcd_cc*(1-(1-MAX(0,MIN(1,IF($E225&lt;=cc_D,0.0035*($E225-AC$12)/$E225,0.002*($E225-AC$12)/($E225-3*cc_D/7))/0.002)))^2)</f>
        <v/>
      </c>
      <c r="AD225">
        <f>MAX(-fyd_cc,MIN(fyd_cc,Es_cc*IF($E225&lt;=cc_D,0.0035*($E225-AD$12)/$E225,0.002*($E225-AD$12)/($E225-3*cc_D/7))))-fcd_cc*(1-(1-MAX(0,MIN(1,IF($E225&lt;=cc_D,0.0035*($E225-AD$12)/$E225,0.002*($E225-AD$12)/($E225-3*cc_D/7))/0.002)))^2)</f>
        <v/>
      </c>
      <c r="AE225">
        <f>MAX(-fyd_cc,MIN(fyd_cc,Es_cc*IF($E225&lt;=cc_D,0.0035*($E225-AE$12)/$E225,0.002*($E225-AE$12)/($E225-3*cc_D/7))))-fcd_cc*(1-(1-MAX(0,MIN(1,IF($E225&lt;=cc_D,0.0035*($E225-AE$12)/$E225,0.002*($E225-AE$12)/($E225-3*cc_D/7))/0.002)))^2)</f>
        <v/>
      </c>
      <c r="AF225">
        <f>MAX(-fyd_cc,MIN(fyd_cc,Es_cc*IF($E225&lt;=cc_D,0.0035*($E225-AF$12)/$E225,0.002*($E225-AF$12)/($E225-3*cc_D/7))))-fcd_cc*(1-(1-MAX(0,MIN(1,IF($E225&lt;=cc_D,0.0035*($E225-AF$12)/$E225,0.002*($E225-AF$12)/($E225-3*cc_D/7))/0.002)))^2)</f>
        <v/>
      </c>
      <c r="AG225">
        <f>MAX(-fyd_cc,MIN(fyd_cc,Es_cc*IF($E225&lt;=cc_D,0.0035*($E225-AG$12)/$E225,0.002*($E225-AG$12)/($E225-3*cc_D/7))))-fcd_cc*(1-(1-MAX(0,MIN(1,IF($E225&lt;=cc_D,0.0035*($E225-AG$12)/$E225,0.002*($E225-AG$12)/($E225-3*cc_D/7))/0.002)))^2)</f>
        <v/>
      </c>
      <c r="BF225">
        <f>3*MIN($E225,cc_D)/7</f>
        <v/>
      </c>
      <c r="BG225">
        <f>$E225-$BF225</f>
        <v/>
      </c>
      <c r="BH225">
        <f>ACOS(MAX(-1,MIN(1,1-$BF225/(cc_D/2))))</f>
        <v/>
      </c>
      <c r="BI225">
        <f>ACOS(MAX(-1,MIN(1,1-MIN($E225,cc_D)/(cc_D/2))))</f>
        <v/>
      </c>
      <c r="BJ225">
        <f>((cc_D/2*(1-COS(($BH225+0*($BI225-$BH225)/12)))-$BF225)/$BG225)^2*SIN(($BH225+0*($BI225-$BH225)/12))^2</f>
        <v/>
      </c>
      <c r="BK225">
        <f>((cc_D/2*(1-COS(($BH225+1*($BI225-$BH225)/12)))-$BF225)/$BG225)^2*SIN(($BH225+1*($BI225-$BH225)/12))^2</f>
        <v/>
      </c>
      <c r="BL225">
        <f>((cc_D/2*(1-COS(($BH225+2*($BI225-$BH225)/12)))-$BF225)/$BG225)^2*SIN(($BH225+2*($BI225-$BH225)/12))^2</f>
        <v/>
      </c>
      <c r="BM225">
        <f>((cc_D/2*(1-COS(($BH225+3*($BI225-$BH225)/12)))-$BF225)/$BG225)^2*SIN(($BH225+3*($BI225-$BH225)/12))^2</f>
        <v/>
      </c>
      <c r="BN225">
        <f>((cc_D/2*(1-COS(($BH225+4*($BI225-$BH225)/12)))-$BF225)/$BG225)^2*SIN(($BH225+4*($BI225-$BH225)/12))^2</f>
        <v/>
      </c>
      <c r="BO225">
        <f>((cc_D/2*(1-COS(($BH225+5*($BI225-$BH225)/12)))-$BF225)/$BG225)^2*SIN(($BH225+5*($BI225-$BH225)/12))^2</f>
        <v/>
      </c>
      <c r="BP225">
        <f>((cc_D/2*(1-COS(($BH225+6*($BI225-$BH225)/12)))-$BF225)/$BG225)^2*SIN(($BH225+6*($BI225-$BH225)/12))^2</f>
        <v/>
      </c>
      <c r="BQ225">
        <f>((cc_D/2*(1-COS(($BH225+7*($BI225-$BH225)/12)))-$BF225)/$BG225)^2*SIN(($BH225+7*($BI225-$BH225)/12))^2</f>
        <v/>
      </c>
      <c r="BR225">
        <f>((cc_D/2*(1-COS(($BH225+8*($BI225-$BH225)/12)))-$BF225)/$BG225)^2*SIN(($BH225+8*($BI225-$BH225)/12))^2</f>
        <v/>
      </c>
      <c r="BS225">
        <f>((cc_D/2*(1-COS(($BH225+9*($BI225-$BH225)/12)))-$BF225)/$BG225)^2*SIN(($BH225+9*($BI225-$BH225)/12))^2</f>
        <v/>
      </c>
      <c r="BT225">
        <f>((cc_D/2*(1-COS(($BH225+10*($BI225-$BH225)/12)))-$BF225)/$BG225)^2*SIN(($BH225+10*($BI225-$BH225)/12))^2</f>
        <v/>
      </c>
      <c r="BU225">
        <f>((cc_D/2*(1-COS(($BH225+11*($BI225-$BH225)/12)))-$BF225)/$BG225)^2*SIN(($BH225+11*($BI225-$BH225)/12))^2</f>
        <v/>
      </c>
      <c r="BV225">
        <f>((cc_D/2*(1-COS(($BH225+12*($BI225-$BH225)/12)))-$BF225)/$BG225)^2*SIN(($BH225+12*($BI225-$BH225)/12))^2</f>
        <v/>
      </c>
      <c r="BW225">
        <f>BJ225*COS(($BH225+0*($BI225-$BH225)/12))</f>
        <v/>
      </c>
      <c r="BX225">
        <f>BK225*COS(($BH225+1*($BI225-$BH225)/12))</f>
        <v/>
      </c>
      <c r="BY225">
        <f>BL225*COS(($BH225+2*($BI225-$BH225)/12))</f>
        <v/>
      </c>
      <c r="BZ225">
        <f>BM225*COS(($BH225+3*($BI225-$BH225)/12))</f>
        <v/>
      </c>
      <c r="CA225">
        <f>BN225*COS(($BH225+4*($BI225-$BH225)/12))</f>
        <v/>
      </c>
      <c r="CB225">
        <f>BO225*COS(($BH225+5*($BI225-$BH225)/12))</f>
        <v/>
      </c>
      <c r="CC225">
        <f>BP225*COS(($BH225+6*($BI225-$BH225)/12))</f>
        <v/>
      </c>
      <c r="CD225">
        <f>BQ225*COS(($BH225+7*($BI225-$BH225)/12))</f>
        <v/>
      </c>
      <c r="CE225">
        <f>BR225*COS(($BH225+8*($BI225-$BH225)/12))</f>
        <v/>
      </c>
      <c r="CF225">
        <f>BS225*COS(($BH225+9*($BI225-$BH225)/12))</f>
        <v/>
      </c>
      <c r="CG225">
        <f>BT225*COS(($BH225+10*($BI225-$BH225)/12))</f>
        <v/>
      </c>
      <c r="CH225">
        <f>BU225*COS(($BH225+11*($BI225-$BH225)/12))</f>
        <v/>
      </c>
      <c r="CI225">
        <f>BV225*COS(($BH225+12*($BI225-$BH225)/12))</f>
        <v/>
      </c>
    </row>
    <row r="226">
      <c r="B226" s="65" t="n">
        <v>11</v>
      </c>
      <c r="C226" s="66">
        <f>IF($G225&lt;cc_NEd-1E-9*ABS(cc_NEd),($C225+$D225)/2,$C225)</f>
        <v/>
      </c>
      <c r="D226" s="66">
        <f>IF($G225&lt;cc_NEd-1E-9*ABS(cc_NEd),$D225,($C225+$D225)/2)</f>
        <v/>
      </c>
      <c r="E226" s="67">
        <f>cc_D*(($C226+$D226)/2)/(1-(($C226+$D226)/2))</f>
        <v/>
      </c>
      <c r="F226" s="68">
        <f>IF($E226&lt;=cc_D,3.5,2*$E226/($E226-3*cc_D/7))</f>
        <v/>
      </c>
      <c r="G226" s="67">
        <f>(fcd_cc*((cc_D/2)^2*($BI226-COS($BI226)*SIN($BI226))-2*(cc_D/2)^2*($BI226-$BH226)/12/3*SUMPRODUCT($BJ$4:$BV$4,$BJ226:$BV226))+SUMPRODUCT($J$5:$AG$5,$J226:$AG226))/1000</f>
        <v/>
      </c>
      <c r="H226" s="67">
        <f>(fcd_cc*(2/3*(cc_D/2)^3*SIN($BI226)^3-2*(cc_D/2)^3*($BI226-$BH226)/12/3*SUMPRODUCT($BW$4:$CI$4,$BW226:$CI226))+SUMPRODUCT($J$5:$AG$5,$J226:$AG226,$J$13:$AG$13))/1E6</f>
        <v/>
      </c>
      <c r="I226" s="67">
        <f>SUMPRODUCT($J$5:$AG$5,$J226:$AG226,$J$14:$AG$14)/1E6</f>
        <v/>
      </c>
      <c r="J226">
        <f>MAX(-fyd_cc,MIN(fyd_cc,Es_cc*IF($E226&lt;=cc_D,0.0035*($E226-J$12)/$E226,0.002*($E226-J$12)/($E226-3*cc_D/7))))-fcd_cc*(1-(1-MAX(0,MIN(1,IF($E226&lt;=cc_D,0.0035*($E226-J$12)/$E226,0.002*($E226-J$12)/($E226-3*cc_D/7))/0.002)))^2)</f>
        <v/>
      </c>
      <c r="K226">
        <f>MAX(-fyd_cc,MIN(fyd_cc,Es_cc*IF($E226&lt;=cc_D,0.0035*($E226-K$12)/$E226,0.002*($E226-K$12)/($E226-3*cc_D/7))))-fcd_cc*(1-(1-MAX(0,MIN(1,IF($E226&lt;=cc_D,0.0035*($E226-K$12)/$E226,0.002*($E226-K$12)/($E226-3*cc_D/7))/0.002)))^2)</f>
        <v/>
      </c>
      <c r="L226">
        <f>MAX(-fyd_cc,MIN(fyd_cc,Es_cc*IF($E226&lt;=cc_D,0.0035*($E226-L$12)/$E226,0.002*($E226-L$12)/($E226-3*cc_D/7))))-fcd_cc*(1-(1-MAX(0,MIN(1,IF($E226&lt;=cc_D,0.0035*($E226-L$12)/$E226,0.002*($E226-L$12)/($E226-3*cc_D/7))/0.002)))^2)</f>
        <v/>
      </c>
      <c r="M226">
        <f>MAX(-fyd_cc,MIN(fyd_cc,Es_cc*IF($E226&lt;=cc_D,0.0035*($E226-M$12)/$E226,0.002*($E226-M$12)/($E226-3*cc_D/7))))-fcd_cc*(1-(1-MAX(0,MIN(1,IF($E226&lt;=cc_D,0.0035*($E226-M$12)/$E226,0.002*($E226-M$12)/($E226-3*cc_D/7))/0.002)))^2)</f>
        <v/>
      </c>
      <c r="N226">
        <f>MAX(-fyd_cc,MIN(fyd_cc,Es_cc*IF($E226&lt;=cc_D,0.0035*($E226-N$12)/$E226,0.002*($E226-N$12)/($E226-3*cc_D/7))))-fcd_cc*(1-(1-MAX(0,MIN(1,IF($E226&lt;=cc_D,0.0035*($E226-N$12)/$E226,0.002*($E226-N$12)/($E226-3*cc_D/7))/0.002)))^2)</f>
        <v/>
      </c>
      <c r="O226">
        <f>MAX(-fyd_cc,MIN(fyd_cc,Es_cc*IF($E226&lt;=cc_D,0.0035*($E226-O$12)/$E226,0.002*($E226-O$12)/($E226-3*cc_D/7))))-fcd_cc*(1-(1-MAX(0,MIN(1,IF($E226&lt;=cc_D,0.0035*($E226-O$12)/$E226,0.002*($E226-O$12)/($E226-3*cc_D/7))/0.002)))^2)</f>
        <v/>
      </c>
      <c r="P226">
        <f>MAX(-fyd_cc,MIN(fyd_cc,Es_cc*IF($E226&lt;=cc_D,0.0035*($E226-P$12)/$E226,0.002*($E226-P$12)/($E226-3*cc_D/7))))-fcd_cc*(1-(1-MAX(0,MIN(1,IF($E226&lt;=cc_D,0.0035*($E226-P$12)/$E226,0.002*($E226-P$12)/($E226-3*cc_D/7))/0.002)))^2)</f>
        <v/>
      </c>
      <c r="Q226">
        <f>MAX(-fyd_cc,MIN(fyd_cc,Es_cc*IF($E226&lt;=cc_D,0.0035*($E226-Q$12)/$E226,0.002*($E226-Q$12)/($E226-3*cc_D/7))))-fcd_cc*(1-(1-MAX(0,MIN(1,IF($E226&lt;=cc_D,0.0035*($E226-Q$12)/$E226,0.002*($E226-Q$12)/($E226-3*cc_D/7))/0.002)))^2)</f>
        <v/>
      </c>
      <c r="R226">
        <f>MAX(-fyd_cc,MIN(fyd_cc,Es_cc*IF($E226&lt;=cc_D,0.0035*($E226-R$12)/$E226,0.002*($E226-R$12)/($E226-3*cc_D/7))))-fcd_cc*(1-(1-MAX(0,MIN(1,IF($E226&lt;=cc_D,0.0035*($E226-R$12)/$E226,0.002*($E226-R$12)/($E226-3*cc_D/7))/0.002)))^2)</f>
        <v/>
      </c>
      <c r="S226">
        <f>MAX(-fyd_cc,MIN(fyd_cc,Es_cc*IF($E226&lt;=cc_D,0.0035*($E226-S$12)/$E226,0.002*($E226-S$12)/($E226-3*cc_D/7))))-fcd_cc*(1-(1-MAX(0,MIN(1,IF($E226&lt;=cc_D,0.0035*($E226-S$12)/$E226,0.002*($E226-S$12)/($E226-3*cc_D/7))/0.002)))^2)</f>
        <v/>
      </c>
      <c r="T226">
        <f>MAX(-fyd_cc,MIN(fyd_cc,Es_cc*IF($E226&lt;=cc_D,0.0035*($E226-T$12)/$E226,0.002*($E226-T$12)/($E226-3*cc_D/7))))-fcd_cc*(1-(1-MAX(0,MIN(1,IF($E226&lt;=cc_D,0.0035*($E226-T$12)/$E226,0.002*($E226-T$12)/($E226-3*cc_D/7))/0.002)))^2)</f>
        <v/>
      </c>
      <c r="U226">
        <f>MAX(-fyd_cc,MIN(fyd_cc,Es_cc*IF($E226&lt;=cc_D,0.0035*($E226-U$12)/$E226,0.002*($E226-U$12)/($E226-3*cc_D/7))))-fcd_cc*(1-(1-MAX(0,MIN(1,IF($E226&lt;=cc_D,0.0035*($E226-U$12)/$E226,0.002*($E226-U$12)/($E226-3*cc_D/7))/0.002)))^2)</f>
        <v/>
      </c>
      <c r="V226">
        <f>MAX(-fyd_cc,MIN(fyd_cc,Es_cc*IF($E226&lt;=cc_D,0.0035*($E226-V$12)/$E226,0.002*($E226-V$12)/($E226-3*cc_D/7))))-fcd_cc*(1-(1-MAX(0,MIN(1,IF($E226&lt;=cc_D,0.0035*($E226-V$12)/$E226,0.002*($E226-V$12)/($E226-3*cc_D/7))/0.002)))^2)</f>
        <v/>
      </c>
      <c r="W226">
        <f>MAX(-fyd_cc,MIN(fyd_cc,Es_cc*IF($E226&lt;=cc_D,0.0035*($E226-W$12)/$E226,0.002*($E226-W$12)/($E226-3*cc_D/7))))-fcd_cc*(1-(1-MAX(0,MIN(1,IF($E226&lt;=cc_D,0.0035*($E226-W$12)/$E226,0.002*($E226-W$12)/($E226-3*cc_D/7))/0.002)))^2)</f>
        <v/>
      </c>
      <c r="X226">
        <f>MAX(-fyd_cc,MIN(fyd_cc,Es_cc*IF($E226&lt;=cc_D,0.0035*($E226-X$12)/$E226,0.002*($E226-X$12)/($E226-3*cc_D/7))))-fcd_cc*(1-(1-MAX(0,MIN(1,IF($E226&lt;=cc_D,0.0035*($E226-X$12)/$E226,0.002*($E226-X$12)/($E226-3*cc_D/7))/0.002)))^2)</f>
        <v/>
      </c>
      <c r="Y226">
        <f>MAX(-fyd_cc,MIN(fyd_cc,Es_cc*IF($E226&lt;=cc_D,0.0035*($E226-Y$12)/$E226,0.002*($E226-Y$12)/($E226-3*cc_D/7))))-fcd_cc*(1-(1-MAX(0,MIN(1,IF($E226&lt;=cc_D,0.0035*($E226-Y$12)/$E226,0.002*($E226-Y$12)/($E226-3*cc_D/7))/0.002)))^2)</f>
        <v/>
      </c>
      <c r="Z226">
        <f>MAX(-fyd_cc,MIN(fyd_cc,Es_cc*IF($E226&lt;=cc_D,0.0035*($E226-Z$12)/$E226,0.002*($E226-Z$12)/($E226-3*cc_D/7))))-fcd_cc*(1-(1-MAX(0,MIN(1,IF($E226&lt;=cc_D,0.0035*($E226-Z$12)/$E226,0.002*($E226-Z$12)/($E226-3*cc_D/7))/0.002)))^2)</f>
        <v/>
      </c>
      <c r="AA226">
        <f>MAX(-fyd_cc,MIN(fyd_cc,Es_cc*IF($E226&lt;=cc_D,0.0035*($E226-AA$12)/$E226,0.002*($E226-AA$12)/($E226-3*cc_D/7))))-fcd_cc*(1-(1-MAX(0,MIN(1,IF($E226&lt;=cc_D,0.0035*($E226-AA$12)/$E226,0.002*($E226-AA$12)/($E226-3*cc_D/7))/0.002)))^2)</f>
        <v/>
      </c>
      <c r="AB226">
        <f>MAX(-fyd_cc,MIN(fyd_cc,Es_cc*IF($E226&lt;=cc_D,0.0035*($E226-AB$12)/$E226,0.002*($E226-AB$12)/($E226-3*cc_D/7))))-fcd_cc*(1-(1-MAX(0,MIN(1,IF($E226&lt;=cc_D,0.0035*($E226-AB$12)/$E226,0.002*($E226-AB$12)/($E226-3*cc_D/7))/0.002)))^2)</f>
        <v/>
      </c>
      <c r="AC226">
        <f>MAX(-fyd_cc,MIN(fyd_cc,Es_cc*IF($E226&lt;=cc_D,0.0035*($E226-AC$12)/$E226,0.002*($E226-AC$12)/($E226-3*cc_D/7))))-fcd_cc*(1-(1-MAX(0,MIN(1,IF($E226&lt;=cc_D,0.0035*($E226-AC$12)/$E226,0.002*($E226-AC$12)/($E226-3*cc_D/7))/0.002)))^2)</f>
        <v/>
      </c>
      <c r="AD226">
        <f>MAX(-fyd_cc,MIN(fyd_cc,Es_cc*IF($E226&lt;=cc_D,0.0035*($E226-AD$12)/$E226,0.002*($E226-AD$12)/($E226-3*cc_D/7))))-fcd_cc*(1-(1-MAX(0,MIN(1,IF($E226&lt;=cc_D,0.0035*($E226-AD$12)/$E226,0.002*($E226-AD$12)/($E226-3*cc_D/7))/0.002)))^2)</f>
        <v/>
      </c>
      <c r="AE226">
        <f>MAX(-fyd_cc,MIN(fyd_cc,Es_cc*IF($E226&lt;=cc_D,0.0035*($E226-AE$12)/$E226,0.002*($E226-AE$12)/($E226-3*cc_D/7))))-fcd_cc*(1-(1-MAX(0,MIN(1,IF($E226&lt;=cc_D,0.0035*($E226-AE$12)/$E226,0.002*($E226-AE$12)/($E226-3*cc_D/7))/0.002)))^2)</f>
        <v/>
      </c>
      <c r="AF226">
        <f>MAX(-fyd_cc,MIN(fyd_cc,Es_cc*IF($E226&lt;=cc_D,0.0035*($E226-AF$12)/$E226,0.002*($E226-AF$12)/($E226-3*cc_D/7))))-fcd_cc*(1-(1-MAX(0,MIN(1,IF($E226&lt;=cc_D,0.0035*($E226-AF$12)/$E226,0.002*($E226-AF$12)/($E226-3*cc_D/7))/0.002)))^2)</f>
        <v/>
      </c>
      <c r="AG226">
        <f>MAX(-fyd_cc,MIN(fyd_cc,Es_cc*IF($E226&lt;=cc_D,0.0035*($E226-AG$12)/$E226,0.002*($E226-AG$12)/($E226-3*cc_D/7))))-fcd_cc*(1-(1-MAX(0,MIN(1,IF($E226&lt;=cc_D,0.0035*($E226-AG$12)/$E226,0.002*($E226-AG$12)/($E226-3*cc_D/7))/0.002)))^2)</f>
        <v/>
      </c>
      <c r="BF226">
        <f>3*MIN($E226,cc_D)/7</f>
        <v/>
      </c>
      <c r="BG226">
        <f>$E226-$BF226</f>
        <v/>
      </c>
      <c r="BH226">
        <f>ACOS(MAX(-1,MIN(1,1-$BF226/(cc_D/2))))</f>
        <v/>
      </c>
      <c r="BI226">
        <f>ACOS(MAX(-1,MIN(1,1-MIN($E226,cc_D)/(cc_D/2))))</f>
        <v/>
      </c>
      <c r="BJ226">
        <f>((cc_D/2*(1-COS(($BH226+0*($BI226-$BH226)/12)))-$BF226)/$BG226)^2*SIN(($BH226+0*($BI226-$BH226)/12))^2</f>
        <v/>
      </c>
      <c r="BK226">
        <f>((cc_D/2*(1-COS(($BH226+1*($BI226-$BH226)/12)))-$BF226)/$BG226)^2*SIN(($BH226+1*($BI226-$BH226)/12))^2</f>
        <v/>
      </c>
      <c r="BL226">
        <f>((cc_D/2*(1-COS(($BH226+2*($BI226-$BH226)/12)))-$BF226)/$BG226)^2*SIN(($BH226+2*($BI226-$BH226)/12))^2</f>
        <v/>
      </c>
      <c r="BM226">
        <f>((cc_D/2*(1-COS(($BH226+3*($BI226-$BH226)/12)))-$BF226)/$BG226)^2*SIN(($BH226+3*($BI226-$BH226)/12))^2</f>
        <v/>
      </c>
      <c r="BN226">
        <f>((cc_D/2*(1-COS(($BH226+4*($BI226-$BH226)/12)))-$BF226)/$BG226)^2*SIN(($BH226+4*($BI226-$BH226)/12))^2</f>
        <v/>
      </c>
      <c r="BO226">
        <f>((cc_D/2*(1-COS(($BH226+5*($BI226-$BH226)/12)))-$BF226)/$BG226)^2*SIN(($BH226+5*($BI226-$BH226)/12))^2</f>
        <v/>
      </c>
      <c r="BP226">
        <f>((cc_D/2*(1-COS(($BH226+6*($BI226-$BH226)/12)))-$BF226)/$BG226)^2*SIN(($BH226+6*($BI226-$BH226)/12))^2</f>
        <v/>
      </c>
      <c r="BQ226">
        <f>((cc_D/2*(1-COS(($BH226+7*($BI226-$BH226)/12)))-$BF226)/$BG226)^2*SIN(($BH226+7*($BI226-$BH226)/12))^2</f>
        <v/>
      </c>
      <c r="BR226">
        <f>((cc_D/2*(1-COS(($BH226+8*($BI226-$BH226)/12)))-$BF226)/$BG226)^2*SIN(($BH226+8*($BI226-$BH226)/12))^2</f>
        <v/>
      </c>
      <c r="BS226">
        <f>((cc_D/2*(1-COS(($BH226+9*($BI226-$BH226)/12)))-$BF226)/$BG226)^2*SIN(($BH226+9*($BI226-$BH226)/12))^2</f>
        <v/>
      </c>
      <c r="BT226">
        <f>((cc_D/2*(1-COS(($BH226+10*($BI226-$BH226)/12)))-$BF226)/$BG226)^2*SIN(($BH226+10*($BI226-$BH226)/12))^2</f>
        <v/>
      </c>
      <c r="BU226">
        <f>((cc_D/2*(1-COS(($BH226+11*($BI226-$BH226)/12)))-$BF226)/$BG226)^2*SIN(($BH226+11*($BI226-$BH226)/12))^2</f>
        <v/>
      </c>
      <c r="BV226">
        <f>((cc_D/2*(1-COS(($BH226+12*($BI226-$BH226)/12)))-$BF226)/$BG226)^2*SIN(($BH226+12*($BI226-$BH226)/12))^2</f>
        <v/>
      </c>
      <c r="BW226">
        <f>BJ226*COS(($BH226+0*($BI226-$BH226)/12))</f>
        <v/>
      </c>
      <c r="BX226">
        <f>BK226*COS(($BH226+1*($BI226-$BH226)/12))</f>
        <v/>
      </c>
      <c r="BY226">
        <f>BL226*COS(($BH226+2*($BI226-$BH226)/12))</f>
        <v/>
      </c>
      <c r="BZ226">
        <f>BM226*COS(($BH226+3*($BI226-$BH226)/12))</f>
        <v/>
      </c>
      <c r="CA226">
        <f>BN226*COS(($BH226+4*($BI226-$BH226)/12))</f>
        <v/>
      </c>
      <c r="CB226">
        <f>BO226*COS(($BH226+5*($BI226-$BH226)/12))</f>
        <v/>
      </c>
      <c r="CC226">
        <f>BP226*COS(($BH226+6*($BI226-$BH226)/12))</f>
        <v/>
      </c>
      <c r="CD226">
        <f>BQ226*COS(($BH226+7*($BI226-$BH226)/12))</f>
        <v/>
      </c>
      <c r="CE226">
        <f>BR226*COS(($BH226+8*($BI226-$BH226)/12))</f>
        <v/>
      </c>
      <c r="CF226">
        <f>BS226*COS(($BH226+9*($BI226-$BH226)/12))</f>
        <v/>
      </c>
      <c r="CG226">
        <f>BT226*COS(($BH226+10*($BI226-$BH226)/12))</f>
        <v/>
      </c>
      <c r="CH226">
        <f>BU226*COS(($BH226+11*($BI226-$BH226)/12))</f>
        <v/>
      </c>
      <c r="CI226">
        <f>BV226*COS(($BH226+12*($BI226-$BH226)/12))</f>
        <v/>
      </c>
    </row>
    <row r="227">
      <c r="B227" s="65" t="n">
        <v>12</v>
      </c>
      <c r="C227" s="66">
        <f>IF($G226&lt;cc_NEd-1E-9*ABS(cc_NEd),($C226+$D226)/2,$C226)</f>
        <v/>
      </c>
      <c r="D227" s="66">
        <f>IF($G226&lt;cc_NEd-1E-9*ABS(cc_NEd),$D226,($C226+$D226)/2)</f>
        <v/>
      </c>
      <c r="E227" s="67">
        <f>cc_D*(($C227+$D227)/2)/(1-(($C227+$D227)/2))</f>
        <v/>
      </c>
      <c r="F227" s="68">
        <f>IF($E227&lt;=cc_D,3.5,2*$E227/($E227-3*cc_D/7))</f>
        <v/>
      </c>
      <c r="G227" s="67">
        <f>(fcd_cc*((cc_D/2)^2*($BI227-COS($BI227)*SIN($BI227))-2*(cc_D/2)^2*($BI227-$BH227)/12/3*SUMPRODUCT($BJ$4:$BV$4,$BJ227:$BV227))+SUMPRODUCT($J$5:$AG$5,$J227:$AG227))/1000</f>
        <v/>
      </c>
      <c r="H227" s="67">
        <f>(fcd_cc*(2/3*(cc_D/2)^3*SIN($BI227)^3-2*(cc_D/2)^3*($BI227-$BH227)/12/3*SUMPRODUCT($BW$4:$CI$4,$BW227:$CI227))+SUMPRODUCT($J$5:$AG$5,$J227:$AG227,$J$13:$AG$13))/1E6</f>
        <v/>
      </c>
      <c r="I227" s="67">
        <f>SUMPRODUCT($J$5:$AG$5,$J227:$AG227,$J$14:$AG$14)/1E6</f>
        <v/>
      </c>
      <c r="J227">
        <f>MAX(-fyd_cc,MIN(fyd_cc,Es_cc*IF($E227&lt;=cc_D,0.0035*($E227-J$12)/$E227,0.002*($E227-J$12)/($E227-3*cc_D/7))))-fcd_cc*(1-(1-MAX(0,MIN(1,IF($E227&lt;=cc_D,0.0035*($E227-J$12)/$E227,0.002*($E227-J$12)/($E227-3*cc_D/7))/0.002)))^2)</f>
        <v/>
      </c>
      <c r="K227">
        <f>MAX(-fyd_cc,MIN(fyd_cc,Es_cc*IF($E227&lt;=cc_D,0.0035*($E227-K$12)/$E227,0.002*($E227-K$12)/($E227-3*cc_D/7))))-fcd_cc*(1-(1-MAX(0,MIN(1,IF($E227&lt;=cc_D,0.0035*($E227-K$12)/$E227,0.002*($E227-K$12)/($E227-3*cc_D/7))/0.002)))^2)</f>
        <v/>
      </c>
      <c r="L227">
        <f>MAX(-fyd_cc,MIN(fyd_cc,Es_cc*IF($E227&lt;=cc_D,0.0035*($E227-L$12)/$E227,0.002*($E227-L$12)/($E227-3*cc_D/7))))-fcd_cc*(1-(1-MAX(0,MIN(1,IF($E227&lt;=cc_D,0.0035*($E227-L$12)/$E227,0.002*($E227-L$12)/($E227-3*cc_D/7))/0.002)))^2)</f>
        <v/>
      </c>
      <c r="M227">
        <f>MAX(-fyd_cc,MIN(fyd_cc,Es_cc*IF($E227&lt;=cc_D,0.0035*($E227-M$12)/$E227,0.002*($E227-M$12)/($E227-3*cc_D/7))))-fcd_cc*(1-(1-MAX(0,MIN(1,IF($E227&lt;=cc_D,0.0035*($E227-M$12)/$E227,0.002*($E227-M$12)/($E227-3*cc_D/7))/0.002)))^2)</f>
        <v/>
      </c>
      <c r="N227">
        <f>MAX(-fyd_cc,MIN(fyd_cc,Es_cc*IF($E227&lt;=cc_D,0.0035*($E227-N$12)/$E227,0.002*($E227-N$12)/($E227-3*cc_D/7))))-fcd_cc*(1-(1-MAX(0,MIN(1,IF($E227&lt;=cc_D,0.0035*($E227-N$12)/$E227,0.002*($E227-N$12)/($E227-3*cc_D/7))/0.002)))^2)</f>
        <v/>
      </c>
      <c r="O227">
        <f>MAX(-fyd_cc,MIN(fyd_cc,Es_cc*IF($E227&lt;=cc_D,0.0035*($E227-O$12)/$E227,0.002*($E227-O$12)/($E227-3*cc_D/7))))-fcd_cc*(1-(1-MAX(0,MIN(1,IF($E227&lt;=cc_D,0.0035*($E227-O$12)/$E227,0.002*($E227-O$12)/($E227-3*cc_D/7))/0.002)))^2)</f>
        <v/>
      </c>
      <c r="P227">
        <f>MAX(-fyd_cc,MIN(fyd_cc,Es_cc*IF($E227&lt;=cc_D,0.0035*($E227-P$12)/$E227,0.002*($E227-P$12)/($E227-3*cc_D/7))))-fcd_cc*(1-(1-MAX(0,MIN(1,IF($E227&lt;=cc_D,0.0035*($E227-P$12)/$E227,0.002*($E227-P$12)/($E227-3*cc_D/7))/0.002)))^2)</f>
        <v/>
      </c>
      <c r="Q227">
        <f>MAX(-fyd_cc,MIN(fyd_cc,Es_cc*IF($E227&lt;=cc_D,0.0035*($E227-Q$12)/$E227,0.002*($E227-Q$12)/($E227-3*cc_D/7))))-fcd_cc*(1-(1-MAX(0,MIN(1,IF($E227&lt;=cc_D,0.0035*($E227-Q$12)/$E227,0.002*($E227-Q$12)/($E227-3*cc_D/7))/0.002)))^2)</f>
        <v/>
      </c>
      <c r="R227">
        <f>MAX(-fyd_cc,MIN(fyd_cc,Es_cc*IF($E227&lt;=cc_D,0.0035*($E227-R$12)/$E227,0.002*($E227-R$12)/($E227-3*cc_D/7))))-fcd_cc*(1-(1-MAX(0,MIN(1,IF($E227&lt;=cc_D,0.0035*($E227-R$12)/$E227,0.002*($E227-R$12)/($E227-3*cc_D/7))/0.002)))^2)</f>
        <v/>
      </c>
      <c r="S227">
        <f>MAX(-fyd_cc,MIN(fyd_cc,Es_cc*IF($E227&lt;=cc_D,0.0035*($E227-S$12)/$E227,0.002*($E227-S$12)/($E227-3*cc_D/7))))-fcd_cc*(1-(1-MAX(0,MIN(1,IF($E227&lt;=cc_D,0.0035*($E227-S$12)/$E227,0.002*($E227-S$12)/($E227-3*cc_D/7))/0.002)))^2)</f>
        <v/>
      </c>
      <c r="T227">
        <f>MAX(-fyd_cc,MIN(fyd_cc,Es_cc*IF($E227&lt;=cc_D,0.0035*($E227-T$12)/$E227,0.002*($E227-T$12)/($E227-3*cc_D/7))))-fcd_cc*(1-(1-MAX(0,MIN(1,IF($E227&lt;=cc_D,0.0035*($E227-T$12)/$E227,0.002*($E227-T$12)/($E227-3*cc_D/7))/0.002)))^2)</f>
        <v/>
      </c>
      <c r="U227">
        <f>MAX(-fyd_cc,MIN(fyd_cc,Es_cc*IF($E227&lt;=cc_D,0.0035*($E227-U$12)/$E227,0.002*($E227-U$12)/($E227-3*cc_D/7))))-fcd_cc*(1-(1-MAX(0,MIN(1,IF($E227&lt;=cc_D,0.0035*($E227-U$12)/$E227,0.002*($E227-U$12)/($E227-3*cc_D/7))/0.002)))^2)</f>
        <v/>
      </c>
      <c r="V227">
        <f>MAX(-fyd_cc,MIN(fyd_cc,Es_cc*IF($E227&lt;=cc_D,0.0035*($E227-V$12)/$E227,0.002*($E227-V$12)/($E227-3*cc_D/7))))-fcd_cc*(1-(1-MAX(0,MIN(1,IF($E227&lt;=cc_D,0.0035*($E227-V$12)/$E227,0.002*($E227-V$12)/($E227-3*cc_D/7))/0.002)))^2)</f>
        <v/>
      </c>
      <c r="W227">
        <f>MAX(-fyd_cc,MIN(fyd_cc,Es_cc*IF($E227&lt;=cc_D,0.0035*($E227-W$12)/$E227,0.002*($E227-W$12)/($E227-3*cc_D/7))))-fcd_cc*(1-(1-MAX(0,MIN(1,IF($E227&lt;=cc_D,0.0035*($E227-W$12)/$E227,0.002*($E227-W$12)/($E227-3*cc_D/7))/0.002)))^2)</f>
        <v/>
      </c>
      <c r="X227">
        <f>MAX(-fyd_cc,MIN(fyd_cc,Es_cc*IF($E227&lt;=cc_D,0.0035*($E227-X$12)/$E227,0.002*($E227-X$12)/($E227-3*cc_D/7))))-fcd_cc*(1-(1-MAX(0,MIN(1,IF($E227&lt;=cc_D,0.0035*($E227-X$12)/$E227,0.002*($E227-X$12)/($E227-3*cc_D/7))/0.002)))^2)</f>
        <v/>
      </c>
      <c r="Y227">
        <f>MAX(-fyd_cc,MIN(fyd_cc,Es_cc*IF($E227&lt;=cc_D,0.0035*($E227-Y$12)/$E227,0.002*($E227-Y$12)/($E227-3*cc_D/7))))-fcd_cc*(1-(1-MAX(0,MIN(1,IF($E227&lt;=cc_D,0.0035*($E227-Y$12)/$E227,0.002*($E227-Y$12)/($E227-3*cc_D/7))/0.002)))^2)</f>
        <v/>
      </c>
      <c r="Z227">
        <f>MAX(-fyd_cc,MIN(fyd_cc,Es_cc*IF($E227&lt;=cc_D,0.0035*($E227-Z$12)/$E227,0.002*($E227-Z$12)/($E227-3*cc_D/7))))-fcd_cc*(1-(1-MAX(0,MIN(1,IF($E227&lt;=cc_D,0.0035*($E227-Z$12)/$E227,0.002*($E227-Z$12)/($E227-3*cc_D/7))/0.002)))^2)</f>
        <v/>
      </c>
      <c r="AA227">
        <f>MAX(-fyd_cc,MIN(fyd_cc,Es_cc*IF($E227&lt;=cc_D,0.0035*($E227-AA$12)/$E227,0.002*($E227-AA$12)/($E227-3*cc_D/7))))-fcd_cc*(1-(1-MAX(0,MIN(1,IF($E227&lt;=cc_D,0.0035*($E227-AA$12)/$E227,0.002*($E227-AA$12)/($E227-3*cc_D/7))/0.002)))^2)</f>
        <v/>
      </c>
      <c r="AB227">
        <f>MAX(-fyd_cc,MIN(fyd_cc,Es_cc*IF($E227&lt;=cc_D,0.0035*($E227-AB$12)/$E227,0.002*($E227-AB$12)/($E227-3*cc_D/7))))-fcd_cc*(1-(1-MAX(0,MIN(1,IF($E227&lt;=cc_D,0.0035*($E227-AB$12)/$E227,0.002*($E227-AB$12)/($E227-3*cc_D/7))/0.002)))^2)</f>
        <v/>
      </c>
      <c r="AC227">
        <f>MAX(-fyd_cc,MIN(fyd_cc,Es_cc*IF($E227&lt;=cc_D,0.0035*($E227-AC$12)/$E227,0.002*($E227-AC$12)/($E227-3*cc_D/7))))-fcd_cc*(1-(1-MAX(0,MIN(1,IF($E227&lt;=cc_D,0.0035*($E227-AC$12)/$E227,0.002*($E227-AC$12)/($E227-3*cc_D/7))/0.002)))^2)</f>
        <v/>
      </c>
      <c r="AD227">
        <f>MAX(-fyd_cc,MIN(fyd_cc,Es_cc*IF($E227&lt;=cc_D,0.0035*($E227-AD$12)/$E227,0.002*($E227-AD$12)/($E227-3*cc_D/7))))-fcd_cc*(1-(1-MAX(0,MIN(1,IF($E227&lt;=cc_D,0.0035*($E227-AD$12)/$E227,0.002*($E227-AD$12)/($E227-3*cc_D/7))/0.002)))^2)</f>
        <v/>
      </c>
      <c r="AE227">
        <f>MAX(-fyd_cc,MIN(fyd_cc,Es_cc*IF($E227&lt;=cc_D,0.0035*($E227-AE$12)/$E227,0.002*($E227-AE$12)/($E227-3*cc_D/7))))-fcd_cc*(1-(1-MAX(0,MIN(1,IF($E227&lt;=cc_D,0.0035*($E227-AE$12)/$E227,0.002*($E227-AE$12)/($E227-3*cc_D/7))/0.002)))^2)</f>
        <v/>
      </c>
      <c r="AF227">
        <f>MAX(-fyd_cc,MIN(fyd_cc,Es_cc*IF($E227&lt;=cc_D,0.0035*($E227-AF$12)/$E227,0.002*($E227-AF$12)/($E227-3*cc_D/7))))-fcd_cc*(1-(1-MAX(0,MIN(1,IF($E227&lt;=cc_D,0.0035*($E227-AF$12)/$E227,0.002*($E227-AF$12)/($E227-3*cc_D/7))/0.002)))^2)</f>
        <v/>
      </c>
      <c r="AG227">
        <f>MAX(-fyd_cc,MIN(fyd_cc,Es_cc*IF($E227&lt;=cc_D,0.0035*($E227-AG$12)/$E227,0.002*($E227-AG$12)/($E227-3*cc_D/7))))-fcd_cc*(1-(1-MAX(0,MIN(1,IF($E227&lt;=cc_D,0.0035*($E227-AG$12)/$E227,0.002*($E227-AG$12)/($E227-3*cc_D/7))/0.002)))^2)</f>
        <v/>
      </c>
      <c r="BF227">
        <f>3*MIN($E227,cc_D)/7</f>
        <v/>
      </c>
      <c r="BG227">
        <f>$E227-$BF227</f>
        <v/>
      </c>
      <c r="BH227">
        <f>ACOS(MAX(-1,MIN(1,1-$BF227/(cc_D/2))))</f>
        <v/>
      </c>
      <c r="BI227">
        <f>ACOS(MAX(-1,MIN(1,1-MIN($E227,cc_D)/(cc_D/2))))</f>
        <v/>
      </c>
      <c r="BJ227">
        <f>((cc_D/2*(1-COS(($BH227+0*($BI227-$BH227)/12)))-$BF227)/$BG227)^2*SIN(($BH227+0*($BI227-$BH227)/12))^2</f>
        <v/>
      </c>
      <c r="BK227">
        <f>((cc_D/2*(1-COS(($BH227+1*($BI227-$BH227)/12)))-$BF227)/$BG227)^2*SIN(($BH227+1*($BI227-$BH227)/12))^2</f>
        <v/>
      </c>
      <c r="BL227">
        <f>((cc_D/2*(1-COS(($BH227+2*($BI227-$BH227)/12)))-$BF227)/$BG227)^2*SIN(($BH227+2*($BI227-$BH227)/12))^2</f>
        <v/>
      </c>
      <c r="BM227">
        <f>((cc_D/2*(1-COS(($BH227+3*($BI227-$BH227)/12)))-$BF227)/$BG227)^2*SIN(($BH227+3*($BI227-$BH227)/12))^2</f>
        <v/>
      </c>
      <c r="BN227">
        <f>((cc_D/2*(1-COS(($BH227+4*($BI227-$BH227)/12)))-$BF227)/$BG227)^2*SIN(($BH227+4*($BI227-$BH227)/12))^2</f>
        <v/>
      </c>
      <c r="BO227">
        <f>((cc_D/2*(1-COS(($BH227+5*($BI227-$BH227)/12)))-$BF227)/$BG227)^2*SIN(($BH227+5*($BI227-$BH227)/12))^2</f>
        <v/>
      </c>
      <c r="BP227">
        <f>((cc_D/2*(1-COS(($BH227+6*($BI227-$BH227)/12)))-$BF227)/$BG227)^2*SIN(($BH227+6*($BI227-$BH227)/12))^2</f>
        <v/>
      </c>
      <c r="BQ227">
        <f>((cc_D/2*(1-COS(($BH227+7*($BI227-$BH227)/12)))-$BF227)/$BG227)^2*SIN(($BH227+7*($BI227-$BH227)/12))^2</f>
        <v/>
      </c>
      <c r="BR227">
        <f>((cc_D/2*(1-COS(($BH227+8*($BI227-$BH227)/12)))-$BF227)/$BG227)^2*SIN(($BH227+8*($BI227-$BH227)/12))^2</f>
        <v/>
      </c>
      <c r="BS227">
        <f>((cc_D/2*(1-COS(($BH227+9*($BI227-$BH227)/12)))-$BF227)/$BG227)^2*SIN(($BH227+9*($BI227-$BH227)/12))^2</f>
        <v/>
      </c>
      <c r="BT227">
        <f>((cc_D/2*(1-COS(($BH227+10*($BI227-$BH227)/12)))-$BF227)/$BG227)^2*SIN(($BH227+10*($BI227-$BH227)/12))^2</f>
        <v/>
      </c>
      <c r="BU227">
        <f>((cc_D/2*(1-COS(($BH227+11*($BI227-$BH227)/12)))-$BF227)/$BG227)^2*SIN(($BH227+11*($BI227-$BH227)/12))^2</f>
        <v/>
      </c>
      <c r="BV227">
        <f>((cc_D/2*(1-COS(($BH227+12*($BI227-$BH227)/12)))-$BF227)/$BG227)^2*SIN(($BH227+12*($BI227-$BH227)/12))^2</f>
        <v/>
      </c>
      <c r="BW227">
        <f>BJ227*COS(($BH227+0*($BI227-$BH227)/12))</f>
        <v/>
      </c>
      <c r="BX227">
        <f>BK227*COS(($BH227+1*($BI227-$BH227)/12))</f>
        <v/>
      </c>
      <c r="BY227">
        <f>BL227*COS(($BH227+2*($BI227-$BH227)/12))</f>
        <v/>
      </c>
      <c r="BZ227">
        <f>BM227*COS(($BH227+3*($BI227-$BH227)/12))</f>
        <v/>
      </c>
      <c r="CA227">
        <f>BN227*COS(($BH227+4*($BI227-$BH227)/12))</f>
        <v/>
      </c>
      <c r="CB227">
        <f>BO227*COS(($BH227+5*($BI227-$BH227)/12))</f>
        <v/>
      </c>
      <c r="CC227">
        <f>BP227*COS(($BH227+6*($BI227-$BH227)/12))</f>
        <v/>
      </c>
      <c r="CD227">
        <f>BQ227*COS(($BH227+7*($BI227-$BH227)/12))</f>
        <v/>
      </c>
      <c r="CE227">
        <f>BR227*COS(($BH227+8*($BI227-$BH227)/12))</f>
        <v/>
      </c>
      <c r="CF227">
        <f>BS227*COS(($BH227+9*($BI227-$BH227)/12))</f>
        <v/>
      </c>
      <c r="CG227">
        <f>BT227*COS(($BH227+10*($BI227-$BH227)/12))</f>
        <v/>
      </c>
      <c r="CH227">
        <f>BU227*COS(($BH227+11*($BI227-$BH227)/12))</f>
        <v/>
      </c>
      <c r="CI227">
        <f>BV227*COS(($BH227+12*($BI227-$BH227)/12))</f>
        <v/>
      </c>
    </row>
    <row r="228">
      <c r="B228" s="65" t="n">
        <v>13</v>
      </c>
      <c r="C228" s="66">
        <f>IF($G227&lt;cc_NEd-1E-9*ABS(cc_NEd),($C227+$D227)/2,$C227)</f>
        <v/>
      </c>
      <c r="D228" s="66">
        <f>IF($G227&lt;cc_NEd-1E-9*ABS(cc_NEd),$D227,($C227+$D227)/2)</f>
        <v/>
      </c>
      <c r="E228" s="67">
        <f>cc_D*(($C228+$D228)/2)/(1-(($C228+$D228)/2))</f>
        <v/>
      </c>
      <c r="F228" s="68">
        <f>IF($E228&lt;=cc_D,3.5,2*$E228/($E228-3*cc_D/7))</f>
        <v/>
      </c>
      <c r="G228" s="67">
        <f>(fcd_cc*((cc_D/2)^2*($BI228-COS($BI228)*SIN($BI228))-2*(cc_D/2)^2*($BI228-$BH228)/12/3*SUMPRODUCT($BJ$4:$BV$4,$BJ228:$BV228))+SUMPRODUCT($J$5:$AG$5,$J228:$AG228))/1000</f>
        <v/>
      </c>
      <c r="H228" s="67">
        <f>(fcd_cc*(2/3*(cc_D/2)^3*SIN($BI228)^3-2*(cc_D/2)^3*($BI228-$BH228)/12/3*SUMPRODUCT($BW$4:$CI$4,$BW228:$CI228))+SUMPRODUCT($J$5:$AG$5,$J228:$AG228,$J$13:$AG$13))/1E6</f>
        <v/>
      </c>
      <c r="I228" s="67">
        <f>SUMPRODUCT($J$5:$AG$5,$J228:$AG228,$J$14:$AG$14)/1E6</f>
        <v/>
      </c>
      <c r="J228">
        <f>MAX(-fyd_cc,MIN(fyd_cc,Es_cc*IF($E228&lt;=cc_D,0.0035*($E228-J$12)/$E228,0.002*($E228-J$12)/($E228-3*cc_D/7))))-fcd_cc*(1-(1-MAX(0,MIN(1,IF($E228&lt;=cc_D,0.0035*($E228-J$12)/$E228,0.002*($E228-J$12)/($E228-3*cc_D/7))/0.002)))^2)</f>
        <v/>
      </c>
      <c r="K228">
        <f>MAX(-fyd_cc,MIN(fyd_cc,Es_cc*IF($E228&lt;=cc_D,0.0035*($E228-K$12)/$E228,0.002*($E228-K$12)/($E228-3*cc_D/7))))-fcd_cc*(1-(1-MAX(0,MIN(1,IF($E228&lt;=cc_D,0.0035*($E228-K$12)/$E228,0.002*($E228-K$12)/($E228-3*cc_D/7))/0.002)))^2)</f>
        <v/>
      </c>
      <c r="L228">
        <f>MAX(-fyd_cc,MIN(fyd_cc,Es_cc*IF($E228&lt;=cc_D,0.0035*($E228-L$12)/$E228,0.002*($E228-L$12)/($E228-3*cc_D/7))))-fcd_cc*(1-(1-MAX(0,MIN(1,IF($E228&lt;=cc_D,0.0035*($E228-L$12)/$E228,0.002*($E228-L$12)/($E228-3*cc_D/7))/0.002)))^2)</f>
        <v/>
      </c>
      <c r="M228">
        <f>MAX(-fyd_cc,MIN(fyd_cc,Es_cc*IF($E228&lt;=cc_D,0.0035*($E228-M$12)/$E228,0.002*($E228-M$12)/($E228-3*cc_D/7))))-fcd_cc*(1-(1-MAX(0,MIN(1,IF($E228&lt;=cc_D,0.0035*($E228-M$12)/$E228,0.002*($E228-M$12)/($E228-3*cc_D/7))/0.002)))^2)</f>
        <v/>
      </c>
      <c r="N228">
        <f>MAX(-fyd_cc,MIN(fyd_cc,Es_cc*IF($E228&lt;=cc_D,0.0035*($E228-N$12)/$E228,0.002*($E228-N$12)/($E228-3*cc_D/7))))-fcd_cc*(1-(1-MAX(0,MIN(1,IF($E228&lt;=cc_D,0.0035*($E228-N$12)/$E228,0.002*($E228-N$12)/($E228-3*cc_D/7))/0.002)))^2)</f>
        <v/>
      </c>
      <c r="O228">
        <f>MAX(-fyd_cc,MIN(fyd_cc,Es_cc*IF($E228&lt;=cc_D,0.0035*($E228-O$12)/$E228,0.002*($E228-O$12)/($E228-3*cc_D/7))))-fcd_cc*(1-(1-MAX(0,MIN(1,IF($E228&lt;=cc_D,0.0035*($E228-O$12)/$E228,0.002*($E228-O$12)/($E228-3*cc_D/7))/0.002)))^2)</f>
        <v/>
      </c>
      <c r="P228">
        <f>MAX(-fyd_cc,MIN(fyd_cc,Es_cc*IF($E228&lt;=cc_D,0.0035*($E228-P$12)/$E228,0.002*($E228-P$12)/($E228-3*cc_D/7))))-fcd_cc*(1-(1-MAX(0,MIN(1,IF($E228&lt;=cc_D,0.0035*($E228-P$12)/$E228,0.002*($E228-P$12)/($E228-3*cc_D/7))/0.002)))^2)</f>
        <v/>
      </c>
      <c r="Q228">
        <f>MAX(-fyd_cc,MIN(fyd_cc,Es_cc*IF($E228&lt;=cc_D,0.0035*($E228-Q$12)/$E228,0.002*($E228-Q$12)/($E228-3*cc_D/7))))-fcd_cc*(1-(1-MAX(0,MIN(1,IF($E228&lt;=cc_D,0.0035*($E228-Q$12)/$E228,0.002*($E228-Q$12)/($E228-3*cc_D/7))/0.002)))^2)</f>
        <v/>
      </c>
      <c r="R228">
        <f>MAX(-fyd_cc,MIN(fyd_cc,Es_cc*IF($E228&lt;=cc_D,0.0035*($E228-R$12)/$E228,0.002*($E228-R$12)/($E228-3*cc_D/7))))-fcd_cc*(1-(1-MAX(0,MIN(1,IF($E228&lt;=cc_D,0.0035*($E228-R$12)/$E228,0.002*($E228-R$12)/($E228-3*cc_D/7))/0.002)))^2)</f>
        <v/>
      </c>
      <c r="S228">
        <f>MAX(-fyd_cc,MIN(fyd_cc,Es_cc*IF($E228&lt;=cc_D,0.0035*($E228-S$12)/$E228,0.002*($E228-S$12)/($E228-3*cc_D/7))))-fcd_cc*(1-(1-MAX(0,MIN(1,IF($E228&lt;=cc_D,0.0035*($E228-S$12)/$E228,0.002*($E228-S$12)/($E228-3*cc_D/7))/0.002)))^2)</f>
        <v/>
      </c>
      <c r="T228">
        <f>MAX(-fyd_cc,MIN(fyd_cc,Es_cc*IF($E228&lt;=cc_D,0.0035*($E228-T$12)/$E228,0.002*($E228-T$12)/($E228-3*cc_D/7))))-fcd_cc*(1-(1-MAX(0,MIN(1,IF($E228&lt;=cc_D,0.0035*($E228-T$12)/$E228,0.002*($E228-T$12)/($E228-3*cc_D/7))/0.002)))^2)</f>
        <v/>
      </c>
      <c r="U228">
        <f>MAX(-fyd_cc,MIN(fyd_cc,Es_cc*IF($E228&lt;=cc_D,0.0035*($E228-U$12)/$E228,0.002*($E228-U$12)/($E228-3*cc_D/7))))-fcd_cc*(1-(1-MAX(0,MIN(1,IF($E228&lt;=cc_D,0.0035*($E228-U$12)/$E228,0.002*($E228-U$12)/($E228-3*cc_D/7))/0.002)))^2)</f>
        <v/>
      </c>
      <c r="V228">
        <f>MAX(-fyd_cc,MIN(fyd_cc,Es_cc*IF($E228&lt;=cc_D,0.0035*($E228-V$12)/$E228,0.002*($E228-V$12)/($E228-3*cc_D/7))))-fcd_cc*(1-(1-MAX(0,MIN(1,IF($E228&lt;=cc_D,0.0035*($E228-V$12)/$E228,0.002*($E228-V$12)/($E228-3*cc_D/7))/0.002)))^2)</f>
        <v/>
      </c>
      <c r="W228">
        <f>MAX(-fyd_cc,MIN(fyd_cc,Es_cc*IF($E228&lt;=cc_D,0.0035*($E228-W$12)/$E228,0.002*($E228-W$12)/($E228-3*cc_D/7))))-fcd_cc*(1-(1-MAX(0,MIN(1,IF($E228&lt;=cc_D,0.0035*($E228-W$12)/$E228,0.002*($E228-W$12)/($E228-3*cc_D/7))/0.002)))^2)</f>
        <v/>
      </c>
      <c r="X228">
        <f>MAX(-fyd_cc,MIN(fyd_cc,Es_cc*IF($E228&lt;=cc_D,0.0035*($E228-X$12)/$E228,0.002*($E228-X$12)/($E228-3*cc_D/7))))-fcd_cc*(1-(1-MAX(0,MIN(1,IF($E228&lt;=cc_D,0.0035*($E228-X$12)/$E228,0.002*($E228-X$12)/($E228-3*cc_D/7))/0.002)))^2)</f>
        <v/>
      </c>
      <c r="Y228">
        <f>MAX(-fyd_cc,MIN(fyd_cc,Es_cc*IF($E228&lt;=cc_D,0.0035*($E228-Y$12)/$E228,0.002*($E228-Y$12)/($E228-3*cc_D/7))))-fcd_cc*(1-(1-MAX(0,MIN(1,IF($E228&lt;=cc_D,0.0035*($E228-Y$12)/$E228,0.002*($E228-Y$12)/($E228-3*cc_D/7))/0.002)))^2)</f>
        <v/>
      </c>
      <c r="Z228">
        <f>MAX(-fyd_cc,MIN(fyd_cc,Es_cc*IF($E228&lt;=cc_D,0.0035*($E228-Z$12)/$E228,0.002*($E228-Z$12)/($E228-3*cc_D/7))))-fcd_cc*(1-(1-MAX(0,MIN(1,IF($E228&lt;=cc_D,0.0035*($E228-Z$12)/$E228,0.002*($E228-Z$12)/($E228-3*cc_D/7))/0.002)))^2)</f>
        <v/>
      </c>
      <c r="AA228">
        <f>MAX(-fyd_cc,MIN(fyd_cc,Es_cc*IF($E228&lt;=cc_D,0.0035*($E228-AA$12)/$E228,0.002*($E228-AA$12)/($E228-3*cc_D/7))))-fcd_cc*(1-(1-MAX(0,MIN(1,IF($E228&lt;=cc_D,0.0035*($E228-AA$12)/$E228,0.002*($E228-AA$12)/($E228-3*cc_D/7))/0.002)))^2)</f>
        <v/>
      </c>
      <c r="AB228">
        <f>MAX(-fyd_cc,MIN(fyd_cc,Es_cc*IF($E228&lt;=cc_D,0.0035*($E228-AB$12)/$E228,0.002*($E228-AB$12)/($E228-3*cc_D/7))))-fcd_cc*(1-(1-MAX(0,MIN(1,IF($E228&lt;=cc_D,0.0035*($E228-AB$12)/$E228,0.002*($E228-AB$12)/($E228-3*cc_D/7))/0.002)))^2)</f>
        <v/>
      </c>
      <c r="AC228">
        <f>MAX(-fyd_cc,MIN(fyd_cc,Es_cc*IF($E228&lt;=cc_D,0.0035*($E228-AC$12)/$E228,0.002*($E228-AC$12)/($E228-3*cc_D/7))))-fcd_cc*(1-(1-MAX(0,MIN(1,IF($E228&lt;=cc_D,0.0035*($E228-AC$12)/$E228,0.002*($E228-AC$12)/($E228-3*cc_D/7))/0.002)))^2)</f>
        <v/>
      </c>
      <c r="AD228">
        <f>MAX(-fyd_cc,MIN(fyd_cc,Es_cc*IF($E228&lt;=cc_D,0.0035*($E228-AD$12)/$E228,0.002*($E228-AD$12)/($E228-3*cc_D/7))))-fcd_cc*(1-(1-MAX(0,MIN(1,IF($E228&lt;=cc_D,0.0035*($E228-AD$12)/$E228,0.002*($E228-AD$12)/($E228-3*cc_D/7))/0.002)))^2)</f>
        <v/>
      </c>
      <c r="AE228">
        <f>MAX(-fyd_cc,MIN(fyd_cc,Es_cc*IF($E228&lt;=cc_D,0.0035*($E228-AE$12)/$E228,0.002*($E228-AE$12)/($E228-3*cc_D/7))))-fcd_cc*(1-(1-MAX(0,MIN(1,IF($E228&lt;=cc_D,0.0035*($E228-AE$12)/$E228,0.002*($E228-AE$12)/($E228-3*cc_D/7))/0.002)))^2)</f>
        <v/>
      </c>
      <c r="AF228">
        <f>MAX(-fyd_cc,MIN(fyd_cc,Es_cc*IF($E228&lt;=cc_D,0.0035*($E228-AF$12)/$E228,0.002*($E228-AF$12)/($E228-3*cc_D/7))))-fcd_cc*(1-(1-MAX(0,MIN(1,IF($E228&lt;=cc_D,0.0035*($E228-AF$12)/$E228,0.002*($E228-AF$12)/($E228-3*cc_D/7))/0.002)))^2)</f>
        <v/>
      </c>
      <c r="AG228">
        <f>MAX(-fyd_cc,MIN(fyd_cc,Es_cc*IF($E228&lt;=cc_D,0.0035*($E228-AG$12)/$E228,0.002*($E228-AG$12)/($E228-3*cc_D/7))))-fcd_cc*(1-(1-MAX(0,MIN(1,IF($E228&lt;=cc_D,0.0035*($E228-AG$12)/$E228,0.002*($E228-AG$12)/($E228-3*cc_D/7))/0.002)))^2)</f>
        <v/>
      </c>
      <c r="BF228">
        <f>3*MIN($E228,cc_D)/7</f>
        <v/>
      </c>
      <c r="BG228">
        <f>$E228-$BF228</f>
        <v/>
      </c>
      <c r="BH228">
        <f>ACOS(MAX(-1,MIN(1,1-$BF228/(cc_D/2))))</f>
        <v/>
      </c>
      <c r="BI228">
        <f>ACOS(MAX(-1,MIN(1,1-MIN($E228,cc_D)/(cc_D/2))))</f>
        <v/>
      </c>
      <c r="BJ228">
        <f>((cc_D/2*(1-COS(($BH228+0*($BI228-$BH228)/12)))-$BF228)/$BG228)^2*SIN(($BH228+0*($BI228-$BH228)/12))^2</f>
        <v/>
      </c>
      <c r="BK228">
        <f>((cc_D/2*(1-COS(($BH228+1*($BI228-$BH228)/12)))-$BF228)/$BG228)^2*SIN(($BH228+1*($BI228-$BH228)/12))^2</f>
        <v/>
      </c>
      <c r="BL228">
        <f>((cc_D/2*(1-COS(($BH228+2*($BI228-$BH228)/12)))-$BF228)/$BG228)^2*SIN(($BH228+2*($BI228-$BH228)/12))^2</f>
        <v/>
      </c>
      <c r="BM228">
        <f>((cc_D/2*(1-COS(($BH228+3*($BI228-$BH228)/12)))-$BF228)/$BG228)^2*SIN(($BH228+3*($BI228-$BH228)/12))^2</f>
        <v/>
      </c>
      <c r="BN228">
        <f>((cc_D/2*(1-COS(($BH228+4*($BI228-$BH228)/12)))-$BF228)/$BG228)^2*SIN(($BH228+4*($BI228-$BH228)/12))^2</f>
        <v/>
      </c>
      <c r="BO228">
        <f>((cc_D/2*(1-COS(($BH228+5*($BI228-$BH228)/12)))-$BF228)/$BG228)^2*SIN(($BH228+5*($BI228-$BH228)/12))^2</f>
        <v/>
      </c>
      <c r="BP228">
        <f>((cc_D/2*(1-COS(($BH228+6*($BI228-$BH228)/12)))-$BF228)/$BG228)^2*SIN(($BH228+6*($BI228-$BH228)/12))^2</f>
        <v/>
      </c>
      <c r="BQ228">
        <f>((cc_D/2*(1-COS(($BH228+7*($BI228-$BH228)/12)))-$BF228)/$BG228)^2*SIN(($BH228+7*($BI228-$BH228)/12))^2</f>
        <v/>
      </c>
      <c r="BR228">
        <f>((cc_D/2*(1-COS(($BH228+8*($BI228-$BH228)/12)))-$BF228)/$BG228)^2*SIN(($BH228+8*($BI228-$BH228)/12))^2</f>
        <v/>
      </c>
      <c r="BS228">
        <f>((cc_D/2*(1-COS(($BH228+9*($BI228-$BH228)/12)))-$BF228)/$BG228)^2*SIN(($BH228+9*($BI228-$BH228)/12))^2</f>
        <v/>
      </c>
      <c r="BT228">
        <f>((cc_D/2*(1-COS(($BH228+10*($BI228-$BH228)/12)))-$BF228)/$BG228)^2*SIN(($BH228+10*($BI228-$BH228)/12))^2</f>
        <v/>
      </c>
      <c r="BU228">
        <f>((cc_D/2*(1-COS(($BH228+11*($BI228-$BH228)/12)))-$BF228)/$BG228)^2*SIN(($BH228+11*($BI228-$BH228)/12))^2</f>
        <v/>
      </c>
      <c r="BV228">
        <f>((cc_D/2*(1-COS(($BH228+12*($BI228-$BH228)/12)))-$BF228)/$BG228)^2*SIN(($BH228+12*($BI228-$BH228)/12))^2</f>
        <v/>
      </c>
      <c r="BW228">
        <f>BJ228*COS(($BH228+0*($BI228-$BH228)/12))</f>
        <v/>
      </c>
      <c r="BX228">
        <f>BK228*COS(($BH228+1*($BI228-$BH228)/12))</f>
        <v/>
      </c>
      <c r="BY228">
        <f>BL228*COS(($BH228+2*($BI228-$BH228)/12))</f>
        <v/>
      </c>
      <c r="BZ228">
        <f>BM228*COS(($BH228+3*($BI228-$BH228)/12))</f>
        <v/>
      </c>
      <c r="CA228">
        <f>BN228*COS(($BH228+4*($BI228-$BH228)/12))</f>
        <v/>
      </c>
      <c r="CB228">
        <f>BO228*COS(($BH228+5*($BI228-$BH228)/12))</f>
        <v/>
      </c>
      <c r="CC228">
        <f>BP228*COS(($BH228+6*($BI228-$BH228)/12))</f>
        <v/>
      </c>
      <c r="CD228">
        <f>BQ228*COS(($BH228+7*($BI228-$BH228)/12))</f>
        <v/>
      </c>
      <c r="CE228">
        <f>BR228*COS(($BH228+8*($BI228-$BH228)/12))</f>
        <v/>
      </c>
      <c r="CF228">
        <f>BS228*COS(($BH228+9*($BI228-$BH228)/12))</f>
        <v/>
      </c>
      <c r="CG228">
        <f>BT228*COS(($BH228+10*($BI228-$BH228)/12))</f>
        <v/>
      </c>
      <c r="CH228">
        <f>BU228*COS(($BH228+11*($BI228-$BH228)/12))</f>
        <v/>
      </c>
      <c r="CI228">
        <f>BV228*COS(($BH228+12*($BI228-$BH228)/12))</f>
        <v/>
      </c>
    </row>
    <row r="229">
      <c r="B229" s="65" t="n">
        <v>14</v>
      </c>
      <c r="C229" s="66">
        <f>IF($G228&lt;cc_NEd-1E-9*ABS(cc_NEd),($C228+$D228)/2,$C228)</f>
        <v/>
      </c>
      <c r="D229" s="66">
        <f>IF($G228&lt;cc_NEd-1E-9*ABS(cc_NEd),$D228,($C228+$D228)/2)</f>
        <v/>
      </c>
      <c r="E229" s="67">
        <f>cc_D*(($C229+$D229)/2)/(1-(($C229+$D229)/2))</f>
        <v/>
      </c>
      <c r="F229" s="68">
        <f>IF($E229&lt;=cc_D,3.5,2*$E229/($E229-3*cc_D/7))</f>
        <v/>
      </c>
      <c r="G229" s="67">
        <f>(fcd_cc*((cc_D/2)^2*($BI229-COS($BI229)*SIN($BI229))-2*(cc_D/2)^2*($BI229-$BH229)/12/3*SUMPRODUCT($BJ$4:$BV$4,$BJ229:$BV229))+SUMPRODUCT($J$5:$AG$5,$J229:$AG229))/1000</f>
        <v/>
      </c>
      <c r="H229" s="67">
        <f>(fcd_cc*(2/3*(cc_D/2)^3*SIN($BI229)^3-2*(cc_D/2)^3*($BI229-$BH229)/12/3*SUMPRODUCT($BW$4:$CI$4,$BW229:$CI229))+SUMPRODUCT($J$5:$AG$5,$J229:$AG229,$J$13:$AG$13))/1E6</f>
        <v/>
      </c>
      <c r="I229" s="67">
        <f>SUMPRODUCT($J$5:$AG$5,$J229:$AG229,$J$14:$AG$14)/1E6</f>
        <v/>
      </c>
      <c r="J229">
        <f>MAX(-fyd_cc,MIN(fyd_cc,Es_cc*IF($E229&lt;=cc_D,0.0035*($E229-J$12)/$E229,0.002*($E229-J$12)/($E229-3*cc_D/7))))-fcd_cc*(1-(1-MAX(0,MIN(1,IF($E229&lt;=cc_D,0.0035*($E229-J$12)/$E229,0.002*($E229-J$12)/($E229-3*cc_D/7))/0.002)))^2)</f>
        <v/>
      </c>
      <c r="K229">
        <f>MAX(-fyd_cc,MIN(fyd_cc,Es_cc*IF($E229&lt;=cc_D,0.0035*($E229-K$12)/$E229,0.002*($E229-K$12)/($E229-3*cc_D/7))))-fcd_cc*(1-(1-MAX(0,MIN(1,IF($E229&lt;=cc_D,0.0035*($E229-K$12)/$E229,0.002*($E229-K$12)/($E229-3*cc_D/7))/0.002)))^2)</f>
        <v/>
      </c>
      <c r="L229">
        <f>MAX(-fyd_cc,MIN(fyd_cc,Es_cc*IF($E229&lt;=cc_D,0.0035*($E229-L$12)/$E229,0.002*($E229-L$12)/($E229-3*cc_D/7))))-fcd_cc*(1-(1-MAX(0,MIN(1,IF($E229&lt;=cc_D,0.0035*($E229-L$12)/$E229,0.002*($E229-L$12)/($E229-3*cc_D/7))/0.002)))^2)</f>
        <v/>
      </c>
      <c r="M229">
        <f>MAX(-fyd_cc,MIN(fyd_cc,Es_cc*IF($E229&lt;=cc_D,0.0035*($E229-M$12)/$E229,0.002*($E229-M$12)/($E229-3*cc_D/7))))-fcd_cc*(1-(1-MAX(0,MIN(1,IF($E229&lt;=cc_D,0.0035*($E229-M$12)/$E229,0.002*($E229-M$12)/($E229-3*cc_D/7))/0.002)))^2)</f>
        <v/>
      </c>
      <c r="N229">
        <f>MAX(-fyd_cc,MIN(fyd_cc,Es_cc*IF($E229&lt;=cc_D,0.0035*($E229-N$12)/$E229,0.002*($E229-N$12)/($E229-3*cc_D/7))))-fcd_cc*(1-(1-MAX(0,MIN(1,IF($E229&lt;=cc_D,0.0035*($E229-N$12)/$E229,0.002*($E229-N$12)/($E229-3*cc_D/7))/0.002)))^2)</f>
        <v/>
      </c>
      <c r="O229">
        <f>MAX(-fyd_cc,MIN(fyd_cc,Es_cc*IF($E229&lt;=cc_D,0.0035*($E229-O$12)/$E229,0.002*($E229-O$12)/($E229-3*cc_D/7))))-fcd_cc*(1-(1-MAX(0,MIN(1,IF($E229&lt;=cc_D,0.0035*($E229-O$12)/$E229,0.002*($E229-O$12)/($E229-3*cc_D/7))/0.002)))^2)</f>
        <v/>
      </c>
      <c r="P229">
        <f>MAX(-fyd_cc,MIN(fyd_cc,Es_cc*IF($E229&lt;=cc_D,0.0035*($E229-P$12)/$E229,0.002*($E229-P$12)/($E229-3*cc_D/7))))-fcd_cc*(1-(1-MAX(0,MIN(1,IF($E229&lt;=cc_D,0.0035*($E229-P$12)/$E229,0.002*($E229-P$12)/($E229-3*cc_D/7))/0.002)))^2)</f>
        <v/>
      </c>
      <c r="Q229">
        <f>MAX(-fyd_cc,MIN(fyd_cc,Es_cc*IF($E229&lt;=cc_D,0.0035*($E229-Q$12)/$E229,0.002*($E229-Q$12)/($E229-3*cc_D/7))))-fcd_cc*(1-(1-MAX(0,MIN(1,IF($E229&lt;=cc_D,0.0035*($E229-Q$12)/$E229,0.002*($E229-Q$12)/($E229-3*cc_D/7))/0.002)))^2)</f>
        <v/>
      </c>
      <c r="R229">
        <f>MAX(-fyd_cc,MIN(fyd_cc,Es_cc*IF($E229&lt;=cc_D,0.0035*($E229-R$12)/$E229,0.002*($E229-R$12)/($E229-3*cc_D/7))))-fcd_cc*(1-(1-MAX(0,MIN(1,IF($E229&lt;=cc_D,0.0035*($E229-R$12)/$E229,0.002*($E229-R$12)/($E229-3*cc_D/7))/0.002)))^2)</f>
        <v/>
      </c>
      <c r="S229">
        <f>MAX(-fyd_cc,MIN(fyd_cc,Es_cc*IF($E229&lt;=cc_D,0.0035*($E229-S$12)/$E229,0.002*($E229-S$12)/($E229-3*cc_D/7))))-fcd_cc*(1-(1-MAX(0,MIN(1,IF($E229&lt;=cc_D,0.0035*($E229-S$12)/$E229,0.002*($E229-S$12)/($E229-3*cc_D/7))/0.002)))^2)</f>
        <v/>
      </c>
      <c r="T229">
        <f>MAX(-fyd_cc,MIN(fyd_cc,Es_cc*IF($E229&lt;=cc_D,0.0035*($E229-T$12)/$E229,0.002*($E229-T$12)/($E229-3*cc_D/7))))-fcd_cc*(1-(1-MAX(0,MIN(1,IF($E229&lt;=cc_D,0.0035*($E229-T$12)/$E229,0.002*($E229-T$12)/($E229-3*cc_D/7))/0.002)))^2)</f>
        <v/>
      </c>
      <c r="U229">
        <f>MAX(-fyd_cc,MIN(fyd_cc,Es_cc*IF($E229&lt;=cc_D,0.0035*($E229-U$12)/$E229,0.002*($E229-U$12)/($E229-3*cc_D/7))))-fcd_cc*(1-(1-MAX(0,MIN(1,IF($E229&lt;=cc_D,0.0035*($E229-U$12)/$E229,0.002*($E229-U$12)/($E229-3*cc_D/7))/0.002)))^2)</f>
        <v/>
      </c>
      <c r="V229">
        <f>MAX(-fyd_cc,MIN(fyd_cc,Es_cc*IF($E229&lt;=cc_D,0.0035*($E229-V$12)/$E229,0.002*($E229-V$12)/($E229-3*cc_D/7))))-fcd_cc*(1-(1-MAX(0,MIN(1,IF($E229&lt;=cc_D,0.0035*($E229-V$12)/$E229,0.002*($E229-V$12)/($E229-3*cc_D/7))/0.002)))^2)</f>
        <v/>
      </c>
      <c r="W229">
        <f>MAX(-fyd_cc,MIN(fyd_cc,Es_cc*IF($E229&lt;=cc_D,0.0035*($E229-W$12)/$E229,0.002*($E229-W$12)/($E229-3*cc_D/7))))-fcd_cc*(1-(1-MAX(0,MIN(1,IF($E229&lt;=cc_D,0.0035*($E229-W$12)/$E229,0.002*($E229-W$12)/($E229-3*cc_D/7))/0.002)))^2)</f>
        <v/>
      </c>
      <c r="X229">
        <f>MAX(-fyd_cc,MIN(fyd_cc,Es_cc*IF($E229&lt;=cc_D,0.0035*($E229-X$12)/$E229,0.002*($E229-X$12)/($E229-3*cc_D/7))))-fcd_cc*(1-(1-MAX(0,MIN(1,IF($E229&lt;=cc_D,0.0035*($E229-X$12)/$E229,0.002*($E229-X$12)/($E229-3*cc_D/7))/0.002)))^2)</f>
        <v/>
      </c>
      <c r="Y229">
        <f>MAX(-fyd_cc,MIN(fyd_cc,Es_cc*IF($E229&lt;=cc_D,0.0035*($E229-Y$12)/$E229,0.002*($E229-Y$12)/($E229-3*cc_D/7))))-fcd_cc*(1-(1-MAX(0,MIN(1,IF($E229&lt;=cc_D,0.0035*($E229-Y$12)/$E229,0.002*($E229-Y$12)/($E229-3*cc_D/7))/0.002)))^2)</f>
        <v/>
      </c>
      <c r="Z229">
        <f>MAX(-fyd_cc,MIN(fyd_cc,Es_cc*IF($E229&lt;=cc_D,0.0035*($E229-Z$12)/$E229,0.002*($E229-Z$12)/($E229-3*cc_D/7))))-fcd_cc*(1-(1-MAX(0,MIN(1,IF($E229&lt;=cc_D,0.0035*($E229-Z$12)/$E229,0.002*($E229-Z$12)/($E229-3*cc_D/7))/0.002)))^2)</f>
        <v/>
      </c>
      <c r="AA229">
        <f>MAX(-fyd_cc,MIN(fyd_cc,Es_cc*IF($E229&lt;=cc_D,0.0035*($E229-AA$12)/$E229,0.002*($E229-AA$12)/($E229-3*cc_D/7))))-fcd_cc*(1-(1-MAX(0,MIN(1,IF($E229&lt;=cc_D,0.0035*($E229-AA$12)/$E229,0.002*($E229-AA$12)/($E229-3*cc_D/7))/0.002)))^2)</f>
        <v/>
      </c>
      <c r="AB229">
        <f>MAX(-fyd_cc,MIN(fyd_cc,Es_cc*IF($E229&lt;=cc_D,0.0035*($E229-AB$12)/$E229,0.002*($E229-AB$12)/($E229-3*cc_D/7))))-fcd_cc*(1-(1-MAX(0,MIN(1,IF($E229&lt;=cc_D,0.0035*($E229-AB$12)/$E229,0.002*($E229-AB$12)/($E229-3*cc_D/7))/0.002)))^2)</f>
        <v/>
      </c>
      <c r="AC229">
        <f>MAX(-fyd_cc,MIN(fyd_cc,Es_cc*IF($E229&lt;=cc_D,0.0035*($E229-AC$12)/$E229,0.002*($E229-AC$12)/($E229-3*cc_D/7))))-fcd_cc*(1-(1-MAX(0,MIN(1,IF($E229&lt;=cc_D,0.0035*($E229-AC$12)/$E229,0.002*($E229-AC$12)/($E229-3*cc_D/7))/0.002)))^2)</f>
        <v/>
      </c>
      <c r="AD229">
        <f>MAX(-fyd_cc,MIN(fyd_cc,Es_cc*IF($E229&lt;=cc_D,0.0035*($E229-AD$12)/$E229,0.002*($E229-AD$12)/($E229-3*cc_D/7))))-fcd_cc*(1-(1-MAX(0,MIN(1,IF($E229&lt;=cc_D,0.0035*($E229-AD$12)/$E229,0.002*($E229-AD$12)/($E229-3*cc_D/7))/0.002)))^2)</f>
        <v/>
      </c>
      <c r="AE229">
        <f>MAX(-fyd_cc,MIN(fyd_cc,Es_cc*IF($E229&lt;=cc_D,0.0035*($E229-AE$12)/$E229,0.002*($E229-AE$12)/($E229-3*cc_D/7))))-fcd_cc*(1-(1-MAX(0,MIN(1,IF($E229&lt;=cc_D,0.0035*($E229-AE$12)/$E229,0.002*($E229-AE$12)/($E229-3*cc_D/7))/0.002)))^2)</f>
        <v/>
      </c>
      <c r="AF229">
        <f>MAX(-fyd_cc,MIN(fyd_cc,Es_cc*IF($E229&lt;=cc_D,0.0035*($E229-AF$12)/$E229,0.002*($E229-AF$12)/($E229-3*cc_D/7))))-fcd_cc*(1-(1-MAX(0,MIN(1,IF($E229&lt;=cc_D,0.0035*($E229-AF$12)/$E229,0.002*($E229-AF$12)/($E229-3*cc_D/7))/0.002)))^2)</f>
        <v/>
      </c>
      <c r="AG229">
        <f>MAX(-fyd_cc,MIN(fyd_cc,Es_cc*IF($E229&lt;=cc_D,0.0035*($E229-AG$12)/$E229,0.002*($E229-AG$12)/($E229-3*cc_D/7))))-fcd_cc*(1-(1-MAX(0,MIN(1,IF($E229&lt;=cc_D,0.0035*($E229-AG$12)/$E229,0.002*($E229-AG$12)/($E229-3*cc_D/7))/0.002)))^2)</f>
        <v/>
      </c>
      <c r="BF229">
        <f>3*MIN($E229,cc_D)/7</f>
        <v/>
      </c>
      <c r="BG229">
        <f>$E229-$BF229</f>
        <v/>
      </c>
      <c r="BH229">
        <f>ACOS(MAX(-1,MIN(1,1-$BF229/(cc_D/2))))</f>
        <v/>
      </c>
      <c r="BI229">
        <f>ACOS(MAX(-1,MIN(1,1-MIN($E229,cc_D)/(cc_D/2))))</f>
        <v/>
      </c>
      <c r="BJ229">
        <f>((cc_D/2*(1-COS(($BH229+0*($BI229-$BH229)/12)))-$BF229)/$BG229)^2*SIN(($BH229+0*($BI229-$BH229)/12))^2</f>
        <v/>
      </c>
      <c r="BK229">
        <f>((cc_D/2*(1-COS(($BH229+1*($BI229-$BH229)/12)))-$BF229)/$BG229)^2*SIN(($BH229+1*($BI229-$BH229)/12))^2</f>
        <v/>
      </c>
      <c r="BL229">
        <f>((cc_D/2*(1-COS(($BH229+2*($BI229-$BH229)/12)))-$BF229)/$BG229)^2*SIN(($BH229+2*($BI229-$BH229)/12))^2</f>
        <v/>
      </c>
      <c r="BM229">
        <f>((cc_D/2*(1-COS(($BH229+3*($BI229-$BH229)/12)))-$BF229)/$BG229)^2*SIN(($BH229+3*($BI229-$BH229)/12))^2</f>
        <v/>
      </c>
      <c r="BN229">
        <f>((cc_D/2*(1-COS(($BH229+4*($BI229-$BH229)/12)))-$BF229)/$BG229)^2*SIN(($BH229+4*($BI229-$BH229)/12))^2</f>
        <v/>
      </c>
      <c r="BO229">
        <f>((cc_D/2*(1-COS(($BH229+5*($BI229-$BH229)/12)))-$BF229)/$BG229)^2*SIN(($BH229+5*($BI229-$BH229)/12))^2</f>
        <v/>
      </c>
      <c r="BP229">
        <f>((cc_D/2*(1-COS(($BH229+6*($BI229-$BH229)/12)))-$BF229)/$BG229)^2*SIN(($BH229+6*($BI229-$BH229)/12))^2</f>
        <v/>
      </c>
      <c r="BQ229">
        <f>((cc_D/2*(1-COS(($BH229+7*($BI229-$BH229)/12)))-$BF229)/$BG229)^2*SIN(($BH229+7*($BI229-$BH229)/12))^2</f>
        <v/>
      </c>
      <c r="BR229">
        <f>((cc_D/2*(1-COS(($BH229+8*($BI229-$BH229)/12)))-$BF229)/$BG229)^2*SIN(($BH229+8*($BI229-$BH229)/12))^2</f>
        <v/>
      </c>
      <c r="BS229">
        <f>((cc_D/2*(1-COS(($BH229+9*($BI229-$BH229)/12)))-$BF229)/$BG229)^2*SIN(($BH229+9*($BI229-$BH229)/12))^2</f>
        <v/>
      </c>
      <c r="BT229">
        <f>((cc_D/2*(1-COS(($BH229+10*($BI229-$BH229)/12)))-$BF229)/$BG229)^2*SIN(($BH229+10*($BI229-$BH229)/12))^2</f>
        <v/>
      </c>
      <c r="BU229">
        <f>((cc_D/2*(1-COS(($BH229+11*($BI229-$BH229)/12)))-$BF229)/$BG229)^2*SIN(($BH229+11*($BI229-$BH229)/12))^2</f>
        <v/>
      </c>
      <c r="BV229">
        <f>((cc_D/2*(1-COS(($BH229+12*($BI229-$BH229)/12)))-$BF229)/$BG229)^2*SIN(($BH229+12*($BI229-$BH229)/12))^2</f>
        <v/>
      </c>
      <c r="BW229">
        <f>BJ229*COS(($BH229+0*($BI229-$BH229)/12))</f>
        <v/>
      </c>
      <c r="BX229">
        <f>BK229*COS(($BH229+1*($BI229-$BH229)/12))</f>
        <v/>
      </c>
      <c r="BY229">
        <f>BL229*COS(($BH229+2*($BI229-$BH229)/12))</f>
        <v/>
      </c>
      <c r="BZ229">
        <f>BM229*COS(($BH229+3*($BI229-$BH229)/12))</f>
        <v/>
      </c>
      <c r="CA229">
        <f>BN229*COS(($BH229+4*($BI229-$BH229)/12))</f>
        <v/>
      </c>
      <c r="CB229">
        <f>BO229*COS(($BH229+5*($BI229-$BH229)/12))</f>
        <v/>
      </c>
      <c r="CC229">
        <f>BP229*COS(($BH229+6*($BI229-$BH229)/12))</f>
        <v/>
      </c>
      <c r="CD229">
        <f>BQ229*COS(($BH229+7*($BI229-$BH229)/12))</f>
        <v/>
      </c>
      <c r="CE229">
        <f>BR229*COS(($BH229+8*($BI229-$BH229)/12))</f>
        <v/>
      </c>
      <c r="CF229">
        <f>BS229*COS(($BH229+9*($BI229-$BH229)/12))</f>
        <v/>
      </c>
      <c r="CG229">
        <f>BT229*COS(($BH229+10*($BI229-$BH229)/12))</f>
        <v/>
      </c>
      <c r="CH229">
        <f>BU229*COS(($BH229+11*($BI229-$BH229)/12))</f>
        <v/>
      </c>
      <c r="CI229">
        <f>BV229*COS(($BH229+12*($BI229-$BH229)/12))</f>
        <v/>
      </c>
    </row>
    <row r="230">
      <c r="B230" s="65" t="n">
        <v>15</v>
      </c>
      <c r="C230" s="66">
        <f>IF($G229&lt;cc_NEd-1E-9*ABS(cc_NEd),($C229+$D229)/2,$C229)</f>
        <v/>
      </c>
      <c r="D230" s="66">
        <f>IF($G229&lt;cc_NEd-1E-9*ABS(cc_NEd),$D229,($C229+$D229)/2)</f>
        <v/>
      </c>
      <c r="E230" s="67">
        <f>cc_D*(($C230+$D230)/2)/(1-(($C230+$D230)/2))</f>
        <v/>
      </c>
      <c r="F230" s="68">
        <f>IF($E230&lt;=cc_D,3.5,2*$E230/($E230-3*cc_D/7))</f>
        <v/>
      </c>
      <c r="G230" s="67">
        <f>(fcd_cc*((cc_D/2)^2*($BI230-COS($BI230)*SIN($BI230))-2*(cc_D/2)^2*($BI230-$BH230)/12/3*SUMPRODUCT($BJ$4:$BV$4,$BJ230:$BV230))+SUMPRODUCT($J$5:$AG$5,$J230:$AG230))/1000</f>
        <v/>
      </c>
      <c r="H230" s="67">
        <f>(fcd_cc*(2/3*(cc_D/2)^3*SIN($BI230)^3-2*(cc_D/2)^3*($BI230-$BH230)/12/3*SUMPRODUCT($BW$4:$CI$4,$BW230:$CI230))+SUMPRODUCT($J$5:$AG$5,$J230:$AG230,$J$13:$AG$13))/1E6</f>
        <v/>
      </c>
      <c r="I230" s="67">
        <f>SUMPRODUCT($J$5:$AG$5,$J230:$AG230,$J$14:$AG$14)/1E6</f>
        <v/>
      </c>
      <c r="J230">
        <f>MAX(-fyd_cc,MIN(fyd_cc,Es_cc*IF($E230&lt;=cc_D,0.0035*($E230-J$12)/$E230,0.002*($E230-J$12)/($E230-3*cc_D/7))))-fcd_cc*(1-(1-MAX(0,MIN(1,IF($E230&lt;=cc_D,0.0035*($E230-J$12)/$E230,0.002*($E230-J$12)/($E230-3*cc_D/7))/0.002)))^2)</f>
        <v/>
      </c>
      <c r="K230">
        <f>MAX(-fyd_cc,MIN(fyd_cc,Es_cc*IF($E230&lt;=cc_D,0.0035*($E230-K$12)/$E230,0.002*($E230-K$12)/($E230-3*cc_D/7))))-fcd_cc*(1-(1-MAX(0,MIN(1,IF($E230&lt;=cc_D,0.0035*($E230-K$12)/$E230,0.002*($E230-K$12)/($E230-3*cc_D/7))/0.002)))^2)</f>
        <v/>
      </c>
      <c r="L230">
        <f>MAX(-fyd_cc,MIN(fyd_cc,Es_cc*IF($E230&lt;=cc_D,0.0035*($E230-L$12)/$E230,0.002*($E230-L$12)/($E230-3*cc_D/7))))-fcd_cc*(1-(1-MAX(0,MIN(1,IF($E230&lt;=cc_D,0.0035*($E230-L$12)/$E230,0.002*($E230-L$12)/($E230-3*cc_D/7))/0.002)))^2)</f>
        <v/>
      </c>
      <c r="M230">
        <f>MAX(-fyd_cc,MIN(fyd_cc,Es_cc*IF($E230&lt;=cc_D,0.0035*($E230-M$12)/$E230,0.002*($E230-M$12)/($E230-3*cc_D/7))))-fcd_cc*(1-(1-MAX(0,MIN(1,IF($E230&lt;=cc_D,0.0035*($E230-M$12)/$E230,0.002*($E230-M$12)/($E230-3*cc_D/7))/0.002)))^2)</f>
        <v/>
      </c>
      <c r="N230">
        <f>MAX(-fyd_cc,MIN(fyd_cc,Es_cc*IF($E230&lt;=cc_D,0.0035*($E230-N$12)/$E230,0.002*($E230-N$12)/($E230-3*cc_D/7))))-fcd_cc*(1-(1-MAX(0,MIN(1,IF($E230&lt;=cc_D,0.0035*($E230-N$12)/$E230,0.002*($E230-N$12)/($E230-3*cc_D/7))/0.002)))^2)</f>
        <v/>
      </c>
      <c r="O230">
        <f>MAX(-fyd_cc,MIN(fyd_cc,Es_cc*IF($E230&lt;=cc_D,0.0035*($E230-O$12)/$E230,0.002*($E230-O$12)/($E230-3*cc_D/7))))-fcd_cc*(1-(1-MAX(0,MIN(1,IF($E230&lt;=cc_D,0.0035*($E230-O$12)/$E230,0.002*($E230-O$12)/($E230-3*cc_D/7))/0.002)))^2)</f>
        <v/>
      </c>
      <c r="P230">
        <f>MAX(-fyd_cc,MIN(fyd_cc,Es_cc*IF($E230&lt;=cc_D,0.0035*($E230-P$12)/$E230,0.002*($E230-P$12)/($E230-3*cc_D/7))))-fcd_cc*(1-(1-MAX(0,MIN(1,IF($E230&lt;=cc_D,0.0035*($E230-P$12)/$E230,0.002*($E230-P$12)/($E230-3*cc_D/7))/0.002)))^2)</f>
        <v/>
      </c>
      <c r="Q230">
        <f>MAX(-fyd_cc,MIN(fyd_cc,Es_cc*IF($E230&lt;=cc_D,0.0035*($E230-Q$12)/$E230,0.002*($E230-Q$12)/($E230-3*cc_D/7))))-fcd_cc*(1-(1-MAX(0,MIN(1,IF($E230&lt;=cc_D,0.0035*($E230-Q$12)/$E230,0.002*($E230-Q$12)/($E230-3*cc_D/7))/0.002)))^2)</f>
        <v/>
      </c>
      <c r="R230">
        <f>MAX(-fyd_cc,MIN(fyd_cc,Es_cc*IF($E230&lt;=cc_D,0.0035*($E230-R$12)/$E230,0.002*($E230-R$12)/($E230-3*cc_D/7))))-fcd_cc*(1-(1-MAX(0,MIN(1,IF($E230&lt;=cc_D,0.0035*($E230-R$12)/$E230,0.002*($E230-R$12)/($E230-3*cc_D/7))/0.002)))^2)</f>
        <v/>
      </c>
      <c r="S230">
        <f>MAX(-fyd_cc,MIN(fyd_cc,Es_cc*IF($E230&lt;=cc_D,0.0035*($E230-S$12)/$E230,0.002*($E230-S$12)/($E230-3*cc_D/7))))-fcd_cc*(1-(1-MAX(0,MIN(1,IF($E230&lt;=cc_D,0.0035*($E230-S$12)/$E230,0.002*($E230-S$12)/($E230-3*cc_D/7))/0.002)))^2)</f>
        <v/>
      </c>
      <c r="T230">
        <f>MAX(-fyd_cc,MIN(fyd_cc,Es_cc*IF($E230&lt;=cc_D,0.0035*($E230-T$12)/$E230,0.002*($E230-T$12)/($E230-3*cc_D/7))))-fcd_cc*(1-(1-MAX(0,MIN(1,IF($E230&lt;=cc_D,0.0035*($E230-T$12)/$E230,0.002*($E230-T$12)/($E230-3*cc_D/7))/0.002)))^2)</f>
        <v/>
      </c>
      <c r="U230">
        <f>MAX(-fyd_cc,MIN(fyd_cc,Es_cc*IF($E230&lt;=cc_D,0.0035*($E230-U$12)/$E230,0.002*($E230-U$12)/($E230-3*cc_D/7))))-fcd_cc*(1-(1-MAX(0,MIN(1,IF($E230&lt;=cc_D,0.0035*($E230-U$12)/$E230,0.002*($E230-U$12)/($E230-3*cc_D/7))/0.002)))^2)</f>
        <v/>
      </c>
      <c r="V230">
        <f>MAX(-fyd_cc,MIN(fyd_cc,Es_cc*IF($E230&lt;=cc_D,0.0035*($E230-V$12)/$E230,0.002*($E230-V$12)/($E230-3*cc_D/7))))-fcd_cc*(1-(1-MAX(0,MIN(1,IF($E230&lt;=cc_D,0.0035*($E230-V$12)/$E230,0.002*($E230-V$12)/($E230-3*cc_D/7))/0.002)))^2)</f>
        <v/>
      </c>
      <c r="W230">
        <f>MAX(-fyd_cc,MIN(fyd_cc,Es_cc*IF($E230&lt;=cc_D,0.0035*($E230-W$12)/$E230,0.002*($E230-W$12)/($E230-3*cc_D/7))))-fcd_cc*(1-(1-MAX(0,MIN(1,IF($E230&lt;=cc_D,0.0035*($E230-W$12)/$E230,0.002*($E230-W$12)/($E230-3*cc_D/7))/0.002)))^2)</f>
        <v/>
      </c>
      <c r="X230">
        <f>MAX(-fyd_cc,MIN(fyd_cc,Es_cc*IF($E230&lt;=cc_D,0.0035*($E230-X$12)/$E230,0.002*($E230-X$12)/($E230-3*cc_D/7))))-fcd_cc*(1-(1-MAX(0,MIN(1,IF($E230&lt;=cc_D,0.0035*($E230-X$12)/$E230,0.002*($E230-X$12)/($E230-3*cc_D/7))/0.002)))^2)</f>
        <v/>
      </c>
      <c r="Y230">
        <f>MAX(-fyd_cc,MIN(fyd_cc,Es_cc*IF($E230&lt;=cc_D,0.0035*($E230-Y$12)/$E230,0.002*($E230-Y$12)/($E230-3*cc_D/7))))-fcd_cc*(1-(1-MAX(0,MIN(1,IF($E230&lt;=cc_D,0.0035*($E230-Y$12)/$E230,0.002*($E230-Y$12)/($E230-3*cc_D/7))/0.002)))^2)</f>
        <v/>
      </c>
      <c r="Z230">
        <f>MAX(-fyd_cc,MIN(fyd_cc,Es_cc*IF($E230&lt;=cc_D,0.0035*($E230-Z$12)/$E230,0.002*($E230-Z$12)/($E230-3*cc_D/7))))-fcd_cc*(1-(1-MAX(0,MIN(1,IF($E230&lt;=cc_D,0.0035*($E230-Z$12)/$E230,0.002*($E230-Z$12)/($E230-3*cc_D/7))/0.002)))^2)</f>
        <v/>
      </c>
      <c r="AA230">
        <f>MAX(-fyd_cc,MIN(fyd_cc,Es_cc*IF($E230&lt;=cc_D,0.0035*($E230-AA$12)/$E230,0.002*($E230-AA$12)/($E230-3*cc_D/7))))-fcd_cc*(1-(1-MAX(0,MIN(1,IF($E230&lt;=cc_D,0.0035*($E230-AA$12)/$E230,0.002*($E230-AA$12)/($E230-3*cc_D/7))/0.002)))^2)</f>
        <v/>
      </c>
      <c r="AB230">
        <f>MAX(-fyd_cc,MIN(fyd_cc,Es_cc*IF($E230&lt;=cc_D,0.0035*($E230-AB$12)/$E230,0.002*($E230-AB$12)/($E230-3*cc_D/7))))-fcd_cc*(1-(1-MAX(0,MIN(1,IF($E230&lt;=cc_D,0.0035*($E230-AB$12)/$E230,0.002*($E230-AB$12)/($E230-3*cc_D/7))/0.002)))^2)</f>
        <v/>
      </c>
      <c r="AC230">
        <f>MAX(-fyd_cc,MIN(fyd_cc,Es_cc*IF($E230&lt;=cc_D,0.0035*($E230-AC$12)/$E230,0.002*($E230-AC$12)/($E230-3*cc_D/7))))-fcd_cc*(1-(1-MAX(0,MIN(1,IF($E230&lt;=cc_D,0.0035*($E230-AC$12)/$E230,0.002*($E230-AC$12)/($E230-3*cc_D/7))/0.002)))^2)</f>
        <v/>
      </c>
      <c r="AD230">
        <f>MAX(-fyd_cc,MIN(fyd_cc,Es_cc*IF($E230&lt;=cc_D,0.0035*($E230-AD$12)/$E230,0.002*($E230-AD$12)/($E230-3*cc_D/7))))-fcd_cc*(1-(1-MAX(0,MIN(1,IF($E230&lt;=cc_D,0.0035*($E230-AD$12)/$E230,0.002*($E230-AD$12)/($E230-3*cc_D/7))/0.002)))^2)</f>
        <v/>
      </c>
      <c r="AE230">
        <f>MAX(-fyd_cc,MIN(fyd_cc,Es_cc*IF($E230&lt;=cc_D,0.0035*($E230-AE$12)/$E230,0.002*($E230-AE$12)/($E230-3*cc_D/7))))-fcd_cc*(1-(1-MAX(0,MIN(1,IF($E230&lt;=cc_D,0.0035*($E230-AE$12)/$E230,0.002*($E230-AE$12)/($E230-3*cc_D/7))/0.002)))^2)</f>
        <v/>
      </c>
      <c r="AF230">
        <f>MAX(-fyd_cc,MIN(fyd_cc,Es_cc*IF($E230&lt;=cc_D,0.0035*($E230-AF$12)/$E230,0.002*($E230-AF$12)/($E230-3*cc_D/7))))-fcd_cc*(1-(1-MAX(0,MIN(1,IF($E230&lt;=cc_D,0.0035*($E230-AF$12)/$E230,0.002*($E230-AF$12)/($E230-3*cc_D/7))/0.002)))^2)</f>
        <v/>
      </c>
      <c r="AG230">
        <f>MAX(-fyd_cc,MIN(fyd_cc,Es_cc*IF($E230&lt;=cc_D,0.0035*($E230-AG$12)/$E230,0.002*($E230-AG$12)/($E230-3*cc_D/7))))-fcd_cc*(1-(1-MAX(0,MIN(1,IF($E230&lt;=cc_D,0.0035*($E230-AG$12)/$E230,0.002*($E230-AG$12)/($E230-3*cc_D/7))/0.002)))^2)</f>
        <v/>
      </c>
      <c r="BF230">
        <f>3*MIN($E230,cc_D)/7</f>
        <v/>
      </c>
      <c r="BG230">
        <f>$E230-$BF230</f>
        <v/>
      </c>
      <c r="BH230">
        <f>ACOS(MAX(-1,MIN(1,1-$BF230/(cc_D/2))))</f>
        <v/>
      </c>
      <c r="BI230">
        <f>ACOS(MAX(-1,MIN(1,1-MIN($E230,cc_D)/(cc_D/2))))</f>
        <v/>
      </c>
      <c r="BJ230">
        <f>((cc_D/2*(1-COS(($BH230+0*($BI230-$BH230)/12)))-$BF230)/$BG230)^2*SIN(($BH230+0*($BI230-$BH230)/12))^2</f>
        <v/>
      </c>
      <c r="BK230">
        <f>((cc_D/2*(1-COS(($BH230+1*($BI230-$BH230)/12)))-$BF230)/$BG230)^2*SIN(($BH230+1*($BI230-$BH230)/12))^2</f>
        <v/>
      </c>
      <c r="BL230">
        <f>((cc_D/2*(1-COS(($BH230+2*($BI230-$BH230)/12)))-$BF230)/$BG230)^2*SIN(($BH230+2*($BI230-$BH230)/12))^2</f>
        <v/>
      </c>
      <c r="BM230">
        <f>((cc_D/2*(1-COS(($BH230+3*($BI230-$BH230)/12)))-$BF230)/$BG230)^2*SIN(($BH230+3*($BI230-$BH230)/12))^2</f>
        <v/>
      </c>
      <c r="BN230">
        <f>((cc_D/2*(1-COS(($BH230+4*($BI230-$BH230)/12)))-$BF230)/$BG230)^2*SIN(($BH230+4*($BI230-$BH230)/12))^2</f>
        <v/>
      </c>
      <c r="BO230">
        <f>((cc_D/2*(1-COS(($BH230+5*($BI230-$BH230)/12)))-$BF230)/$BG230)^2*SIN(($BH230+5*($BI230-$BH230)/12))^2</f>
        <v/>
      </c>
      <c r="BP230">
        <f>((cc_D/2*(1-COS(($BH230+6*($BI230-$BH230)/12)))-$BF230)/$BG230)^2*SIN(($BH230+6*($BI230-$BH230)/12))^2</f>
        <v/>
      </c>
      <c r="BQ230">
        <f>((cc_D/2*(1-COS(($BH230+7*($BI230-$BH230)/12)))-$BF230)/$BG230)^2*SIN(($BH230+7*($BI230-$BH230)/12))^2</f>
        <v/>
      </c>
      <c r="BR230">
        <f>((cc_D/2*(1-COS(($BH230+8*($BI230-$BH230)/12)))-$BF230)/$BG230)^2*SIN(($BH230+8*($BI230-$BH230)/12))^2</f>
        <v/>
      </c>
      <c r="BS230">
        <f>((cc_D/2*(1-COS(($BH230+9*($BI230-$BH230)/12)))-$BF230)/$BG230)^2*SIN(($BH230+9*($BI230-$BH230)/12))^2</f>
        <v/>
      </c>
      <c r="BT230">
        <f>((cc_D/2*(1-COS(($BH230+10*($BI230-$BH230)/12)))-$BF230)/$BG230)^2*SIN(($BH230+10*($BI230-$BH230)/12))^2</f>
        <v/>
      </c>
      <c r="BU230">
        <f>((cc_D/2*(1-COS(($BH230+11*($BI230-$BH230)/12)))-$BF230)/$BG230)^2*SIN(($BH230+11*($BI230-$BH230)/12))^2</f>
        <v/>
      </c>
      <c r="BV230">
        <f>((cc_D/2*(1-COS(($BH230+12*($BI230-$BH230)/12)))-$BF230)/$BG230)^2*SIN(($BH230+12*($BI230-$BH230)/12))^2</f>
        <v/>
      </c>
      <c r="BW230">
        <f>BJ230*COS(($BH230+0*($BI230-$BH230)/12))</f>
        <v/>
      </c>
      <c r="BX230">
        <f>BK230*COS(($BH230+1*($BI230-$BH230)/12))</f>
        <v/>
      </c>
      <c r="BY230">
        <f>BL230*COS(($BH230+2*($BI230-$BH230)/12))</f>
        <v/>
      </c>
      <c r="BZ230">
        <f>BM230*COS(($BH230+3*($BI230-$BH230)/12))</f>
        <v/>
      </c>
      <c r="CA230">
        <f>BN230*COS(($BH230+4*($BI230-$BH230)/12))</f>
        <v/>
      </c>
      <c r="CB230">
        <f>BO230*COS(($BH230+5*($BI230-$BH230)/12))</f>
        <v/>
      </c>
      <c r="CC230">
        <f>BP230*COS(($BH230+6*($BI230-$BH230)/12))</f>
        <v/>
      </c>
      <c r="CD230">
        <f>BQ230*COS(($BH230+7*($BI230-$BH230)/12))</f>
        <v/>
      </c>
      <c r="CE230">
        <f>BR230*COS(($BH230+8*($BI230-$BH230)/12))</f>
        <v/>
      </c>
      <c r="CF230">
        <f>BS230*COS(($BH230+9*($BI230-$BH230)/12))</f>
        <v/>
      </c>
      <c r="CG230">
        <f>BT230*COS(($BH230+10*($BI230-$BH230)/12))</f>
        <v/>
      </c>
      <c r="CH230">
        <f>BU230*COS(($BH230+11*($BI230-$BH230)/12))</f>
        <v/>
      </c>
      <c r="CI230">
        <f>BV230*COS(($BH230+12*($BI230-$BH230)/12))</f>
        <v/>
      </c>
    </row>
    <row r="231">
      <c r="B231" s="65" t="n">
        <v>16</v>
      </c>
      <c r="C231" s="66">
        <f>IF($G230&lt;cc_NEd-1E-9*ABS(cc_NEd),($C230+$D230)/2,$C230)</f>
        <v/>
      </c>
      <c r="D231" s="66">
        <f>IF($G230&lt;cc_NEd-1E-9*ABS(cc_NEd),$D230,($C230+$D230)/2)</f>
        <v/>
      </c>
      <c r="E231" s="67">
        <f>cc_D*(($C231+$D231)/2)/(1-(($C231+$D231)/2))</f>
        <v/>
      </c>
      <c r="F231" s="68">
        <f>IF($E231&lt;=cc_D,3.5,2*$E231/($E231-3*cc_D/7))</f>
        <v/>
      </c>
      <c r="G231" s="67">
        <f>(fcd_cc*((cc_D/2)^2*($BI231-COS($BI231)*SIN($BI231))-2*(cc_D/2)^2*($BI231-$BH231)/12/3*SUMPRODUCT($BJ$4:$BV$4,$BJ231:$BV231))+SUMPRODUCT($J$5:$AG$5,$J231:$AG231))/1000</f>
        <v/>
      </c>
      <c r="H231" s="67">
        <f>(fcd_cc*(2/3*(cc_D/2)^3*SIN($BI231)^3-2*(cc_D/2)^3*($BI231-$BH231)/12/3*SUMPRODUCT($BW$4:$CI$4,$BW231:$CI231))+SUMPRODUCT($J$5:$AG$5,$J231:$AG231,$J$13:$AG$13))/1E6</f>
        <v/>
      </c>
      <c r="I231" s="67">
        <f>SUMPRODUCT($J$5:$AG$5,$J231:$AG231,$J$14:$AG$14)/1E6</f>
        <v/>
      </c>
      <c r="J231">
        <f>MAX(-fyd_cc,MIN(fyd_cc,Es_cc*IF($E231&lt;=cc_D,0.0035*($E231-J$12)/$E231,0.002*($E231-J$12)/($E231-3*cc_D/7))))-fcd_cc*(1-(1-MAX(0,MIN(1,IF($E231&lt;=cc_D,0.0035*($E231-J$12)/$E231,0.002*($E231-J$12)/($E231-3*cc_D/7))/0.002)))^2)</f>
        <v/>
      </c>
      <c r="K231">
        <f>MAX(-fyd_cc,MIN(fyd_cc,Es_cc*IF($E231&lt;=cc_D,0.0035*($E231-K$12)/$E231,0.002*($E231-K$12)/($E231-3*cc_D/7))))-fcd_cc*(1-(1-MAX(0,MIN(1,IF($E231&lt;=cc_D,0.0035*($E231-K$12)/$E231,0.002*($E231-K$12)/($E231-3*cc_D/7))/0.002)))^2)</f>
        <v/>
      </c>
      <c r="L231">
        <f>MAX(-fyd_cc,MIN(fyd_cc,Es_cc*IF($E231&lt;=cc_D,0.0035*($E231-L$12)/$E231,0.002*($E231-L$12)/($E231-3*cc_D/7))))-fcd_cc*(1-(1-MAX(0,MIN(1,IF($E231&lt;=cc_D,0.0035*($E231-L$12)/$E231,0.002*($E231-L$12)/($E231-3*cc_D/7))/0.002)))^2)</f>
        <v/>
      </c>
      <c r="M231">
        <f>MAX(-fyd_cc,MIN(fyd_cc,Es_cc*IF($E231&lt;=cc_D,0.0035*($E231-M$12)/$E231,0.002*($E231-M$12)/($E231-3*cc_D/7))))-fcd_cc*(1-(1-MAX(0,MIN(1,IF($E231&lt;=cc_D,0.0035*($E231-M$12)/$E231,0.002*($E231-M$12)/($E231-3*cc_D/7))/0.002)))^2)</f>
        <v/>
      </c>
      <c r="N231">
        <f>MAX(-fyd_cc,MIN(fyd_cc,Es_cc*IF($E231&lt;=cc_D,0.0035*($E231-N$12)/$E231,0.002*($E231-N$12)/($E231-3*cc_D/7))))-fcd_cc*(1-(1-MAX(0,MIN(1,IF($E231&lt;=cc_D,0.0035*($E231-N$12)/$E231,0.002*($E231-N$12)/($E231-3*cc_D/7))/0.002)))^2)</f>
        <v/>
      </c>
      <c r="O231">
        <f>MAX(-fyd_cc,MIN(fyd_cc,Es_cc*IF($E231&lt;=cc_D,0.0035*($E231-O$12)/$E231,0.002*($E231-O$12)/($E231-3*cc_D/7))))-fcd_cc*(1-(1-MAX(0,MIN(1,IF($E231&lt;=cc_D,0.0035*($E231-O$12)/$E231,0.002*($E231-O$12)/($E231-3*cc_D/7))/0.002)))^2)</f>
        <v/>
      </c>
      <c r="P231">
        <f>MAX(-fyd_cc,MIN(fyd_cc,Es_cc*IF($E231&lt;=cc_D,0.0035*($E231-P$12)/$E231,0.002*($E231-P$12)/($E231-3*cc_D/7))))-fcd_cc*(1-(1-MAX(0,MIN(1,IF($E231&lt;=cc_D,0.0035*($E231-P$12)/$E231,0.002*($E231-P$12)/($E231-3*cc_D/7))/0.002)))^2)</f>
        <v/>
      </c>
      <c r="Q231">
        <f>MAX(-fyd_cc,MIN(fyd_cc,Es_cc*IF($E231&lt;=cc_D,0.0035*($E231-Q$12)/$E231,0.002*($E231-Q$12)/($E231-3*cc_D/7))))-fcd_cc*(1-(1-MAX(0,MIN(1,IF($E231&lt;=cc_D,0.0035*($E231-Q$12)/$E231,0.002*($E231-Q$12)/($E231-3*cc_D/7))/0.002)))^2)</f>
        <v/>
      </c>
      <c r="R231">
        <f>MAX(-fyd_cc,MIN(fyd_cc,Es_cc*IF($E231&lt;=cc_D,0.0035*($E231-R$12)/$E231,0.002*($E231-R$12)/($E231-3*cc_D/7))))-fcd_cc*(1-(1-MAX(0,MIN(1,IF($E231&lt;=cc_D,0.0035*($E231-R$12)/$E231,0.002*($E231-R$12)/($E231-3*cc_D/7))/0.002)))^2)</f>
        <v/>
      </c>
      <c r="S231">
        <f>MAX(-fyd_cc,MIN(fyd_cc,Es_cc*IF($E231&lt;=cc_D,0.0035*($E231-S$12)/$E231,0.002*($E231-S$12)/($E231-3*cc_D/7))))-fcd_cc*(1-(1-MAX(0,MIN(1,IF($E231&lt;=cc_D,0.0035*($E231-S$12)/$E231,0.002*($E231-S$12)/($E231-3*cc_D/7))/0.002)))^2)</f>
        <v/>
      </c>
      <c r="T231">
        <f>MAX(-fyd_cc,MIN(fyd_cc,Es_cc*IF($E231&lt;=cc_D,0.0035*($E231-T$12)/$E231,0.002*($E231-T$12)/($E231-3*cc_D/7))))-fcd_cc*(1-(1-MAX(0,MIN(1,IF($E231&lt;=cc_D,0.0035*($E231-T$12)/$E231,0.002*($E231-T$12)/($E231-3*cc_D/7))/0.002)))^2)</f>
        <v/>
      </c>
      <c r="U231">
        <f>MAX(-fyd_cc,MIN(fyd_cc,Es_cc*IF($E231&lt;=cc_D,0.0035*($E231-U$12)/$E231,0.002*($E231-U$12)/($E231-3*cc_D/7))))-fcd_cc*(1-(1-MAX(0,MIN(1,IF($E231&lt;=cc_D,0.0035*($E231-U$12)/$E231,0.002*($E231-U$12)/($E231-3*cc_D/7))/0.002)))^2)</f>
        <v/>
      </c>
      <c r="V231">
        <f>MAX(-fyd_cc,MIN(fyd_cc,Es_cc*IF($E231&lt;=cc_D,0.0035*($E231-V$12)/$E231,0.002*($E231-V$12)/($E231-3*cc_D/7))))-fcd_cc*(1-(1-MAX(0,MIN(1,IF($E231&lt;=cc_D,0.0035*($E231-V$12)/$E231,0.002*($E231-V$12)/($E231-3*cc_D/7))/0.002)))^2)</f>
        <v/>
      </c>
      <c r="W231">
        <f>MAX(-fyd_cc,MIN(fyd_cc,Es_cc*IF($E231&lt;=cc_D,0.0035*($E231-W$12)/$E231,0.002*($E231-W$12)/($E231-3*cc_D/7))))-fcd_cc*(1-(1-MAX(0,MIN(1,IF($E231&lt;=cc_D,0.0035*($E231-W$12)/$E231,0.002*($E231-W$12)/($E231-3*cc_D/7))/0.002)))^2)</f>
        <v/>
      </c>
      <c r="X231">
        <f>MAX(-fyd_cc,MIN(fyd_cc,Es_cc*IF($E231&lt;=cc_D,0.0035*($E231-X$12)/$E231,0.002*($E231-X$12)/($E231-3*cc_D/7))))-fcd_cc*(1-(1-MAX(0,MIN(1,IF($E231&lt;=cc_D,0.0035*($E231-X$12)/$E231,0.002*($E231-X$12)/($E231-3*cc_D/7))/0.002)))^2)</f>
        <v/>
      </c>
      <c r="Y231">
        <f>MAX(-fyd_cc,MIN(fyd_cc,Es_cc*IF($E231&lt;=cc_D,0.0035*($E231-Y$12)/$E231,0.002*($E231-Y$12)/($E231-3*cc_D/7))))-fcd_cc*(1-(1-MAX(0,MIN(1,IF($E231&lt;=cc_D,0.0035*($E231-Y$12)/$E231,0.002*($E231-Y$12)/($E231-3*cc_D/7))/0.002)))^2)</f>
        <v/>
      </c>
      <c r="Z231">
        <f>MAX(-fyd_cc,MIN(fyd_cc,Es_cc*IF($E231&lt;=cc_D,0.0035*($E231-Z$12)/$E231,0.002*($E231-Z$12)/($E231-3*cc_D/7))))-fcd_cc*(1-(1-MAX(0,MIN(1,IF($E231&lt;=cc_D,0.0035*($E231-Z$12)/$E231,0.002*($E231-Z$12)/($E231-3*cc_D/7))/0.002)))^2)</f>
        <v/>
      </c>
      <c r="AA231">
        <f>MAX(-fyd_cc,MIN(fyd_cc,Es_cc*IF($E231&lt;=cc_D,0.0035*($E231-AA$12)/$E231,0.002*($E231-AA$12)/($E231-3*cc_D/7))))-fcd_cc*(1-(1-MAX(0,MIN(1,IF($E231&lt;=cc_D,0.0035*($E231-AA$12)/$E231,0.002*($E231-AA$12)/($E231-3*cc_D/7))/0.002)))^2)</f>
        <v/>
      </c>
      <c r="AB231">
        <f>MAX(-fyd_cc,MIN(fyd_cc,Es_cc*IF($E231&lt;=cc_D,0.0035*($E231-AB$12)/$E231,0.002*($E231-AB$12)/($E231-3*cc_D/7))))-fcd_cc*(1-(1-MAX(0,MIN(1,IF($E231&lt;=cc_D,0.0035*($E231-AB$12)/$E231,0.002*($E231-AB$12)/($E231-3*cc_D/7))/0.002)))^2)</f>
        <v/>
      </c>
      <c r="AC231">
        <f>MAX(-fyd_cc,MIN(fyd_cc,Es_cc*IF($E231&lt;=cc_D,0.0035*($E231-AC$12)/$E231,0.002*($E231-AC$12)/($E231-3*cc_D/7))))-fcd_cc*(1-(1-MAX(0,MIN(1,IF($E231&lt;=cc_D,0.0035*($E231-AC$12)/$E231,0.002*($E231-AC$12)/($E231-3*cc_D/7))/0.002)))^2)</f>
        <v/>
      </c>
      <c r="AD231">
        <f>MAX(-fyd_cc,MIN(fyd_cc,Es_cc*IF($E231&lt;=cc_D,0.0035*($E231-AD$12)/$E231,0.002*($E231-AD$12)/($E231-3*cc_D/7))))-fcd_cc*(1-(1-MAX(0,MIN(1,IF($E231&lt;=cc_D,0.0035*($E231-AD$12)/$E231,0.002*($E231-AD$12)/($E231-3*cc_D/7))/0.002)))^2)</f>
        <v/>
      </c>
      <c r="AE231">
        <f>MAX(-fyd_cc,MIN(fyd_cc,Es_cc*IF($E231&lt;=cc_D,0.0035*($E231-AE$12)/$E231,0.002*($E231-AE$12)/($E231-3*cc_D/7))))-fcd_cc*(1-(1-MAX(0,MIN(1,IF($E231&lt;=cc_D,0.0035*($E231-AE$12)/$E231,0.002*($E231-AE$12)/($E231-3*cc_D/7))/0.002)))^2)</f>
        <v/>
      </c>
      <c r="AF231">
        <f>MAX(-fyd_cc,MIN(fyd_cc,Es_cc*IF($E231&lt;=cc_D,0.0035*($E231-AF$12)/$E231,0.002*($E231-AF$12)/($E231-3*cc_D/7))))-fcd_cc*(1-(1-MAX(0,MIN(1,IF($E231&lt;=cc_D,0.0035*($E231-AF$12)/$E231,0.002*($E231-AF$12)/($E231-3*cc_D/7))/0.002)))^2)</f>
        <v/>
      </c>
      <c r="AG231">
        <f>MAX(-fyd_cc,MIN(fyd_cc,Es_cc*IF($E231&lt;=cc_D,0.0035*($E231-AG$12)/$E231,0.002*($E231-AG$12)/($E231-3*cc_D/7))))-fcd_cc*(1-(1-MAX(0,MIN(1,IF($E231&lt;=cc_D,0.0035*($E231-AG$12)/$E231,0.002*($E231-AG$12)/($E231-3*cc_D/7))/0.002)))^2)</f>
        <v/>
      </c>
      <c r="BF231">
        <f>3*MIN($E231,cc_D)/7</f>
        <v/>
      </c>
      <c r="BG231">
        <f>$E231-$BF231</f>
        <v/>
      </c>
      <c r="BH231">
        <f>ACOS(MAX(-1,MIN(1,1-$BF231/(cc_D/2))))</f>
        <v/>
      </c>
      <c r="BI231">
        <f>ACOS(MAX(-1,MIN(1,1-MIN($E231,cc_D)/(cc_D/2))))</f>
        <v/>
      </c>
      <c r="BJ231">
        <f>((cc_D/2*(1-COS(($BH231+0*($BI231-$BH231)/12)))-$BF231)/$BG231)^2*SIN(($BH231+0*($BI231-$BH231)/12))^2</f>
        <v/>
      </c>
      <c r="BK231">
        <f>((cc_D/2*(1-COS(($BH231+1*($BI231-$BH231)/12)))-$BF231)/$BG231)^2*SIN(($BH231+1*($BI231-$BH231)/12))^2</f>
        <v/>
      </c>
      <c r="BL231">
        <f>((cc_D/2*(1-COS(($BH231+2*($BI231-$BH231)/12)))-$BF231)/$BG231)^2*SIN(($BH231+2*($BI231-$BH231)/12))^2</f>
        <v/>
      </c>
      <c r="BM231">
        <f>((cc_D/2*(1-COS(($BH231+3*($BI231-$BH231)/12)))-$BF231)/$BG231)^2*SIN(($BH231+3*($BI231-$BH231)/12))^2</f>
        <v/>
      </c>
      <c r="BN231">
        <f>((cc_D/2*(1-COS(($BH231+4*($BI231-$BH231)/12)))-$BF231)/$BG231)^2*SIN(($BH231+4*($BI231-$BH231)/12))^2</f>
        <v/>
      </c>
      <c r="BO231">
        <f>((cc_D/2*(1-COS(($BH231+5*($BI231-$BH231)/12)))-$BF231)/$BG231)^2*SIN(($BH231+5*($BI231-$BH231)/12))^2</f>
        <v/>
      </c>
      <c r="BP231">
        <f>((cc_D/2*(1-COS(($BH231+6*($BI231-$BH231)/12)))-$BF231)/$BG231)^2*SIN(($BH231+6*($BI231-$BH231)/12))^2</f>
        <v/>
      </c>
      <c r="BQ231">
        <f>((cc_D/2*(1-COS(($BH231+7*($BI231-$BH231)/12)))-$BF231)/$BG231)^2*SIN(($BH231+7*($BI231-$BH231)/12))^2</f>
        <v/>
      </c>
      <c r="BR231">
        <f>((cc_D/2*(1-COS(($BH231+8*($BI231-$BH231)/12)))-$BF231)/$BG231)^2*SIN(($BH231+8*($BI231-$BH231)/12))^2</f>
        <v/>
      </c>
      <c r="BS231">
        <f>((cc_D/2*(1-COS(($BH231+9*($BI231-$BH231)/12)))-$BF231)/$BG231)^2*SIN(($BH231+9*($BI231-$BH231)/12))^2</f>
        <v/>
      </c>
      <c r="BT231">
        <f>((cc_D/2*(1-COS(($BH231+10*($BI231-$BH231)/12)))-$BF231)/$BG231)^2*SIN(($BH231+10*($BI231-$BH231)/12))^2</f>
        <v/>
      </c>
      <c r="BU231">
        <f>((cc_D/2*(1-COS(($BH231+11*($BI231-$BH231)/12)))-$BF231)/$BG231)^2*SIN(($BH231+11*($BI231-$BH231)/12))^2</f>
        <v/>
      </c>
      <c r="BV231">
        <f>((cc_D/2*(1-COS(($BH231+12*($BI231-$BH231)/12)))-$BF231)/$BG231)^2*SIN(($BH231+12*($BI231-$BH231)/12))^2</f>
        <v/>
      </c>
      <c r="BW231">
        <f>BJ231*COS(($BH231+0*($BI231-$BH231)/12))</f>
        <v/>
      </c>
      <c r="BX231">
        <f>BK231*COS(($BH231+1*($BI231-$BH231)/12))</f>
        <v/>
      </c>
      <c r="BY231">
        <f>BL231*COS(($BH231+2*($BI231-$BH231)/12))</f>
        <v/>
      </c>
      <c r="BZ231">
        <f>BM231*COS(($BH231+3*($BI231-$BH231)/12))</f>
        <v/>
      </c>
      <c r="CA231">
        <f>BN231*COS(($BH231+4*($BI231-$BH231)/12))</f>
        <v/>
      </c>
      <c r="CB231">
        <f>BO231*COS(($BH231+5*($BI231-$BH231)/12))</f>
        <v/>
      </c>
      <c r="CC231">
        <f>BP231*COS(($BH231+6*($BI231-$BH231)/12))</f>
        <v/>
      </c>
      <c r="CD231">
        <f>BQ231*COS(($BH231+7*($BI231-$BH231)/12))</f>
        <v/>
      </c>
      <c r="CE231">
        <f>BR231*COS(($BH231+8*($BI231-$BH231)/12))</f>
        <v/>
      </c>
      <c r="CF231">
        <f>BS231*COS(($BH231+9*($BI231-$BH231)/12))</f>
        <v/>
      </c>
      <c r="CG231">
        <f>BT231*COS(($BH231+10*($BI231-$BH231)/12))</f>
        <v/>
      </c>
      <c r="CH231">
        <f>BU231*COS(($BH231+11*($BI231-$BH231)/12))</f>
        <v/>
      </c>
      <c r="CI231">
        <f>BV231*COS(($BH231+12*($BI231-$BH231)/12))</f>
        <v/>
      </c>
    </row>
    <row r="232">
      <c r="B232" s="65" t="n">
        <v>17</v>
      </c>
      <c r="C232" s="66">
        <f>IF($G231&lt;cc_NEd-1E-9*ABS(cc_NEd),($C231+$D231)/2,$C231)</f>
        <v/>
      </c>
      <c r="D232" s="66">
        <f>IF($G231&lt;cc_NEd-1E-9*ABS(cc_NEd),$D231,($C231+$D231)/2)</f>
        <v/>
      </c>
      <c r="E232" s="67">
        <f>cc_D*(($C232+$D232)/2)/(1-(($C232+$D232)/2))</f>
        <v/>
      </c>
      <c r="F232" s="68">
        <f>IF($E232&lt;=cc_D,3.5,2*$E232/($E232-3*cc_D/7))</f>
        <v/>
      </c>
      <c r="G232" s="67">
        <f>(fcd_cc*((cc_D/2)^2*($BI232-COS($BI232)*SIN($BI232))-2*(cc_D/2)^2*($BI232-$BH232)/12/3*SUMPRODUCT($BJ$4:$BV$4,$BJ232:$BV232))+SUMPRODUCT($J$5:$AG$5,$J232:$AG232))/1000</f>
        <v/>
      </c>
      <c r="H232" s="67">
        <f>(fcd_cc*(2/3*(cc_D/2)^3*SIN($BI232)^3-2*(cc_D/2)^3*($BI232-$BH232)/12/3*SUMPRODUCT($BW$4:$CI$4,$BW232:$CI232))+SUMPRODUCT($J$5:$AG$5,$J232:$AG232,$J$13:$AG$13))/1E6</f>
        <v/>
      </c>
      <c r="I232" s="67">
        <f>SUMPRODUCT($J$5:$AG$5,$J232:$AG232,$J$14:$AG$14)/1E6</f>
        <v/>
      </c>
      <c r="J232">
        <f>MAX(-fyd_cc,MIN(fyd_cc,Es_cc*IF($E232&lt;=cc_D,0.0035*($E232-J$12)/$E232,0.002*($E232-J$12)/($E232-3*cc_D/7))))-fcd_cc*(1-(1-MAX(0,MIN(1,IF($E232&lt;=cc_D,0.0035*($E232-J$12)/$E232,0.002*($E232-J$12)/($E232-3*cc_D/7))/0.002)))^2)</f>
        <v/>
      </c>
      <c r="K232">
        <f>MAX(-fyd_cc,MIN(fyd_cc,Es_cc*IF($E232&lt;=cc_D,0.0035*($E232-K$12)/$E232,0.002*($E232-K$12)/($E232-3*cc_D/7))))-fcd_cc*(1-(1-MAX(0,MIN(1,IF($E232&lt;=cc_D,0.0035*($E232-K$12)/$E232,0.002*($E232-K$12)/($E232-3*cc_D/7))/0.002)))^2)</f>
        <v/>
      </c>
      <c r="L232">
        <f>MAX(-fyd_cc,MIN(fyd_cc,Es_cc*IF($E232&lt;=cc_D,0.0035*($E232-L$12)/$E232,0.002*($E232-L$12)/($E232-3*cc_D/7))))-fcd_cc*(1-(1-MAX(0,MIN(1,IF($E232&lt;=cc_D,0.0035*($E232-L$12)/$E232,0.002*($E232-L$12)/($E232-3*cc_D/7))/0.002)))^2)</f>
        <v/>
      </c>
      <c r="M232">
        <f>MAX(-fyd_cc,MIN(fyd_cc,Es_cc*IF($E232&lt;=cc_D,0.0035*($E232-M$12)/$E232,0.002*($E232-M$12)/($E232-3*cc_D/7))))-fcd_cc*(1-(1-MAX(0,MIN(1,IF($E232&lt;=cc_D,0.0035*($E232-M$12)/$E232,0.002*($E232-M$12)/($E232-3*cc_D/7))/0.002)))^2)</f>
        <v/>
      </c>
      <c r="N232">
        <f>MAX(-fyd_cc,MIN(fyd_cc,Es_cc*IF($E232&lt;=cc_D,0.0035*($E232-N$12)/$E232,0.002*($E232-N$12)/($E232-3*cc_D/7))))-fcd_cc*(1-(1-MAX(0,MIN(1,IF($E232&lt;=cc_D,0.0035*($E232-N$12)/$E232,0.002*($E232-N$12)/($E232-3*cc_D/7))/0.002)))^2)</f>
        <v/>
      </c>
      <c r="O232">
        <f>MAX(-fyd_cc,MIN(fyd_cc,Es_cc*IF($E232&lt;=cc_D,0.0035*($E232-O$12)/$E232,0.002*($E232-O$12)/($E232-3*cc_D/7))))-fcd_cc*(1-(1-MAX(0,MIN(1,IF($E232&lt;=cc_D,0.0035*($E232-O$12)/$E232,0.002*($E232-O$12)/($E232-3*cc_D/7))/0.002)))^2)</f>
        <v/>
      </c>
      <c r="P232">
        <f>MAX(-fyd_cc,MIN(fyd_cc,Es_cc*IF($E232&lt;=cc_D,0.0035*($E232-P$12)/$E232,0.002*($E232-P$12)/($E232-3*cc_D/7))))-fcd_cc*(1-(1-MAX(0,MIN(1,IF($E232&lt;=cc_D,0.0035*($E232-P$12)/$E232,0.002*($E232-P$12)/($E232-3*cc_D/7))/0.002)))^2)</f>
        <v/>
      </c>
      <c r="Q232">
        <f>MAX(-fyd_cc,MIN(fyd_cc,Es_cc*IF($E232&lt;=cc_D,0.0035*($E232-Q$12)/$E232,0.002*($E232-Q$12)/($E232-3*cc_D/7))))-fcd_cc*(1-(1-MAX(0,MIN(1,IF($E232&lt;=cc_D,0.0035*($E232-Q$12)/$E232,0.002*($E232-Q$12)/($E232-3*cc_D/7))/0.002)))^2)</f>
        <v/>
      </c>
      <c r="R232">
        <f>MAX(-fyd_cc,MIN(fyd_cc,Es_cc*IF($E232&lt;=cc_D,0.0035*($E232-R$12)/$E232,0.002*($E232-R$12)/($E232-3*cc_D/7))))-fcd_cc*(1-(1-MAX(0,MIN(1,IF($E232&lt;=cc_D,0.0035*($E232-R$12)/$E232,0.002*($E232-R$12)/($E232-3*cc_D/7))/0.002)))^2)</f>
        <v/>
      </c>
      <c r="S232">
        <f>MAX(-fyd_cc,MIN(fyd_cc,Es_cc*IF($E232&lt;=cc_D,0.0035*($E232-S$12)/$E232,0.002*($E232-S$12)/($E232-3*cc_D/7))))-fcd_cc*(1-(1-MAX(0,MIN(1,IF($E232&lt;=cc_D,0.0035*($E232-S$12)/$E232,0.002*($E232-S$12)/($E232-3*cc_D/7))/0.002)))^2)</f>
        <v/>
      </c>
      <c r="T232">
        <f>MAX(-fyd_cc,MIN(fyd_cc,Es_cc*IF($E232&lt;=cc_D,0.0035*($E232-T$12)/$E232,0.002*($E232-T$12)/($E232-3*cc_D/7))))-fcd_cc*(1-(1-MAX(0,MIN(1,IF($E232&lt;=cc_D,0.0035*($E232-T$12)/$E232,0.002*($E232-T$12)/($E232-3*cc_D/7))/0.002)))^2)</f>
        <v/>
      </c>
      <c r="U232">
        <f>MAX(-fyd_cc,MIN(fyd_cc,Es_cc*IF($E232&lt;=cc_D,0.0035*($E232-U$12)/$E232,0.002*($E232-U$12)/($E232-3*cc_D/7))))-fcd_cc*(1-(1-MAX(0,MIN(1,IF($E232&lt;=cc_D,0.0035*($E232-U$12)/$E232,0.002*($E232-U$12)/($E232-3*cc_D/7))/0.002)))^2)</f>
        <v/>
      </c>
      <c r="V232">
        <f>MAX(-fyd_cc,MIN(fyd_cc,Es_cc*IF($E232&lt;=cc_D,0.0035*($E232-V$12)/$E232,0.002*($E232-V$12)/($E232-3*cc_D/7))))-fcd_cc*(1-(1-MAX(0,MIN(1,IF($E232&lt;=cc_D,0.0035*($E232-V$12)/$E232,0.002*($E232-V$12)/($E232-3*cc_D/7))/0.002)))^2)</f>
        <v/>
      </c>
      <c r="W232">
        <f>MAX(-fyd_cc,MIN(fyd_cc,Es_cc*IF($E232&lt;=cc_D,0.0035*($E232-W$12)/$E232,0.002*($E232-W$12)/($E232-3*cc_D/7))))-fcd_cc*(1-(1-MAX(0,MIN(1,IF($E232&lt;=cc_D,0.0035*($E232-W$12)/$E232,0.002*($E232-W$12)/($E232-3*cc_D/7))/0.002)))^2)</f>
        <v/>
      </c>
      <c r="X232">
        <f>MAX(-fyd_cc,MIN(fyd_cc,Es_cc*IF($E232&lt;=cc_D,0.0035*($E232-X$12)/$E232,0.002*($E232-X$12)/($E232-3*cc_D/7))))-fcd_cc*(1-(1-MAX(0,MIN(1,IF($E232&lt;=cc_D,0.0035*($E232-X$12)/$E232,0.002*($E232-X$12)/($E232-3*cc_D/7))/0.002)))^2)</f>
        <v/>
      </c>
      <c r="Y232">
        <f>MAX(-fyd_cc,MIN(fyd_cc,Es_cc*IF($E232&lt;=cc_D,0.0035*($E232-Y$12)/$E232,0.002*($E232-Y$12)/($E232-3*cc_D/7))))-fcd_cc*(1-(1-MAX(0,MIN(1,IF($E232&lt;=cc_D,0.0035*($E232-Y$12)/$E232,0.002*($E232-Y$12)/($E232-3*cc_D/7))/0.002)))^2)</f>
        <v/>
      </c>
      <c r="Z232">
        <f>MAX(-fyd_cc,MIN(fyd_cc,Es_cc*IF($E232&lt;=cc_D,0.0035*($E232-Z$12)/$E232,0.002*($E232-Z$12)/($E232-3*cc_D/7))))-fcd_cc*(1-(1-MAX(0,MIN(1,IF($E232&lt;=cc_D,0.0035*($E232-Z$12)/$E232,0.002*($E232-Z$12)/($E232-3*cc_D/7))/0.002)))^2)</f>
        <v/>
      </c>
      <c r="AA232">
        <f>MAX(-fyd_cc,MIN(fyd_cc,Es_cc*IF($E232&lt;=cc_D,0.0035*($E232-AA$12)/$E232,0.002*($E232-AA$12)/($E232-3*cc_D/7))))-fcd_cc*(1-(1-MAX(0,MIN(1,IF($E232&lt;=cc_D,0.0035*($E232-AA$12)/$E232,0.002*($E232-AA$12)/($E232-3*cc_D/7))/0.002)))^2)</f>
        <v/>
      </c>
      <c r="AB232">
        <f>MAX(-fyd_cc,MIN(fyd_cc,Es_cc*IF($E232&lt;=cc_D,0.0035*($E232-AB$12)/$E232,0.002*($E232-AB$12)/($E232-3*cc_D/7))))-fcd_cc*(1-(1-MAX(0,MIN(1,IF($E232&lt;=cc_D,0.0035*($E232-AB$12)/$E232,0.002*($E232-AB$12)/($E232-3*cc_D/7))/0.002)))^2)</f>
        <v/>
      </c>
      <c r="AC232">
        <f>MAX(-fyd_cc,MIN(fyd_cc,Es_cc*IF($E232&lt;=cc_D,0.0035*($E232-AC$12)/$E232,0.002*($E232-AC$12)/($E232-3*cc_D/7))))-fcd_cc*(1-(1-MAX(0,MIN(1,IF($E232&lt;=cc_D,0.0035*($E232-AC$12)/$E232,0.002*($E232-AC$12)/($E232-3*cc_D/7))/0.002)))^2)</f>
        <v/>
      </c>
      <c r="AD232">
        <f>MAX(-fyd_cc,MIN(fyd_cc,Es_cc*IF($E232&lt;=cc_D,0.0035*($E232-AD$12)/$E232,0.002*($E232-AD$12)/($E232-3*cc_D/7))))-fcd_cc*(1-(1-MAX(0,MIN(1,IF($E232&lt;=cc_D,0.0035*($E232-AD$12)/$E232,0.002*($E232-AD$12)/($E232-3*cc_D/7))/0.002)))^2)</f>
        <v/>
      </c>
      <c r="AE232">
        <f>MAX(-fyd_cc,MIN(fyd_cc,Es_cc*IF($E232&lt;=cc_D,0.0035*($E232-AE$12)/$E232,0.002*($E232-AE$12)/($E232-3*cc_D/7))))-fcd_cc*(1-(1-MAX(0,MIN(1,IF($E232&lt;=cc_D,0.0035*($E232-AE$12)/$E232,0.002*($E232-AE$12)/($E232-3*cc_D/7))/0.002)))^2)</f>
        <v/>
      </c>
      <c r="AF232">
        <f>MAX(-fyd_cc,MIN(fyd_cc,Es_cc*IF($E232&lt;=cc_D,0.0035*($E232-AF$12)/$E232,0.002*($E232-AF$12)/($E232-3*cc_D/7))))-fcd_cc*(1-(1-MAX(0,MIN(1,IF($E232&lt;=cc_D,0.0035*($E232-AF$12)/$E232,0.002*($E232-AF$12)/($E232-3*cc_D/7))/0.002)))^2)</f>
        <v/>
      </c>
      <c r="AG232">
        <f>MAX(-fyd_cc,MIN(fyd_cc,Es_cc*IF($E232&lt;=cc_D,0.0035*($E232-AG$12)/$E232,0.002*($E232-AG$12)/($E232-3*cc_D/7))))-fcd_cc*(1-(1-MAX(0,MIN(1,IF($E232&lt;=cc_D,0.0035*($E232-AG$12)/$E232,0.002*($E232-AG$12)/($E232-3*cc_D/7))/0.002)))^2)</f>
        <v/>
      </c>
      <c r="BF232">
        <f>3*MIN($E232,cc_D)/7</f>
        <v/>
      </c>
      <c r="BG232">
        <f>$E232-$BF232</f>
        <v/>
      </c>
      <c r="BH232">
        <f>ACOS(MAX(-1,MIN(1,1-$BF232/(cc_D/2))))</f>
        <v/>
      </c>
      <c r="BI232">
        <f>ACOS(MAX(-1,MIN(1,1-MIN($E232,cc_D)/(cc_D/2))))</f>
        <v/>
      </c>
      <c r="BJ232">
        <f>((cc_D/2*(1-COS(($BH232+0*($BI232-$BH232)/12)))-$BF232)/$BG232)^2*SIN(($BH232+0*($BI232-$BH232)/12))^2</f>
        <v/>
      </c>
      <c r="BK232">
        <f>((cc_D/2*(1-COS(($BH232+1*($BI232-$BH232)/12)))-$BF232)/$BG232)^2*SIN(($BH232+1*($BI232-$BH232)/12))^2</f>
        <v/>
      </c>
      <c r="BL232">
        <f>((cc_D/2*(1-COS(($BH232+2*($BI232-$BH232)/12)))-$BF232)/$BG232)^2*SIN(($BH232+2*($BI232-$BH232)/12))^2</f>
        <v/>
      </c>
      <c r="BM232">
        <f>((cc_D/2*(1-COS(($BH232+3*($BI232-$BH232)/12)))-$BF232)/$BG232)^2*SIN(($BH232+3*($BI232-$BH232)/12))^2</f>
        <v/>
      </c>
      <c r="BN232">
        <f>((cc_D/2*(1-COS(($BH232+4*($BI232-$BH232)/12)))-$BF232)/$BG232)^2*SIN(($BH232+4*($BI232-$BH232)/12))^2</f>
        <v/>
      </c>
      <c r="BO232">
        <f>((cc_D/2*(1-COS(($BH232+5*($BI232-$BH232)/12)))-$BF232)/$BG232)^2*SIN(($BH232+5*($BI232-$BH232)/12))^2</f>
        <v/>
      </c>
      <c r="BP232">
        <f>((cc_D/2*(1-COS(($BH232+6*($BI232-$BH232)/12)))-$BF232)/$BG232)^2*SIN(($BH232+6*($BI232-$BH232)/12))^2</f>
        <v/>
      </c>
      <c r="BQ232">
        <f>((cc_D/2*(1-COS(($BH232+7*($BI232-$BH232)/12)))-$BF232)/$BG232)^2*SIN(($BH232+7*($BI232-$BH232)/12))^2</f>
        <v/>
      </c>
      <c r="BR232">
        <f>((cc_D/2*(1-COS(($BH232+8*($BI232-$BH232)/12)))-$BF232)/$BG232)^2*SIN(($BH232+8*($BI232-$BH232)/12))^2</f>
        <v/>
      </c>
      <c r="BS232">
        <f>((cc_D/2*(1-COS(($BH232+9*($BI232-$BH232)/12)))-$BF232)/$BG232)^2*SIN(($BH232+9*($BI232-$BH232)/12))^2</f>
        <v/>
      </c>
      <c r="BT232">
        <f>((cc_D/2*(1-COS(($BH232+10*($BI232-$BH232)/12)))-$BF232)/$BG232)^2*SIN(($BH232+10*($BI232-$BH232)/12))^2</f>
        <v/>
      </c>
      <c r="BU232">
        <f>((cc_D/2*(1-COS(($BH232+11*($BI232-$BH232)/12)))-$BF232)/$BG232)^2*SIN(($BH232+11*($BI232-$BH232)/12))^2</f>
        <v/>
      </c>
      <c r="BV232">
        <f>((cc_D/2*(1-COS(($BH232+12*($BI232-$BH232)/12)))-$BF232)/$BG232)^2*SIN(($BH232+12*($BI232-$BH232)/12))^2</f>
        <v/>
      </c>
      <c r="BW232">
        <f>BJ232*COS(($BH232+0*($BI232-$BH232)/12))</f>
        <v/>
      </c>
      <c r="BX232">
        <f>BK232*COS(($BH232+1*($BI232-$BH232)/12))</f>
        <v/>
      </c>
      <c r="BY232">
        <f>BL232*COS(($BH232+2*($BI232-$BH232)/12))</f>
        <v/>
      </c>
      <c r="BZ232">
        <f>BM232*COS(($BH232+3*($BI232-$BH232)/12))</f>
        <v/>
      </c>
      <c r="CA232">
        <f>BN232*COS(($BH232+4*($BI232-$BH232)/12))</f>
        <v/>
      </c>
      <c r="CB232">
        <f>BO232*COS(($BH232+5*($BI232-$BH232)/12))</f>
        <v/>
      </c>
      <c r="CC232">
        <f>BP232*COS(($BH232+6*($BI232-$BH232)/12))</f>
        <v/>
      </c>
      <c r="CD232">
        <f>BQ232*COS(($BH232+7*($BI232-$BH232)/12))</f>
        <v/>
      </c>
      <c r="CE232">
        <f>BR232*COS(($BH232+8*($BI232-$BH232)/12))</f>
        <v/>
      </c>
      <c r="CF232">
        <f>BS232*COS(($BH232+9*($BI232-$BH232)/12))</f>
        <v/>
      </c>
      <c r="CG232">
        <f>BT232*COS(($BH232+10*($BI232-$BH232)/12))</f>
        <v/>
      </c>
      <c r="CH232">
        <f>BU232*COS(($BH232+11*($BI232-$BH232)/12))</f>
        <v/>
      </c>
      <c r="CI232">
        <f>BV232*COS(($BH232+12*($BI232-$BH232)/12))</f>
        <v/>
      </c>
    </row>
    <row r="233">
      <c r="B233" s="65" t="n">
        <v>18</v>
      </c>
      <c r="C233" s="66">
        <f>IF($G232&lt;cc_NEd-1E-9*ABS(cc_NEd),($C232+$D232)/2,$C232)</f>
        <v/>
      </c>
      <c r="D233" s="66">
        <f>IF($G232&lt;cc_NEd-1E-9*ABS(cc_NEd),$D232,($C232+$D232)/2)</f>
        <v/>
      </c>
      <c r="E233" s="67">
        <f>cc_D*(($C233+$D233)/2)/(1-(($C233+$D233)/2))</f>
        <v/>
      </c>
      <c r="F233" s="68">
        <f>IF($E233&lt;=cc_D,3.5,2*$E233/($E233-3*cc_D/7))</f>
        <v/>
      </c>
      <c r="G233" s="67">
        <f>(fcd_cc*((cc_D/2)^2*($BI233-COS($BI233)*SIN($BI233))-2*(cc_D/2)^2*($BI233-$BH233)/12/3*SUMPRODUCT($BJ$4:$BV$4,$BJ233:$BV233))+SUMPRODUCT($J$5:$AG$5,$J233:$AG233))/1000</f>
        <v/>
      </c>
      <c r="H233" s="67">
        <f>(fcd_cc*(2/3*(cc_D/2)^3*SIN($BI233)^3-2*(cc_D/2)^3*($BI233-$BH233)/12/3*SUMPRODUCT($BW$4:$CI$4,$BW233:$CI233))+SUMPRODUCT($J$5:$AG$5,$J233:$AG233,$J$13:$AG$13))/1E6</f>
        <v/>
      </c>
      <c r="I233" s="67">
        <f>SUMPRODUCT($J$5:$AG$5,$J233:$AG233,$J$14:$AG$14)/1E6</f>
        <v/>
      </c>
      <c r="J233">
        <f>MAX(-fyd_cc,MIN(fyd_cc,Es_cc*IF($E233&lt;=cc_D,0.0035*($E233-J$12)/$E233,0.002*($E233-J$12)/($E233-3*cc_D/7))))-fcd_cc*(1-(1-MAX(0,MIN(1,IF($E233&lt;=cc_D,0.0035*($E233-J$12)/$E233,0.002*($E233-J$12)/($E233-3*cc_D/7))/0.002)))^2)</f>
        <v/>
      </c>
      <c r="K233">
        <f>MAX(-fyd_cc,MIN(fyd_cc,Es_cc*IF($E233&lt;=cc_D,0.0035*($E233-K$12)/$E233,0.002*($E233-K$12)/($E233-3*cc_D/7))))-fcd_cc*(1-(1-MAX(0,MIN(1,IF($E233&lt;=cc_D,0.0035*($E233-K$12)/$E233,0.002*($E233-K$12)/($E233-3*cc_D/7))/0.002)))^2)</f>
        <v/>
      </c>
      <c r="L233">
        <f>MAX(-fyd_cc,MIN(fyd_cc,Es_cc*IF($E233&lt;=cc_D,0.0035*($E233-L$12)/$E233,0.002*($E233-L$12)/($E233-3*cc_D/7))))-fcd_cc*(1-(1-MAX(0,MIN(1,IF($E233&lt;=cc_D,0.0035*($E233-L$12)/$E233,0.002*($E233-L$12)/($E233-3*cc_D/7))/0.002)))^2)</f>
        <v/>
      </c>
      <c r="M233">
        <f>MAX(-fyd_cc,MIN(fyd_cc,Es_cc*IF($E233&lt;=cc_D,0.0035*($E233-M$12)/$E233,0.002*($E233-M$12)/($E233-3*cc_D/7))))-fcd_cc*(1-(1-MAX(0,MIN(1,IF($E233&lt;=cc_D,0.0035*($E233-M$12)/$E233,0.002*($E233-M$12)/($E233-3*cc_D/7))/0.002)))^2)</f>
        <v/>
      </c>
      <c r="N233">
        <f>MAX(-fyd_cc,MIN(fyd_cc,Es_cc*IF($E233&lt;=cc_D,0.0035*($E233-N$12)/$E233,0.002*($E233-N$12)/($E233-3*cc_D/7))))-fcd_cc*(1-(1-MAX(0,MIN(1,IF($E233&lt;=cc_D,0.0035*($E233-N$12)/$E233,0.002*($E233-N$12)/($E233-3*cc_D/7))/0.002)))^2)</f>
        <v/>
      </c>
      <c r="O233">
        <f>MAX(-fyd_cc,MIN(fyd_cc,Es_cc*IF($E233&lt;=cc_D,0.0035*($E233-O$12)/$E233,0.002*($E233-O$12)/($E233-3*cc_D/7))))-fcd_cc*(1-(1-MAX(0,MIN(1,IF($E233&lt;=cc_D,0.0035*($E233-O$12)/$E233,0.002*($E233-O$12)/($E233-3*cc_D/7))/0.002)))^2)</f>
        <v/>
      </c>
      <c r="P233">
        <f>MAX(-fyd_cc,MIN(fyd_cc,Es_cc*IF($E233&lt;=cc_D,0.0035*($E233-P$12)/$E233,0.002*($E233-P$12)/($E233-3*cc_D/7))))-fcd_cc*(1-(1-MAX(0,MIN(1,IF($E233&lt;=cc_D,0.0035*($E233-P$12)/$E233,0.002*($E233-P$12)/($E233-3*cc_D/7))/0.002)))^2)</f>
        <v/>
      </c>
      <c r="Q233">
        <f>MAX(-fyd_cc,MIN(fyd_cc,Es_cc*IF($E233&lt;=cc_D,0.0035*($E233-Q$12)/$E233,0.002*($E233-Q$12)/($E233-3*cc_D/7))))-fcd_cc*(1-(1-MAX(0,MIN(1,IF($E233&lt;=cc_D,0.0035*($E233-Q$12)/$E233,0.002*($E233-Q$12)/($E233-3*cc_D/7))/0.002)))^2)</f>
        <v/>
      </c>
      <c r="R233">
        <f>MAX(-fyd_cc,MIN(fyd_cc,Es_cc*IF($E233&lt;=cc_D,0.0035*($E233-R$12)/$E233,0.002*($E233-R$12)/($E233-3*cc_D/7))))-fcd_cc*(1-(1-MAX(0,MIN(1,IF($E233&lt;=cc_D,0.0035*($E233-R$12)/$E233,0.002*($E233-R$12)/($E233-3*cc_D/7))/0.002)))^2)</f>
        <v/>
      </c>
      <c r="S233">
        <f>MAX(-fyd_cc,MIN(fyd_cc,Es_cc*IF($E233&lt;=cc_D,0.0035*($E233-S$12)/$E233,0.002*($E233-S$12)/($E233-3*cc_D/7))))-fcd_cc*(1-(1-MAX(0,MIN(1,IF($E233&lt;=cc_D,0.0035*($E233-S$12)/$E233,0.002*($E233-S$12)/($E233-3*cc_D/7))/0.002)))^2)</f>
        <v/>
      </c>
      <c r="T233">
        <f>MAX(-fyd_cc,MIN(fyd_cc,Es_cc*IF($E233&lt;=cc_D,0.0035*($E233-T$12)/$E233,0.002*($E233-T$12)/($E233-3*cc_D/7))))-fcd_cc*(1-(1-MAX(0,MIN(1,IF($E233&lt;=cc_D,0.0035*($E233-T$12)/$E233,0.002*($E233-T$12)/($E233-3*cc_D/7))/0.002)))^2)</f>
        <v/>
      </c>
      <c r="U233">
        <f>MAX(-fyd_cc,MIN(fyd_cc,Es_cc*IF($E233&lt;=cc_D,0.0035*($E233-U$12)/$E233,0.002*($E233-U$12)/($E233-3*cc_D/7))))-fcd_cc*(1-(1-MAX(0,MIN(1,IF($E233&lt;=cc_D,0.0035*($E233-U$12)/$E233,0.002*($E233-U$12)/($E233-3*cc_D/7))/0.002)))^2)</f>
        <v/>
      </c>
      <c r="V233">
        <f>MAX(-fyd_cc,MIN(fyd_cc,Es_cc*IF($E233&lt;=cc_D,0.0035*($E233-V$12)/$E233,0.002*($E233-V$12)/($E233-3*cc_D/7))))-fcd_cc*(1-(1-MAX(0,MIN(1,IF($E233&lt;=cc_D,0.0035*($E233-V$12)/$E233,0.002*($E233-V$12)/($E233-3*cc_D/7))/0.002)))^2)</f>
        <v/>
      </c>
      <c r="W233">
        <f>MAX(-fyd_cc,MIN(fyd_cc,Es_cc*IF($E233&lt;=cc_D,0.0035*($E233-W$12)/$E233,0.002*($E233-W$12)/($E233-3*cc_D/7))))-fcd_cc*(1-(1-MAX(0,MIN(1,IF($E233&lt;=cc_D,0.0035*($E233-W$12)/$E233,0.002*($E233-W$12)/($E233-3*cc_D/7))/0.002)))^2)</f>
        <v/>
      </c>
      <c r="X233">
        <f>MAX(-fyd_cc,MIN(fyd_cc,Es_cc*IF($E233&lt;=cc_D,0.0035*($E233-X$12)/$E233,0.002*($E233-X$12)/($E233-3*cc_D/7))))-fcd_cc*(1-(1-MAX(0,MIN(1,IF($E233&lt;=cc_D,0.0035*($E233-X$12)/$E233,0.002*($E233-X$12)/($E233-3*cc_D/7))/0.002)))^2)</f>
        <v/>
      </c>
      <c r="Y233">
        <f>MAX(-fyd_cc,MIN(fyd_cc,Es_cc*IF($E233&lt;=cc_D,0.0035*($E233-Y$12)/$E233,0.002*($E233-Y$12)/($E233-3*cc_D/7))))-fcd_cc*(1-(1-MAX(0,MIN(1,IF($E233&lt;=cc_D,0.0035*($E233-Y$12)/$E233,0.002*($E233-Y$12)/($E233-3*cc_D/7))/0.002)))^2)</f>
        <v/>
      </c>
      <c r="Z233">
        <f>MAX(-fyd_cc,MIN(fyd_cc,Es_cc*IF($E233&lt;=cc_D,0.0035*($E233-Z$12)/$E233,0.002*($E233-Z$12)/($E233-3*cc_D/7))))-fcd_cc*(1-(1-MAX(0,MIN(1,IF($E233&lt;=cc_D,0.0035*($E233-Z$12)/$E233,0.002*($E233-Z$12)/($E233-3*cc_D/7))/0.002)))^2)</f>
        <v/>
      </c>
      <c r="AA233">
        <f>MAX(-fyd_cc,MIN(fyd_cc,Es_cc*IF($E233&lt;=cc_D,0.0035*($E233-AA$12)/$E233,0.002*($E233-AA$12)/($E233-3*cc_D/7))))-fcd_cc*(1-(1-MAX(0,MIN(1,IF($E233&lt;=cc_D,0.0035*($E233-AA$12)/$E233,0.002*($E233-AA$12)/($E233-3*cc_D/7))/0.002)))^2)</f>
        <v/>
      </c>
      <c r="AB233">
        <f>MAX(-fyd_cc,MIN(fyd_cc,Es_cc*IF($E233&lt;=cc_D,0.0035*($E233-AB$12)/$E233,0.002*($E233-AB$12)/($E233-3*cc_D/7))))-fcd_cc*(1-(1-MAX(0,MIN(1,IF($E233&lt;=cc_D,0.0035*($E233-AB$12)/$E233,0.002*($E233-AB$12)/($E233-3*cc_D/7))/0.002)))^2)</f>
        <v/>
      </c>
      <c r="AC233">
        <f>MAX(-fyd_cc,MIN(fyd_cc,Es_cc*IF($E233&lt;=cc_D,0.0035*($E233-AC$12)/$E233,0.002*($E233-AC$12)/($E233-3*cc_D/7))))-fcd_cc*(1-(1-MAX(0,MIN(1,IF($E233&lt;=cc_D,0.0035*($E233-AC$12)/$E233,0.002*($E233-AC$12)/($E233-3*cc_D/7))/0.002)))^2)</f>
        <v/>
      </c>
      <c r="AD233">
        <f>MAX(-fyd_cc,MIN(fyd_cc,Es_cc*IF($E233&lt;=cc_D,0.0035*($E233-AD$12)/$E233,0.002*($E233-AD$12)/($E233-3*cc_D/7))))-fcd_cc*(1-(1-MAX(0,MIN(1,IF($E233&lt;=cc_D,0.0035*($E233-AD$12)/$E233,0.002*($E233-AD$12)/($E233-3*cc_D/7))/0.002)))^2)</f>
        <v/>
      </c>
      <c r="AE233">
        <f>MAX(-fyd_cc,MIN(fyd_cc,Es_cc*IF($E233&lt;=cc_D,0.0035*($E233-AE$12)/$E233,0.002*($E233-AE$12)/($E233-3*cc_D/7))))-fcd_cc*(1-(1-MAX(0,MIN(1,IF($E233&lt;=cc_D,0.0035*($E233-AE$12)/$E233,0.002*($E233-AE$12)/($E233-3*cc_D/7))/0.002)))^2)</f>
        <v/>
      </c>
      <c r="AF233">
        <f>MAX(-fyd_cc,MIN(fyd_cc,Es_cc*IF($E233&lt;=cc_D,0.0035*($E233-AF$12)/$E233,0.002*($E233-AF$12)/($E233-3*cc_D/7))))-fcd_cc*(1-(1-MAX(0,MIN(1,IF($E233&lt;=cc_D,0.0035*($E233-AF$12)/$E233,0.002*($E233-AF$12)/($E233-3*cc_D/7))/0.002)))^2)</f>
        <v/>
      </c>
      <c r="AG233">
        <f>MAX(-fyd_cc,MIN(fyd_cc,Es_cc*IF($E233&lt;=cc_D,0.0035*($E233-AG$12)/$E233,0.002*($E233-AG$12)/($E233-3*cc_D/7))))-fcd_cc*(1-(1-MAX(0,MIN(1,IF($E233&lt;=cc_D,0.0035*($E233-AG$12)/$E233,0.002*($E233-AG$12)/($E233-3*cc_D/7))/0.002)))^2)</f>
        <v/>
      </c>
      <c r="BF233">
        <f>3*MIN($E233,cc_D)/7</f>
        <v/>
      </c>
      <c r="BG233">
        <f>$E233-$BF233</f>
        <v/>
      </c>
      <c r="BH233">
        <f>ACOS(MAX(-1,MIN(1,1-$BF233/(cc_D/2))))</f>
        <v/>
      </c>
      <c r="BI233">
        <f>ACOS(MAX(-1,MIN(1,1-MIN($E233,cc_D)/(cc_D/2))))</f>
        <v/>
      </c>
      <c r="BJ233">
        <f>((cc_D/2*(1-COS(($BH233+0*($BI233-$BH233)/12)))-$BF233)/$BG233)^2*SIN(($BH233+0*($BI233-$BH233)/12))^2</f>
        <v/>
      </c>
      <c r="BK233">
        <f>((cc_D/2*(1-COS(($BH233+1*($BI233-$BH233)/12)))-$BF233)/$BG233)^2*SIN(($BH233+1*($BI233-$BH233)/12))^2</f>
        <v/>
      </c>
      <c r="BL233">
        <f>((cc_D/2*(1-COS(($BH233+2*($BI233-$BH233)/12)))-$BF233)/$BG233)^2*SIN(($BH233+2*($BI233-$BH233)/12))^2</f>
        <v/>
      </c>
      <c r="BM233">
        <f>((cc_D/2*(1-COS(($BH233+3*($BI233-$BH233)/12)))-$BF233)/$BG233)^2*SIN(($BH233+3*($BI233-$BH233)/12))^2</f>
        <v/>
      </c>
      <c r="BN233">
        <f>((cc_D/2*(1-COS(($BH233+4*($BI233-$BH233)/12)))-$BF233)/$BG233)^2*SIN(($BH233+4*($BI233-$BH233)/12))^2</f>
        <v/>
      </c>
      <c r="BO233">
        <f>((cc_D/2*(1-COS(($BH233+5*($BI233-$BH233)/12)))-$BF233)/$BG233)^2*SIN(($BH233+5*($BI233-$BH233)/12))^2</f>
        <v/>
      </c>
      <c r="BP233">
        <f>((cc_D/2*(1-COS(($BH233+6*($BI233-$BH233)/12)))-$BF233)/$BG233)^2*SIN(($BH233+6*($BI233-$BH233)/12))^2</f>
        <v/>
      </c>
      <c r="BQ233">
        <f>((cc_D/2*(1-COS(($BH233+7*($BI233-$BH233)/12)))-$BF233)/$BG233)^2*SIN(($BH233+7*($BI233-$BH233)/12))^2</f>
        <v/>
      </c>
      <c r="BR233">
        <f>((cc_D/2*(1-COS(($BH233+8*($BI233-$BH233)/12)))-$BF233)/$BG233)^2*SIN(($BH233+8*($BI233-$BH233)/12))^2</f>
        <v/>
      </c>
      <c r="BS233">
        <f>((cc_D/2*(1-COS(($BH233+9*($BI233-$BH233)/12)))-$BF233)/$BG233)^2*SIN(($BH233+9*($BI233-$BH233)/12))^2</f>
        <v/>
      </c>
      <c r="BT233">
        <f>((cc_D/2*(1-COS(($BH233+10*($BI233-$BH233)/12)))-$BF233)/$BG233)^2*SIN(($BH233+10*($BI233-$BH233)/12))^2</f>
        <v/>
      </c>
      <c r="BU233">
        <f>((cc_D/2*(1-COS(($BH233+11*($BI233-$BH233)/12)))-$BF233)/$BG233)^2*SIN(($BH233+11*($BI233-$BH233)/12))^2</f>
        <v/>
      </c>
      <c r="BV233">
        <f>((cc_D/2*(1-COS(($BH233+12*($BI233-$BH233)/12)))-$BF233)/$BG233)^2*SIN(($BH233+12*($BI233-$BH233)/12))^2</f>
        <v/>
      </c>
      <c r="BW233">
        <f>BJ233*COS(($BH233+0*($BI233-$BH233)/12))</f>
        <v/>
      </c>
      <c r="BX233">
        <f>BK233*COS(($BH233+1*($BI233-$BH233)/12))</f>
        <v/>
      </c>
      <c r="BY233">
        <f>BL233*COS(($BH233+2*($BI233-$BH233)/12))</f>
        <v/>
      </c>
      <c r="BZ233">
        <f>BM233*COS(($BH233+3*($BI233-$BH233)/12))</f>
        <v/>
      </c>
      <c r="CA233">
        <f>BN233*COS(($BH233+4*($BI233-$BH233)/12))</f>
        <v/>
      </c>
      <c r="CB233">
        <f>BO233*COS(($BH233+5*($BI233-$BH233)/12))</f>
        <v/>
      </c>
      <c r="CC233">
        <f>BP233*COS(($BH233+6*($BI233-$BH233)/12))</f>
        <v/>
      </c>
      <c r="CD233">
        <f>BQ233*COS(($BH233+7*($BI233-$BH233)/12))</f>
        <v/>
      </c>
      <c r="CE233">
        <f>BR233*COS(($BH233+8*($BI233-$BH233)/12))</f>
        <v/>
      </c>
      <c r="CF233">
        <f>BS233*COS(($BH233+9*($BI233-$BH233)/12))</f>
        <v/>
      </c>
      <c r="CG233">
        <f>BT233*COS(($BH233+10*($BI233-$BH233)/12))</f>
        <v/>
      </c>
      <c r="CH233">
        <f>BU233*COS(($BH233+11*($BI233-$BH233)/12))</f>
        <v/>
      </c>
      <c r="CI233">
        <f>BV233*COS(($BH233+12*($BI233-$BH233)/12))</f>
        <v/>
      </c>
    </row>
    <row r="234">
      <c r="B234" s="65" t="n">
        <v>19</v>
      </c>
      <c r="C234" s="66">
        <f>IF($G233&lt;cc_NEd-1E-9*ABS(cc_NEd),($C233+$D233)/2,$C233)</f>
        <v/>
      </c>
      <c r="D234" s="66">
        <f>IF($G233&lt;cc_NEd-1E-9*ABS(cc_NEd),$D233,($C233+$D233)/2)</f>
        <v/>
      </c>
      <c r="E234" s="67">
        <f>cc_D*(($C234+$D234)/2)/(1-(($C234+$D234)/2))</f>
        <v/>
      </c>
      <c r="F234" s="68">
        <f>IF($E234&lt;=cc_D,3.5,2*$E234/($E234-3*cc_D/7))</f>
        <v/>
      </c>
      <c r="G234" s="67">
        <f>(fcd_cc*((cc_D/2)^2*($BI234-COS($BI234)*SIN($BI234))-2*(cc_D/2)^2*($BI234-$BH234)/12/3*SUMPRODUCT($BJ$4:$BV$4,$BJ234:$BV234))+SUMPRODUCT($J$5:$AG$5,$J234:$AG234))/1000</f>
        <v/>
      </c>
      <c r="H234" s="67">
        <f>(fcd_cc*(2/3*(cc_D/2)^3*SIN($BI234)^3-2*(cc_D/2)^3*($BI234-$BH234)/12/3*SUMPRODUCT($BW$4:$CI$4,$BW234:$CI234))+SUMPRODUCT($J$5:$AG$5,$J234:$AG234,$J$13:$AG$13))/1E6</f>
        <v/>
      </c>
      <c r="I234" s="67">
        <f>SUMPRODUCT($J$5:$AG$5,$J234:$AG234,$J$14:$AG$14)/1E6</f>
        <v/>
      </c>
      <c r="J234">
        <f>MAX(-fyd_cc,MIN(fyd_cc,Es_cc*IF($E234&lt;=cc_D,0.0035*($E234-J$12)/$E234,0.002*($E234-J$12)/($E234-3*cc_D/7))))-fcd_cc*(1-(1-MAX(0,MIN(1,IF($E234&lt;=cc_D,0.0035*($E234-J$12)/$E234,0.002*($E234-J$12)/($E234-3*cc_D/7))/0.002)))^2)</f>
        <v/>
      </c>
      <c r="K234">
        <f>MAX(-fyd_cc,MIN(fyd_cc,Es_cc*IF($E234&lt;=cc_D,0.0035*($E234-K$12)/$E234,0.002*($E234-K$12)/($E234-3*cc_D/7))))-fcd_cc*(1-(1-MAX(0,MIN(1,IF($E234&lt;=cc_D,0.0035*($E234-K$12)/$E234,0.002*($E234-K$12)/($E234-3*cc_D/7))/0.002)))^2)</f>
        <v/>
      </c>
      <c r="L234">
        <f>MAX(-fyd_cc,MIN(fyd_cc,Es_cc*IF($E234&lt;=cc_D,0.0035*($E234-L$12)/$E234,0.002*($E234-L$12)/($E234-3*cc_D/7))))-fcd_cc*(1-(1-MAX(0,MIN(1,IF($E234&lt;=cc_D,0.0035*($E234-L$12)/$E234,0.002*($E234-L$12)/($E234-3*cc_D/7))/0.002)))^2)</f>
        <v/>
      </c>
      <c r="M234">
        <f>MAX(-fyd_cc,MIN(fyd_cc,Es_cc*IF($E234&lt;=cc_D,0.0035*($E234-M$12)/$E234,0.002*($E234-M$12)/($E234-3*cc_D/7))))-fcd_cc*(1-(1-MAX(0,MIN(1,IF($E234&lt;=cc_D,0.0035*($E234-M$12)/$E234,0.002*($E234-M$12)/($E234-3*cc_D/7))/0.002)))^2)</f>
        <v/>
      </c>
      <c r="N234">
        <f>MAX(-fyd_cc,MIN(fyd_cc,Es_cc*IF($E234&lt;=cc_D,0.0035*($E234-N$12)/$E234,0.002*($E234-N$12)/($E234-3*cc_D/7))))-fcd_cc*(1-(1-MAX(0,MIN(1,IF($E234&lt;=cc_D,0.0035*($E234-N$12)/$E234,0.002*($E234-N$12)/($E234-3*cc_D/7))/0.002)))^2)</f>
        <v/>
      </c>
      <c r="O234">
        <f>MAX(-fyd_cc,MIN(fyd_cc,Es_cc*IF($E234&lt;=cc_D,0.0035*($E234-O$12)/$E234,0.002*($E234-O$12)/($E234-3*cc_D/7))))-fcd_cc*(1-(1-MAX(0,MIN(1,IF($E234&lt;=cc_D,0.0035*($E234-O$12)/$E234,0.002*($E234-O$12)/($E234-3*cc_D/7))/0.002)))^2)</f>
        <v/>
      </c>
      <c r="P234">
        <f>MAX(-fyd_cc,MIN(fyd_cc,Es_cc*IF($E234&lt;=cc_D,0.0035*($E234-P$12)/$E234,0.002*($E234-P$12)/($E234-3*cc_D/7))))-fcd_cc*(1-(1-MAX(0,MIN(1,IF($E234&lt;=cc_D,0.0035*($E234-P$12)/$E234,0.002*($E234-P$12)/($E234-3*cc_D/7))/0.002)))^2)</f>
        <v/>
      </c>
      <c r="Q234">
        <f>MAX(-fyd_cc,MIN(fyd_cc,Es_cc*IF($E234&lt;=cc_D,0.0035*($E234-Q$12)/$E234,0.002*($E234-Q$12)/($E234-3*cc_D/7))))-fcd_cc*(1-(1-MAX(0,MIN(1,IF($E234&lt;=cc_D,0.0035*($E234-Q$12)/$E234,0.002*($E234-Q$12)/($E234-3*cc_D/7))/0.002)))^2)</f>
        <v/>
      </c>
      <c r="R234">
        <f>MAX(-fyd_cc,MIN(fyd_cc,Es_cc*IF($E234&lt;=cc_D,0.0035*($E234-R$12)/$E234,0.002*($E234-R$12)/($E234-3*cc_D/7))))-fcd_cc*(1-(1-MAX(0,MIN(1,IF($E234&lt;=cc_D,0.0035*($E234-R$12)/$E234,0.002*($E234-R$12)/($E234-3*cc_D/7))/0.002)))^2)</f>
        <v/>
      </c>
      <c r="S234">
        <f>MAX(-fyd_cc,MIN(fyd_cc,Es_cc*IF($E234&lt;=cc_D,0.0035*($E234-S$12)/$E234,0.002*($E234-S$12)/($E234-3*cc_D/7))))-fcd_cc*(1-(1-MAX(0,MIN(1,IF($E234&lt;=cc_D,0.0035*($E234-S$12)/$E234,0.002*($E234-S$12)/($E234-3*cc_D/7))/0.002)))^2)</f>
        <v/>
      </c>
      <c r="T234">
        <f>MAX(-fyd_cc,MIN(fyd_cc,Es_cc*IF($E234&lt;=cc_D,0.0035*($E234-T$12)/$E234,0.002*($E234-T$12)/($E234-3*cc_D/7))))-fcd_cc*(1-(1-MAX(0,MIN(1,IF($E234&lt;=cc_D,0.0035*($E234-T$12)/$E234,0.002*($E234-T$12)/($E234-3*cc_D/7))/0.002)))^2)</f>
        <v/>
      </c>
      <c r="U234">
        <f>MAX(-fyd_cc,MIN(fyd_cc,Es_cc*IF($E234&lt;=cc_D,0.0035*($E234-U$12)/$E234,0.002*($E234-U$12)/($E234-3*cc_D/7))))-fcd_cc*(1-(1-MAX(0,MIN(1,IF($E234&lt;=cc_D,0.0035*($E234-U$12)/$E234,0.002*($E234-U$12)/($E234-3*cc_D/7))/0.002)))^2)</f>
        <v/>
      </c>
      <c r="V234">
        <f>MAX(-fyd_cc,MIN(fyd_cc,Es_cc*IF($E234&lt;=cc_D,0.0035*($E234-V$12)/$E234,0.002*($E234-V$12)/($E234-3*cc_D/7))))-fcd_cc*(1-(1-MAX(0,MIN(1,IF($E234&lt;=cc_D,0.0035*($E234-V$12)/$E234,0.002*($E234-V$12)/($E234-3*cc_D/7))/0.002)))^2)</f>
        <v/>
      </c>
      <c r="W234">
        <f>MAX(-fyd_cc,MIN(fyd_cc,Es_cc*IF($E234&lt;=cc_D,0.0035*($E234-W$12)/$E234,0.002*($E234-W$12)/($E234-3*cc_D/7))))-fcd_cc*(1-(1-MAX(0,MIN(1,IF($E234&lt;=cc_D,0.0035*($E234-W$12)/$E234,0.002*($E234-W$12)/($E234-3*cc_D/7))/0.002)))^2)</f>
        <v/>
      </c>
      <c r="X234">
        <f>MAX(-fyd_cc,MIN(fyd_cc,Es_cc*IF($E234&lt;=cc_D,0.0035*($E234-X$12)/$E234,0.002*($E234-X$12)/($E234-3*cc_D/7))))-fcd_cc*(1-(1-MAX(0,MIN(1,IF($E234&lt;=cc_D,0.0035*($E234-X$12)/$E234,0.002*($E234-X$12)/($E234-3*cc_D/7))/0.002)))^2)</f>
        <v/>
      </c>
      <c r="Y234">
        <f>MAX(-fyd_cc,MIN(fyd_cc,Es_cc*IF($E234&lt;=cc_D,0.0035*($E234-Y$12)/$E234,0.002*($E234-Y$12)/($E234-3*cc_D/7))))-fcd_cc*(1-(1-MAX(0,MIN(1,IF($E234&lt;=cc_D,0.0035*($E234-Y$12)/$E234,0.002*($E234-Y$12)/($E234-3*cc_D/7))/0.002)))^2)</f>
        <v/>
      </c>
      <c r="Z234">
        <f>MAX(-fyd_cc,MIN(fyd_cc,Es_cc*IF($E234&lt;=cc_D,0.0035*($E234-Z$12)/$E234,0.002*($E234-Z$12)/($E234-3*cc_D/7))))-fcd_cc*(1-(1-MAX(0,MIN(1,IF($E234&lt;=cc_D,0.0035*($E234-Z$12)/$E234,0.002*($E234-Z$12)/($E234-3*cc_D/7))/0.002)))^2)</f>
        <v/>
      </c>
      <c r="AA234">
        <f>MAX(-fyd_cc,MIN(fyd_cc,Es_cc*IF($E234&lt;=cc_D,0.0035*($E234-AA$12)/$E234,0.002*($E234-AA$12)/($E234-3*cc_D/7))))-fcd_cc*(1-(1-MAX(0,MIN(1,IF($E234&lt;=cc_D,0.0035*($E234-AA$12)/$E234,0.002*($E234-AA$12)/($E234-3*cc_D/7))/0.002)))^2)</f>
        <v/>
      </c>
      <c r="AB234">
        <f>MAX(-fyd_cc,MIN(fyd_cc,Es_cc*IF($E234&lt;=cc_D,0.0035*($E234-AB$12)/$E234,0.002*($E234-AB$12)/($E234-3*cc_D/7))))-fcd_cc*(1-(1-MAX(0,MIN(1,IF($E234&lt;=cc_D,0.0035*($E234-AB$12)/$E234,0.002*($E234-AB$12)/($E234-3*cc_D/7))/0.002)))^2)</f>
        <v/>
      </c>
      <c r="AC234">
        <f>MAX(-fyd_cc,MIN(fyd_cc,Es_cc*IF($E234&lt;=cc_D,0.0035*($E234-AC$12)/$E234,0.002*($E234-AC$12)/($E234-3*cc_D/7))))-fcd_cc*(1-(1-MAX(0,MIN(1,IF($E234&lt;=cc_D,0.0035*($E234-AC$12)/$E234,0.002*($E234-AC$12)/($E234-3*cc_D/7))/0.002)))^2)</f>
        <v/>
      </c>
      <c r="AD234">
        <f>MAX(-fyd_cc,MIN(fyd_cc,Es_cc*IF($E234&lt;=cc_D,0.0035*($E234-AD$12)/$E234,0.002*($E234-AD$12)/($E234-3*cc_D/7))))-fcd_cc*(1-(1-MAX(0,MIN(1,IF($E234&lt;=cc_D,0.0035*($E234-AD$12)/$E234,0.002*($E234-AD$12)/($E234-3*cc_D/7))/0.002)))^2)</f>
        <v/>
      </c>
      <c r="AE234">
        <f>MAX(-fyd_cc,MIN(fyd_cc,Es_cc*IF($E234&lt;=cc_D,0.0035*($E234-AE$12)/$E234,0.002*($E234-AE$12)/($E234-3*cc_D/7))))-fcd_cc*(1-(1-MAX(0,MIN(1,IF($E234&lt;=cc_D,0.0035*($E234-AE$12)/$E234,0.002*($E234-AE$12)/($E234-3*cc_D/7))/0.002)))^2)</f>
        <v/>
      </c>
      <c r="AF234">
        <f>MAX(-fyd_cc,MIN(fyd_cc,Es_cc*IF($E234&lt;=cc_D,0.0035*($E234-AF$12)/$E234,0.002*($E234-AF$12)/($E234-3*cc_D/7))))-fcd_cc*(1-(1-MAX(0,MIN(1,IF($E234&lt;=cc_D,0.0035*($E234-AF$12)/$E234,0.002*($E234-AF$12)/($E234-3*cc_D/7))/0.002)))^2)</f>
        <v/>
      </c>
      <c r="AG234">
        <f>MAX(-fyd_cc,MIN(fyd_cc,Es_cc*IF($E234&lt;=cc_D,0.0035*($E234-AG$12)/$E234,0.002*($E234-AG$12)/($E234-3*cc_D/7))))-fcd_cc*(1-(1-MAX(0,MIN(1,IF($E234&lt;=cc_D,0.0035*($E234-AG$12)/$E234,0.002*($E234-AG$12)/($E234-3*cc_D/7))/0.002)))^2)</f>
        <v/>
      </c>
      <c r="BF234">
        <f>3*MIN($E234,cc_D)/7</f>
        <v/>
      </c>
      <c r="BG234">
        <f>$E234-$BF234</f>
        <v/>
      </c>
      <c r="BH234">
        <f>ACOS(MAX(-1,MIN(1,1-$BF234/(cc_D/2))))</f>
        <v/>
      </c>
      <c r="BI234">
        <f>ACOS(MAX(-1,MIN(1,1-MIN($E234,cc_D)/(cc_D/2))))</f>
        <v/>
      </c>
      <c r="BJ234">
        <f>((cc_D/2*(1-COS(($BH234+0*($BI234-$BH234)/12)))-$BF234)/$BG234)^2*SIN(($BH234+0*($BI234-$BH234)/12))^2</f>
        <v/>
      </c>
      <c r="BK234">
        <f>((cc_D/2*(1-COS(($BH234+1*($BI234-$BH234)/12)))-$BF234)/$BG234)^2*SIN(($BH234+1*($BI234-$BH234)/12))^2</f>
        <v/>
      </c>
      <c r="BL234">
        <f>((cc_D/2*(1-COS(($BH234+2*($BI234-$BH234)/12)))-$BF234)/$BG234)^2*SIN(($BH234+2*($BI234-$BH234)/12))^2</f>
        <v/>
      </c>
      <c r="BM234">
        <f>((cc_D/2*(1-COS(($BH234+3*($BI234-$BH234)/12)))-$BF234)/$BG234)^2*SIN(($BH234+3*($BI234-$BH234)/12))^2</f>
        <v/>
      </c>
      <c r="BN234">
        <f>((cc_D/2*(1-COS(($BH234+4*($BI234-$BH234)/12)))-$BF234)/$BG234)^2*SIN(($BH234+4*($BI234-$BH234)/12))^2</f>
        <v/>
      </c>
      <c r="BO234">
        <f>((cc_D/2*(1-COS(($BH234+5*($BI234-$BH234)/12)))-$BF234)/$BG234)^2*SIN(($BH234+5*($BI234-$BH234)/12))^2</f>
        <v/>
      </c>
      <c r="BP234">
        <f>((cc_D/2*(1-COS(($BH234+6*($BI234-$BH234)/12)))-$BF234)/$BG234)^2*SIN(($BH234+6*($BI234-$BH234)/12))^2</f>
        <v/>
      </c>
      <c r="BQ234">
        <f>((cc_D/2*(1-COS(($BH234+7*($BI234-$BH234)/12)))-$BF234)/$BG234)^2*SIN(($BH234+7*($BI234-$BH234)/12))^2</f>
        <v/>
      </c>
      <c r="BR234">
        <f>((cc_D/2*(1-COS(($BH234+8*($BI234-$BH234)/12)))-$BF234)/$BG234)^2*SIN(($BH234+8*($BI234-$BH234)/12))^2</f>
        <v/>
      </c>
      <c r="BS234">
        <f>((cc_D/2*(1-COS(($BH234+9*($BI234-$BH234)/12)))-$BF234)/$BG234)^2*SIN(($BH234+9*($BI234-$BH234)/12))^2</f>
        <v/>
      </c>
      <c r="BT234">
        <f>((cc_D/2*(1-COS(($BH234+10*($BI234-$BH234)/12)))-$BF234)/$BG234)^2*SIN(($BH234+10*($BI234-$BH234)/12))^2</f>
        <v/>
      </c>
      <c r="BU234">
        <f>((cc_D/2*(1-COS(($BH234+11*($BI234-$BH234)/12)))-$BF234)/$BG234)^2*SIN(($BH234+11*($BI234-$BH234)/12))^2</f>
        <v/>
      </c>
      <c r="BV234">
        <f>((cc_D/2*(1-COS(($BH234+12*($BI234-$BH234)/12)))-$BF234)/$BG234)^2*SIN(($BH234+12*($BI234-$BH234)/12))^2</f>
        <v/>
      </c>
      <c r="BW234">
        <f>BJ234*COS(($BH234+0*($BI234-$BH234)/12))</f>
        <v/>
      </c>
      <c r="BX234">
        <f>BK234*COS(($BH234+1*($BI234-$BH234)/12))</f>
        <v/>
      </c>
      <c r="BY234">
        <f>BL234*COS(($BH234+2*($BI234-$BH234)/12))</f>
        <v/>
      </c>
      <c r="BZ234">
        <f>BM234*COS(($BH234+3*($BI234-$BH234)/12))</f>
        <v/>
      </c>
      <c r="CA234">
        <f>BN234*COS(($BH234+4*($BI234-$BH234)/12))</f>
        <v/>
      </c>
      <c r="CB234">
        <f>BO234*COS(($BH234+5*($BI234-$BH234)/12))</f>
        <v/>
      </c>
      <c r="CC234">
        <f>BP234*COS(($BH234+6*($BI234-$BH234)/12))</f>
        <v/>
      </c>
      <c r="CD234">
        <f>BQ234*COS(($BH234+7*($BI234-$BH234)/12))</f>
        <v/>
      </c>
      <c r="CE234">
        <f>BR234*COS(($BH234+8*($BI234-$BH234)/12))</f>
        <v/>
      </c>
      <c r="CF234">
        <f>BS234*COS(($BH234+9*($BI234-$BH234)/12))</f>
        <v/>
      </c>
      <c r="CG234">
        <f>BT234*COS(($BH234+10*($BI234-$BH234)/12))</f>
        <v/>
      </c>
      <c r="CH234">
        <f>BU234*COS(($BH234+11*($BI234-$BH234)/12))</f>
        <v/>
      </c>
      <c r="CI234">
        <f>BV234*COS(($BH234+12*($BI234-$BH234)/12))</f>
        <v/>
      </c>
    </row>
    <row r="235">
      <c r="B235" s="65" t="n">
        <v>20</v>
      </c>
      <c r="C235" s="66">
        <f>IF($G234&lt;cc_NEd-1E-9*ABS(cc_NEd),($C234+$D234)/2,$C234)</f>
        <v/>
      </c>
      <c r="D235" s="66">
        <f>IF($G234&lt;cc_NEd-1E-9*ABS(cc_NEd),$D234,($C234+$D234)/2)</f>
        <v/>
      </c>
      <c r="E235" s="67">
        <f>cc_D*(($C235+$D235)/2)/(1-(($C235+$D235)/2))</f>
        <v/>
      </c>
      <c r="F235" s="68">
        <f>IF($E235&lt;=cc_D,3.5,2*$E235/($E235-3*cc_D/7))</f>
        <v/>
      </c>
      <c r="G235" s="67">
        <f>(fcd_cc*((cc_D/2)^2*($BI235-COS($BI235)*SIN($BI235))-2*(cc_D/2)^2*($BI235-$BH235)/12/3*SUMPRODUCT($BJ$4:$BV$4,$BJ235:$BV235))+SUMPRODUCT($J$5:$AG$5,$J235:$AG235))/1000</f>
        <v/>
      </c>
      <c r="H235" s="67">
        <f>(fcd_cc*(2/3*(cc_D/2)^3*SIN($BI235)^3-2*(cc_D/2)^3*($BI235-$BH235)/12/3*SUMPRODUCT($BW$4:$CI$4,$BW235:$CI235))+SUMPRODUCT($J$5:$AG$5,$J235:$AG235,$J$13:$AG$13))/1E6</f>
        <v/>
      </c>
      <c r="I235" s="67">
        <f>SUMPRODUCT($J$5:$AG$5,$J235:$AG235,$J$14:$AG$14)/1E6</f>
        <v/>
      </c>
      <c r="J235">
        <f>MAX(-fyd_cc,MIN(fyd_cc,Es_cc*IF($E235&lt;=cc_D,0.0035*($E235-J$12)/$E235,0.002*($E235-J$12)/($E235-3*cc_D/7))))-fcd_cc*(1-(1-MAX(0,MIN(1,IF($E235&lt;=cc_D,0.0035*($E235-J$12)/$E235,0.002*($E235-J$12)/($E235-3*cc_D/7))/0.002)))^2)</f>
        <v/>
      </c>
      <c r="K235">
        <f>MAX(-fyd_cc,MIN(fyd_cc,Es_cc*IF($E235&lt;=cc_D,0.0035*($E235-K$12)/$E235,0.002*($E235-K$12)/($E235-3*cc_D/7))))-fcd_cc*(1-(1-MAX(0,MIN(1,IF($E235&lt;=cc_D,0.0035*($E235-K$12)/$E235,0.002*($E235-K$12)/($E235-3*cc_D/7))/0.002)))^2)</f>
        <v/>
      </c>
      <c r="L235">
        <f>MAX(-fyd_cc,MIN(fyd_cc,Es_cc*IF($E235&lt;=cc_D,0.0035*($E235-L$12)/$E235,0.002*($E235-L$12)/($E235-3*cc_D/7))))-fcd_cc*(1-(1-MAX(0,MIN(1,IF($E235&lt;=cc_D,0.0035*($E235-L$12)/$E235,0.002*($E235-L$12)/($E235-3*cc_D/7))/0.002)))^2)</f>
        <v/>
      </c>
      <c r="M235">
        <f>MAX(-fyd_cc,MIN(fyd_cc,Es_cc*IF($E235&lt;=cc_D,0.0035*($E235-M$12)/$E235,0.002*($E235-M$12)/($E235-3*cc_D/7))))-fcd_cc*(1-(1-MAX(0,MIN(1,IF($E235&lt;=cc_D,0.0035*($E235-M$12)/$E235,0.002*($E235-M$12)/($E235-3*cc_D/7))/0.002)))^2)</f>
        <v/>
      </c>
      <c r="N235">
        <f>MAX(-fyd_cc,MIN(fyd_cc,Es_cc*IF($E235&lt;=cc_D,0.0035*($E235-N$12)/$E235,0.002*($E235-N$12)/($E235-3*cc_D/7))))-fcd_cc*(1-(1-MAX(0,MIN(1,IF($E235&lt;=cc_D,0.0035*($E235-N$12)/$E235,0.002*($E235-N$12)/($E235-3*cc_D/7))/0.002)))^2)</f>
        <v/>
      </c>
      <c r="O235">
        <f>MAX(-fyd_cc,MIN(fyd_cc,Es_cc*IF($E235&lt;=cc_D,0.0035*($E235-O$12)/$E235,0.002*($E235-O$12)/($E235-3*cc_D/7))))-fcd_cc*(1-(1-MAX(0,MIN(1,IF($E235&lt;=cc_D,0.0035*($E235-O$12)/$E235,0.002*($E235-O$12)/($E235-3*cc_D/7))/0.002)))^2)</f>
        <v/>
      </c>
      <c r="P235">
        <f>MAX(-fyd_cc,MIN(fyd_cc,Es_cc*IF($E235&lt;=cc_D,0.0035*($E235-P$12)/$E235,0.002*($E235-P$12)/($E235-3*cc_D/7))))-fcd_cc*(1-(1-MAX(0,MIN(1,IF($E235&lt;=cc_D,0.0035*($E235-P$12)/$E235,0.002*($E235-P$12)/($E235-3*cc_D/7))/0.002)))^2)</f>
        <v/>
      </c>
      <c r="Q235">
        <f>MAX(-fyd_cc,MIN(fyd_cc,Es_cc*IF($E235&lt;=cc_D,0.0035*($E235-Q$12)/$E235,0.002*($E235-Q$12)/($E235-3*cc_D/7))))-fcd_cc*(1-(1-MAX(0,MIN(1,IF($E235&lt;=cc_D,0.0035*($E235-Q$12)/$E235,0.002*($E235-Q$12)/($E235-3*cc_D/7))/0.002)))^2)</f>
        <v/>
      </c>
      <c r="R235">
        <f>MAX(-fyd_cc,MIN(fyd_cc,Es_cc*IF($E235&lt;=cc_D,0.0035*($E235-R$12)/$E235,0.002*($E235-R$12)/($E235-3*cc_D/7))))-fcd_cc*(1-(1-MAX(0,MIN(1,IF($E235&lt;=cc_D,0.0035*($E235-R$12)/$E235,0.002*($E235-R$12)/($E235-3*cc_D/7))/0.002)))^2)</f>
        <v/>
      </c>
      <c r="S235">
        <f>MAX(-fyd_cc,MIN(fyd_cc,Es_cc*IF($E235&lt;=cc_D,0.0035*($E235-S$12)/$E235,0.002*($E235-S$12)/($E235-3*cc_D/7))))-fcd_cc*(1-(1-MAX(0,MIN(1,IF($E235&lt;=cc_D,0.0035*($E235-S$12)/$E235,0.002*($E235-S$12)/($E235-3*cc_D/7))/0.002)))^2)</f>
        <v/>
      </c>
      <c r="T235">
        <f>MAX(-fyd_cc,MIN(fyd_cc,Es_cc*IF($E235&lt;=cc_D,0.0035*($E235-T$12)/$E235,0.002*($E235-T$12)/($E235-3*cc_D/7))))-fcd_cc*(1-(1-MAX(0,MIN(1,IF($E235&lt;=cc_D,0.0035*($E235-T$12)/$E235,0.002*($E235-T$12)/($E235-3*cc_D/7))/0.002)))^2)</f>
        <v/>
      </c>
      <c r="U235">
        <f>MAX(-fyd_cc,MIN(fyd_cc,Es_cc*IF($E235&lt;=cc_D,0.0035*($E235-U$12)/$E235,0.002*($E235-U$12)/($E235-3*cc_D/7))))-fcd_cc*(1-(1-MAX(0,MIN(1,IF($E235&lt;=cc_D,0.0035*($E235-U$12)/$E235,0.002*($E235-U$12)/($E235-3*cc_D/7))/0.002)))^2)</f>
        <v/>
      </c>
      <c r="V235">
        <f>MAX(-fyd_cc,MIN(fyd_cc,Es_cc*IF($E235&lt;=cc_D,0.0035*($E235-V$12)/$E235,0.002*($E235-V$12)/($E235-3*cc_D/7))))-fcd_cc*(1-(1-MAX(0,MIN(1,IF($E235&lt;=cc_D,0.0035*($E235-V$12)/$E235,0.002*($E235-V$12)/($E235-3*cc_D/7))/0.002)))^2)</f>
        <v/>
      </c>
      <c r="W235">
        <f>MAX(-fyd_cc,MIN(fyd_cc,Es_cc*IF($E235&lt;=cc_D,0.0035*($E235-W$12)/$E235,0.002*($E235-W$12)/($E235-3*cc_D/7))))-fcd_cc*(1-(1-MAX(0,MIN(1,IF($E235&lt;=cc_D,0.0035*($E235-W$12)/$E235,0.002*($E235-W$12)/($E235-3*cc_D/7))/0.002)))^2)</f>
        <v/>
      </c>
      <c r="X235">
        <f>MAX(-fyd_cc,MIN(fyd_cc,Es_cc*IF($E235&lt;=cc_D,0.0035*($E235-X$12)/$E235,0.002*($E235-X$12)/($E235-3*cc_D/7))))-fcd_cc*(1-(1-MAX(0,MIN(1,IF($E235&lt;=cc_D,0.0035*($E235-X$12)/$E235,0.002*($E235-X$12)/($E235-3*cc_D/7))/0.002)))^2)</f>
        <v/>
      </c>
      <c r="Y235">
        <f>MAX(-fyd_cc,MIN(fyd_cc,Es_cc*IF($E235&lt;=cc_D,0.0035*($E235-Y$12)/$E235,0.002*($E235-Y$12)/($E235-3*cc_D/7))))-fcd_cc*(1-(1-MAX(0,MIN(1,IF($E235&lt;=cc_D,0.0035*($E235-Y$12)/$E235,0.002*($E235-Y$12)/($E235-3*cc_D/7))/0.002)))^2)</f>
        <v/>
      </c>
      <c r="Z235">
        <f>MAX(-fyd_cc,MIN(fyd_cc,Es_cc*IF($E235&lt;=cc_D,0.0035*($E235-Z$12)/$E235,0.002*($E235-Z$12)/($E235-3*cc_D/7))))-fcd_cc*(1-(1-MAX(0,MIN(1,IF($E235&lt;=cc_D,0.0035*($E235-Z$12)/$E235,0.002*($E235-Z$12)/($E235-3*cc_D/7))/0.002)))^2)</f>
        <v/>
      </c>
      <c r="AA235">
        <f>MAX(-fyd_cc,MIN(fyd_cc,Es_cc*IF($E235&lt;=cc_D,0.0035*($E235-AA$12)/$E235,0.002*($E235-AA$12)/($E235-3*cc_D/7))))-fcd_cc*(1-(1-MAX(0,MIN(1,IF($E235&lt;=cc_D,0.0035*($E235-AA$12)/$E235,0.002*($E235-AA$12)/($E235-3*cc_D/7))/0.002)))^2)</f>
        <v/>
      </c>
      <c r="AB235">
        <f>MAX(-fyd_cc,MIN(fyd_cc,Es_cc*IF($E235&lt;=cc_D,0.0035*($E235-AB$12)/$E235,0.002*($E235-AB$12)/($E235-3*cc_D/7))))-fcd_cc*(1-(1-MAX(0,MIN(1,IF($E235&lt;=cc_D,0.0035*($E235-AB$12)/$E235,0.002*($E235-AB$12)/($E235-3*cc_D/7))/0.002)))^2)</f>
        <v/>
      </c>
      <c r="AC235">
        <f>MAX(-fyd_cc,MIN(fyd_cc,Es_cc*IF($E235&lt;=cc_D,0.0035*($E235-AC$12)/$E235,0.002*($E235-AC$12)/($E235-3*cc_D/7))))-fcd_cc*(1-(1-MAX(0,MIN(1,IF($E235&lt;=cc_D,0.0035*($E235-AC$12)/$E235,0.002*($E235-AC$12)/($E235-3*cc_D/7))/0.002)))^2)</f>
        <v/>
      </c>
      <c r="AD235">
        <f>MAX(-fyd_cc,MIN(fyd_cc,Es_cc*IF($E235&lt;=cc_D,0.0035*($E235-AD$12)/$E235,0.002*($E235-AD$12)/($E235-3*cc_D/7))))-fcd_cc*(1-(1-MAX(0,MIN(1,IF($E235&lt;=cc_D,0.0035*($E235-AD$12)/$E235,0.002*($E235-AD$12)/($E235-3*cc_D/7))/0.002)))^2)</f>
        <v/>
      </c>
      <c r="AE235">
        <f>MAX(-fyd_cc,MIN(fyd_cc,Es_cc*IF($E235&lt;=cc_D,0.0035*($E235-AE$12)/$E235,0.002*($E235-AE$12)/($E235-3*cc_D/7))))-fcd_cc*(1-(1-MAX(0,MIN(1,IF($E235&lt;=cc_D,0.0035*($E235-AE$12)/$E235,0.002*($E235-AE$12)/($E235-3*cc_D/7))/0.002)))^2)</f>
        <v/>
      </c>
      <c r="AF235">
        <f>MAX(-fyd_cc,MIN(fyd_cc,Es_cc*IF($E235&lt;=cc_D,0.0035*($E235-AF$12)/$E235,0.002*($E235-AF$12)/($E235-3*cc_D/7))))-fcd_cc*(1-(1-MAX(0,MIN(1,IF($E235&lt;=cc_D,0.0035*($E235-AF$12)/$E235,0.002*($E235-AF$12)/($E235-3*cc_D/7))/0.002)))^2)</f>
        <v/>
      </c>
      <c r="AG235">
        <f>MAX(-fyd_cc,MIN(fyd_cc,Es_cc*IF($E235&lt;=cc_D,0.0035*($E235-AG$12)/$E235,0.002*($E235-AG$12)/($E235-3*cc_D/7))))-fcd_cc*(1-(1-MAX(0,MIN(1,IF($E235&lt;=cc_D,0.0035*($E235-AG$12)/$E235,0.002*($E235-AG$12)/($E235-3*cc_D/7))/0.002)))^2)</f>
        <v/>
      </c>
      <c r="BF235">
        <f>3*MIN($E235,cc_D)/7</f>
        <v/>
      </c>
      <c r="BG235">
        <f>$E235-$BF235</f>
        <v/>
      </c>
      <c r="BH235">
        <f>ACOS(MAX(-1,MIN(1,1-$BF235/(cc_D/2))))</f>
        <v/>
      </c>
      <c r="BI235">
        <f>ACOS(MAX(-1,MIN(1,1-MIN($E235,cc_D)/(cc_D/2))))</f>
        <v/>
      </c>
      <c r="BJ235">
        <f>((cc_D/2*(1-COS(($BH235+0*($BI235-$BH235)/12)))-$BF235)/$BG235)^2*SIN(($BH235+0*($BI235-$BH235)/12))^2</f>
        <v/>
      </c>
      <c r="BK235">
        <f>((cc_D/2*(1-COS(($BH235+1*($BI235-$BH235)/12)))-$BF235)/$BG235)^2*SIN(($BH235+1*($BI235-$BH235)/12))^2</f>
        <v/>
      </c>
      <c r="BL235">
        <f>((cc_D/2*(1-COS(($BH235+2*($BI235-$BH235)/12)))-$BF235)/$BG235)^2*SIN(($BH235+2*($BI235-$BH235)/12))^2</f>
        <v/>
      </c>
      <c r="BM235">
        <f>((cc_D/2*(1-COS(($BH235+3*($BI235-$BH235)/12)))-$BF235)/$BG235)^2*SIN(($BH235+3*($BI235-$BH235)/12))^2</f>
        <v/>
      </c>
      <c r="BN235">
        <f>((cc_D/2*(1-COS(($BH235+4*($BI235-$BH235)/12)))-$BF235)/$BG235)^2*SIN(($BH235+4*($BI235-$BH235)/12))^2</f>
        <v/>
      </c>
      <c r="BO235">
        <f>((cc_D/2*(1-COS(($BH235+5*($BI235-$BH235)/12)))-$BF235)/$BG235)^2*SIN(($BH235+5*($BI235-$BH235)/12))^2</f>
        <v/>
      </c>
      <c r="BP235">
        <f>((cc_D/2*(1-COS(($BH235+6*($BI235-$BH235)/12)))-$BF235)/$BG235)^2*SIN(($BH235+6*($BI235-$BH235)/12))^2</f>
        <v/>
      </c>
      <c r="BQ235">
        <f>((cc_D/2*(1-COS(($BH235+7*($BI235-$BH235)/12)))-$BF235)/$BG235)^2*SIN(($BH235+7*($BI235-$BH235)/12))^2</f>
        <v/>
      </c>
      <c r="BR235">
        <f>((cc_D/2*(1-COS(($BH235+8*($BI235-$BH235)/12)))-$BF235)/$BG235)^2*SIN(($BH235+8*($BI235-$BH235)/12))^2</f>
        <v/>
      </c>
      <c r="BS235">
        <f>((cc_D/2*(1-COS(($BH235+9*($BI235-$BH235)/12)))-$BF235)/$BG235)^2*SIN(($BH235+9*($BI235-$BH235)/12))^2</f>
        <v/>
      </c>
      <c r="BT235">
        <f>((cc_D/2*(1-COS(($BH235+10*($BI235-$BH235)/12)))-$BF235)/$BG235)^2*SIN(($BH235+10*($BI235-$BH235)/12))^2</f>
        <v/>
      </c>
      <c r="BU235">
        <f>((cc_D/2*(1-COS(($BH235+11*($BI235-$BH235)/12)))-$BF235)/$BG235)^2*SIN(($BH235+11*($BI235-$BH235)/12))^2</f>
        <v/>
      </c>
      <c r="BV235">
        <f>((cc_D/2*(1-COS(($BH235+12*($BI235-$BH235)/12)))-$BF235)/$BG235)^2*SIN(($BH235+12*($BI235-$BH235)/12))^2</f>
        <v/>
      </c>
      <c r="BW235">
        <f>BJ235*COS(($BH235+0*($BI235-$BH235)/12))</f>
        <v/>
      </c>
      <c r="BX235">
        <f>BK235*COS(($BH235+1*($BI235-$BH235)/12))</f>
        <v/>
      </c>
      <c r="BY235">
        <f>BL235*COS(($BH235+2*($BI235-$BH235)/12))</f>
        <v/>
      </c>
      <c r="BZ235">
        <f>BM235*COS(($BH235+3*($BI235-$BH235)/12))</f>
        <v/>
      </c>
      <c r="CA235">
        <f>BN235*COS(($BH235+4*($BI235-$BH235)/12))</f>
        <v/>
      </c>
      <c r="CB235">
        <f>BO235*COS(($BH235+5*($BI235-$BH235)/12))</f>
        <v/>
      </c>
      <c r="CC235">
        <f>BP235*COS(($BH235+6*($BI235-$BH235)/12))</f>
        <v/>
      </c>
      <c r="CD235">
        <f>BQ235*COS(($BH235+7*($BI235-$BH235)/12))</f>
        <v/>
      </c>
      <c r="CE235">
        <f>BR235*COS(($BH235+8*($BI235-$BH235)/12))</f>
        <v/>
      </c>
      <c r="CF235">
        <f>BS235*COS(($BH235+9*($BI235-$BH235)/12))</f>
        <v/>
      </c>
      <c r="CG235">
        <f>BT235*COS(($BH235+10*($BI235-$BH235)/12))</f>
        <v/>
      </c>
      <c r="CH235">
        <f>BU235*COS(($BH235+11*($BI235-$BH235)/12))</f>
        <v/>
      </c>
      <c r="CI235">
        <f>BV235*COS(($BH235+12*($BI235-$BH235)/12))</f>
        <v/>
      </c>
    </row>
    <row r="236">
      <c r="B236" s="65" t="n">
        <v>21</v>
      </c>
      <c r="C236" s="66">
        <f>IF($G235&lt;cc_NEd-1E-9*ABS(cc_NEd),($C235+$D235)/2,$C235)</f>
        <v/>
      </c>
      <c r="D236" s="66">
        <f>IF($G235&lt;cc_NEd-1E-9*ABS(cc_NEd),$D235,($C235+$D235)/2)</f>
        <v/>
      </c>
      <c r="E236" s="67">
        <f>cc_D*(($C236+$D236)/2)/(1-(($C236+$D236)/2))</f>
        <v/>
      </c>
      <c r="F236" s="68">
        <f>IF($E236&lt;=cc_D,3.5,2*$E236/($E236-3*cc_D/7))</f>
        <v/>
      </c>
      <c r="G236" s="67">
        <f>(fcd_cc*((cc_D/2)^2*($BI236-COS($BI236)*SIN($BI236))-2*(cc_D/2)^2*($BI236-$BH236)/12/3*SUMPRODUCT($BJ$4:$BV$4,$BJ236:$BV236))+SUMPRODUCT($J$5:$AG$5,$J236:$AG236))/1000</f>
        <v/>
      </c>
      <c r="H236" s="67">
        <f>(fcd_cc*(2/3*(cc_D/2)^3*SIN($BI236)^3-2*(cc_D/2)^3*($BI236-$BH236)/12/3*SUMPRODUCT($BW$4:$CI$4,$BW236:$CI236))+SUMPRODUCT($J$5:$AG$5,$J236:$AG236,$J$13:$AG$13))/1E6</f>
        <v/>
      </c>
      <c r="I236" s="67">
        <f>SUMPRODUCT($J$5:$AG$5,$J236:$AG236,$J$14:$AG$14)/1E6</f>
        <v/>
      </c>
      <c r="J236">
        <f>MAX(-fyd_cc,MIN(fyd_cc,Es_cc*IF($E236&lt;=cc_D,0.0035*($E236-J$12)/$E236,0.002*($E236-J$12)/($E236-3*cc_D/7))))-fcd_cc*(1-(1-MAX(0,MIN(1,IF($E236&lt;=cc_D,0.0035*($E236-J$12)/$E236,0.002*($E236-J$12)/($E236-3*cc_D/7))/0.002)))^2)</f>
        <v/>
      </c>
      <c r="K236">
        <f>MAX(-fyd_cc,MIN(fyd_cc,Es_cc*IF($E236&lt;=cc_D,0.0035*($E236-K$12)/$E236,0.002*($E236-K$12)/($E236-3*cc_D/7))))-fcd_cc*(1-(1-MAX(0,MIN(1,IF($E236&lt;=cc_D,0.0035*($E236-K$12)/$E236,0.002*($E236-K$12)/($E236-3*cc_D/7))/0.002)))^2)</f>
        <v/>
      </c>
      <c r="L236">
        <f>MAX(-fyd_cc,MIN(fyd_cc,Es_cc*IF($E236&lt;=cc_D,0.0035*($E236-L$12)/$E236,0.002*($E236-L$12)/($E236-3*cc_D/7))))-fcd_cc*(1-(1-MAX(0,MIN(1,IF($E236&lt;=cc_D,0.0035*($E236-L$12)/$E236,0.002*($E236-L$12)/($E236-3*cc_D/7))/0.002)))^2)</f>
        <v/>
      </c>
      <c r="M236">
        <f>MAX(-fyd_cc,MIN(fyd_cc,Es_cc*IF($E236&lt;=cc_D,0.0035*($E236-M$12)/$E236,0.002*($E236-M$12)/($E236-3*cc_D/7))))-fcd_cc*(1-(1-MAX(0,MIN(1,IF($E236&lt;=cc_D,0.0035*($E236-M$12)/$E236,0.002*($E236-M$12)/($E236-3*cc_D/7))/0.002)))^2)</f>
        <v/>
      </c>
      <c r="N236">
        <f>MAX(-fyd_cc,MIN(fyd_cc,Es_cc*IF($E236&lt;=cc_D,0.0035*($E236-N$12)/$E236,0.002*($E236-N$12)/($E236-3*cc_D/7))))-fcd_cc*(1-(1-MAX(0,MIN(1,IF($E236&lt;=cc_D,0.0035*($E236-N$12)/$E236,0.002*($E236-N$12)/($E236-3*cc_D/7))/0.002)))^2)</f>
        <v/>
      </c>
      <c r="O236">
        <f>MAX(-fyd_cc,MIN(fyd_cc,Es_cc*IF($E236&lt;=cc_D,0.0035*($E236-O$12)/$E236,0.002*($E236-O$12)/($E236-3*cc_D/7))))-fcd_cc*(1-(1-MAX(0,MIN(1,IF($E236&lt;=cc_D,0.0035*($E236-O$12)/$E236,0.002*($E236-O$12)/($E236-3*cc_D/7))/0.002)))^2)</f>
        <v/>
      </c>
      <c r="P236">
        <f>MAX(-fyd_cc,MIN(fyd_cc,Es_cc*IF($E236&lt;=cc_D,0.0035*($E236-P$12)/$E236,0.002*($E236-P$12)/($E236-3*cc_D/7))))-fcd_cc*(1-(1-MAX(0,MIN(1,IF($E236&lt;=cc_D,0.0035*($E236-P$12)/$E236,0.002*($E236-P$12)/($E236-3*cc_D/7))/0.002)))^2)</f>
        <v/>
      </c>
      <c r="Q236">
        <f>MAX(-fyd_cc,MIN(fyd_cc,Es_cc*IF($E236&lt;=cc_D,0.0035*($E236-Q$12)/$E236,0.002*($E236-Q$12)/($E236-3*cc_D/7))))-fcd_cc*(1-(1-MAX(0,MIN(1,IF($E236&lt;=cc_D,0.0035*($E236-Q$12)/$E236,0.002*($E236-Q$12)/($E236-3*cc_D/7))/0.002)))^2)</f>
        <v/>
      </c>
      <c r="R236">
        <f>MAX(-fyd_cc,MIN(fyd_cc,Es_cc*IF($E236&lt;=cc_D,0.0035*($E236-R$12)/$E236,0.002*($E236-R$12)/($E236-3*cc_D/7))))-fcd_cc*(1-(1-MAX(0,MIN(1,IF($E236&lt;=cc_D,0.0035*($E236-R$12)/$E236,0.002*($E236-R$12)/($E236-3*cc_D/7))/0.002)))^2)</f>
        <v/>
      </c>
      <c r="S236">
        <f>MAX(-fyd_cc,MIN(fyd_cc,Es_cc*IF($E236&lt;=cc_D,0.0035*($E236-S$12)/$E236,0.002*($E236-S$12)/($E236-3*cc_D/7))))-fcd_cc*(1-(1-MAX(0,MIN(1,IF($E236&lt;=cc_D,0.0035*($E236-S$12)/$E236,0.002*($E236-S$12)/($E236-3*cc_D/7))/0.002)))^2)</f>
        <v/>
      </c>
      <c r="T236">
        <f>MAX(-fyd_cc,MIN(fyd_cc,Es_cc*IF($E236&lt;=cc_D,0.0035*($E236-T$12)/$E236,0.002*($E236-T$12)/($E236-3*cc_D/7))))-fcd_cc*(1-(1-MAX(0,MIN(1,IF($E236&lt;=cc_D,0.0035*($E236-T$12)/$E236,0.002*($E236-T$12)/($E236-3*cc_D/7))/0.002)))^2)</f>
        <v/>
      </c>
      <c r="U236">
        <f>MAX(-fyd_cc,MIN(fyd_cc,Es_cc*IF($E236&lt;=cc_D,0.0035*($E236-U$12)/$E236,0.002*($E236-U$12)/($E236-3*cc_D/7))))-fcd_cc*(1-(1-MAX(0,MIN(1,IF($E236&lt;=cc_D,0.0035*($E236-U$12)/$E236,0.002*($E236-U$12)/($E236-3*cc_D/7))/0.002)))^2)</f>
        <v/>
      </c>
      <c r="V236">
        <f>MAX(-fyd_cc,MIN(fyd_cc,Es_cc*IF($E236&lt;=cc_D,0.0035*($E236-V$12)/$E236,0.002*($E236-V$12)/($E236-3*cc_D/7))))-fcd_cc*(1-(1-MAX(0,MIN(1,IF($E236&lt;=cc_D,0.0035*($E236-V$12)/$E236,0.002*($E236-V$12)/($E236-3*cc_D/7))/0.002)))^2)</f>
        <v/>
      </c>
      <c r="W236">
        <f>MAX(-fyd_cc,MIN(fyd_cc,Es_cc*IF($E236&lt;=cc_D,0.0035*($E236-W$12)/$E236,0.002*($E236-W$12)/($E236-3*cc_D/7))))-fcd_cc*(1-(1-MAX(0,MIN(1,IF($E236&lt;=cc_D,0.0035*($E236-W$12)/$E236,0.002*($E236-W$12)/($E236-3*cc_D/7))/0.002)))^2)</f>
        <v/>
      </c>
      <c r="X236">
        <f>MAX(-fyd_cc,MIN(fyd_cc,Es_cc*IF($E236&lt;=cc_D,0.0035*($E236-X$12)/$E236,0.002*($E236-X$12)/($E236-3*cc_D/7))))-fcd_cc*(1-(1-MAX(0,MIN(1,IF($E236&lt;=cc_D,0.0035*($E236-X$12)/$E236,0.002*($E236-X$12)/($E236-3*cc_D/7))/0.002)))^2)</f>
        <v/>
      </c>
      <c r="Y236">
        <f>MAX(-fyd_cc,MIN(fyd_cc,Es_cc*IF($E236&lt;=cc_D,0.0035*($E236-Y$12)/$E236,0.002*($E236-Y$12)/($E236-3*cc_D/7))))-fcd_cc*(1-(1-MAX(0,MIN(1,IF($E236&lt;=cc_D,0.0035*($E236-Y$12)/$E236,0.002*($E236-Y$12)/($E236-3*cc_D/7))/0.002)))^2)</f>
        <v/>
      </c>
      <c r="Z236">
        <f>MAX(-fyd_cc,MIN(fyd_cc,Es_cc*IF($E236&lt;=cc_D,0.0035*($E236-Z$12)/$E236,0.002*($E236-Z$12)/($E236-3*cc_D/7))))-fcd_cc*(1-(1-MAX(0,MIN(1,IF($E236&lt;=cc_D,0.0035*($E236-Z$12)/$E236,0.002*($E236-Z$12)/($E236-3*cc_D/7))/0.002)))^2)</f>
        <v/>
      </c>
      <c r="AA236">
        <f>MAX(-fyd_cc,MIN(fyd_cc,Es_cc*IF($E236&lt;=cc_D,0.0035*($E236-AA$12)/$E236,0.002*($E236-AA$12)/($E236-3*cc_D/7))))-fcd_cc*(1-(1-MAX(0,MIN(1,IF($E236&lt;=cc_D,0.0035*($E236-AA$12)/$E236,0.002*($E236-AA$12)/($E236-3*cc_D/7))/0.002)))^2)</f>
        <v/>
      </c>
      <c r="AB236">
        <f>MAX(-fyd_cc,MIN(fyd_cc,Es_cc*IF($E236&lt;=cc_D,0.0035*($E236-AB$12)/$E236,0.002*($E236-AB$12)/($E236-3*cc_D/7))))-fcd_cc*(1-(1-MAX(0,MIN(1,IF($E236&lt;=cc_D,0.0035*($E236-AB$12)/$E236,0.002*($E236-AB$12)/($E236-3*cc_D/7))/0.002)))^2)</f>
        <v/>
      </c>
      <c r="AC236">
        <f>MAX(-fyd_cc,MIN(fyd_cc,Es_cc*IF($E236&lt;=cc_D,0.0035*($E236-AC$12)/$E236,0.002*($E236-AC$12)/($E236-3*cc_D/7))))-fcd_cc*(1-(1-MAX(0,MIN(1,IF($E236&lt;=cc_D,0.0035*($E236-AC$12)/$E236,0.002*($E236-AC$12)/($E236-3*cc_D/7))/0.002)))^2)</f>
        <v/>
      </c>
      <c r="AD236">
        <f>MAX(-fyd_cc,MIN(fyd_cc,Es_cc*IF($E236&lt;=cc_D,0.0035*($E236-AD$12)/$E236,0.002*($E236-AD$12)/($E236-3*cc_D/7))))-fcd_cc*(1-(1-MAX(0,MIN(1,IF($E236&lt;=cc_D,0.0035*($E236-AD$12)/$E236,0.002*($E236-AD$12)/($E236-3*cc_D/7))/0.002)))^2)</f>
        <v/>
      </c>
      <c r="AE236">
        <f>MAX(-fyd_cc,MIN(fyd_cc,Es_cc*IF($E236&lt;=cc_D,0.0035*($E236-AE$12)/$E236,0.002*($E236-AE$12)/($E236-3*cc_D/7))))-fcd_cc*(1-(1-MAX(0,MIN(1,IF($E236&lt;=cc_D,0.0035*($E236-AE$12)/$E236,0.002*($E236-AE$12)/($E236-3*cc_D/7))/0.002)))^2)</f>
        <v/>
      </c>
      <c r="AF236">
        <f>MAX(-fyd_cc,MIN(fyd_cc,Es_cc*IF($E236&lt;=cc_D,0.0035*($E236-AF$12)/$E236,0.002*($E236-AF$12)/($E236-3*cc_D/7))))-fcd_cc*(1-(1-MAX(0,MIN(1,IF($E236&lt;=cc_D,0.0035*($E236-AF$12)/$E236,0.002*($E236-AF$12)/($E236-3*cc_D/7))/0.002)))^2)</f>
        <v/>
      </c>
      <c r="AG236">
        <f>MAX(-fyd_cc,MIN(fyd_cc,Es_cc*IF($E236&lt;=cc_D,0.0035*($E236-AG$12)/$E236,0.002*($E236-AG$12)/($E236-3*cc_D/7))))-fcd_cc*(1-(1-MAX(0,MIN(1,IF($E236&lt;=cc_D,0.0035*($E236-AG$12)/$E236,0.002*($E236-AG$12)/($E236-3*cc_D/7))/0.002)))^2)</f>
        <v/>
      </c>
      <c r="BF236">
        <f>3*MIN($E236,cc_D)/7</f>
        <v/>
      </c>
      <c r="BG236">
        <f>$E236-$BF236</f>
        <v/>
      </c>
      <c r="BH236">
        <f>ACOS(MAX(-1,MIN(1,1-$BF236/(cc_D/2))))</f>
        <v/>
      </c>
      <c r="BI236">
        <f>ACOS(MAX(-1,MIN(1,1-MIN($E236,cc_D)/(cc_D/2))))</f>
        <v/>
      </c>
      <c r="BJ236">
        <f>((cc_D/2*(1-COS(($BH236+0*($BI236-$BH236)/12)))-$BF236)/$BG236)^2*SIN(($BH236+0*($BI236-$BH236)/12))^2</f>
        <v/>
      </c>
      <c r="BK236">
        <f>((cc_D/2*(1-COS(($BH236+1*($BI236-$BH236)/12)))-$BF236)/$BG236)^2*SIN(($BH236+1*($BI236-$BH236)/12))^2</f>
        <v/>
      </c>
      <c r="BL236">
        <f>((cc_D/2*(1-COS(($BH236+2*($BI236-$BH236)/12)))-$BF236)/$BG236)^2*SIN(($BH236+2*($BI236-$BH236)/12))^2</f>
        <v/>
      </c>
      <c r="BM236">
        <f>((cc_D/2*(1-COS(($BH236+3*($BI236-$BH236)/12)))-$BF236)/$BG236)^2*SIN(($BH236+3*($BI236-$BH236)/12))^2</f>
        <v/>
      </c>
      <c r="BN236">
        <f>((cc_D/2*(1-COS(($BH236+4*($BI236-$BH236)/12)))-$BF236)/$BG236)^2*SIN(($BH236+4*($BI236-$BH236)/12))^2</f>
        <v/>
      </c>
      <c r="BO236">
        <f>((cc_D/2*(1-COS(($BH236+5*($BI236-$BH236)/12)))-$BF236)/$BG236)^2*SIN(($BH236+5*($BI236-$BH236)/12))^2</f>
        <v/>
      </c>
      <c r="BP236">
        <f>((cc_D/2*(1-COS(($BH236+6*($BI236-$BH236)/12)))-$BF236)/$BG236)^2*SIN(($BH236+6*($BI236-$BH236)/12))^2</f>
        <v/>
      </c>
      <c r="BQ236">
        <f>((cc_D/2*(1-COS(($BH236+7*($BI236-$BH236)/12)))-$BF236)/$BG236)^2*SIN(($BH236+7*($BI236-$BH236)/12))^2</f>
        <v/>
      </c>
      <c r="BR236">
        <f>((cc_D/2*(1-COS(($BH236+8*($BI236-$BH236)/12)))-$BF236)/$BG236)^2*SIN(($BH236+8*($BI236-$BH236)/12))^2</f>
        <v/>
      </c>
      <c r="BS236">
        <f>((cc_D/2*(1-COS(($BH236+9*($BI236-$BH236)/12)))-$BF236)/$BG236)^2*SIN(($BH236+9*($BI236-$BH236)/12))^2</f>
        <v/>
      </c>
      <c r="BT236">
        <f>((cc_D/2*(1-COS(($BH236+10*($BI236-$BH236)/12)))-$BF236)/$BG236)^2*SIN(($BH236+10*($BI236-$BH236)/12))^2</f>
        <v/>
      </c>
      <c r="BU236">
        <f>((cc_D/2*(1-COS(($BH236+11*($BI236-$BH236)/12)))-$BF236)/$BG236)^2*SIN(($BH236+11*($BI236-$BH236)/12))^2</f>
        <v/>
      </c>
      <c r="BV236">
        <f>((cc_D/2*(1-COS(($BH236+12*($BI236-$BH236)/12)))-$BF236)/$BG236)^2*SIN(($BH236+12*($BI236-$BH236)/12))^2</f>
        <v/>
      </c>
      <c r="BW236">
        <f>BJ236*COS(($BH236+0*($BI236-$BH236)/12))</f>
        <v/>
      </c>
      <c r="BX236">
        <f>BK236*COS(($BH236+1*($BI236-$BH236)/12))</f>
        <v/>
      </c>
      <c r="BY236">
        <f>BL236*COS(($BH236+2*($BI236-$BH236)/12))</f>
        <v/>
      </c>
      <c r="BZ236">
        <f>BM236*COS(($BH236+3*($BI236-$BH236)/12))</f>
        <v/>
      </c>
      <c r="CA236">
        <f>BN236*COS(($BH236+4*($BI236-$BH236)/12))</f>
        <v/>
      </c>
      <c r="CB236">
        <f>BO236*COS(($BH236+5*($BI236-$BH236)/12))</f>
        <v/>
      </c>
      <c r="CC236">
        <f>BP236*COS(($BH236+6*($BI236-$BH236)/12))</f>
        <v/>
      </c>
      <c r="CD236">
        <f>BQ236*COS(($BH236+7*($BI236-$BH236)/12))</f>
        <v/>
      </c>
      <c r="CE236">
        <f>BR236*COS(($BH236+8*($BI236-$BH236)/12))</f>
        <v/>
      </c>
      <c r="CF236">
        <f>BS236*COS(($BH236+9*($BI236-$BH236)/12))</f>
        <v/>
      </c>
      <c r="CG236">
        <f>BT236*COS(($BH236+10*($BI236-$BH236)/12))</f>
        <v/>
      </c>
      <c r="CH236">
        <f>BU236*COS(($BH236+11*($BI236-$BH236)/12))</f>
        <v/>
      </c>
      <c r="CI236">
        <f>BV236*COS(($BH236+12*($BI236-$BH236)/12))</f>
        <v/>
      </c>
    </row>
    <row r="237">
      <c r="B237" s="65" t="n">
        <v>22</v>
      </c>
      <c r="C237" s="66">
        <f>IF($G236&lt;cc_NEd-1E-9*ABS(cc_NEd),($C236+$D236)/2,$C236)</f>
        <v/>
      </c>
      <c r="D237" s="66">
        <f>IF($G236&lt;cc_NEd-1E-9*ABS(cc_NEd),$D236,($C236+$D236)/2)</f>
        <v/>
      </c>
      <c r="E237" s="67">
        <f>cc_D*(($C237+$D237)/2)/(1-(($C237+$D237)/2))</f>
        <v/>
      </c>
      <c r="F237" s="68">
        <f>IF($E237&lt;=cc_D,3.5,2*$E237/($E237-3*cc_D/7))</f>
        <v/>
      </c>
      <c r="G237" s="67">
        <f>(fcd_cc*((cc_D/2)^2*($BI237-COS($BI237)*SIN($BI237))-2*(cc_D/2)^2*($BI237-$BH237)/12/3*SUMPRODUCT($BJ$4:$BV$4,$BJ237:$BV237))+SUMPRODUCT($J$5:$AG$5,$J237:$AG237))/1000</f>
        <v/>
      </c>
      <c r="H237" s="67">
        <f>(fcd_cc*(2/3*(cc_D/2)^3*SIN($BI237)^3-2*(cc_D/2)^3*($BI237-$BH237)/12/3*SUMPRODUCT($BW$4:$CI$4,$BW237:$CI237))+SUMPRODUCT($J$5:$AG$5,$J237:$AG237,$J$13:$AG$13))/1E6</f>
        <v/>
      </c>
      <c r="I237" s="67">
        <f>SUMPRODUCT($J$5:$AG$5,$J237:$AG237,$J$14:$AG$14)/1E6</f>
        <v/>
      </c>
      <c r="J237">
        <f>MAX(-fyd_cc,MIN(fyd_cc,Es_cc*IF($E237&lt;=cc_D,0.0035*($E237-J$12)/$E237,0.002*($E237-J$12)/($E237-3*cc_D/7))))-fcd_cc*(1-(1-MAX(0,MIN(1,IF($E237&lt;=cc_D,0.0035*($E237-J$12)/$E237,0.002*($E237-J$12)/($E237-3*cc_D/7))/0.002)))^2)</f>
        <v/>
      </c>
      <c r="K237">
        <f>MAX(-fyd_cc,MIN(fyd_cc,Es_cc*IF($E237&lt;=cc_D,0.0035*($E237-K$12)/$E237,0.002*($E237-K$12)/($E237-3*cc_D/7))))-fcd_cc*(1-(1-MAX(0,MIN(1,IF($E237&lt;=cc_D,0.0035*($E237-K$12)/$E237,0.002*($E237-K$12)/($E237-3*cc_D/7))/0.002)))^2)</f>
        <v/>
      </c>
      <c r="L237">
        <f>MAX(-fyd_cc,MIN(fyd_cc,Es_cc*IF($E237&lt;=cc_D,0.0035*($E237-L$12)/$E237,0.002*($E237-L$12)/($E237-3*cc_D/7))))-fcd_cc*(1-(1-MAX(0,MIN(1,IF($E237&lt;=cc_D,0.0035*($E237-L$12)/$E237,0.002*($E237-L$12)/($E237-3*cc_D/7))/0.002)))^2)</f>
        <v/>
      </c>
      <c r="M237">
        <f>MAX(-fyd_cc,MIN(fyd_cc,Es_cc*IF($E237&lt;=cc_D,0.0035*($E237-M$12)/$E237,0.002*($E237-M$12)/($E237-3*cc_D/7))))-fcd_cc*(1-(1-MAX(0,MIN(1,IF($E237&lt;=cc_D,0.0035*($E237-M$12)/$E237,0.002*($E237-M$12)/($E237-3*cc_D/7))/0.002)))^2)</f>
        <v/>
      </c>
      <c r="N237">
        <f>MAX(-fyd_cc,MIN(fyd_cc,Es_cc*IF($E237&lt;=cc_D,0.0035*($E237-N$12)/$E237,0.002*($E237-N$12)/($E237-3*cc_D/7))))-fcd_cc*(1-(1-MAX(0,MIN(1,IF($E237&lt;=cc_D,0.0035*($E237-N$12)/$E237,0.002*($E237-N$12)/($E237-3*cc_D/7))/0.002)))^2)</f>
        <v/>
      </c>
      <c r="O237">
        <f>MAX(-fyd_cc,MIN(fyd_cc,Es_cc*IF($E237&lt;=cc_D,0.0035*($E237-O$12)/$E237,0.002*($E237-O$12)/($E237-3*cc_D/7))))-fcd_cc*(1-(1-MAX(0,MIN(1,IF($E237&lt;=cc_D,0.0035*($E237-O$12)/$E237,0.002*($E237-O$12)/($E237-3*cc_D/7))/0.002)))^2)</f>
        <v/>
      </c>
      <c r="P237">
        <f>MAX(-fyd_cc,MIN(fyd_cc,Es_cc*IF($E237&lt;=cc_D,0.0035*($E237-P$12)/$E237,0.002*($E237-P$12)/($E237-3*cc_D/7))))-fcd_cc*(1-(1-MAX(0,MIN(1,IF($E237&lt;=cc_D,0.0035*($E237-P$12)/$E237,0.002*($E237-P$12)/($E237-3*cc_D/7))/0.002)))^2)</f>
        <v/>
      </c>
      <c r="Q237">
        <f>MAX(-fyd_cc,MIN(fyd_cc,Es_cc*IF($E237&lt;=cc_D,0.0035*($E237-Q$12)/$E237,0.002*($E237-Q$12)/($E237-3*cc_D/7))))-fcd_cc*(1-(1-MAX(0,MIN(1,IF($E237&lt;=cc_D,0.0035*($E237-Q$12)/$E237,0.002*($E237-Q$12)/($E237-3*cc_D/7))/0.002)))^2)</f>
        <v/>
      </c>
      <c r="R237">
        <f>MAX(-fyd_cc,MIN(fyd_cc,Es_cc*IF($E237&lt;=cc_D,0.0035*($E237-R$12)/$E237,0.002*($E237-R$12)/($E237-3*cc_D/7))))-fcd_cc*(1-(1-MAX(0,MIN(1,IF($E237&lt;=cc_D,0.0035*($E237-R$12)/$E237,0.002*($E237-R$12)/($E237-3*cc_D/7))/0.002)))^2)</f>
        <v/>
      </c>
      <c r="S237">
        <f>MAX(-fyd_cc,MIN(fyd_cc,Es_cc*IF($E237&lt;=cc_D,0.0035*($E237-S$12)/$E237,0.002*($E237-S$12)/($E237-3*cc_D/7))))-fcd_cc*(1-(1-MAX(0,MIN(1,IF($E237&lt;=cc_D,0.0035*($E237-S$12)/$E237,0.002*($E237-S$12)/($E237-3*cc_D/7))/0.002)))^2)</f>
        <v/>
      </c>
      <c r="T237">
        <f>MAX(-fyd_cc,MIN(fyd_cc,Es_cc*IF($E237&lt;=cc_D,0.0035*($E237-T$12)/$E237,0.002*($E237-T$12)/($E237-3*cc_D/7))))-fcd_cc*(1-(1-MAX(0,MIN(1,IF($E237&lt;=cc_D,0.0035*($E237-T$12)/$E237,0.002*($E237-T$12)/($E237-3*cc_D/7))/0.002)))^2)</f>
        <v/>
      </c>
      <c r="U237">
        <f>MAX(-fyd_cc,MIN(fyd_cc,Es_cc*IF($E237&lt;=cc_D,0.0035*($E237-U$12)/$E237,0.002*($E237-U$12)/($E237-3*cc_D/7))))-fcd_cc*(1-(1-MAX(0,MIN(1,IF($E237&lt;=cc_D,0.0035*($E237-U$12)/$E237,0.002*($E237-U$12)/($E237-3*cc_D/7))/0.002)))^2)</f>
        <v/>
      </c>
      <c r="V237">
        <f>MAX(-fyd_cc,MIN(fyd_cc,Es_cc*IF($E237&lt;=cc_D,0.0035*($E237-V$12)/$E237,0.002*($E237-V$12)/($E237-3*cc_D/7))))-fcd_cc*(1-(1-MAX(0,MIN(1,IF($E237&lt;=cc_D,0.0035*($E237-V$12)/$E237,0.002*($E237-V$12)/($E237-3*cc_D/7))/0.002)))^2)</f>
        <v/>
      </c>
      <c r="W237">
        <f>MAX(-fyd_cc,MIN(fyd_cc,Es_cc*IF($E237&lt;=cc_D,0.0035*($E237-W$12)/$E237,0.002*($E237-W$12)/($E237-3*cc_D/7))))-fcd_cc*(1-(1-MAX(0,MIN(1,IF($E237&lt;=cc_D,0.0035*($E237-W$12)/$E237,0.002*($E237-W$12)/($E237-3*cc_D/7))/0.002)))^2)</f>
        <v/>
      </c>
      <c r="X237">
        <f>MAX(-fyd_cc,MIN(fyd_cc,Es_cc*IF($E237&lt;=cc_D,0.0035*($E237-X$12)/$E237,0.002*($E237-X$12)/($E237-3*cc_D/7))))-fcd_cc*(1-(1-MAX(0,MIN(1,IF($E237&lt;=cc_D,0.0035*($E237-X$12)/$E237,0.002*($E237-X$12)/($E237-3*cc_D/7))/0.002)))^2)</f>
        <v/>
      </c>
      <c r="Y237">
        <f>MAX(-fyd_cc,MIN(fyd_cc,Es_cc*IF($E237&lt;=cc_D,0.0035*($E237-Y$12)/$E237,0.002*($E237-Y$12)/($E237-3*cc_D/7))))-fcd_cc*(1-(1-MAX(0,MIN(1,IF($E237&lt;=cc_D,0.0035*($E237-Y$12)/$E237,0.002*($E237-Y$12)/($E237-3*cc_D/7))/0.002)))^2)</f>
        <v/>
      </c>
      <c r="Z237">
        <f>MAX(-fyd_cc,MIN(fyd_cc,Es_cc*IF($E237&lt;=cc_D,0.0035*($E237-Z$12)/$E237,0.002*($E237-Z$12)/($E237-3*cc_D/7))))-fcd_cc*(1-(1-MAX(0,MIN(1,IF($E237&lt;=cc_D,0.0035*($E237-Z$12)/$E237,0.002*($E237-Z$12)/($E237-3*cc_D/7))/0.002)))^2)</f>
        <v/>
      </c>
      <c r="AA237">
        <f>MAX(-fyd_cc,MIN(fyd_cc,Es_cc*IF($E237&lt;=cc_D,0.0035*($E237-AA$12)/$E237,0.002*($E237-AA$12)/($E237-3*cc_D/7))))-fcd_cc*(1-(1-MAX(0,MIN(1,IF($E237&lt;=cc_D,0.0035*($E237-AA$12)/$E237,0.002*($E237-AA$12)/($E237-3*cc_D/7))/0.002)))^2)</f>
        <v/>
      </c>
      <c r="AB237">
        <f>MAX(-fyd_cc,MIN(fyd_cc,Es_cc*IF($E237&lt;=cc_D,0.0035*($E237-AB$12)/$E237,0.002*($E237-AB$12)/($E237-3*cc_D/7))))-fcd_cc*(1-(1-MAX(0,MIN(1,IF($E237&lt;=cc_D,0.0035*($E237-AB$12)/$E237,0.002*($E237-AB$12)/($E237-3*cc_D/7))/0.002)))^2)</f>
        <v/>
      </c>
      <c r="AC237">
        <f>MAX(-fyd_cc,MIN(fyd_cc,Es_cc*IF($E237&lt;=cc_D,0.0035*($E237-AC$12)/$E237,0.002*($E237-AC$12)/($E237-3*cc_D/7))))-fcd_cc*(1-(1-MAX(0,MIN(1,IF($E237&lt;=cc_D,0.0035*($E237-AC$12)/$E237,0.002*($E237-AC$12)/($E237-3*cc_D/7))/0.002)))^2)</f>
        <v/>
      </c>
      <c r="AD237">
        <f>MAX(-fyd_cc,MIN(fyd_cc,Es_cc*IF($E237&lt;=cc_D,0.0035*($E237-AD$12)/$E237,0.002*($E237-AD$12)/($E237-3*cc_D/7))))-fcd_cc*(1-(1-MAX(0,MIN(1,IF($E237&lt;=cc_D,0.0035*($E237-AD$12)/$E237,0.002*($E237-AD$12)/($E237-3*cc_D/7))/0.002)))^2)</f>
        <v/>
      </c>
      <c r="AE237">
        <f>MAX(-fyd_cc,MIN(fyd_cc,Es_cc*IF($E237&lt;=cc_D,0.0035*($E237-AE$12)/$E237,0.002*($E237-AE$12)/($E237-3*cc_D/7))))-fcd_cc*(1-(1-MAX(0,MIN(1,IF($E237&lt;=cc_D,0.0035*($E237-AE$12)/$E237,0.002*($E237-AE$12)/($E237-3*cc_D/7))/0.002)))^2)</f>
        <v/>
      </c>
      <c r="AF237">
        <f>MAX(-fyd_cc,MIN(fyd_cc,Es_cc*IF($E237&lt;=cc_D,0.0035*($E237-AF$12)/$E237,0.002*($E237-AF$12)/($E237-3*cc_D/7))))-fcd_cc*(1-(1-MAX(0,MIN(1,IF($E237&lt;=cc_D,0.0035*($E237-AF$12)/$E237,0.002*($E237-AF$12)/($E237-3*cc_D/7))/0.002)))^2)</f>
        <v/>
      </c>
      <c r="AG237">
        <f>MAX(-fyd_cc,MIN(fyd_cc,Es_cc*IF($E237&lt;=cc_D,0.0035*($E237-AG$12)/$E237,0.002*($E237-AG$12)/($E237-3*cc_D/7))))-fcd_cc*(1-(1-MAX(0,MIN(1,IF($E237&lt;=cc_D,0.0035*($E237-AG$12)/$E237,0.002*($E237-AG$12)/($E237-3*cc_D/7))/0.002)))^2)</f>
        <v/>
      </c>
      <c r="BF237">
        <f>3*MIN($E237,cc_D)/7</f>
        <v/>
      </c>
      <c r="BG237">
        <f>$E237-$BF237</f>
        <v/>
      </c>
      <c r="BH237">
        <f>ACOS(MAX(-1,MIN(1,1-$BF237/(cc_D/2))))</f>
        <v/>
      </c>
      <c r="BI237">
        <f>ACOS(MAX(-1,MIN(1,1-MIN($E237,cc_D)/(cc_D/2))))</f>
        <v/>
      </c>
      <c r="BJ237">
        <f>((cc_D/2*(1-COS(($BH237+0*($BI237-$BH237)/12)))-$BF237)/$BG237)^2*SIN(($BH237+0*($BI237-$BH237)/12))^2</f>
        <v/>
      </c>
      <c r="BK237">
        <f>((cc_D/2*(1-COS(($BH237+1*($BI237-$BH237)/12)))-$BF237)/$BG237)^2*SIN(($BH237+1*($BI237-$BH237)/12))^2</f>
        <v/>
      </c>
      <c r="BL237">
        <f>((cc_D/2*(1-COS(($BH237+2*($BI237-$BH237)/12)))-$BF237)/$BG237)^2*SIN(($BH237+2*($BI237-$BH237)/12))^2</f>
        <v/>
      </c>
      <c r="BM237">
        <f>((cc_D/2*(1-COS(($BH237+3*($BI237-$BH237)/12)))-$BF237)/$BG237)^2*SIN(($BH237+3*($BI237-$BH237)/12))^2</f>
        <v/>
      </c>
      <c r="BN237">
        <f>((cc_D/2*(1-COS(($BH237+4*($BI237-$BH237)/12)))-$BF237)/$BG237)^2*SIN(($BH237+4*($BI237-$BH237)/12))^2</f>
        <v/>
      </c>
      <c r="BO237">
        <f>((cc_D/2*(1-COS(($BH237+5*($BI237-$BH237)/12)))-$BF237)/$BG237)^2*SIN(($BH237+5*($BI237-$BH237)/12))^2</f>
        <v/>
      </c>
      <c r="BP237">
        <f>((cc_D/2*(1-COS(($BH237+6*($BI237-$BH237)/12)))-$BF237)/$BG237)^2*SIN(($BH237+6*($BI237-$BH237)/12))^2</f>
        <v/>
      </c>
      <c r="BQ237">
        <f>((cc_D/2*(1-COS(($BH237+7*($BI237-$BH237)/12)))-$BF237)/$BG237)^2*SIN(($BH237+7*($BI237-$BH237)/12))^2</f>
        <v/>
      </c>
      <c r="BR237">
        <f>((cc_D/2*(1-COS(($BH237+8*($BI237-$BH237)/12)))-$BF237)/$BG237)^2*SIN(($BH237+8*($BI237-$BH237)/12))^2</f>
        <v/>
      </c>
      <c r="BS237">
        <f>((cc_D/2*(1-COS(($BH237+9*($BI237-$BH237)/12)))-$BF237)/$BG237)^2*SIN(($BH237+9*($BI237-$BH237)/12))^2</f>
        <v/>
      </c>
      <c r="BT237">
        <f>((cc_D/2*(1-COS(($BH237+10*($BI237-$BH237)/12)))-$BF237)/$BG237)^2*SIN(($BH237+10*($BI237-$BH237)/12))^2</f>
        <v/>
      </c>
      <c r="BU237">
        <f>((cc_D/2*(1-COS(($BH237+11*($BI237-$BH237)/12)))-$BF237)/$BG237)^2*SIN(($BH237+11*($BI237-$BH237)/12))^2</f>
        <v/>
      </c>
      <c r="BV237">
        <f>((cc_D/2*(1-COS(($BH237+12*($BI237-$BH237)/12)))-$BF237)/$BG237)^2*SIN(($BH237+12*($BI237-$BH237)/12))^2</f>
        <v/>
      </c>
      <c r="BW237">
        <f>BJ237*COS(($BH237+0*($BI237-$BH237)/12))</f>
        <v/>
      </c>
      <c r="BX237">
        <f>BK237*COS(($BH237+1*($BI237-$BH237)/12))</f>
        <v/>
      </c>
      <c r="BY237">
        <f>BL237*COS(($BH237+2*($BI237-$BH237)/12))</f>
        <v/>
      </c>
      <c r="BZ237">
        <f>BM237*COS(($BH237+3*($BI237-$BH237)/12))</f>
        <v/>
      </c>
      <c r="CA237">
        <f>BN237*COS(($BH237+4*($BI237-$BH237)/12))</f>
        <v/>
      </c>
      <c r="CB237">
        <f>BO237*COS(($BH237+5*($BI237-$BH237)/12))</f>
        <v/>
      </c>
      <c r="CC237">
        <f>BP237*COS(($BH237+6*($BI237-$BH237)/12))</f>
        <v/>
      </c>
      <c r="CD237">
        <f>BQ237*COS(($BH237+7*($BI237-$BH237)/12))</f>
        <v/>
      </c>
      <c r="CE237">
        <f>BR237*COS(($BH237+8*($BI237-$BH237)/12))</f>
        <v/>
      </c>
      <c r="CF237">
        <f>BS237*COS(($BH237+9*($BI237-$BH237)/12))</f>
        <v/>
      </c>
      <c r="CG237">
        <f>BT237*COS(($BH237+10*($BI237-$BH237)/12))</f>
        <v/>
      </c>
      <c r="CH237">
        <f>BU237*COS(($BH237+11*($BI237-$BH237)/12))</f>
        <v/>
      </c>
      <c r="CI237">
        <f>BV237*COS(($BH237+12*($BI237-$BH237)/12))</f>
        <v/>
      </c>
    </row>
    <row r="238">
      <c r="B238" s="65" t="n">
        <v>23</v>
      </c>
      <c r="C238" s="66">
        <f>IF($G237&lt;cc_NEd-1E-9*ABS(cc_NEd),($C237+$D237)/2,$C237)</f>
        <v/>
      </c>
      <c r="D238" s="66">
        <f>IF($G237&lt;cc_NEd-1E-9*ABS(cc_NEd),$D237,($C237+$D237)/2)</f>
        <v/>
      </c>
      <c r="E238" s="67">
        <f>cc_D*(($C238+$D238)/2)/(1-(($C238+$D238)/2))</f>
        <v/>
      </c>
      <c r="F238" s="68">
        <f>IF($E238&lt;=cc_D,3.5,2*$E238/($E238-3*cc_D/7))</f>
        <v/>
      </c>
      <c r="G238" s="67">
        <f>(fcd_cc*((cc_D/2)^2*($BI238-COS($BI238)*SIN($BI238))-2*(cc_D/2)^2*($BI238-$BH238)/12/3*SUMPRODUCT($BJ$4:$BV$4,$BJ238:$BV238))+SUMPRODUCT($J$5:$AG$5,$J238:$AG238))/1000</f>
        <v/>
      </c>
      <c r="H238" s="67">
        <f>(fcd_cc*(2/3*(cc_D/2)^3*SIN($BI238)^3-2*(cc_D/2)^3*($BI238-$BH238)/12/3*SUMPRODUCT($BW$4:$CI$4,$BW238:$CI238))+SUMPRODUCT($J$5:$AG$5,$J238:$AG238,$J$13:$AG$13))/1E6</f>
        <v/>
      </c>
      <c r="I238" s="67">
        <f>SUMPRODUCT($J$5:$AG$5,$J238:$AG238,$J$14:$AG$14)/1E6</f>
        <v/>
      </c>
      <c r="J238">
        <f>MAX(-fyd_cc,MIN(fyd_cc,Es_cc*IF($E238&lt;=cc_D,0.0035*($E238-J$12)/$E238,0.002*($E238-J$12)/($E238-3*cc_D/7))))-fcd_cc*(1-(1-MAX(0,MIN(1,IF($E238&lt;=cc_D,0.0035*($E238-J$12)/$E238,0.002*($E238-J$12)/($E238-3*cc_D/7))/0.002)))^2)</f>
        <v/>
      </c>
      <c r="K238">
        <f>MAX(-fyd_cc,MIN(fyd_cc,Es_cc*IF($E238&lt;=cc_D,0.0035*($E238-K$12)/$E238,0.002*($E238-K$12)/($E238-3*cc_D/7))))-fcd_cc*(1-(1-MAX(0,MIN(1,IF($E238&lt;=cc_D,0.0035*($E238-K$12)/$E238,0.002*($E238-K$12)/($E238-3*cc_D/7))/0.002)))^2)</f>
        <v/>
      </c>
      <c r="L238">
        <f>MAX(-fyd_cc,MIN(fyd_cc,Es_cc*IF($E238&lt;=cc_D,0.0035*($E238-L$12)/$E238,0.002*($E238-L$12)/($E238-3*cc_D/7))))-fcd_cc*(1-(1-MAX(0,MIN(1,IF($E238&lt;=cc_D,0.0035*($E238-L$12)/$E238,0.002*($E238-L$12)/($E238-3*cc_D/7))/0.002)))^2)</f>
        <v/>
      </c>
      <c r="M238">
        <f>MAX(-fyd_cc,MIN(fyd_cc,Es_cc*IF($E238&lt;=cc_D,0.0035*($E238-M$12)/$E238,0.002*($E238-M$12)/($E238-3*cc_D/7))))-fcd_cc*(1-(1-MAX(0,MIN(1,IF($E238&lt;=cc_D,0.0035*($E238-M$12)/$E238,0.002*($E238-M$12)/($E238-3*cc_D/7))/0.002)))^2)</f>
        <v/>
      </c>
      <c r="N238">
        <f>MAX(-fyd_cc,MIN(fyd_cc,Es_cc*IF($E238&lt;=cc_D,0.0035*($E238-N$12)/$E238,0.002*($E238-N$12)/($E238-3*cc_D/7))))-fcd_cc*(1-(1-MAX(0,MIN(1,IF($E238&lt;=cc_D,0.0035*($E238-N$12)/$E238,0.002*($E238-N$12)/($E238-3*cc_D/7))/0.002)))^2)</f>
        <v/>
      </c>
      <c r="O238">
        <f>MAX(-fyd_cc,MIN(fyd_cc,Es_cc*IF($E238&lt;=cc_D,0.0035*($E238-O$12)/$E238,0.002*($E238-O$12)/($E238-3*cc_D/7))))-fcd_cc*(1-(1-MAX(0,MIN(1,IF($E238&lt;=cc_D,0.0035*($E238-O$12)/$E238,0.002*($E238-O$12)/($E238-3*cc_D/7))/0.002)))^2)</f>
        <v/>
      </c>
      <c r="P238">
        <f>MAX(-fyd_cc,MIN(fyd_cc,Es_cc*IF($E238&lt;=cc_D,0.0035*($E238-P$12)/$E238,0.002*($E238-P$12)/($E238-3*cc_D/7))))-fcd_cc*(1-(1-MAX(0,MIN(1,IF($E238&lt;=cc_D,0.0035*($E238-P$12)/$E238,0.002*($E238-P$12)/($E238-3*cc_D/7))/0.002)))^2)</f>
        <v/>
      </c>
      <c r="Q238">
        <f>MAX(-fyd_cc,MIN(fyd_cc,Es_cc*IF($E238&lt;=cc_D,0.0035*($E238-Q$12)/$E238,0.002*($E238-Q$12)/($E238-3*cc_D/7))))-fcd_cc*(1-(1-MAX(0,MIN(1,IF($E238&lt;=cc_D,0.0035*($E238-Q$12)/$E238,0.002*($E238-Q$12)/($E238-3*cc_D/7))/0.002)))^2)</f>
        <v/>
      </c>
      <c r="R238">
        <f>MAX(-fyd_cc,MIN(fyd_cc,Es_cc*IF($E238&lt;=cc_D,0.0035*($E238-R$12)/$E238,0.002*($E238-R$12)/($E238-3*cc_D/7))))-fcd_cc*(1-(1-MAX(0,MIN(1,IF($E238&lt;=cc_D,0.0035*($E238-R$12)/$E238,0.002*($E238-R$12)/($E238-3*cc_D/7))/0.002)))^2)</f>
        <v/>
      </c>
      <c r="S238">
        <f>MAX(-fyd_cc,MIN(fyd_cc,Es_cc*IF($E238&lt;=cc_D,0.0035*($E238-S$12)/$E238,0.002*($E238-S$12)/($E238-3*cc_D/7))))-fcd_cc*(1-(1-MAX(0,MIN(1,IF($E238&lt;=cc_D,0.0035*($E238-S$12)/$E238,0.002*($E238-S$12)/($E238-3*cc_D/7))/0.002)))^2)</f>
        <v/>
      </c>
      <c r="T238">
        <f>MAX(-fyd_cc,MIN(fyd_cc,Es_cc*IF($E238&lt;=cc_D,0.0035*($E238-T$12)/$E238,0.002*($E238-T$12)/($E238-3*cc_D/7))))-fcd_cc*(1-(1-MAX(0,MIN(1,IF($E238&lt;=cc_D,0.0035*($E238-T$12)/$E238,0.002*($E238-T$12)/($E238-3*cc_D/7))/0.002)))^2)</f>
        <v/>
      </c>
      <c r="U238">
        <f>MAX(-fyd_cc,MIN(fyd_cc,Es_cc*IF($E238&lt;=cc_D,0.0035*($E238-U$12)/$E238,0.002*($E238-U$12)/($E238-3*cc_D/7))))-fcd_cc*(1-(1-MAX(0,MIN(1,IF($E238&lt;=cc_D,0.0035*($E238-U$12)/$E238,0.002*($E238-U$12)/($E238-3*cc_D/7))/0.002)))^2)</f>
        <v/>
      </c>
      <c r="V238">
        <f>MAX(-fyd_cc,MIN(fyd_cc,Es_cc*IF($E238&lt;=cc_D,0.0035*($E238-V$12)/$E238,0.002*($E238-V$12)/($E238-3*cc_D/7))))-fcd_cc*(1-(1-MAX(0,MIN(1,IF($E238&lt;=cc_D,0.0035*($E238-V$12)/$E238,0.002*($E238-V$12)/($E238-3*cc_D/7))/0.002)))^2)</f>
        <v/>
      </c>
      <c r="W238">
        <f>MAX(-fyd_cc,MIN(fyd_cc,Es_cc*IF($E238&lt;=cc_D,0.0035*($E238-W$12)/$E238,0.002*($E238-W$12)/($E238-3*cc_D/7))))-fcd_cc*(1-(1-MAX(0,MIN(1,IF($E238&lt;=cc_D,0.0035*($E238-W$12)/$E238,0.002*($E238-W$12)/($E238-3*cc_D/7))/0.002)))^2)</f>
        <v/>
      </c>
      <c r="X238">
        <f>MAX(-fyd_cc,MIN(fyd_cc,Es_cc*IF($E238&lt;=cc_D,0.0035*($E238-X$12)/$E238,0.002*($E238-X$12)/($E238-3*cc_D/7))))-fcd_cc*(1-(1-MAX(0,MIN(1,IF($E238&lt;=cc_D,0.0035*($E238-X$12)/$E238,0.002*($E238-X$12)/($E238-3*cc_D/7))/0.002)))^2)</f>
        <v/>
      </c>
      <c r="Y238">
        <f>MAX(-fyd_cc,MIN(fyd_cc,Es_cc*IF($E238&lt;=cc_D,0.0035*($E238-Y$12)/$E238,0.002*($E238-Y$12)/($E238-3*cc_D/7))))-fcd_cc*(1-(1-MAX(0,MIN(1,IF($E238&lt;=cc_D,0.0035*($E238-Y$12)/$E238,0.002*($E238-Y$12)/($E238-3*cc_D/7))/0.002)))^2)</f>
        <v/>
      </c>
      <c r="Z238">
        <f>MAX(-fyd_cc,MIN(fyd_cc,Es_cc*IF($E238&lt;=cc_D,0.0035*($E238-Z$12)/$E238,0.002*($E238-Z$12)/($E238-3*cc_D/7))))-fcd_cc*(1-(1-MAX(0,MIN(1,IF($E238&lt;=cc_D,0.0035*($E238-Z$12)/$E238,0.002*($E238-Z$12)/($E238-3*cc_D/7))/0.002)))^2)</f>
        <v/>
      </c>
      <c r="AA238">
        <f>MAX(-fyd_cc,MIN(fyd_cc,Es_cc*IF($E238&lt;=cc_D,0.0035*($E238-AA$12)/$E238,0.002*($E238-AA$12)/($E238-3*cc_D/7))))-fcd_cc*(1-(1-MAX(0,MIN(1,IF($E238&lt;=cc_D,0.0035*($E238-AA$12)/$E238,0.002*($E238-AA$12)/($E238-3*cc_D/7))/0.002)))^2)</f>
        <v/>
      </c>
      <c r="AB238">
        <f>MAX(-fyd_cc,MIN(fyd_cc,Es_cc*IF($E238&lt;=cc_D,0.0035*($E238-AB$12)/$E238,0.002*($E238-AB$12)/($E238-3*cc_D/7))))-fcd_cc*(1-(1-MAX(0,MIN(1,IF($E238&lt;=cc_D,0.0035*($E238-AB$12)/$E238,0.002*($E238-AB$12)/($E238-3*cc_D/7))/0.002)))^2)</f>
        <v/>
      </c>
      <c r="AC238">
        <f>MAX(-fyd_cc,MIN(fyd_cc,Es_cc*IF($E238&lt;=cc_D,0.0035*($E238-AC$12)/$E238,0.002*($E238-AC$12)/($E238-3*cc_D/7))))-fcd_cc*(1-(1-MAX(0,MIN(1,IF($E238&lt;=cc_D,0.0035*($E238-AC$12)/$E238,0.002*($E238-AC$12)/($E238-3*cc_D/7))/0.002)))^2)</f>
        <v/>
      </c>
      <c r="AD238">
        <f>MAX(-fyd_cc,MIN(fyd_cc,Es_cc*IF($E238&lt;=cc_D,0.0035*($E238-AD$12)/$E238,0.002*($E238-AD$12)/($E238-3*cc_D/7))))-fcd_cc*(1-(1-MAX(0,MIN(1,IF($E238&lt;=cc_D,0.0035*($E238-AD$12)/$E238,0.002*($E238-AD$12)/($E238-3*cc_D/7))/0.002)))^2)</f>
        <v/>
      </c>
      <c r="AE238">
        <f>MAX(-fyd_cc,MIN(fyd_cc,Es_cc*IF($E238&lt;=cc_D,0.0035*($E238-AE$12)/$E238,0.002*($E238-AE$12)/($E238-3*cc_D/7))))-fcd_cc*(1-(1-MAX(0,MIN(1,IF($E238&lt;=cc_D,0.0035*($E238-AE$12)/$E238,0.002*($E238-AE$12)/($E238-3*cc_D/7))/0.002)))^2)</f>
        <v/>
      </c>
      <c r="AF238">
        <f>MAX(-fyd_cc,MIN(fyd_cc,Es_cc*IF($E238&lt;=cc_D,0.0035*($E238-AF$12)/$E238,0.002*($E238-AF$12)/($E238-3*cc_D/7))))-fcd_cc*(1-(1-MAX(0,MIN(1,IF($E238&lt;=cc_D,0.0035*($E238-AF$12)/$E238,0.002*($E238-AF$12)/($E238-3*cc_D/7))/0.002)))^2)</f>
        <v/>
      </c>
      <c r="AG238">
        <f>MAX(-fyd_cc,MIN(fyd_cc,Es_cc*IF($E238&lt;=cc_D,0.0035*($E238-AG$12)/$E238,0.002*($E238-AG$12)/($E238-3*cc_D/7))))-fcd_cc*(1-(1-MAX(0,MIN(1,IF($E238&lt;=cc_D,0.0035*($E238-AG$12)/$E238,0.002*($E238-AG$12)/($E238-3*cc_D/7))/0.002)))^2)</f>
        <v/>
      </c>
      <c r="BF238">
        <f>3*MIN($E238,cc_D)/7</f>
        <v/>
      </c>
      <c r="BG238">
        <f>$E238-$BF238</f>
        <v/>
      </c>
      <c r="BH238">
        <f>ACOS(MAX(-1,MIN(1,1-$BF238/(cc_D/2))))</f>
        <v/>
      </c>
      <c r="BI238">
        <f>ACOS(MAX(-1,MIN(1,1-MIN($E238,cc_D)/(cc_D/2))))</f>
        <v/>
      </c>
      <c r="BJ238">
        <f>((cc_D/2*(1-COS(($BH238+0*($BI238-$BH238)/12)))-$BF238)/$BG238)^2*SIN(($BH238+0*($BI238-$BH238)/12))^2</f>
        <v/>
      </c>
      <c r="BK238">
        <f>((cc_D/2*(1-COS(($BH238+1*($BI238-$BH238)/12)))-$BF238)/$BG238)^2*SIN(($BH238+1*($BI238-$BH238)/12))^2</f>
        <v/>
      </c>
      <c r="BL238">
        <f>((cc_D/2*(1-COS(($BH238+2*($BI238-$BH238)/12)))-$BF238)/$BG238)^2*SIN(($BH238+2*($BI238-$BH238)/12))^2</f>
        <v/>
      </c>
      <c r="BM238">
        <f>((cc_D/2*(1-COS(($BH238+3*($BI238-$BH238)/12)))-$BF238)/$BG238)^2*SIN(($BH238+3*($BI238-$BH238)/12))^2</f>
        <v/>
      </c>
      <c r="BN238">
        <f>((cc_D/2*(1-COS(($BH238+4*($BI238-$BH238)/12)))-$BF238)/$BG238)^2*SIN(($BH238+4*($BI238-$BH238)/12))^2</f>
        <v/>
      </c>
      <c r="BO238">
        <f>((cc_D/2*(1-COS(($BH238+5*($BI238-$BH238)/12)))-$BF238)/$BG238)^2*SIN(($BH238+5*($BI238-$BH238)/12))^2</f>
        <v/>
      </c>
      <c r="BP238">
        <f>((cc_D/2*(1-COS(($BH238+6*($BI238-$BH238)/12)))-$BF238)/$BG238)^2*SIN(($BH238+6*($BI238-$BH238)/12))^2</f>
        <v/>
      </c>
      <c r="BQ238">
        <f>((cc_D/2*(1-COS(($BH238+7*($BI238-$BH238)/12)))-$BF238)/$BG238)^2*SIN(($BH238+7*($BI238-$BH238)/12))^2</f>
        <v/>
      </c>
      <c r="BR238">
        <f>((cc_D/2*(1-COS(($BH238+8*($BI238-$BH238)/12)))-$BF238)/$BG238)^2*SIN(($BH238+8*($BI238-$BH238)/12))^2</f>
        <v/>
      </c>
      <c r="BS238">
        <f>((cc_D/2*(1-COS(($BH238+9*($BI238-$BH238)/12)))-$BF238)/$BG238)^2*SIN(($BH238+9*($BI238-$BH238)/12))^2</f>
        <v/>
      </c>
      <c r="BT238">
        <f>((cc_D/2*(1-COS(($BH238+10*($BI238-$BH238)/12)))-$BF238)/$BG238)^2*SIN(($BH238+10*($BI238-$BH238)/12))^2</f>
        <v/>
      </c>
      <c r="BU238">
        <f>((cc_D/2*(1-COS(($BH238+11*($BI238-$BH238)/12)))-$BF238)/$BG238)^2*SIN(($BH238+11*($BI238-$BH238)/12))^2</f>
        <v/>
      </c>
      <c r="BV238">
        <f>((cc_D/2*(1-COS(($BH238+12*($BI238-$BH238)/12)))-$BF238)/$BG238)^2*SIN(($BH238+12*($BI238-$BH238)/12))^2</f>
        <v/>
      </c>
      <c r="BW238">
        <f>BJ238*COS(($BH238+0*($BI238-$BH238)/12))</f>
        <v/>
      </c>
      <c r="BX238">
        <f>BK238*COS(($BH238+1*($BI238-$BH238)/12))</f>
        <v/>
      </c>
      <c r="BY238">
        <f>BL238*COS(($BH238+2*($BI238-$BH238)/12))</f>
        <v/>
      </c>
      <c r="BZ238">
        <f>BM238*COS(($BH238+3*($BI238-$BH238)/12))</f>
        <v/>
      </c>
      <c r="CA238">
        <f>BN238*COS(($BH238+4*($BI238-$BH238)/12))</f>
        <v/>
      </c>
      <c r="CB238">
        <f>BO238*COS(($BH238+5*($BI238-$BH238)/12))</f>
        <v/>
      </c>
      <c r="CC238">
        <f>BP238*COS(($BH238+6*($BI238-$BH238)/12))</f>
        <v/>
      </c>
      <c r="CD238">
        <f>BQ238*COS(($BH238+7*($BI238-$BH238)/12))</f>
        <v/>
      </c>
      <c r="CE238">
        <f>BR238*COS(($BH238+8*($BI238-$BH238)/12))</f>
        <v/>
      </c>
      <c r="CF238">
        <f>BS238*COS(($BH238+9*($BI238-$BH238)/12))</f>
        <v/>
      </c>
      <c r="CG238">
        <f>BT238*COS(($BH238+10*($BI238-$BH238)/12))</f>
        <v/>
      </c>
      <c r="CH238">
        <f>BU238*COS(($BH238+11*($BI238-$BH238)/12))</f>
        <v/>
      </c>
      <c r="CI238">
        <f>BV238*COS(($BH238+12*($BI238-$BH238)/12))</f>
        <v/>
      </c>
    </row>
    <row r="239">
      <c r="B239" s="65" t="n">
        <v>24</v>
      </c>
      <c r="C239" s="66">
        <f>IF($G238&lt;cc_NEd-1E-9*ABS(cc_NEd),($C238+$D238)/2,$C238)</f>
        <v/>
      </c>
      <c r="D239" s="66">
        <f>IF($G238&lt;cc_NEd-1E-9*ABS(cc_NEd),$D238,($C238+$D238)/2)</f>
        <v/>
      </c>
      <c r="E239" s="67">
        <f>cc_D*(($C239+$D239)/2)/(1-(($C239+$D239)/2))</f>
        <v/>
      </c>
      <c r="F239" s="68">
        <f>IF($E239&lt;=cc_D,3.5,2*$E239/($E239-3*cc_D/7))</f>
        <v/>
      </c>
      <c r="G239" s="67">
        <f>(fcd_cc*((cc_D/2)^2*($BI239-COS($BI239)*SIN($BI239))-2*(cc_D/2)^2*($BI239-$BH239)/12/3*SUMPRODUCT($BJ$4:$BV$4,$BJ239:$BV239))+SUMPRODUCT($J$5:$AG$5,$J239:$AG239))/1000</f>
        <v/>
      </c>
      <c r="H239" s="67">
        <f>(fcd_cc*(2/3*(cc_D/2)^3*SIN($BI239)^3-2*(cc_D/2)^3*($BI239-$BH239)/12/3*SUMPRODUCT($BW$4:$CI$4,$BW239:$CI239))+SUMPRODUCT($J$5:$AG$5,$J239:$AG239,$J$13:$AG$13))/1E6</f>
        <v/>
      </c>
      <c r="I239" s="67">
        <f>SUMPRODUCT($J$5:$AG$5,$J239:$AG239,$J$14:$AG$14)/1E6</f>
        <v/>
      </c>
      <c r="J239">
        <f>MAX(-fyd_cc,MIN(fyd_cc,Es_cc*IF($E239&lt;=cc_D,0.0035*($E239-J$12)/$E239,0.002*($E239-J$12)/($E239-3*cc_D/7))))-fcd_cc*(1-(1-MAX(0,MIN(1,IF($E239&lt;=cc_D,0.0035*($E239-J$12)/$E239,0.002*($E239-J$12)/($E239-3*cc_D/7))/0.002)))^2)</f>
        <v/>
      </c>
      <c r="K239">
        <f>MAX(-fyd_cc,MIN(fyd_cc,Es_cc*IF($E239&lt;=cc_D,0.0035*($E239-K$12)/$E239,0.002*($E239-K$12)/($E239-3*cc_D/7))))-fcd_cc*(1-(1-MAX(0,MIN(1,IF($E239&lt;=cc_D,0.0035*($E239-K$12)/$E239,0.002*($E239-K$12)/($E239-3*cc_D/7))/0.002)))^2)</f>
        <v/>
      </c>
      <c r="L239">
        <f>MAX(-fyd_cc,MIN(fyd_cc,Es_cc*IF($E239&lt;=cc_D,0.0035*($E239-L$12)/$E239,0.002*($E239-L$12)/($E239-3*cc_D/7))))-fcd_cc*(1-(1-MAX(0,MIN(1,IF($E239&lt;=cc_D,0.0035*($E239-L$12)/$E239,0.002*($E239-L$12)/($E239-3*cc_D/7))/0.002)))^2)</f>
        <v/>
      </c>
      <c r="M239">
        <f>MAX(-fyd_cc,MIN(fyd_cc,Es_cc*IF($E239&lt;=cc_D,0.0035*($E239-M$12)/$E239,0.002*($E239-M$12)/($E239-3*cc_D/7))))-fcd_cc*(1-(1-MAX(0,MIN(1,IF($E239&lt;=cc_D,0.0035*($E239-M$12)/$E239,0.002*($E239-M$12)/($E239-3*cc_D/7))/0.002)))^2)</f>
        <v/>
      </c>
      <c r="N239">
        <f>MAX(-fyd_cc,MIN(fyd_cc,Es_cc*IF($E239&lt;=cc_D,0.0035*($E239-N$12)/$E239,0.002*($E239-N$12)/($E239-3*cc_D/7))))-fcd_cc*(1-(1-MAX(0,MIN(1,IF($E239&lt;=cc_D,0.0035*($E239-N$12)/$E239,0.002*($E239-N$12)/($E239-3*cc_D/7))/0.002)))^2)</f>
        <v/>
      </c>
      <c r="O239">
        <f>MAX(-fyd_cc,MIN(fyd_cc,Es_cc*IF($E239&lt;=cc_D,0.0035*($E239-O$12)/$E239,0.002*($E239-O$12)/($E239-3*cc_D/7))))-fcd_cc*(1-(1-MAX(0,MIN(1,IF($E239&lt;=cc_D,0.0035*($E239-O$12)/$E239,0.002*($E239-O$12)/($E239-3*cc_D/7))/0.002)))^2)</f>
        <v/>
      </c>
      <c r="P239">
        <f>MAX(-fyd_cc,MIN(fyd_cc,Es_cc*IF($E239&lt;=cc_D,0.0035*($E239-P$12)/$E239,0.002*($E239-P$12)/($E239-3*cc_D/7))))-fcd_cc*(1-(1-MAX(0,MIN(1,IF($E239&lt;=cc_D,0.0035*($E239-P$12)/$E239,0.002*($E239-P$12)/($E239-3*cc_D/7))/0.002)))^2)</f>
        <v/>
      </c>
      <c r="Q239">
        <f>MAX(-fyd_cc,MIN(fyd_cc,Es_cc*IF($E239&lt;=cc_D,0.0035*($E239-Q$12)/$E239,0.002*($E239-Q$12)/($E239-3*cc_D/7))))-fcd_cc*(1-(1-MAX(0,MIN(1,IF($E239&lt;=cc_D,0.0035*($E239-Q$12)/$E239,0.002*($E239-Q$12)/($E239-3*cc_D/7))/0.002)))^2)</f>
        <v/>
      </c>
      <c r="R239">
        <f>MAX(-fyd_cc,MIN(fyd_cc,Es_cc*IF($E239&lt;=cc_D,0.0035*($E239-R$12)/$E239,0.002*($E239-R$12)/($E239-3*cc_D/7))))-fcd_cc*(1-(1-MAX(0,MIN(1,IF($E239&lt;=cc_D,0.0035*($E239-R$12)/$E239,0.002*($E239-R$12)/($E239-3*cc_D/7))/0.002)))^2)</f>
        <v/>
      </c>
      <c r="S239">
        <f>MAX(-fyd_cc,MIN(fyd_cc,Es_cc*IF($E239&lt;=cc_D,0.0035*($E239-S$12)/$E239,0.002*($E239-S$12)/($E239-3*cc_D/7))))-fcd_cc*(1-(1-MAX(0,MIN(1,IF($E239&lt;=cc_D,0.0035*($E239-S$12)/$E239,0.002*($E239-S$12)/($E239-3*cc_D/7))/0.002)))^2)</f>
        <v/>
      </c>
      <c r="T239">
        <f>MAX(-fyd_cc,MIN(fyd_cc,Es_cc*IF($E239&lt;=cc_D,0.0035*($E239-T$12)/$E239,0.002*($E239-T$12)/($E239-3*cc_D/7))))-fcd_cc*(1-(1-MAX(0,MIN(1,IF($E239&lt;=cc_D,0.0035*($E239-T$12)/$E239,0.002*($E239-T$12)/($E239-3*cc_D/7))/0.002)))^2)</f>
        <v/>
      </c>
      <c r="U239">
        <f>MAX(-fyd_cc,MIN(fyd_cc,Es_cc*IF($E239&lt;=cc_D,0.0035*($E239-U$12)/$E239,0.002*($E239-U$12)/($E239-3*cc_D/7))))-fcd_cc*(1-(1-MAX(0,MIN(1,IF($E239&lt;=cc_D,0.0035*($E239-U$12)/$E239,0.002*($E239-U$12)/($E239-3*cc_D/7))/0.002)))^2)</f>
        <v/>
      </c>
      <c r="V239">
        <f>MAX(-fyd_cc,MIN(fyd_cc,Es_cc*IF($E239&lt;=cc_D,0.0035*($E239-V$12)/$E239,0.002*($E239-V$12)/($E239-3*cc_D/7))))-fcd_cc*(1-(1-MAX(0,MIN(1,IF($E239&lt;=cc_D,0.0035*($E239-V$12)/$E239,0.002*($E239-V$12)/($E239-3*cc_D/7))/0.002)))^2)</f>
        <v/>
      </c>
      <c r="W239">
        <f>MAX(-fyd_cc,MIN(fyd_cc,Es_cc*IF($E239&lt;=cc_D,0.0035*($E239-W$12)/$E239,0.002*($E239-W$12)/($E239-3*cc_D/7))))-fcd_cc*(1-(1-MAX(0,MIN(1,IF($E239&lt;=cc_D,0.0035*($E239-W$12)/$E239,0.002*($E239-W$12)/($E239-3*cc_D/7))/0.002)))^2)</f>
        <v/>
      </c>
      <c r="X239">
        <f>MAX(-fyd_cc,MIN(fyd_cc,Es_cc*IF($E239&lt;=cc_D,0.0035*($E239-X$12)/$E239,0.002*($E239-X$12)/($E239-3*cc_D/7))))-fcd_cc*(1-(1-MAX(0,MIN(1,IF($E239&lt;=cc_D,0.0035*($E239-X$12)/$E239,0.002*($E239-X$12)/($E239-3*cc_D/7))/0.002)))^2)</f>
        <v/>
      </c>
      <c r="Y239">
        <f>MAX(-fyd_cc,MIN(fyd_cc,Es_cc*IF($E239&lt;=cc_D,0.0035*($E239-Y$12)/$E239,0.002*($E239-Y$12)/($E239-3*cc_D/7))))-fcd_cc*(1-(1-MAX(0,MIN(1,IF($E239&lt;=cc_D,0.0035*($E239-Y$12)/$E239,0.002*($E239-Y$12)/($E239-3*cc_D/7))/0.002)))^2)</f>
        <v/>
      </c>
      <c r="Z239">
        <f>MAX(-fyd_cc,MIN(fyd_cc,Es_cc*IF($E239&lt;=cc_D,0.0035*($E239-Z$12)/$E239,0.002*($E239-Z$12)/($E239-3*cc_D/7))))-fcd_cc*(1-(1-MAX(0,MIN(1,IF($E239&lt;=cc_D,0.0035*($E239-Z$12)/$E239,0.002*($E239-Z$12)/($E239-3*cc_D/7))/0.002)))^2)</f>
        <v/>
      </c>
      <c r="AA239">
        <f>MAX(-fyd_cc,MIN(fyd_cc,Es_cc*IF($E239&lt;=cc_D,0.0035*($E239-AA$12)/$E239,0.002*($E239-AA$12)/($E239-3*cc_D/7))))-fcd_cc*(1-(1-MAX(0,MIN(1,IF($E239&lt;=cc_D,0.0035*($E239-AA$12)/$E239,0.002*($E239-AA$12)/($E239-3*cc_D/7))/0.002)))^2)</f>
        <v/>
      </c>
      <c r="AB239">
        <f>MAX(-fyd_cc,MIN(fyd_cc,Es_cc*IF($E239&lt;=cc_D,0.0035*($E239-AB$12)/$E239,0.002*($E239-AB$12)/($E239-3*cc_D/7))))-fcd_cc*(1-(1-MAX(0,MIN(1,IF($E239&lt;=cc_D,0.0035*($E239-AB$12)/$E239,0.002*($E239-AB$12)/($E239-3*cc_D/7))/0.002)))^2)</f>
        <v/>
      </c>
      <c r="AC239">
        <f>MAX(-fyd_cc,MIN(fyd_cc,Es_cc*IF($E239&lt;=cc_D,0.0035*($E239-AC$12)/$E239,0.002*($E239-AC$12)/($E239-3*cc_D/7))))-fcd_cc*(1-(1-MAX(0,MIN(1,IF($E239&lt;=cc_D,0.0035*($E239-AC$12)/$E239,0.002*($E239-AC$12)/($E239-3*cc_D/7))/0.002)))^2)</f>
        <v/>
      </c>
      <c r="AD239">
        <f>MAX(-fyd_cc,MIN(fyd_cc,Es_cc*IF($E239&lt;=cc_D,0.0035*($E239-AD$12)/$E239,0.002*($E239-AD$12)/($E239-3*cc_D/7))))-fcd_cc*(1-(1-MAX(0,MIN(1,IF($E239&lt;=cc_D,0.0035*($E239-AD$12)/$E239,0.002*($E239-AD$12)/($E239-3*cc_D/7))/0.002)))^2)</f>
        <v/>
      </c>
      <c r="AE239">
        <f>MAX(-fyd_cc,MIN(fyd_cc,Es_cc*IF($E239&lt;=cc_D,0.0035*($E239-AE$12)/$E239,0.002*($E239-AE$12)/($E239-3*cc_D/7))))-fcd_cc*(1-(1-MAX(0,MIN(1,IF($E239&lt;=cc_D,0.0035*($E239-AE$12)/$E239,0.002*($E239-AE$12)/($E239-3*cc_D/7))/0.002)))^2)</f>
        <v/>
      </c>
      <c r="AF239">
        <f>MAX(-fyd_cc,MIN(fyd_cc,Es_cc*IF($E239&lt;=cc_D,0.0035*($E239-AF$12)/$E239,0.002*($E239-AF$12)/($E239-3*cc_D/7))))-fcd_cc*(1-(1-MAX(0,MIN(1,IF($E239&lt;=cc_D,0.0035*($E239-AF$12)/$E239,0.002*($E239-AF$12)/($E239-3*cc_D/7))/0.002)))^2)</f>
        <v/>
      </c>
      <c r="AG239">
        <f>MAX(-fyd_cc,MIN(fyd_cc,Es_cc*IF($E239&lt;=cc_D,0.0035*($E239-AG$12)/$E239,0.002*($E239-AG$12)/($E239-3*cc_D/7))))-fcd_cc*(1-(1-MAX(0,MIN(1,IF($E239&lt;=cc_D,0.0035*($E239-AG$12)/$E239,0.002*($E239-AG$12)/($E239-3*cc_D/7))/0.002)))^2)</f>
        <v/>
      </c>
      <c r="BF239">
        <f>3*MIN($E239,cc_D)/7</f>
        <v/>
      </c>
      <c r="BG239">
        <f>$E239-$BF239</f>
        <v/>
      </c>
      <c r="BH239">
        <f>ACOS(MAX(-1,MIN(1,1-$BF239/(cc_D/2))))</f>
        <v/>
      </c>
      <c r="BI239">
        <f>ACOS(MAX(-1,MIN(1,1-MIN($E239,cc_D)/(cc_D/2))))</f>
        <v/>
      </c>
      <c r="BJ239">
        <f>((cc_D/2*(1-COS(($BH239+0*($BI239-$BH239)/12)))-$BF239)/$BG239)^2*SIN(($BH239+0*($BI239-$BH239)/12))^2</f>
        <v/>
      </c>
      <c r="BK239">
        <f>((cc_D/2*(1-COS(($BH239+1*($BI239-$BH239)/12)))-$BF239)/$BG239)^2*SIN(($BH239+1*($BI239-$BH239)/12))^2</f>
        <v/>
      </c>
      <c r="BL239">
        <f>((cc_D/2*(1-COS(($BH239+2*($BI239-$BH239)/12)))-$BF239)/$BG239)^2*SIN(($BH239+2*($BI239-$BH239)/12))^2</f>
        <v/>
      </c>
      <c r="BM239">
        <f>((cc_D/2*(1-COS(($BH239+3*($BI239-$BH239)/12)))-$BF239)/$BG239)^2*SIN(($BH239+3*($BI239-$BH239)/12))^2</f>
        <v/>
      </c>
      <c r="BN239">
        <f>((cc_D/2*(1-COS(($BH239+4*($BI239-$BH239)/12)))-$BF239)/$BG239)^2*SIN(($BH239+4*($BI239-$BH239)/12))^2</f>
        <v/>
      </c>
      <c r="BO239">
        <f>((cc_D/2*(1-COS(($BH239+5*($BI239-$BH239)/12)))-$BF239)/$BG239)^2*SIN(($BH239+5*($BI239-$BH239)/12))^2</f>
        <v/>
      </c>
      <c r="BP239">
        <f>((cc_D/2*(1-COS(($BH239+6*($BI239-$BH239)/12)))-$BF239)/$BG239)^2*SIN(($BH239+6*($BI239-$BH239)/12))^2</f>
        <v/>
      </c>
      <c r="BQ239">
        <f>((cc_D/2*(1-COS(($BH239+7*($BI239-$BH239)/12)))-$BF239)/$BG239)^2*SIN(($BH239+7*($BI239-$BH239)/12))^2</f>
        <v/>
      </c>
      <c r="BR239">
        <f>((cc_D/2*(1-COS(($BH239+8*($BI239-$BH239)/12)))-$BF239)/$BG239)^2*SIN(($BH239+8*($BI239-$BH239)/12))^2</f>
        <v/>
      </c>
      <c r="BS239">
        <f>((cc_D/2*(1-COS(($BH239+9*($BI239-$BH239)/12)))-$BF239)/$BG239)^2*SIN(($BH239+9*($BI239-$BH239)/12))^2</f>
        <v/>
      </c>
      <c r="BT239">
        <f>((cc_D/2*(1-COS(($BH239+10*($BI239-$BH239)/12)))-$BF239)/$BG239)^2*SIN(($BH239+10*($BI239-$BH239)/12))^2</f>
        <v/>
      </c>
      <c r="BU239">
        <f>((cc_D/2*(1-COS(($BH239+11*($BI239-$BH239)/12)))-$BF239)/$BG239)^2*SIN(($BH239+11*($BI239-$BH239)/12))^2</f>
        <v/>
      </c>
      <c r="BV239">
        <f>((cc_D/2*(1-COS(($BH239+12*($BI239-$BH239)/12)))-$BF239)/$BG239)^2*SIN(($BH239+12*($BI239-$BH239)/12))^2</f>
        <v/>
      </c>
      <c r="BW239">
        <f>BJ239*COS(($BH239+0*($BI239-$BH239)/12))</f>
        <v/>
      </c>
      <c r="BX239">
        <f>BK239*COS(($BH239+1*($BI239-$BH239)/12))</f>
        <v/>
      </c>
      <c r="BY239">
        <f>BL239*COS(($BH239+2*($BI239-$BH239)/12))</f>
        <v/>
      </c>
      <c r="BZ239">
        <f>BM239*COS(($BH239+3*($BI239-$BH239)/12))</f>
        <v/>
      </c>
      <c r="CA239">
        <f>BN239*COS(($BH239+4*($BI239-$BH239)/12))</f>
        <v/>
      </c>
      <c r="CB239">
        <f>BO239*COS(($BH239+5*($BI239-$BH239)/12))</f>
        <v/>
      </c>
      <c r="CC239">
        <f>BP239*COS(($BH239+6*($BI239-$BH239)/12))</f>
        <v/>
      </c>
      <c r="CD239">
        <f>BQ239*COS(($BH239+7*($BI239-$BH239)/12))</f>
        <v/>
      </c>
      <c r="CE239">
        <f>BR239*COS(($BH239+8*($BI239-$BH239)/12))</f>
        <v/>
      </c>
      <c r="CF239">
        <f>BS239*COS(($BH239+9*($BI239-$BH239)/12))</f>
        <v/>
      </c>
      <c r="CG239">
        <f>BT239*COS(($BH239+10*($BI239-$BH239)/12))</f>
        <v/>
      </c>
      <c r="CH239">
        <f>BU239*COS(($BH239+11*($BI239-$BH239)/12))</f>
        <v/>
      </c>
      <c r="CI239">
        <f>BV239*COS(($BH239+12*($BI239-$BH239)/12))</f>
        <v/>
      </c>
    </row>
    <row r="240">
      <c r="B240" s="65" t="n">
        <v>25</v>
      </c>
      <c r="C240" s="66">
        <f>IF($G239&lt;cc_NEd-1E-9*ABS(cc_NEd),($C239+$D239)/2,$C239)</f>
        <v/>
      </c>
      <c r="D240" s="66">
        <f>IF($G239&lt;cc_NEd-1E-9*ABS(cc_NEd),$D239,($C239+$D239)/2)</f>
        <v/>
      </c>
      <c r="E240" s="67">
        <f>cc_D*(($C240+$D240)/2)/(1-(($C240+$D240)/2))</f>
        <v/>
      </c>
      <c r="F240" s="68">
        <f>IF($E240&lt;=cc_D,3.5,2*$E240/($E240-3*cc_D/7))</f>
        <v/>
      </c>
      <c r="G240" s="67">
        <f>(fcd_cc*((cc_D/2)^2*($BI240-COS($BI240)*SIN($BI240))-2*(cc_D/2)^2*($BI240-$BH240)/12/3*SUMPRODUCT($BJ$4:$BV$4,$BJ240:$BV240))+SUMPRODUCT($J$5:$AG$5,$J240:$AG240))/1000</f>
        <v/>
      </c>
      <c r="H240" s="67">
        <f>(fcd_cc*(2/3*(cc_D/2)^3*SIN($BI240)^3-2*(cc_D/2)^3*($BI240-$BH240)/12/3*SUMPRODUCT($BW$4:$CI$4,$BW240:$CI240))+SUMPRODUCT($J$5:$AG$5,$J240:$AG240,$J$13:$AG$13))/1E6</f>
        <v/>
      </c>
      <c r="I240" s="67">
        <f>SUMPRODUCT($J$5:$AG$5,$J240:$AG240,$J$14:$AG$14)/1E6</f>
        <v/>
      </c>
      <c r="J240">
        <f>MAX(-fyd_cc,MIN(fyd_cc,Es_cc*IF($E240&lt;=cc_D,0.0035*($E240-J$12)/$E240,0.002*($E240-J$12)/($E240-3*cc_D/7))))-fcd_cc*(1-(1-MAX(0,MIN(1,IF($E240&lt;=cc_D,0.0035*($E240-J$12)/$E240,0.002*($E240-J$12)/($E240-3*cc_D/7))/0.002)))^2)</f>
        <v/>
      </c>
      <c r="K240">
        <f>MAX(-fyd_cc,MIN(fyd_cc,Es_cc*IF($E240&lt;=cc_D,0.0035*($E240-K$12)/$E240,0.002*($E240-K$12)/($E240-3*cc_D/7))))-fcd_cc*(1-(1-MAX(0,MIN(1,IF($E240&lt;=cc_D,0.0035*($E240-K$12)/$E240,0.002*($E240-K$12)/($E240-3*cc_D/7))/0.002)))^2)</f>
        <v/>
      </c>
      <c r="L240">
        <f>MAX(-fyd_cc,MIN(fyd_cc,Es_cc*IF($E240&lt;=cc_D,0.0035*($E240-L$12)/$E240,0.002*($E240-L$12)/($E240-3*cc_D/7))))-fcd_cc*(1-(1-MAX(0,MIN(1,IF($E240&lt;=cc_D,0.0035*($E240-L$12)/$E240,0.002*($E240-L$12)/($E240-3*cc_D/7))/0.002)))^2)</f>
        <v/>
      </c>
      <c r="M240">
        <f>MAX(-fyd_cc,MIN(fyd_cc,Es_cc*IF($E240&lt;=cc_D,0.0035*($E240-M$12)/$E240,0.002*($E240-M$12)/($E240-3*cc_D/7))))-fcd_cc*(1-(1-MAX(0,MIN(1,IF($E240&lt;=cc_D,0.0035*($E240-M$12)/$E240,0.002*($E240-M$12)/($E240-3*cc_D/7))/0.002)))^2)</f>
        <v/>
      </c>
      <c r="N240">
        <f>MAX(-fyd_cc,MIN(fyd_cc,Es_cc*IF($E240&lt;=cc_D,0.0035*($E240-N$12)/$E240,0.002*($E240-N$12)/($E240-3*cc_D/7))))-fcd_cc*(1-(1-MAX(0,MIN(1,IF($E240&lt;=cc_D,0.0035*($E240-N$12)/$E240,0.002*($E240-N$12)/($E240-3*cc_D/7))/0.002)))^2)</f>
        <v/>
      </c>
      <c r="O240">
        <f>MAX(-fyd_cc,MIN(fyd_cc,Es_cc*IF($E240&lt;=cc_D,0.0035*($E240-O$12)/$E240,0.002*($E240-O$12)/($E240-3*cc_D/7))))-fcd_cc*(1-(1-MAX(0,MIN(1,IF($E240&lt;=cc_D,0.0035*($E240-O$12)/$E240,0.002*($E240-O$12)/($E240-3*cc_D/7))/0.002)))^2)</f>
        <v/>
      </c>
      <c r="P240">
        <f>MAX(-fyd_cc,MIN(fyd_cc,Es_cc*IF($E240&lt;=cc_D,0.0035*($E240-P$12)/$E240,0.002*($E240-P$12)/($E240-3*cc_D/7))))-fcd_cc*(1-(1-MAX(0,MIN(1,IF($E240&lt;=cc_D,0.0035*($E240-P$12)/$E240,0.002*($E240-P$12)/($E240-3*cc_D/7))/0.002)))^2)</f>
        <v/>
      </c>
      <c r="Q240">
        <f>MAX(-fyd_cc,MIN(fyd_cc,Es_cc*IF($E240&lt;=cc_D,0.0035*($E240-Q$12)/$E240,0.002*($E240-Q$12)/($E240-3*cc_D/7))))-fcd_cc*(1-(1-MAX(0,MIN(1,IF($E240&lt;=cc_D,0.0035*($E240-Q$12)/$E240,0.002*($E240-Q$12)/($E240-3*cc_D/7))/0.002)))^2)</f>
        <v/>
      </c>
      <c r="R240">
        <f>MAX(-fyd_cc,MIN(fyd_cc,Es_cc*IF($E240&lt;=cc_D,0.0035*($E240-R$12)/$E240,0.002*($E240-R$12)/($E240-3*cc_D/7))))-fcd_cc*(1-(1-MAX(0,MIN(1,IF($E240&lt;=cc_D,0.0035*($E240-R$12)/$E240,0.002*($E240-R$12)/($E240-3*cc_D/7))/0.002)))^2)</f>
        <v/>
      </c>
      <c r="S240">
        <f>MAX(-fyd_cc,MIN(fyd_cc,Es_cc*IF($E240&lt;=cc_D,0.0035*($E240-S$12)/$E240,0.002*($E240-S$12)/($E240-3*cc_D/7))))-fcd_cc*(1-(1-MAX(0,MIN(1,IF($E240&lt;=cc_D,0.0035*($E240-S$12)/$E240,0.002*($E240-S$12)/($E240-3*cc_D/7))/0.002)))^2)</f>
        <v/>
      </c>
      <c r="T240">
        <f>MAX(-fyd_cc,MIN(fyd_cc,Es_cc*IF($E240&lt;=cc_D,0.0035*($E240-T$12)/$E240,0.002*($E240-T$12)/($E240-3*cc_D/7))))-fcd_cc*(1-(1-MAX(0,MIN(1,IF($E240&lt;=cc_D,0.0035*($E240-T$12)/$E240,0.002*($E240-T$12)/($E240-3*cc_D/7))/0.002)))^2)</f>
        <v/>
      </c>
      <c r="U240">
        <f>MAX(-fyd_cc,MIN(fyd_cc,Es_cc*IF($E240&lt;=cc_D,0.0035*($E240-U$12)/$E240,0.002*($E240-U$12)/($E240-3*cc_D/7))))-fcd_cc*(1-(1-MAX(0,MIN(1,IF($E240&lt;=cc_D,0.0035*($E240-U$12)/$E240,0.002*($E240-U$12)/($E240-3*cc_D/7))/0.002)))^2)</f>
        <v/>
      </c>
      <c r="V240">
        <f>MAX(-fyd_cc,MIN(fyd_cc,Es_cc*IF($E240&lt;=cc_D,0.0035*($E240-V$12)/$E240,0.002*($E240-V$12)/($E240-3*cc_D/7))))-fcd_cc*(1-(1-MAX(0,MIN(1,IF($E240&lt;=cc_D,0.0035*($E240-V$12)/$E240,0.002*($E240-V$12)/($E240-3*cc_D/7))/0.002)))^2)</f>
        <v/>
      </c>
      <c r="W240">
        <f>MAX(-fyd_cc,MIN(fyd_cc,Es_cc*IF($E240&lt;=cc_D,0.0035*($E240-W$12)/$E240,0.002*($E240-W$12)/($E240-3*cc_D/7))))-fcd_cc*(1-(1-MAX(0,MIN(1,IF($E240&lt;=cc_D,0.0035*($E240-W$12)/$E240,0.002*($E240-W$12)/($E240-3*cc_D/7))/0.002)))^2)</f>
        <v/>
      </c>
      <c r="X240">
        <f>MAX(-fyd_cc,MIN(fyd_cc,Es_cc*IF($E240&lt;=cc_D,0.0035*($E240-X$12)/$E240,0.002*($E240-X$12)/($E240-3*cc_D/7))))-fcd_cc*(1-(1-MAX(0,MIN(1,IF($E240&lt;=cc_D,0.0035*($E240-X$12)/$E240,0.002*($E240-X$12)/($E240-3*cc_D/7))/0.002)))^2)</f>
        <v/>
      </c>
      <c r="Y240">
        <f>MAX(-fyd_cc,MIN(fyd_cc,Es_cc*IF($E240&lt;=cc_D,0.0035*($E240-Y$12)/$E240,0.002*($E240-Y$12)/($E240-3*cc_D/7))))-fcd_cc*(1-(1-MAX(0,MIN(1,IF($E240&lt;=cc_D,0.0035*($E240-Y$12)/$E240,0.002*($E240-Y$12)/($E240-3*cc_D/7))/0.002)))^2)</f>
        <v/>
      </c>
      <c r="Z240">
        <f>MAX(-fyd_cc,MIN(fyd_cc,Es_cc*IF($E240&lt;=cc_D,0.0035*($E240-Z$12)/$E240,0.002*($E240-Z$12)/($E240-3*cc_D/7))))-fcd_cc*(1-(1-MAX(0,MIN(1,IF($E240&lt;=cc_D,0.0035*($E240-Z$12)/$E240,0.002*($E240-Z$12)/($E240-3*cc_D/7))/0.002)))^2)</f>
        <v/>
      </c>
      <c r="AA240">
        <f>MAX(-fyd_cc,MIN(fyd_cc,Es_cc*IF($E240&lt;=cc_D,0.0035*($E240-AA$12)/$E240,0.002*($E240-AA$12)/($E240-3*cc_D/7))))-fcd_cc*(1-(1-MAX(0,MIN(1,IF($E240&lt;=cc_D,0.0035*($E240-AA$12)/$E240,0.002*($E240-AA$12)/($E240-3*cc_D/7))/0.002)))^2)</f>
        <v/>
      </c>
      <c r="AB240">
        <f>MAX(-fyd_cc,MIN(fyd_cc,Es_cc*IF($E240&lt;=cc_D,0.0035*($E240-AB$12)/$E240,0.002*($E240-AB$12)/($E240-3*cc_D/7))))-fcd_cc*(1-(1-MAX(0,MIN(1,IF($E240&lt;=cc_D,0.0035*($E240-AB$12)/$E240,0.002*($E240-AB$12)/($E240-3*cc_D/7))/0.002)))^2)</f>
        <v/>
      </c>
      <c r="AC240">
        <f>MAX(-fyd_cc,MIN(fyd_cc,Es_cc*IF($E240&lt;=cc_D,0.0035*($E240-AC$12)/$E240,0.002*($E240-AC$12)/($E240-3*cc_D/7))))-fcd_cc*(1-(1-MAX(0,MIN(1,IF($E240&lt;=cc_D,0.0035*($E240-AC$12)/$E240,0.002*($E240-AC$12)/($E240-3*cc_D/7))/0.002)))^2)</f>
        <v/>
      </c>
      <c r="AD240">
        <f>MAX(-fyd_cc,MIN(fyd_cc,Es_cc*IF($E240&lt;=cc_D,0.0035*($E240-AD$12)/$E240,0.002*($E240-AD$12)/($E240-3*cc_D/7))))-fcd_cc*(1-(1-MAX(0,MIN(1,IF($E240&lt;=cc_D,0.0035*($E240-AD$12)/$E240,0.002*($E240-AD$12)/($E240-3*cc_D/7))/0.002)))^2)</f>
        <v/>
      </c>
      <c r="AE240">
        <f>MAX(-fyd_cc,MIN(fyd_cc,Es_cc*IF($E240&lt;=cc_D,0.0035*($E240-AE$12)/$E240,0.002*($E240-AE$12)/($E240-3*cc_D/7))))-fcd_cc*(1-(1-MAX(0,MIN(1,IF($E240&lt;=cc_D,0.0035*($E240-AE$12)/$E240,0.002*($E240-AE$12)/($E240-3*cc_D/7))/0.002)))^2)</f>
        <v/>
      </c>
      <c r="AF240">
        <f>MAX(-fyd_cc,MIN(fyd_cc,Es_cc*IF($E240&lt;=cc_D,0.0035*($E240-AF$12)/$E240,0.002*($E240-AF$12)/($E240-3*cc_D/7))))-fcd_cc*(1-(1-MAX(0,MIN(1,IF($E240&lt;=cc_D,0.0035*($E240-AF$12)/$E240,0.002*($E240-AF$12)/($E240-3*cc_D/7))/0.002)))^2)</f>
        <v/>
      </c>
      <c r="AG240">
        <f>MAX(-fyd_cc,MIN(fyd_cc,Es_cc*IF($E240&lt;=cc_D,0.0035*($E240-AG$12)/$E240,0.002*($E240-AG$12)/($E240-3*cc_D/7))))-fcd_cc*(1-(1-MAX(0,MIN(1,IF($E240&lt;=cc_D,0.0035*($E240-AG$12)/$E240,0.002*($E240-AG$12)/($E240-3*cc_D/7))/0.002)))^2)</f>
        <v/>
      </c>
      <c r="BF240">
        <f>3*MIN($E240,cc_D)/7</f>
        <v/>
      </c>
      <c r="BG240">
        <f>$E240-$BF240</f>
        <v/>
      </c>
      <c r="BH240">
        <f>ACOS(MAX(-1,MIN(1,1-$BF240/(cc_D/2))))</f>
        <v/>
      </c>
      <c r="BI240">
        <f>ACOS(MAX(-1,MIN(1,1-MIN($E240,cc_D)/(cc_D/2))))</f>
        <v/>
      </c>
      <c r="BJ240">
        <f>((cc_D/2*(1-COS(($BH240+0*($BI240-$BH240)/12)))-$BF240)/$BG240)^2*SIN(($BH240+0*($BI240-$BH240)/12))^2</f>
        <v/>
      </c>
      <c r="BK240">
        <f>((cc_D/2*(1-COS(($BH240+1*($BI240-$BH240)/12)))-$BF240)/$BG240)^2*SIN(($BH240+1*($BI240-$BH240)/12))^2</f>
        <v/>
      </c>
      <c r="BL240">
        <f>((cc_D/2*(1-COS(($BH240+2*($BI240-$BH240)/12)))-$BF240)/$BG240)^2*SIN(($BH240+2*($BI240-$BH240)/12))^2</f>
        <v/>
      </c>
      <c r="BM240">
        <f>((cc_D/2*(1-COS(($BH240+3*($BI240-$BH240)/12)))-$BF240)/$BG240)^2*SIN(($BH240+3*($BI240-$BH240)/12))^2</f>
        <v/>
      </c>
      <c r="BN240">
        <f>((cc_D/2*(1-COS(($BH240+4*($BI240-$BH240)/12)))-$BF240)/$BG240)^2*SIN(($BH240+4*($BI240-$BH240)/12))^2</f>
        <v/>
      </c>
      <c r="BO240">
        <f>((cc_D/2*(1-COS(($BH240+5*($BI240-$BH240)/12)))-$BF240)/$BG240)^2*SIN(($BH240+5*($BI240-$BH240)/12))^2</f>
        <v/>
      </c>
      <c r="BP240">
        <f>((cc_D/2*(1-COS(($BH240+6*($BI240-$BH240)/12)))-$BF240)/$BG240)^2*SIN(($BH240+6*($BI240-$BH240)/12))^2</f>
        <v/>
      </c>
      <c r="BQ240">
        <f>((cc_D/2*(1-COS(($BH240+7*($BI240-$BH240)/12)))-$BF240)/$BG240)^2*SIN(($BH240+7*($BI240-$BH240)/12))^2</f>
        <v/>
      </c>
      <c r="BR240">
        <f>((cc_D/2*(1-COS(($BH240+8*($BI240-$BH240)/12)))-$BF240)/$BG240)^2*SIN(($BH240+8*($BI240-$BH240)/12))^2</f>
        <v/>
      </c>
      <c r="BS240">
        <f>((cc_D/2*(1-COS(($BH240+9*($BI240-$BH240)/12)))-$BF240)/$BG240)^2*SIN(($BH240+9*($BI240-$BH240)/12))^2</f>
        <v/>
      </c>
      <c r="BT240">
        <f>((cc_D/2*(1-COS(($BH240+10*($BI240-$BH240)/12)))-$BF240)/$BG240)^2*SIN(($BH240+10*($BI240-$BH240)/12))^2</f>
        <v/>
      </c>
      <c r="BU240">
        <f>((cc_D/2*(1-COS(($BH240+11*($BI240-$BH240)/12)))-$BF240)/$BG240)^2*SIN(($BH240+11*($BI240-$BH240)/12))^2</f>
        <v/>
      </c>
      <c r="BV240">
        <f>((cc_D/2*(1-COS(($BH240+12*($BI240-$BH240)/12)))-$BF240)/$BG240)^2*SIN(($BH240+12*($BI240-$BH240)/12))^2</f>
        <v/>
      </c>
      <c r="BW240">
        <f>BJ240*COS(($BH240+0*($BI240-$BH240)/12))</f>
        <v/>
      </c>
      <c r="BX240">
        <f>BK240*COS(($BH240+1*($BI240-$BH240)/12))</f>
        <v/>
      </c>
      <c r="BY240">
        <f>BL240*COS(($BH240+2*($BI240-$BH240)/12))</f>
        <v/>
      </c>
      <c r="BZ240">
        <f>BM240*COS(($BH240+3*($BI240-$BH240)/12))</f>
        <v/>
      </c>
      <c r="CA240">
        <f>BN240*COS(($BH240+4*($BI240-$BH240)/12))</f>
        <v/>
      </c>
      <c r="CB240">
        <f>BO240*COS(($BH240+5*($BI240-$BH240)/12))</f>
        <v/>
      </c>
      <c r="CC240">
        <f>BP240*COS(($BH240+6*($BI240-$BH240)/12))</f>
        <v/>
      </c>
      <c r="CD240">
        <f>BQ240*COS(($BH240+7*($BI240-$BH240)/12))</f>
        <v/>
      </c>
      <c r="CE240">
        <f>BR240*COS(($BH240+8*($BI240-$BH240)/12))</f>
        <v/>
      </c>
      <c r="CF240">
        <f>BS240*COS(($BH240+9*($BI240-$BH240)/12))</f>
        <v/>
      </c>
      <c r="CG240">
        <f>BT240*COS(($BH240+10*($BI240-$BH240)/12))</f>
        <v/>
      </c>
      <c r="CH240">
        <f>BU240*COS(($BH240+11*($BI240-$BH240)/12))</f>
        <v/>
      </c>
      <c r="CI240">
        <f>BV240*COS(($BH240+12*($BI240-$BH240)/12))</f>
        <v/>
      </c>
    </row>
    <row r="241">
      <c r="B241" s="65" t="n">
        <v>26</v>
      </c>
      <c r="C241" s="66">
        <f>IF($G240&lt;cc_NEd-1E-9*ABS(cc_NEd),($C240+$D240)/2,$C240)</f>
        <v/>
      </c>
      <c r="D241" s="66">
        <f>IF($G240&lt;cc_NEd-1E-9*ABS(cc_NEd),$D240,($C240+$D240)/2)</f>
        <v/>
      </c>
      <c r="E241" s="67">
        <f>cc_D*(($C241+$D241)/2)/(1-(($C241+$D241)/2))</f>
        <v/>
      </c>
      <c r="F241" s="68">
        <f>IF($E241&lt;=cc_D,3.5,2*$E241/($E241-3*cc_D/7))</f>
        <v/>
      </c>
      <c r="G241" s="67">
        <f>(fcd_cc*((cc_D/2)^2*($BI241-COS($BI241)*SIN($BI241))-2*(cc_D/2)^2*($BI241-$BH241)/12/3*SUMPRODUCT($BJ$4:$BV$4,$BJ241:$BV241))+SUMPRODUCT($J$5:$AG$5,$J241:$AG241))/1000</f>
        <v/>
      </c>
      <c r="H241" s="67">
        <f>(fcd_cc*(2/3*(cc_D/2)^3*SIN($BI241)^3-2*(cc_D/2)^3*($BI241-$BH241)/12/3*SUMPRODUCT($BW$4:$CI$4,$BW241:$CI241))+SUMPRODUCT($J$5:$AG$5,$J241:$AG241,$J$13:$AG$13))/1E6</f>
        <v/>
      </c>
      <c r="I241" s="67">
        <f>SUMPRODUCT($J$5:$AG$5,$J241:$AG241,$J$14:$AG$14)/1E6</f>
        <v/>
      </c>
      <c r="J241">
        <f>MAX(-fyd_cc,MIN(fyd_cc,Es_cc*IF($E241&lt;=cc_D,0.0035*($E241-J$12)/$E241,0.002*($E241-J$12)/($E241-3*cc_D/7))))-fcd_cc*(1-(1-MAX(0,MIN(1,IF($E241&lt;=cc_D,0.0035*($E241-J$12)/$E241,0.002*($E241-J$12)/($E241-3*cc_D/7))/0.002)))^2)</f>
        <v/>
      </c>
      <c r="K241">
        <f>MAX(-fyd_cc,MIN(fyd_cc,Es_cc*IF($E241&lt;=cc_D,0.0035*($E241-K$12)/$E241,0.002*($E241-K$12)/($E241-3*cc_D/7))))-fcd_cc*(1-(1-MAX(0,MIN(1,IF($E241&lt;=cc_D,0.0035*($E241-K$12)/$E241,0.002*($E241-K$12)/($E241-3*cc_D/7))/0.002)))^2)</f>
        <v/>
      </c>
      <c r="L241">
        <f>MAX(-fyd_cc,MIN(fyd_cc,Es_cc*IF($E241&lt;=cc_D,0.0035*($E241-L$12)/$E241,0.002*($E241-L$12)/($E241-3*cc_D/7))))-fcd_cc*(1-(1-MAX(0,MIN(1,IF($E241&lt;=cc_D,0.0035*($E241-L$12)/$E241,0.002*($E241-L$12)/($E241-3*cc_D/7))/0.002)))^2)</f>
        <v/>
      </c>
      <c r="M241">
        <f>MAX(-fyd_cc,MIN(fyd_cc,Es_cc*IF($E241&lt;=cc_D,0.0035*($E241-M$12)/$E241,0.002*($E241-M$12)/($E241-3*cc_D/7))))-fcd_cc*(1-(1-MAX(0,MIN(1,IF($E241&lt;=cc_D,0.0035*($E241-M$12)/$E241,0.002*($E241-M$12)/($E241-3*cc_D/7))/0.002)))^2)</f>
        <v/>
      </c>
      <c r="N241">
        <f>MAX(-fyd_cc,MIN(fyd_cc,Es_cc*IF($E241&lt;=cc_D,0.0035*($E241-N$12)/$E241,0.002*($E241-N$12)/($E241-3*cc_D/7))))-fcd_cc*(1-(1-MAX(0,MIN(1,IF($E241&lt;=cc_D,0.0035*($E241-N$12)/$E241,0.002*($E241-N$12)/($E241-3*cc_D/7))/0.002)))^2)</f>
        <v/>
      </c>
      <c r="O241">
        <f>MAX(-fyd_cc,MIN(fyd_cc,Es_cc*IF($E241&lt;=cc_D,0.0035*($E241-O$12)/$E241,0.002*($E241-O$12)/($E241-3*cc_D/7))))-fcd_cc*(1-(1-MAX(0,MIN(1,IF($E241&lt;=cc_D,0.0035*($E241-O$12)/$E241,0.002*($E241-O$12)/($E241-3*cc_D/7))/0.002)))^2)</f>
        <v/>
      </c>
      <c r="P241">
        <f>MAX(-fyd_cc,MIN(fyd_cc,Es_cc*IF($E241&lt;=cc_D,0.0035*($E241-P$12)/$E241,0.002*($E241-P$12)/($E241-3*cc_D/7))))-fcd_cc*(1-(1-MAX(0,MIN(1,IF($E241&lt;=cc_D,0.0035*($E241-P$12)/$E241,0.002*($E241-P$12)/($E241-3*cc_D/7))/0.002)))^2)</f>
        <v/>
      </c>
      <c r="Q241">
        <f>MAX(-fyd_cc,MIN(fyd_cc,Es_cc*IF($E241&lt;=cc_D,0.0035*($E241-Q$12)/$E241,0.002*($E241-Q$12)/($E241-3*cc_D/7))))-fcd_cc*(1-(1-MAX(0,MIN(1,IF($E241&lt;=cc_D,0.0035*($E241-Q$12)/$E241,0.002*($E241-Q$12)/($E241-3*cc_D/7))/0.002)))^2)</f>
        <v/>
      </c>
      <c r="R241">
        <f>MAX(-fyd_cc,MIN(fyd_cc,Es_cc*IF($E241&lt;=cc_D,0.0035*($E241-R$12)/$E241,0.002*($E241-R$12)/($E241-3*cc_D/7))))-fcd_cc*(1-(1-MAX(0,MIN(1,IF($E241&lt;=cc_D,0.0035*($E241-R$12)/$E241,0.002*($E241-R$12)/($E241-3*cc_D/7))/0.002)))^2)</f>
        <v/>
      </c>
      <c r="S241">
        <f>MAX(-fyd_cc,MIN(fyd_cc,Es_cc*IF($E241&lt;=cc_D,0.0035*($E241-S$12)/$E241,0.002*($E241-S$12)/($E241-3*cc_D/7))))-fcd_cc*(1-(1-MAX(0,MIN(1,IF($E241&lt;=cc_D,0.0035*($E241-S$12)/$E241,0.002*($E241-S$12)/($E241-3*cc_D/7))/0.002)))^2)</f>
        <v/>
      </c>
      <c r="T241">
        <f>MAX(-fyd_cc,MIN(fyd_cc,Es_cc*IF($E241&lt;=cc_D,0.0035*($E241-T$12)/$E241,0.002*($E241-T$12)/($E241-3*cc_D/7))))-fcd_cc*(1-(1-MAX(0,MIN(1,IF($E241&lt;=cc_D,0.0035*($E241-T$12)/$E241,0.002*($E241-T$12)/($E241-3*cc_D/7))/0.002)))^2)</f>
        <v/>
      </c>
      <c r="U241">
        <f>MAX(-fyd_cc,MIN(fyd_cc,Es_cc*IF($E241&lt;=cc_D,0.0035*($E241-U$12)/$E241,0.002*($E241-U$12)/($E241-3*cc_D/7))))-fcd_cc*(1-(1-MAX(0,MIN(1,IF($E241&lt;=cc_D,0.0035*($E241-U$12)/$E241,0.002*($E241-U$12)/($E241-3*cc_D/7))/0.002)))^2)</f>
        <v/>
      </c>
      <c r="V241">
        <f>MAX(-fyd_cc,MIN(fyd_cc,Es_cc*IF($E241&lt;=cc_D,0.0035*($E241-V$12)/$E241,0.002*($E241-V$12)/($E241-3*cc_D/7))))-fcd_cc*(1-(1-MAX(0,MIN(1,IF($E241&lt;=cc_D,0.0035*($E241-V$12)/$E241,0.002*($E241-V$12)/($E241-3*cc_D/7))/0.002)))^2)</f>
        <v/>
      </c>
      <c r="W241">
        <f>MAX(-fyd_cc,MIN(fyd_cc,Es_cc*IF($E241&lt;=cc_D,0.0035*($E241-W$12)/$E241,0.002*($E241-W$12)/($E241-3*cc_D/7))))-fcd_cc*(1-(1-MAX(0,MIN(1,IF($E241&lt;=cc_D,0.0035*($E241-W$12)/$E241,0.002*($E241-W$12)/($E241-3*cc_D/7))/0.002)))^2)</f>
        <v/>
      </c>
      <c r="X241">
        <f>MAX(-fyd_cc,MIN(fyd_cc,Es_cc*IF($E241&lt;=cc_D,0.0035*($E241-X$12)/$E241,0.002*($E241-X$12)/($E241-3*cc_D/7))))-fcd_cc*(1-(1-MAX(0,MIN(1,IF($E241&lt;=cc_D,0.0035*($E241-X$12)/$E241,0.002*($E241-X$12)/($E241-3*cc_D/7))/0.002)))^2)</f>
        <v/>
      </c>
      <c r="Y241">
        <f>MAX(-fyd_cc,MIN(fyd_cc,Es_cc*IF($E241&lt;=cc_D,0.0035*($E241-Y$12)/$E241,0.002*($E241-Y$12)/($E241-3*cc_D/7))))-fcd_cc*(1-(1-MAX(0,MIN(1,IF($E241&lt;=cc_D,0.0035*($E241-Y$12)/$E241,0.002*($E241-Y$12)/($E241-3*cc_D/7))/0.002)))^2)</f>
        <v/>
      </c>
      <c r="Z241">
        <f>MAX(-fyd_cc,MIN(fyd_cc,Es_cc*IF($E241&lt;=cc_D,0.0035*($E241-Z$12)/$E241,0.002*($E241-Z$12)/($E241-3*cc_D/7))))-fcd_cc*(1-(1-MAX(0,MIN(1,IF($E241&lt;=cc_D,0.0035*($E241-Z$12)/$E241,0.002*($E241-Z$12)/($E241-3*cc_D/7))/0.002)))^2)</f>
        <v/>
      </c>
      <c r="AA241">
        <f>MAX(-fyd_cc,MIN(fyd_cc,Es_cc*IF($E241&lt;=cc_D,0.0035*($E241-AA$12)/$E241,0.002*($E241-AA$12)/($E241-3*cc_D/7))))-fcd_cc*(1-(1-MAX(0,MIN(1,IF($E241&lt;=cc_D,0.0035*($E241-AA$12)/$E241,0.002*($E241-AA$12)/($E241-3*cc_D/7))/0.002)))^2)</f>
        <v/>
      </c>
      <c r="AB241">
        <f>MAX(-fyd_cc,MIN(fyd_cc,Es_cc*IF($E241&lt;=cc_D,0.0035*($E241-AB$12)/$E241,0.002*($E241-AB$12)/($E241-3*cc_D/7))))-fcd_cc*(1-(1-MAX(0,MIN(1,IF($E241&lt;=cc_D,0.0035*($E241-AB$12)/$E241,0.002*($E241-AB$12)/($E241-3*cc_D/7))/0.002)))^2)</f>
        <v/>
      </c>
      <c r="AC241">
        <f>MAX(-fyd_cc,MIN(fyd_cc,Es_cc*IF($E241&lt;=cc_D,0.0035*($E241-AC$12)/$E241,0.002*($E241-AC$12)/($E241-3*cc_D/7))))-fcd_cc*(1-(1-MAX(0,MIN(1,IF($E241&lt;=cc_D,0.0035*($E241-AC$12)/$E241,0.002*($E241-AC$12)/($E241-3*cc_D/7))/0.002)))^2)</f>
        <v/>
      </c>
      <c r="AD241">
        <f>MAX(-fyd_cc,MIN(fyd_cc,Es_cc*IF($E241&lt;=cc_D,0.0035*($E241-AD$12)/$E241,0.002*($E241-AD$12)/($E241-3*cc_D/7))))-fcd_cc*(1-(1-MAX(0,MIN(1,IF($E241&lt;=cc_D,0.0035*($E241-AD$12)/$E241,0.002*($E241-AD$12)/($E241-3*cc_D/7))/0.002)))^2)</f>
        <v/>
      </c>
      <c r="AE241">
        <f>MAX(-fyd_cc,MIN(fyd_cc,Es_cc*IF($E241&lt;=cc_D,0.0035*($E241-AE$12)/$E241,0.002*($E241-AE$12)/($E241-3*cc_D/7))))-fcd_cc*(1-(1-MAX(0,MIN(1,IF($E241&lt;=cc_D,0.0035*($E241-AE$12)/$E241,0.002*($E241-AE$12)/($E241-3*cc_D/7))/0.002)))^2)</f>
        <v/>
      </c>
      <c r="AF241">
        <f>MAX(-fyd_cc,MIN(fyd_cc,Es_cc*IF($E241&lt;=cc_D,0.0035*($E241-AF$12)/$E241,0.002*($E241-AF$12)/($E241-3*cc_D/7))))-fcd_cc*(1-(1-MAX(0,MIN(1,IF($E241&lt;=cc_D,0.0035*($E241-AF$12)/$E241,0.002*($E241-AF$12)/($E241-3*cc_D/7))/0.002)))^2)</f>
        <v/>
      </c>
      <c r="AG241">
        <f>MAX(-fyd_cc,MIN(fyd_cc,Es_cc*IF($E241&lt;=cc_D,0.0035*($E241-AG$12)/$E241,0.002*($E241-AG$12)/($E241-3*cc_D/7))))-fcd_cc*(1-(1-MAX(0,MIN(1,IF($E241&lt;=cc_D,0.0035*($E241-AG$12)/$E241,0.002*($E241-AG$12)/($E241-3*cc_D/7))/0.002)))^2)</f>
        <v/>
      </c>
      <c r="BF241">
        <f>3*MIN($E241,cc_D)/7</f>
        <v/>
      </c>
      <c r="BG241">
        <f>$E241-$BF241</f>
        <v/>
      </c>
      <c r="BH241">
        <f>ACOS(MAX(-1,MIN(1,1-$BF241/(cc_D/2))))</f>
        <v/>
      </c>
      <c r="BI241">
        <f>ACOS(MAX(-1,MIN(1,1-MIN($E241,cc_D)/(cc_D/2))))</f>
        <v/>
      </c>
      <c r="BJ241">
        <f>((cc_D/2*(1-COS(($BH241+0*($BI241-$BH241)/12)))-$BF241)/$BG241)^2*SIN(($BH241+0*($BI241-$BH241)/12))^2</f>
        <v/>
      </c>
      <c r="BK241">
        <f>((cc_D/2*(1-COS(($BH241+1*($BI241-$BH241)/12)))-$BF241)/$BG241)^2*SIN(($BH241+1*($BI241-$BH241)/12))^2</f>
        <v/>
      </c>
      <c r="BL241">
        <f>((cc_D/2*(1-COS(($BH241+2*($BI241-$BH241)/12)))-$BF241)/$BG241)^2*SIN(($BH241+2*($BI241-$BH241)/12))^2</f>
        <v/>
      </c>
      <c r="BM241">
        <f>((cc_D/2*(1-COS(($BH241+3*($BI241-$BH241)/12)))-$BF241)/$BG241)^2*SIN(($BH241+3*($BI241-$BH241)/12))^2</f>
        <v/>
      </c>
      <c r="BN241">
        <f>((cc_D/2*(1-COS(($BH241+4*($BI241-$BH241)/12)))-$BF241)/$BG241)^2*SIN(($BH241+4*($BI241-$BH241)/12))^2</f>
        <v/>
      </c>
      <c r="BO241">
        <f>((cc_D/2*(1-COS(($BH241+5*($BI241-$BH241)/12)))-$BF241)/$BG241)^2*SIN(($BH241+5*($BI241-$BH241)/12))^2</f>
        <v/>
      </c>
      <c r="BP241">
        <f>((cc_D/2*(1-COS(($BH241+6*($BI241-$BH241)/12)))-$BF241)/$BG241)^2*SIN(($BH241+6*($BI241-$BH241)/12))^2</f>
        <v/>
      </c>
      <c r="BQ241">
        <f>((cc_D/2*(1-COS(($BH241+7*($BI241-$BH241)/12)))-$BF241)/$BG241)^2*SIN(($BH241+7*($BI241-$BH241)/12))^2</f>
        <v/>
      </c>
      <c r="BR241">
        <f>((cc_D/2*(1-COS(($BH241+8*($BI241-$BH241)/12)))-$BF241)/$BG241)^2*SIN(($BH241+8*($BI241-$BH241)/12))^2</f>
        <v/>
      </c>
      <c r="BS241">
        <f>((cc_D/2*(1-COS(($BH241+9*($BI241-$BH241)/12)))-$BF241)/$BG241)^2*SIN(($BH241+9*($BI241-$BH241)/12))^2</f>
        <v/>
      </c>
      <c r="BT241">
        <f>((cc_D/2*(1-COS(($BH241+10*($BI241-$BH241)/12)))-$BF241)/$BG241)^2*SIN(($BH241+10*($BI241-$BH241)/12))^2</f>
        <v/>
      </c>
      <c r="BU241">
        <f>((cc_D/2*(1-COS(($BH241+11*($BI241-$BH241)/12)))-$BF241)/$BG241)^2*SIN(($BH241+11*($BI241-$BH241)/12))^2</f>
        <v/>
      </c>
      <c r="BV241">
        <f>((cc_D/2*(1-COS(($BH241+12*($BI241-$BH241)/12)))-$BF241)/$BG241)^2*SIN(($BH241+12*($BI241-$BH241)/12))^2</f>
        <v/>
      </c>
      <c r="BW241">
        <f>BJ241*COS(($BH241+0*($BI241-$BH241)/12))</f>
        <v/>
      </c>
      <c r="BX241">
        <f>BK241*COS(($BH241+1*($BI241-$BH241)/12))</f>
        <v/>
      </c>
      <c r="BY241">
        <f>BL241*COS(($BH241+2*($BI241-$BH241)/12))</f>
        <v/>
      </c>
      <c r="BZ241">
        <f>BM241*COS(($BH241+3*($BI241-$BH241)/12))</f>
        <v/>
      </c>
      <c r="CA241">
        <f>BN241*COS(($BH241+4*($BI241-$BH241)/12))</f>
        <v/>
      </c>
      <c r="CB241">
        <f>BO241*COS(($BH241+5*($BI241-$BH241)/12))</f>
        <v/>
      </c>
      <c r="CC241">
        <f>BP241*COS(($BH241+6*($BI241-$BH241)/12))</f>
        <v/>
      </c>
      <c r="CD241">
        <f>BQ241*COS(($BH241+7*($BI241-$BH241)/12))</f>
        <v/>
      </c>
      <c r="CE241">
        <f>BR241*COS(($BH241+8*($BI241-$BH241)/12))</f>
        <v/>
      </c>
      <c r="CF241">
        <f>BS241*COS(($BH241+9*($BI241-$BH241)/12))</f>
        <v/>
      </c>
      <c r="CG241">
        <f>BT241*COS(($BH241+10*($BI241-$BH241)/12))</f>
        <v/>
      </c>
      <c r="CH241">
        <f>BU241*COS(($BH241+11*($BI241-$BH241)/12))</f>
        <v/>
      </c>
      <c r="CI241">
        <f>BV241*COS(($BH241+12*($BI241-$BH241)/12))</f>
        <v/>
      </c>
    </row>
    <row r="242">
      <c r="B242" s="65" t="n">
        <v>27</v>
      </c>
      <c r="C242" s="66">
        <f>IF($G241&lt;cc_NEd-1E-9*ABS(cc_NEd),($C241+$D241)/2,$C241)</f>
        <v/>
      </c>
      <c r="D242" s="66">
        <f>IF($G241&lt;cc_NEd-1E-9*ABS(cc_NEd),$D241,($C241+$D241)/2)</f>
        <v/>
      </c>
      <c r="E242" s="67">
        <f>cc_D*(($C242+$D242)/2)/(1-(($C242+$D242)/2))</f>
        <v/>
      </c>
      <c r="F242" s="68">
        <f>IF($E242&lt;=cc_D,3.5,2*$E242/($E242-3*cc_D/7))</f>
        <v/>
      </c>
      <c r="G242" s="67">
        <f>(fcd_cc*((cc_D/2)^2*($BI242-COS($BI242)*SIN($BI242))-2*(cc_D/2)^2*($BI242-$BH242)/12/3*SUMPRODUCT($BJ$4:$BV$4,$BJ242:$BV242))+SUMPRODUCT($J$5:$AG$5,$J242:$AG242))/1000</f>
        <v/>
      </c>
      <c r="H242" s="67">
        <f>(fcd_cc*(2/3*(cc_D/2)^3*SIN($BI242)^3-2*(cc_D/2)^3*($BI242-$BH242)/12/3*SUMPRODUCT($BW$4:$CI$4,$BW242:$CI242))+SUMPRODUCT($J$5:$AG$5,$J242:$AG242,$J$13:$AG$13))/1E6</f>
        <v/>
      </c>
      <c r="I242" s="67">
        <f>SUMPRODUCT($J$5:$AG$5,$J242:$AG242,$J$14:$AG$14)/1E6</f>
        <v/>
      </c>
      <c r="J242">
        <f>MAX(-fyd_cc,MIN(fyd_cc,Es_cc*IF($E242&lt;=cc_D,0.0035*($E242-J$12)/$E242,0.002*($E242-J$12)/($E242-3*cc_D/7))))-fcd_cc*(1-(1-MAX(0,MIN(1,IF($E242&lt;=cc_D,0.0035*($E242-J$12)/$E242,0.002*($E242-J$12)/($E242-3*cc_D/7))/0.002)))^2)</f>
        <v/>
      </c>
      <c r="K242">
        <f>MAX(-fyd_cc,MIN(fyd_cc,Es_cc*IF($E242&lt;=cc_D,0.0035*($E242-K$12)/$E242,0.002*($E242-K$12)/($E242-3*cc_D/7))))-fcd_cc*(1-(1-MAX(0,MIN(1,IF($E242&lt;=cc_D,0.0035*($E242-K$12)/$E242,0.002*($E242-K$12)/($E242-3*cc_D/7))/0.002)))^2)</f>
        <v/>
      </c>
      <c r="L242">
        <f>MAX(-fyd_cc,MIN(fyd_cc,Es_cc*IF($E242&lt;=cc_D,0.0035*($E242-L$12)/$E242,0.002*($E242-L$12)/($E242-3*cc_D/7))))-fcd_cc*(1-(1-MAX(0,MIN(1,IF($E242&lt;=cc_D,0.0035*($E242-L$12)/$E242,0.002*($E242-L$12)/($E242-3*cc_D/7))/0.002)))^2)</f>
        <v/>
      </c>
      <c r="M242">
        <f>MAX(-fyd_cc,MIN(fyd_cc,Es_cc*IF($E242&lt;=cc_D,0.0035*($E242-M$12)/$E242,0.002*($E242-M$12)/($E242-3*cc_D/7))))-fcd_cc*(1-(1-MAX(0,MIN(1,IF($E242&lt;=cc_D,0.0035*($E242-M$12)/$E242,0.002*($E242-M$12)/($E242-3*cc_D/7))/0.002)))^2)</f>
        <v/>
      </c>
      <c r="N242">
        <f>MAX(-fyd_cc,MIN(fyd_cc,Es_cc*IF($E242&lt;=cc_D,0.0035*($E242-N$12)/$E242,0.002*($E242-N$12)/($E242-3*cc_D/7))))-fcd_cc*(1-(1-MAX(0,MIN(1,IF($E242&lt;=cc_D,0.0035*($E242-N$12)/$E242,0.002*($E242-N$12)/($E242-3*cc_D/7))/0.002)))^2)</f>
        <v/>
      </c>
      <c r="O242">
        <f>MAX(-fyd_cc,MIN(fyd_cc,Es_cc*IF($E242&lt;=cc_D,0.0035*($E242-O$12)/$E242,0.002*($E242-O$12)/($E242-3*cc_D/7))))-fcd_cc*(1-(1-MAX(0,MIN(1,IF($E242&lt;=cc_D,0.0035*($E242-O$12)/$E242,0.002*($E242-O$12)/($E242-3*cc_D/7))/0.002)))^2)</f>
        <v/>
      </c>
      <c r="P242">
        <f>MAX(-fyd_cc,MIN(fyd_cc,Es_cc*IF($E242&lt;=cc_D,0.0035*($E242-P$12)/$E242,0.002*($E242-P$12)/($E242-3*cc_D/7))))-fcd_cc*(1-(1-MAX(0,MIN(1,IF($E242&lt;=cc_D,0.0035*($E242-P$12)/$E242,0.002*($E242-P$12)/($E242-3*cc_D/7))/0.002)))^2)</f>
        <v/>
      </c>
      <c r="Q242">
        <f>MAX(-fyd_cc,MIN(fyd_cc,Es_cc*IF($E242&lt;=cc_D,0.0035*($E242-Q$12)/$E242,0.002*($E242-Q$12)/($E242-3*cc_D/7))))-fcd_cc*(1-(1-MAX(0,MIN(1,IF($E242&lt;=cc_D,0.0035*($E242-Q$12)/$E242,0.002*($E242-Q$12)/($E242-3*cc_D/7))/0.002)))^2)</f>
        <v/>
      </c>
      <c r="R242">
        <f>MAX(-fyd_cc,MIN(fyd_cc,Es_cc*IF($E242&lt;=cc_D,0.0035*($E242-R$12)/$E242,0.002*($E242-R$12)/($E242-3*cc_D/7))))-fcd_cc*(1-(1-MAX(0,MIN(1,IF($E242&lt;=cc_D,0.0035*($E242-R$12)/$E242,0.002*($E242-R$12)/($E242-3*cc_D/7))/0.002)))^2)</f>
        <v/>
      </c>
      <c r="S242">
        <f>MAX(-fyd_cc,MIN(fyd_cc,Es_cc*IF($E242&lt;=cc_D,0.0035*($E242-S$12)/$E242,0.002*($E242-S$12)/($E242-3*cc_D/7))))-fcd_cc*(1-(1-MAX(0,MIN(1,IF($E242&lt;=cc_D,0.0035*($E242-S$12)/$E242,0.002*($E242-S$12)/($E242-3*cc_D/7))/0.002)))^2)</f>
        <v/>
      </c>
      <c r="T242">
        <f>MAX(-fyd_cc,MIN(fyd_cc,Es_cc*IF($E242&lt;=cc_D,0.0035*($E242-T$12)/$E242,0.002*($E242-T$12)/($E242-3*cc_D/7))))-fcd_cc*(1-(1-MAX(0,MIN(1,IF($E242&lt;=cc_D,0.0035*($E242-T$12)/$E242,0.002*($E242-T$12)/($E242-3*cc_D/7))/0.002)))^2)</f>
        <v/>
      </c>
      <c r="U242">
        <f>MAX(-fyd_cc,MIN(fyd_cc,Es_cc*IF($E242&lt;=cc_D,0.0035*($E242-U$12)/$E242,0.002*($E242-U$12)/($E242-3*cc_D/7))))-fcd_cc*(1-(1-MAX(0,MIN(1,IF($E242&lt;=cc_D,0.0035*($E242-U$12)/$E242,0.002*($E242-U$12)/($E242-3*cc_D/7))/0.002)))^2)</f>
        <v/>
      </c>
      <c r="V242">
        <f>MAX(-fyd_cc,MIN(fyd_cc,Es_cc*IF($E242&lt;=cc_D,0.0035*($E242-V$12)/$E242,0.002*($E242-V$12)/($E242-3*cc_D/7))))-fcd_cc*(1-(1-MAX(0,MIN(1,IF($E242&lt;=cc_D,0.0035*($E242-V$12)/$E242,0.002*($E242-V$12)/($E242-3*cc_D/7))/0.002)))^2)</f>
        <v/>
      </c>
      <c r="W242">
        <f>MAX(-fyd_cc,MIN(fyd_cc,Es_cc*IF($E242&lt;=cc_D,0.0035*($E242-W$12)/$E242,0.002*($E242-W$12)/($E242-3*cc_D/7))))-fcd_cc*(1-(1-MAX(0,MIN(1,IF($E242&lt;=cc_D,0.0035*($E242-W$12)/$E242,0.002*($E242-W$12)/($E242-3*cc_D/7))/0.002)))^2)</f>
        <v/>
      </c>
      <c r="X242">
        <f>MAX(-fyd_cc,MIN(fyd_cc,Es_cc*IF($E242&lt;=cc_D,0.0035*($E242-X$12)/$E242,0.002*($E242-X$12)/($E242-3*cc_D/7))))-fcd_cc*(1-(1-MAX(0,MIN(1,IF($E242&lt;=cc_D,0.0035*($E242-X$12)/$E242,0.002*($E242-X$12)/($E242-3*cc_D/7))/0.002)))^2)</f>
        <v/>
      </c>
      <c r="Y242">
        <f>MAX(-fyd_cc,MIN(fyd_cc,Es_cc*IF($E242&lt;=cc_D,0.0035*($E242-Y$12)/$E242,0.002*($E242-Y$12)/($E242-3*cc_D/7))))-fcd_cc*(1-(1-MAX(0,MIN(1,IF($E242&lt;=cc_D,0.0035*($E242-Y$12)/$E242,0.002*($E242-Y$12)/($E242-3*cc_D/7))/0.002)))^2)</f>
        <v/>
      </c>
      <c r="Z242">
        <f>MAX(-fyd_cc,MIN(fyd_cc,Es_cc*IF($E242&lt;=cc_D,0.0035*($E242-Z$12)/$E242,0.002*($E242-Z$12)/($E242-3*cc_D/7))))-fcd_cc*(1-(1-MAX(0,MIN(1,IF($E242&lt;=cc_D,0.0035*($E242-Z$12)/$E242,0.002*($E242-Z$12)/($E242-3*cc_D/7))/0.002)))^2)</f>
        <v/>
      </c>
      <c r="AA242">
        <f>MAX(-fyd_cc,MIN(fyd_cc,Es_cc*IF($E242&lt;=cc_D,0.0035*($E242-AA$12)/$E242,0.002*($E242-AA$12)/($E242-3*cc_D/7))))-fcd_cc*(1-(1-MAX(0,MIN(1,IF($E242&lt;=cc_D,0.0035*($E242-AA$12)/$E242,0.002*($E242-AA$12)/($E242-3*cc_D/7))/0.002)))^2)</f>
        <v/>
      </c>
      <c r="AB242">
        <f>MAX(-fyd_cc,MIN(fyd_cc,Es_cc*IF($E242&lt;=cc_D,0.0035*($E242-AB$12)/$E242,0.002*($E242-AB$12)/($E242-3*cc_D/7))))-fcd_cc*(1-(1-MAX(0,MIN(1,IF($E242&lt;=cc_D,0.0035*($E242-AB$12)/$E242,0.002*($E242-AB$12)/($E242-3*cc_D/7))/0.002)))^2)</f>
        <v/>
      </c>
      <c r="AC242">
        <f>MAX(-fyd_cc,MIN(fyd_cc,Es_cc*IF($E242&lt;=cc_D,0.0035*($E242-AC$12)/$E242,0.002*($E242-AC$12)/($E242-3*cc_D/7))))-fcd_cc*(1-(1-MAX(0,MIN(1,IF($E242&lt;=cc_D,0.0035*($E242-AC$12)/$E242,0.002*($E242-AC$12)/($E242-3*cc_D/7))/0.002)))^2)</f>
        <v/>
      </c>
      <c r="AD242">
        <f>MAX(-fyd_cc,MIN(fyd_cc,Es_cc*IF($E242&lt;=cc_D,0.0035*($E242-AD$12)/$E242,0.002*($E242-AD$12)/($E242-3*cc_D/7))))-fcd_cc*(1-(1-MAX(0,MIN(1,IF($E242&lt;=cc_D,0.0035*($E242-AD$12)/$E242,0.002*($E242-AD$12)/($E242-3*cc_D/7))/0.002)))^2)</f>
        <v/>
      </c>
      <c r="AE242">
        <f>MAX(-fyd_cc,MIN(fyd_cc,Es_cc*IF($E242&lt;=cc_D,0.0035*($E242-AE$12)/$E242,0.002*($E242-AE$12)/($E242-3*cc_D/7))))-fcd_cc*(1-(1-MAX(0,MIN(1,IF($E242&lt;=cc_D,0.0035*($E242-AE$12)/$E242,0.002*($E242-AE$12)/($E242-3*cc_D/7))/0.002)))^2)</f>
        <v/>
      </c>
      <c r="AF242">
        <f>MAX(-fyd_cc,MIN(fyd_cc,Es_cc*IF($E242&lt;=cc_D,0.0035*($E242-AF$12)/$E242,0.002*($E242-AF$12)/($E242-3*cc_D/7))))-fcd_cc*(1-(1-MAX(0,MIN(1,IF($E242&lt;=cc_D,0.0035*($E242-AF$12)/$E242,0.002*($E242-AF$12)/($E242-3*cc_D/7))/0.002)))^2)</f>
        <v/>
      </c>
      <c r="AG242">
        <f>MAX(-fyd_cc,MIN(fyd_cc,Es_cc*IF($E242&lt;=cc_D,0.0035*($E242-AG$12)/$E242,0.002*($E242-AG$12)/($E242-3*cc_D/7))))-fcd_cc*(1-(1-MAX(0,MIN(1,IF($E242&lt;=cc_D,0.0035*($E242-AG$12)/$E242,0.002*($E242-AG$12)/($E242-3*cc_D/7))/0.002)))^2)</f>
        <v/>
      </c>
      <c r="BF242">
        <f>3*MIN($E242,cc_D)/7</f>
        <v/>
      </c>
      <c r="BG242">
        <f>$E242-$BF242</f>
        <v/>
      </c>
      <c r="BH242">
        <f>ACOS(MAX(-1,MIN(1,1-$BF242/(cc_D/2))))</f>
        <v/>
      </c>
      <c r="BI242">
        <f>ACOS(MAX(-1,MIN(1,1-MIN($E242,cc_D)/(cc_D/2))))</f>
        <v/>
      </c>
      <c r="BJ242">
        <f>((cc_D/2*(1-COS(($BH242+0*($BI242-$BH242)/12)))-$BF242)/$BG242)^2*SIN(($BH242+0*($BI242-$BH242)/12))^2</f>
        <v/>
      </c>
      <c r="BK242">
        <f>((cc_D/2*(1-COS(($BH242+1*($BI242-$BH242)/12)))-$BF242)/$BG242)^2*SIN(($BH242+1*($BI242-$BH242)/12))^2</f>
        <v/>
      </c>
      <c r="BL242">
        <f>((cc_D/2*(1-COS(($BH242+2*($BI242-$BH242)/12)))-$BF242)/$BG242)^2*SIN(($BH242+2*($BI242-$BH242)/12))^2</f>
        <v/>
      </c>
      <c r="BM242">
        <f>((cc_D/2*(1-COS(($BH242+3*($BI242-$BH242)/12)))-$BF242)/$BG242)^2*SIN(($BH242+3*($BI242-$BH242)/12))^2</f>
        <v/>
      </c>
      <c r="BN242">
        <f>((cc_D/2*(1-COS(($BH242+4*($BI242-$BH242)/12)))-$BF242)/$BG242)^2*SIN(($BH242+4*($BI242-$BH242)/12))^2</f>
        <v/>
      </c>
      <c r="BO242">
        <f>((cc_D/2*(1-COS(($BH242+5*($BI242-$BH242)/12)))-$BF242)/$BG242)^2*SIN(($BH242+5*($BI242-$BH242)/12))^2</f>
        <v/>
      </c>
      <c r="BP242">
        <f>((cc_D/2*(1-COS(($BH242+6*($BI242-$BH242)/12)))-$BF242)/$BG242)^2*SIN(($BH242+6*($BI242-$BH242)/12))^2</f>
        <v/>
      </c>
      <c r="BQ242">
        <f>((cc_D/2*(1-COS(($BH242+7*($BI242-$BH242)/12)))-$BF242)/$BG242)^2*SIN(($BH242+7*($BI242-$BH242)/12))^2</f>
        <v/>
      </c>
      <c r="BR242">
        <f>((cc_D/2*(1-COS(($BH242+8*($BI242-$BH242)/12)))-$BF242)/$BG242)^2*SIN(($BH242+8*($BI242-$BH242)/12))^2</f>
        <v/>
      </c>
      <c r="BS242">
        <f>((cc_D/2*(1-COS(($BH242+9*($BI242-$BH242)/12)))-$BF242)/$BG242)^2*SIN(($BH242+9*($BI242-$BH242)/12))^2</f>
        <v/>
      </c>
      <c r="BT242">
        <f>((cc_D/2*(1-COS(($BH242+10*($BI242-$BH242)/12)))-$BF242)/$BG242)^2*SIN(($BH242+10*($BI242-$BH242)/12))^2</f>
        <v/>
      </c>
      <c r="BU242">
        <f>((cc_D/2*(1-COS(($BH242+11*($BI242-$BH242)/12)))-$BF242)/$BG242)^2*SIN(($BH242+11*($BI242-$BH242)/12))^2</f>
        <v/>
      </c>
      <c r="BV242">
        <f>((cc_D/2*(1-COS(($BH242+12*($BI242-$BH242)/12)))-$BF242)/$BG242)^2*SIN(($BH242+12*($BI242-$BH242)/12))^2</f>
        <v/>
      </c>
      <c r="BW242">
        <f>BJ242*COS(($BH242+0*($BI242-$BH242)/12))</f>
        <v/>
      </c>
      <c r="BX242">
        <f>BK242*COS(($BH242+1*($BI242-$BH242)/12))</f>
        <v/>
      </c>
      <c r="BY242">
        <f>BL242*COS(($BH242+2*($BI242-$BH242)/12))</f>
        <v/>
      </c>
      <c r="BZ242">
        <f>BM242*COS(($BH242+3*($BI242-$BH242)/12))</f>
        <v/>
      </c>
      <c r="CA242">
        <f>BN242*COS(($BH242+4*($BI242-$BH242)/12))</f>
        <v/>
      </c>
      <c r="CB242">
        <f>BO242*COS(($BH242+5*($BI242-$BH242)/12))</f>
        <v/>
      </c>
      <c r="CC242">
        <f>BP242*COS(($BH242+6*($BI242-$BH242)/12))</f>
        <v/>
      </c>
      <c r="CD242">
        <f>BQ242*COS(($BH242+7*($BI242-$BH242)/12))</f>
        <v/>
      </c>
      <c r="CE242">
        <f>BR242*COS(($BH242+8*($BI242-$BH242)/12))</f>
        <v/>
      </c>
      <c r="CF242">
        <f>BS242*COS(($BH242+9*($BI242-$BH242)/12))</f>
        <v/>
      </c>
      <c r="CG242">
        <f>BT242*COS(($BH242+10*($BI242-$BH242)/12))</f>
        <v/>
      </c>
      <c r="CH242">
        <f>BU242*COS(($BH242+11*($BI242-$BH242)/12))</f>
        <v/>
      </c>
      <c r="CI242">
        <f>BV242*COS(($BH242+12*($BI242-$BH242)/12))</f>
        <v/>
      </c>
    </row>
    <row r="243">
      <c r="B243" s="65" t="n">
        <v>28</v>
      </c>
      <c r="C243" s="66">
        <f>IF($G242&lt;cc_NEd-1E-9*ABS(cc_NEd),($C242+$D242)/2,$C242)</f>
        <v/>
      </c>
      <c r="D243" s="66">
        <f>IF($G242&lt;cc_NEd-1E-9*ABS(cc_NEd),$D242,($C242+$D242)/2)</f>
        <v/>
      </c>
      <c r="E243" s="67">
        <f>cc_D*(($C243+$D243)/2)/(1-(($C243+$D243)/2))</f>
        <v/>
      </c>
      <c r="F243" s="68">
        <f>IF($E243&lt;=cc_D,3.5,2*$E243/($E243-3*cc_D/7))</f>
        <v/>
      </c>
      <c r="G243" s="67">
        <f>(fcd_cc*((cc_D/2)^2*($BI243-COS($BI243)*SIN($BI243))-2*(cc_D/2)^2*($BI243-$BH243)/12/3*SUMPRODUCT($BJ$4:$BV$4,$BJ243:$BV243))+SUMPRODUCT($J$5:$AG$5,$J243:$AG243))/1000</f>
        <v/>
      </c>
      <c r="H243" s="67">
        <f>(fcd_cc*(2/3*(cc_D/2)^3*SIN($BI243)^3-2*(cc_D/2)^3*($BI243-$BH243)/12/3*SUMPRODUCT($BW$4:$CI$4,$BW243:$CI243))+SUMPRODUCT($J$5:$AG$5,$J243:$AG243,$J$13:$AG$13))/1E6</f>
        <v/>
      </c>
      <c r="I243" s="67">
        <f>SUMPRODUCT($J$5:$AG$5,$J243:$AG243,$J$14:$AG$14)/1E6</f>
        <v/>
      </c>
      <c r="J243">
        <f>MAX(-fyd_cc,MIN(fyd_cc,Es_cc*IF($E243&lt;=cc_D,0.0035*($E243-J$12)/$E243,0.002*($E243-J$12)/($E243-3*cc_D/7))))-fcd_cc*(1-(1-MAX(0,MIN(1,IF($E243&lt;=cc_D,0.0035*($E243-J$12)/$E243,0.002*($E243-J$12)/($E243-3*cc_D/7))/0.002)))^2)</f>
        <v/>
      </c>
      <c r="K243">
        <f>MAX(-fyd_cc,MIN(fyd_cc,Es_cc*IF($E243&lt;=cc_D,0.0035*($E243-K$12)/$E243,0.002*($E243-K$12)/($E243-3*cc_D/7))))-fcd_cc*(1-(1-MAX(0,MIN(1,IF($E243&lt;=cc_D,0.0035*($E243-K$12)/$E243,0.002*($E243-K$12)/($E243-3*cc_D/7))/0.002)))^2)</f>
        <v/>
      </c>
      <c r="L243">
        <f>MAX(-fyd_cc,MIN(fyd_cc,Es_cc*IF($E243&lt;=cc_D,0.0035*($E243-L$12)/$E243,0.002*($E243-L$12)/($E243-3*cc_D/7))))-fcd_cc*(1-(1-MAX(0,MIN(1,IF($E243&lt;=cc_D,0.0035*($E243-L$12)/$E243,0.002*($E243-L$12)/($E243-3*cc_D/7))/0.002)))^2)</f>
        <v/>
      </c>
      <c r="M243">
        <f>MAX(-fyd_cc,MIN(fyd_cc,Es_cc*IF($E243&lt;=cc_D,0.0035*($E243-M$12)/$E243,0.002*($E243-M$12)/($E243-3*cc_D/7))))-fcd_cc*(1-(1-MAX(0,MIN(1,IF($E243&lt;=cc_D,0.0035*($E243-M$12)/$E243,0.002*($E243-M$12)/($E243-3*cc_D/7))/0.002)))^2)</f>
        <v/>
      </c>
      <c r="N243">
        <f>MAX(-fyd_cc,MIN(fyd_cc,Es_cc*IF($E243&lt;=cc_D,0.0035*($E243-N$12)/$E243,0.002*($E243-N$12)/($E243-3*cc_D/7))))-fcd_cc*(1-(1-MAX(0,MIN(1,IF($E243&lt;=cc_D,0.0035*($E243-N$12)/$E243,0.002*($E243-N$12)/($E243-3*cc_D/7))/0.002)))^2)</f>
        <v/>
      </c>
      <c r="O243">
        <f>MAX(-fyd_cc,MIN(fyd_cc,Es_cc*IF($E243&lt;=cc_D,0.0035*($E243-O$12)/$E243,0.002*($E243-O$12)/($E243-3*cc_D/7))))-fcd_cc*(1-(1-MAX(0,MIN(1,IF($E243&lt;=cc_D,0.0035*($E243-O$12)/$E243,0.002*($E243-O$12)/($E243-3*cc_D/7))/0.002)))^2)</f>
        <v/>
      </c>
      <c r="P243">
        <f>MAX(-fyd_cc,MIN(fyd_cc,Es_cc*IF($E243&lt;=cc_D,0.0035*($E243-P$12)/$E243,0.002*($E243-P$12)/($E243-3*cc_D/7))))-fcd_cc*(1-(1-MAX(0,MIN(1,IF($E243&lt;=cc_D,0.0035*($E243-P$12)/$E243,0.002*($E243-P$12)/($E243-3*cc_D/7))/0.002)))^2)</f>
        <v/>
      </c>
      <c r="Q243">
        <f>MAX(-fyd_cc,MIN(fyd_cc,Es_cc*IF($E243&lt;=cc_D,0.0035*($E243-Q$12)/$E243,0.002*($E243-Q$12)/($E243-3*cc_D/7))))-fcd_cc*(1-(1-MAX(0,MIN(1,IF($E243&lt;=cc_D,0.0035*($E243-Q$12)/$E243,0.002*($E243-Q$12)/($E243-3*cc_D/7))/0.002)))^2)</f>
        <v/>
      </c>
      <c r="R243">
        <f>MAX(-fyd_cc,MIN(fyd_cc,Es_cc*IF($E243&lt;=cc_D,0.0035*($E243-R$12)/$E243,0.002*($E243-R$12)/($E243-3*cc_D/7))))-fcd_cc*(1-(1-MAX(0,MIN(1,IF($E243&lt;=cc_D,0.0035*($E243-R$12)/$E243,0.002*($E243-R$12)/($E243-3*cc_D/7))/0.002)))^2)</f>
        <v/>
      </c>
      <c r="S243">
        <f>MAX(-fyd_cc,MIN(fyd_cc,Es_cc*IF($E243&lt;=cc_D,0.0035*($E243-S$12)/$E243,0.002*($E243-S$12)/($E243-3*cc_D/7))))-fcd_cc*(1-(1-MAX(0,MIN(1,IF($E243&lt;=cc_D,0.0035*($E243-S$12)/$E243,0.002*($E243-S$12)/($E243-3*cc_D/7))/0.002)))^2)</f>
        <v/>
      </c>
      <c r="T243">
        <f>MAX(-fyd_cc,MIN(fyd_cc,Es_cc*IF($E243&lt;=cc_D,0.0035*($E243-T$12)/$E243,0.002*($E243-T$12)/($E243-3*cc_D/7))))-fcd_cc*(1-(1-MAX(0,MIN(1,IF($E243&lt;=cc_D,0.0035*($E243-T$12)/$E243,0.002*($E243-T$12)/($E243-3*cc_D/7))/0.002)))^2)</f>
        <v/>
      </c>
      <c r="U243">
        <f>MAX(-fyd_cc,MIN(fyd_cc,Es_cc*IF($E243&lt;=cc_D,0.0035*($E243-U$12)/$E243,0.002*($E243-U$12)/($E243-3*cc_D/7))))-fcd_cc*(1-(1-MAX(0,MIN(1,IF($E243&lt;=cc_D,0.0035*($E243-U$12)/$E243,0.002*($E243-U$12)/($E243-3*cc_D/7))/0.002)))^2)</f>
        <v/>
      </c>
      <c r="V243">
        <f>MAX(-fyd_cc,MIN(fyd_cc,Es_cc*IF($E243&lt;=cc_D,0.0035*($E243-V$12)/$E243,0.002*($E243-V$12)/($E243-3*cc_D/7))))-fcd_cc*(1-(1-MAX(0,MIN(1,IF($E243&lt;=cc_D,0.0035*($E243-V$12)/$E243,0.002*($E243-V$12)/($E243-3*cc_D/7))/0.002)))^2)</f>
        <v/>
      </c>
      <c r="W243">
        <f>MAX(-fyd_cc,MIN(fyd_cc,Es_cc*IF($E243&lt;=cc_D,0.0035*($E243-W$12)/$E243,0.002*($E243-W$12)/($E243-3*cc_D/7))))-fcd_cc*(1-(1-MAX(0,MIN(1,IF($E243&lt;=cc_D,0.0035*($E243-W$12)/$E243,0.002*($E243-W$12)/($E243-3*cc_D/7))/0.002)))^2)</f>
        <v/>
      </c>
      <c r="X243">
        <f>MAX(-fyd_cc,MIN(fyd_cc,Es_cc*IF($E243&lt;=cc_D,0.0035*($E243-X$12)/$E243,0.002*($E243-X$12)/($E243-3*cc_D/7))))-fcd_cc*(1-(1-MAX(0,MIN(1,IF($E243&lt;=cc_D,0.0035*($E243-X$12)/$E243,0.002*($E243-X$12)/($E243-3*cc_D/7))/0.002)))^2)</f>
        <v/>
      </c>
      <c r="Y243">
        <f>MAX(-fyd_cc,MIN(fyd_cc,Es_cc*IF($E243&lt;=cc_D,0.0035*($E243-Y$12)/$E243,0.002*($E243-Y$12)/($E243-3*cc_D/7))))-fcd_cc*(1-(1-MAX(0,MIN(1,IF($E243&lt;=cc_D,0.0035*($E243-Y$12)/$E243,0.002*($E243-Y$12)/($E243-3*cc_D/7))/0.002)))^2)</f>
        <v/>
      </c>
      <c r="Z243">
        <f>MAX(-fyd_cc,MIN(fyd_cc,Es_cc*IF($E243&lt;=cc_D,0.0035*($E243-Z$12)/$E243,0.002*($E243-Z$12)/($E243-3*cc_D/7))))-fcd_cc*(1-(1-MAX(0,MIN(1,IF($E243&lt;=cc_D,0.0035*($E243-Z$12)/$E243,0.002*($E243-Z$12)/($E243-3*cc_D/7))/0.002)))^2)</f>
        <v/>
      </c>
      <c r="AA243">
        <f>MAX(-fyd_cc,MIN(fyd_cc,Es_cc*IF($E243&lt;=cc_D,0.0035*($E243-AA$12)/$E243,0.002*($E243-AA$12)/($E243-3*cc_D/7))))-fcd_cc*(1-(1-MAX(0,MIN(1,IF($E243&lt;=cc_D,0.0035*($E243-AA$12)/$E243,0.002*($E243-AA$12)/($E243-3*cc_D/7))/0.002)))^2)</f>
        <v/>
      </c>
      <c r="AB243">
        <f>MAX(-fyd_cc,MIN(fyd_cc,Es_cc*IF($E243&lt;=cc_D,0.0035*($E243-AB$12)/$E243,0.002*($E243-AB$12)/($E243-3*cc_D/7))))-fcd_cc*(1-(1-MAX(0,MIN(1,IF($E243&lt;=cc_D,0.0035*($E243-AB$12)/$E243,0.002*($E243-AB$12)/($E243-3*cc_D/7))/0.002)))^2)</f>
        <v/>
      </c>
      <c r="AC243">
        <f>MAX(-fyd_cc,MIN(fyd_cc,Es_cc*IF($E243&lt;=cc_D,0.0035*($E243-AC$12)/$E243,0.002*($E243-AC$12)/($E243-3*cc_D/7))))-fcd_cc*(1-(1-MAX(0,MIN(1,IF($E243&lt;=cc_D,0.0035*($E243-AC$12)/$E243,0.002*($E243-AC$12)/($E243-3*cc_D/7))/0.002)))^2)</f>
        <v/>
      </c>
      <c r="AD243">
        <f>MAX(-fyd_cc,MIN(fyd_cc,Es_cc*IF($E243&lt;=cc_D,0.0035*($E243-AD$12)/$E243,0.002*($E243-AD$12)/($E243-3*cc_D/7))))-fcd_cc*(1-(1-MAX(0,MIN(1,IF($E243&lt;=cc_D,0.0035*($E243-AD$12)/$E243,0.002*($E243-AD$12)/($E243-3*cc_D/7))/0.002)))^2)</f>
        <v/>
      </c>
      <c r="AE243">
        <f>MAX(-fyd_cc,MIN(fyd_cc,Es_cc*IF($E243&lt;=cc_D,0.0035*($E243-AE$12)/$E243,0.002*($E243-AE$12)/($E243-3*cc_D/7))))-fcd_cc*(1-(1-MAX(0,MIN(1,IF($E243&lt;=cc_D,0.0035*($E243-AE$12)/$E243,0.002*($E243-AE$12)/($E243-3*cc_D/7))/0.002)))^2)</f>
        <v/>
      </c>
      <c r="AF243">
        <f>MAX(-fyd_cc,MIN(fyd_cc,Es_cc*IF($E243&lt;=cc_D,0.0035*($E243-AF$12)/$E243,0.002*($E243-AF$12)/($E243-3*cc_D/7))))-fcd_cc*(1-(1-MAX(0,MIN(1,IF($E243&lt;=cc_D,0.0035*($E243-AF$12)/$E243,0.002*($E243-AF$12)/($E243-3*cc_D/7))/0.002)))^2)</f>
        <v/>
      </c>
      <c r="AG243">
        <f>MAX(-fyd_cc,MIN(fyd_cc,Es_cc*IF($E243&lt;=cc_D,0.0035*($E243-AG$12)/$E243,0.002*($E243-AG$12)/($E243-3*cc_D/7))))-fcd_cc*(1-(1-MAX(0,MIN(1,IF($E243&lt;=cc_D,0.0035*($E243-AG$12)/$E243,0.002*($E243-AG$12)/($E243-3*cc_D/7))/0.002)))^2)</f>
        <v/>
      </c>
      <c r="BF243">
        <f>3*MIN($E243,cc_D)/7</f>
        <v/>
      </c>
      <c r="BG243">
        <f>$E243-$BF243</f>
        <v/>
      </c>
      <c r="BH243">
        <f>ACOS(MAX(-1,MIN(1,1-$BF243/(cc_D/2))))</f>
        <v/>
      </c>
      <c r="BI243">
        <f>ACOS(MAX(-1,MIN(1,1-MIN($E243,cc_D)/(cc_D/2))))</f>
        <v/>
      </c>
      <c r="BJ243">
        <f>((cc_D/2*(1-COS(($BH243+0*($BI243-$BH243)/12)))-$BF243)/$BG243)^2*SIN(($BH243+0*($BI243-$BH243)/12))^2</f>
        <v/>
      </c>
      <c r="BK243">
        <f>((cc_D/2*(1-COS(($BH243+1*($BI243-$BH243)/12)))-$BF243)/$BG243)^2*SIN(($BH243+1*($BI243-$BH243)/12))^2</f>
        <v/>
      </c>
      <c r="BL243">
        <f>((cc_D/2*(1-COS(($BH243+2*($BI243-$BH243)/12)))-$BF243)/$BG243)^2*SIN(($BH243+2*($BI243-$BH243)/12))^2</f>
        <v/>
      </c>
      <c r="BM243">
        <f>((cc_D/2*(1-COS(($BH243+3*($BI243-$BH243)/12)))-$BF243)/$BG243)^2*SIN(($BH243+3*($BI243-$BH243)/12))^2</f>
        <v/>
      </c>
      <c r="BN243">
        <f>((cc_D/2*(1-COS(($BH243+4*($BI243-$BH243)/12)))-$BF243)/$BG243)^2*SIN(($BH243+4*($BI243-$BH243)/12))^2</f>
        <v/>
      </c>
      <c r="BO243">
        <f>((cc_D/2*(1-COS(($BH243+5*($BI243-$BH243)/12)))-$BF243)/$BG243)^2*SIN(($BH243+5*($BI243-$BH243)/12))^2</f>
        <v/>
      </c>
      <c r="BP243">
        <f>((cc_D/2*(1-COS(($BH243+6*($BI243-$BH243)/12)))-$BF243)/$BG243)^2*SIN(($BH243+6*($BI243-$BH243)/12))^2</f>
        <v/>
      </c>
      <c r="BQ243">
        <f>((cc_D/2*(1-COS(($BH243+7*($BI243-$BH243)/12)))-$BF243)/$BG243)^2*SIN(($BH243+7*($BI243-$BH243)/12))^2</f>
        <v/>
      </c>
      <c r="BR243">
        <f>((cc_D/2*(1-COS(($BH243+8*($BI243-$BH243)/12)))-$BF243)/$BG243)^2*SIN(($BH243+8*($BI243-$BH243)/12))^2</f>
        <v/>
      </c>
      <c r="BS243">
        <f>((cc_D/2*(1-COS(($BH243+9*($BI243-$BH243)/12)))-$BF243)/$BG243)^2*SIN(($BH243+9*($BI243-$BH243)/12))^2</f>
        <v/>
      </c>
      <c r="BT243">
        <f>((cc_D/2*(1-COS(($BH243+10*($BI243-$BH243)/12)))-$BF243)/$BG243)^2*SIN(($BH243+10*($BI243-$BH243)/12))^2</f>
        <v/>
      </c>
      <c r="BU243">
        <f>((cc_D/2*(1-COS(($BH243+11*($BI243-$BH243)/12)))-$BF243)/$BG243)^2*SIN(($BH243+11*($BI243-$BH243)/12))^2</f>
        <v/>
      </c>
      <c r="BV243">
        <f>((cc_D/2*(1-COS(($BH243+12*($BI243-$BH243)/12)))-$BF243)/$BG243)^2*SIN(($BH243+12*($BI243-$BH243)/12))^2</f>
        <v/>
      </c>
      <c r="BW243">
        <f>BJ243*COS(($BH243+0*($BI243-$BH243)/12))</f>
        <v/>
      </c>
      <c r="BX243">
        <f>BK243*COS(($BH243+1*($BI243-$BH243)/12))</f>
        <v/>
      </c>
      <c r="BY243">
        <f>BL243*COS(($BH243+2*($BI243-$BH243)/12))</f>
        <v/>
      </c>
      <c r="BZ243">
        <f>BM243*COS(($BH243+3*($BI243-$BH243)/12))</f>
        <v/>
      </c>
      <c r="CA243">
        <f>BN243*COS(($BH243+4*($BI243-$BH243)/12))</f>
        <v/>
      </c>
      <c r="CB243">
        <f>BO243*COS(($BH243+5*($BI243-$BH243)/12))</f>
        <v/>
      </c>
      <c r="CC243">
        <f>BP243*COS(($BH243+6*($BI243-$BH243)/12))</f>
        <v/>
      </c>
      <c r="CD243">
        <f>BQ243*COS(($BH243+7*($BI243-$BH243)/12))</f>
        <v/>
      </c>
      <c r="CE243">
        <f>BR243*COS(($BH243+8*($BI243-$BH243)/12))</f>
        <v/>
      </c>
      <c r="CF243">
        <f>BS243*COS(($BH243+9*($BI243-$BH243)/12))</f>
        <v/>
      </c>
      <c r="CG243">
        <f>BT243*COS(($BH243+10*($BI243-$BH243)/12))</f>
        <v/>
      </c>
      <c r="CH243">
        <f>BU243*COS(($BH243+11*($BI243-$BH243)/12))</f>
        <v/>
      </c>
      <c r="CI243">
        <f>BV243*COS(($BH243+12*($BI243-$BH243)/12))</f>
        <v/>
      </c>
    </row>
    <row r="244">
      <c r="B244" s="65" t="n">
        <v>29</v>
      </c>
      <c r="C244" s="66">
        <f>IF($G243&lt;cc_NEd-1E-9*ABS(cc_NEd),($C243+$D243)/2,$C243)</f>
        <v/>
      </c>
      <c r="D244" s="66">
        <f>IF($G243&lt;cc_NEd-1E-9*ABS(cc_NEd),$D243,($C243+$D243)/2)</f>
        <v/>
      </c>
      <c r="E244" s="67">
        <f>cc_D*(($C244+$D244)/2)/(1-(($C244+$D244)/2))</f>
        <v/>
      </c>
      <c r="F244" s="68">
        <f>IF($E244&lt;=cc_D,3.5,2*$E244/($E244-3*cc_D/7))</f>
        <v/>
      </c>
      <c r="G244" s="67">
        <f>(fcd_cc*((cc_D/2)^2*($BI244-COS($BI244)*SIN($BI244))-2*(cc_D/2)^2*($BI244-$BH244)/12/3*SUMPRODUCT($BJ$4:$BV$4,$BJ244:$BV244))+SUMPRODUCT($J$5:$AG$5,$J244:$AG244))/1000</f>
        <v/>
      </c>
      <c r="H244" s="67">
        <f>(fcd_cc*(2/3*(cc_D/2)^3*SIN($BI244)^3-2*(cc_D/2)^3*($BI244-$BH244)/12/3*SUMPRODUCT($BW$4:$CI$4,$BW244:$CI244))+SUMPRODUCT($J$5:$AG$5,$J244:$AG244,$J$13:$AG$13))/1E6</f>
        <v/>
      </c>
      <c r="I244" s="67">
        <f>SUMPRODUCT($J$5:$AG$5,$J244:$AG244,$J$14:$AG$14)/1E6</f>
        <v/>
      </c>
      <c r="J244">
        <f>MAX(-fyd_cc,MIN(fyd_cc,Es_cc*IF($E244&lt;=cc_D,0.0035*($E244-J$12)/$E244,0.002*($E244-J$12)/($E244-3*cc_D/7))))-fcd_cc*(1-(1-MAX(0,MIN(1,IF($E244&lt;=cc_D,0.0035*($E244-J$12)/$E244,0.002*($E244-J$12)/($E244-3*cc_D/7))/0.002)))^2)</f>
        <v/>
      </c>
      <c r="K244">
        <f>MAX(-fyd_cc,MIN(fyd_cc,Es_cc*IF($E244&lt;=cc_D,0.0035*($E244-K$12)/$E244,0.002*($E244-K$12)/($E244-3*cc_D/7))))-fcd_cc*(1-(1-MAX(0,MIN(1,IF($E244&lt;=cc_D,0.0035*($E244-K$12)/$E244,0.002*($E244-K$12)/($E244-3*cc_D/7))/0.002)))^2)</f>
        <v/>
      </c>
      <c r="L244">
        <f>MAX(-fyd_cc,MIN(fyd_cc,Es_cc*IF($E244&lt;=cc_D,0.0035*($E244-L$12)/$E244,0.002*($E244-L$12)/($E244-3*cc_D/7))))-fcd_cc*(1-(1-MAX(0,MIN(1,IF($E244&lt;=cc_D,0.0035*($E244-L$12)/$E244,0.002*($E244-L$12)/($E244-3*cc_D/7))/0.002)))^2)</f>
        <v/>
      </c>
      <c r="M244">
        <f>MAX(-fyd_cc,MIN(fyd_cc,Es_cc*IF($E244&lt;=cc_D,0.0035*($E244-M$12)/$E244,0.002*($E244-M$12)/($E244-3*cc_D/7))))-fcd_cc*(1-(1-MAX(0,MIN(1,IF($E244&lt;=cc_D,0.0035*($E244-M$12)/$E244,0.002*($E244-M$12)/($E244-3*cc_D/7))/0.002)))^2)</f>
        <v/>
      </c>
      <c r="N244">
        <f>MAX(-fyd_cc,MIN(fyd_cc,Es_cc*IF($E244&lt;=cc_D,0.0035*($E244-N$12)/$E244,0.002*($E244-N$12)/($E244-3*cc_D/7))))-fcd_cc*(1-(1-MAX(0,MIN(1,IF($E244&lt;=cc_D,0.0035*($E244-N$12)/$E244,0.002*($E244-N$12)/($E244-3*cc_D/7))/0.002)))^2)</f>
        <v/>
      </c>
      <c r="O244">
        <f>MAX(-fyd_cc,MIN(fyd_cc,Es_cc*IF($E244&lt;=cc_D,0.0035*($E244-O$12)/$E244,0.002*($E244-O$12)/($E244-3*cc_D/7))))-fcd_cc*(1-(1-MAX(0,MIN(1,IF($E244&lt;=cc_D,0.0035*($E244-O$12)/$E244,0.002*($E244-O$12)/($E244-3*cc_D/7))/0.002)))^2)</f>
        <v/>
      </c>
      <c r="P244">
        <f>MAX(-fyd_cc,MIN(fyd_cc,Es_cc*IF($E244&lt;=cc_D,0.0035*($E244-P$12)/$E244,0.002*($E244-P$12)/($E244-3*cc_D/7))))-fcd_cc*(1-(1-MAX(0,MIN(1,IF($E244&lt;=cc_D,0.0035*($E244-P$12)/$E244,0.002*($E244-P$12)/($E244-3*cc_D/7))/0.002)))^2)</f>
        <v/>
      </c>
      <c r="Q244">
        <f>MAX(-fyd_cc,MIN(fyd_cc,Es_cc*IF($E244&lt;=cc_D,0.0035*($E244-Q$12)/$E244,0.002*($E244-Q$12)/($E244-3*cc_D/7))))-fcd_cc*(1-(1-MAX(0,MIN(1,IF($E244&lt;=cc_D,0.0035*($E244-Q$12)/$E244,0.002*($E244-Q$12)/($E244-3*cc_D/7))/0.002)))^2)</f>
        <v/>
      </c>
      <c r="R244">
        <f>MAX(-fyd_cc,MIN(fyd_cc,Es_cc*IF($E244&lt;=cc_D,0.0035*($E244-R$12)/$E244,0.002*($E244-R$12)/($E244-3*cc_D/7))))-fcd_cc*(1-(1-MAX(0,MIN(1,IF($E244&lt;=cc_D,0.0035*($E244-R$12)/$E244,0.002*($E244-R$12)/($E244-3*cc_D/7))/0.002)))^2)</f>
        <v/>
      </c>
      <c r="S244">
        <f>MAX(-fyd_cc,MIN(fyd_cc,Es_cc*IF($E244&lt;=cc_D,0.0035*($E244-S$12)/$E244,0.002*($E244-S$12)/($E244-3*cc_D/7))))-fcd_cc*(1-(1-MAX(0,MIN(1,IF($E244&lt;=cc_D,0.0035*($E244-S$12)/$E244,0.002*($E244-S$12)/($E244-3*cc_D/7))/0.002)))^2)</f>
        <v/>
      </c>
      <c r="T244">
        <f>MAX(-fyd_cc,MIN(fyd_cc,Es_cc*IF($E244&lt;=cc_D,0.0035*($E244-T$12)/$E244,0.002*($E244-T$12)/($E244-3*cc_D/7))))-fcd_cc*(1-(1-MAX(0,MIN(1,IF($E244&lt;=cc_D,0.0035*($E244-T$12)/$E244,0.002*($E244-T$12)/($E244-3*cc_D/7))/0.002)))^2)</f>
        <v/>
      </c>
      <c r="U244">
        <f>MAX(-fyd_cc,MIN(fyd_cc,Es_cc*IF($E244&lt;=cc_D,0.0035*($E244-U$12)/$E244,0.002*($E244-U$12)/($E244-3*cc_D/7))))-fcd_cc*(1-(1-MAX(0,MIN(1,IF($E244&lt;=cc_D,0.0035*($E244-U$12)/$E244,0.002*($E244-U$12)/($E244-3*cc_D/7))/0.002)))^2)</f>
        <v/>
      </c>
      <c r="V244">
        <f>MAX(-fyd_cc,MIN(fyd_cc,Es_cc*IF($E244&lt;=cc_D,0.0035*($E244-V$12)/$E244,0.002*($E244-V$12)/($E244-3*cc_D/7))))-fcd_cc*(1-(1-MAX(0,MIN(1,IF($E244&lt;=cc_D,0.0035*($E244-V$12)/$E244,0.002*($E244-V$12)/($E244-3*cc_D/7))/0.002)))^2)</f>
        <v/>
      </c>
      <c r="W244">
        <f>MAX(-fyd_cc,MIN(fyd_cc,Es_cc*IF($E244&lt;=cc_D,0.0035*($E244-W$12)/$E244,0.002*($E244-W$12)/($E244-3*cc_D/7))))-fcd_cc*(1-(1-MAX(0,MIN(1,IF($E244&lt;=cc_D,0.0035*($E244-W$12)/$E244,0.002*($E244-W$12)/($E244-3*cc_D/7))/0.002)))^2)</f>
        <v/>
      </c>
      <c r="X244">
        <f>MAX(-fyd_cc,MIN(fyd_cc,Es_cc*IF($E244&lt;=cc_D,0.0035*($E244-X$12)/$E244,0.002*($E244-X$12)/($E244-3*cc_D/7))))-fcd_cc*(1-(1-MAX(0,MIN(1,IF($E244&lt;=cc_D,0.0035*($E244-X$12)/$E244,0.002*($E244-X$12)/($E244-3*cc_D/7))/0.002)))^2)</f>
        <v/>
      </c>
      <c r="Y244">
        <f>MAX(-fyd_cc,MIN(fyd_cc,Es_cc*IF($E244&lt;=cc_D,0.0035*($E244-Y$12)/$E244,0.002*($E244-Y$12)/($E244-3*cc_D/7))))-fcd_cc*(1-(1-MAX(0,MIN(1,IF($E244&lt;=cc_D,0.0035*($E244-Y$12)/$E244,0.002*($E244-Y$12)/($E244-3*cc_D/7))/0.002)))^2)</f>
        <v/>
      </c>
      <c r="Z244">
        <f>MAX(-fyd_cc,MIN(fyd_cc,Es_cc*IF($E244&lt;=cc_D,0.0035*($E244-Z$12)/$E244,0.002*($E244-Z$12)/($E244-3*cc_D/7))))-fcd_cc*(1-(1-MAX(0,MIN(1,IF($E244&lt;=cc_D,0.0035*($E244-Z$12)/$E244,0.002*($E244-Z$12)/($E244-3*cc_D/7))/0.002)))^2)</f>
        <v/>
      </c>
      <c r="AA244">
        <f>MAX(-fyd_cc,MIN(fyd_cc,Es_cc*IF($E244&lt;=cc_D,0.0035*($E244-AA$12)/$E244,0.002*($E244-AA$12)/($E244-3*cc_D/7))))-fcd_cc*(1-(1-MAX(0,MIN(1,IF($E244&lt;=cc_D,0.0035*($E244-AA$12)/$E244,0.002*($E244-AA$12)/($E244-3*cc_D/7))/0.002)))^2)</f>
        <v/>
      </c>
      <c r="AB244">
        <f>MAX(-fyd_cc,MIN(fyd_cc,Es_cc*IF($E244&lt;=cc_D,0.0035*($E244-AB$12)/$E244,0.002*($E244-AB$12)/($E244-3*cc_D/7))))-fcd_cc*(1-(1-MAX(0,MIN(1,IF($E244&lt;=cc_D,0.0035*($E244-AB$12)/$E244,0.002*($E244-AB$12)/($E244-3*cc_D/7))/0.002)))^2)</f>
        <v/>
      </c>
      <c r="AC244">
        <f>MAX(-fyd_cc,MIN(fyd_cc,Es_cc*IF($E244&lt;=cc_D,0.0035*($E244-AC$12)/$E244,0.002*($E244-AC$12)/($E244-3*cc_D/7))))-fcd_cc*(1-(1-MAX(0,MIN(1,IF($E244&lt;=cc_D,0.0035*($E244-AC$12)/$E244,0.002*($E244-AC$12)/($E244-3*cc_D/7))/0.002)))^2)</f>
        <v/>
      </c>
      <c r="AD244">
        <f>MAX(-fyd_cc,MIN(fyd_cc,Es_cc*IF($E244&lt;=cc_D,0.0035*($E244-AD$12)/$E244,0.002*($E244-AD$12)/($E244-3*cc_D/7))))-fcd_cc*(1-(1-MAX(0,MIN(1,IF($E244&lt;=cc_D,0.0035*($E244-AD$12)/$E244,0.002*($E244-AD$12)/($E244-3*cc_D/7))/0.002)))^2)</f>
        <v/>
      </c>
      <c r="AE244">
        <f>MAX(-fyd_cc,MIN(fyd_cc,Es_cc*IF($E244&lt;=cc_D,0.0035*($E244-AE$12)/$E244,0.002*($E244-AE$12)/($E244-3*cc_D/7))))-fcd_cc*(1-(1-MAX(0,MIN(1,IF($E244&lt;=cc_D,0.0035*($E244-AE$12)/$E244,0.002*($E244-AE$12)/($E244-3*cc_D/7))/0.002)))^2)</f>
        <v/>
      </c>
      <c r="AF244">
        <f>MAX(-fyd_cc,MIN(fyd_cc,Es_cc*IF($E244&lt;=cc_D,0.0035*($E244-AF$12)/$E244,0.002*($E244-AF$12)/($E244-3*cc_D/7))))-fcd_cc*(1-(1-MAX(0,MIN(1,IF($E244&lt;=cc_D,0.0035*($E244-AF$12)/$E244,0.002*($E244-AF$12)/($E244-3*cc_D/7))/0.002)))^2)</f>
        <v/>
      </c>
      <c r="AG244">
        <f>MAX(-fyd_cc,MIN(fyd_cc,Es_cc*IF($E244&lt;=cc_D,0.0035*($E244-AG$12)/$E244,0.002*($E244-AG$12)/($E244-3*cc_D/7))))-fcd_cc*(1-(1-MAX(0,MIN(1,IF($E244&lt;=cc_D,0.0035*($E244-AG$12)/$E244,0.002*($E244-AG$12)/($E244-3*cc_D/7))/0.002)))^2)</f>
        <v/>
      </c>
      <c r="BF244">
        <f>3*MIN($E244,cc_D)/7</f>
        <v/>
      </c>
      <c r="BG244">
        <f>$E244-$BF244</f>
        <v/>
      </c>
      <c r="BH244">
        <f>ACOS(MAX(-1,MIN(1,1-$BF244/(cc_D/2))))</f>
        <v/>
      </c>
      <c r="BI244">
        <f>ACOS(MAX(-1,MIN(1,1-MIN($E244,cc_D)/(cc_D/2))))</f>
        <v/>
      </c>
      <c r="BJ244">
        <f>((cc_D/2*(1-COS(($BH244+0*($BI244-$BH244)/12)))-$BF244)/$BG244)^2*SIN(($BH244+0*($BI244-$BH244)/12))^2</f>
        <v/>
      </c>
      <c r="BK244">
        <f>((cc_D/2*(1-COS(($BH244+1*($BI244-$BH244)/12)))-$BF244)/$BG244)^2*SIN(($BH244+1*($BI244-$BH244)/12))^2</f>
        <v/>
      </c>
      <c r="BL244">
        <f>((cc_D/2*(1-COS(($BH244+2*($BI244-$BH244)/12)))-$BF244)/$BG244)^2*SIN(($BH244+2*($BI244-$BH244)/12))^2</f>
        <v/>
      </c>
      <c r="BM244">
        <f>((cc_D/2*(1-COS(($BH244+3*($BI244-$BH244)/12)))-$BF244)/$BG244)^2*SIN(($BH244+3*($BI244-$BH244)/12))^2</f>
        <v/>
      </c>
      <c r="BN244">
        <f>((cc_D/2*(1-COS(($BH244+4*($BI244-$BH244)/12)))-$BF244)/$BG244)^2*SIN(($BH244+4*($BI244-$BH244)/12))^2</f>
        <v/>
      </c>
      <c r="BO244">
        <f>((cc_D/2*(1-COS(($BH244+5*($BI244-$BH244)/12)))-$BF244)/$BG244)^2*SIN(($BH244+5*($BI244-$BH244)/12))^2</f>
        <v/>
      </c>
      <c r="BP244">
        <f>((cc_D/2*(1-COS(($BH244+6*($BI244-$BH244)/12)))-$BF244)/$BG244)^2*SIN(($BH244+6*($BI244-$BH244)/12))^2</f>
        <v/>
      </c>
      <c r="BQ244">
        <f>((cc_D/2*(1-COS(($BH244+7*($BI244-$BH244)/12)))-$BF244)/$BG244)^2*SIN(($BH244+7*($BI244-$BH244)/12))^2</f>
        <v/>
      </c>
      <c r="BR244">
        <f>((cc_D/2*(1-COS(($BH244+8*($BI244-$BH244)/12)))-$BF244)/$BG244)^2*SIN(($BH244+8*($BI244-$BH244)/12))^2</f>
        <v/>
      </c>
      <c r="BS244">
        <f>((cc_D/2*(1-COS(($BH244+9*($BI244-$BH244)/12)))-$BF244)/$BG244)^2*SIN(($BH244+9*($BI244-$BH244)/12))^2</f>
        <v/>
      </c>
      <c r="BT244">
        <f>((cc_D/2*(1-COS(($BH244+10*($BI244-$BH244)/12)))-$BF244)/$BG244)^2*SIN(($BH244+10*($BI244-$BH244)/12))^2</f>
        <v/>
      </c>
      <c r="BU244">
        <f>((cc_D/2*(1-COS(($BH244+11*($BI244-$BH244)/12)))-$BF244)/$BG244)^2*SIN(($BH244+11*($BI244-$BH244)/12))^2</f>
        <v/>
      </c>
      <c r="BV244">
        <f>((cc_D/2*(1-COS(($BH244+12*($BI244-$BH244)/12)))-$BF244)/$BG244)^2*SIN(($BH244+12*($BI244-$BH244)/12))^2</f>
        <v/>
      </c>
      <c r="BW244">
        <f>BJ244*COS(($BH244+0*($BI244-$BH244)/12))</f>
        <v/>
      </c>
      <c r="BX244">
        <f>BK244*COS(($BH244+1*($BI244-$BH244)/12))</f>
        <v/>
      </c>
      <c r="BY244">
        <f>BL244*COS(($BH244+2*($BI244-$BH244)/12))</f>
        <v/>
      </c>
      <c r="BZ244">
        <f>BM244*COS(($BH244+3*($BI244-$BH244)/12))</f>
        <v/>
      </c>
      <c r="CA244">
        <f>BN244*COS(($BH244+4*($BI244-$BH244)/12))</f>
        <v/>
      </c>
      <c r="CB244">
        <f>BO244*COS(($BH244+5*($BI244-$BH244)/12))</f>
        <v/>
      </c>
      <c r="CC244">
        <f>BP244*COS(($BH244+6*($BI244-$BH244)/12))</f>
        <v/>
      </c>
      <c r="CD244">
        <f>BQ244*COS(($BH244+7*($BI244-$BH244)/12))</f>
        <v/>
      </c>
      <c r="CE244">
        <f>BR244*COS(($BH244+8*($BI244-$BH244)/12))</f>
        <v/>
      </c>
      <c r="CF244">
        <f>BS244*COS(($BH244+9*($BI244-$BH244)/12))</f>
        <v/>
      </c>
      <c r="CG244">
        <f>BT244*COS(($BH244+10*($BI244-$BH244)/12))</f>
        <v/>
      </c>
      <c r="CH244">
        <f>BU244*COS(($BH244+11*($BI244-$BH244)/12))</f>
        <v/>
      </c>
      <c r="CI244">
        <f>BV244*COS(($BH244+12*($BI244-$BH244)/12))</f>
        <v/>
      </c>
    </row>
    <row r="245">
      <c r="B245" s="65" t="n">
        <v>30</v>
      </c>
      <c r="C245" s="66">
        <f>IF($G244&lt;cc_NEd-1E-9*ABS(cc_NEd),($C244+$D244)/2,$C244)</f>
        <v/>
      </c>
      <c r="D245" s="66">
        <f>IF($G244&lt;cc_NEd-1E-9*ABS(cc_NEd),$D244,($C244+$D244)/2)</f>
        <v/>
      </c>
      <c r="E245" s="67">
        <f>cc_D*(($C245+$D245)/2)/(1-(($C245+$D245)/2))</f>
        <v/>
      </c>
      <c r="F245" s="68">
        <f>IF($E245&lt;=cc_D,3.5,2*$E245/($E245-3*cc_D/7))</f>
        <v/>
      </c>
      <c r="G245" s="67">
        <f>(fcd_cc*((cc_D/2)^2*($BI245-COS($BI245)*SIN($BI245))-2*(cc_D/2)^2*($BI245-$BH245)/12/3*SUMPRODUCT($BJ$4:$BV$4,$BJ245:$BV245))+SUMPRODUCT($J$5:$AG$5,$J245:$AG245))/1000</f>
        <v/>
      </c>
      <c r="H245" s="67">
        <f>(fcd_cc*(2/3*(cc_D/2)^3*SIN($BI245)^3-2*(cc_D/2)^3*($BI245-$BH245)/12/3*SUMPRODUCT($BW$4:$CI$4,$BW245:$CI245))+SUMPRODUCT($J$5:$AG$5,$J245:$AG245,$J$13:$AG$13))/1E6</f>
        <v/>
      </c>
      <c r="I245" s="67">
        <f>SUMPRODUCT($J$5:$AG$5,$J245:$AG245,$J$14:$AG$14)/1E6</f>
        <v/>
      </c>
      <c r="J245">
        <f>MAX(-fyd_cc,MIN(fyd_cc,Es_cc*IF($E245&lt;=cc_D,0.0035*($E245-J$12)/$E245,0.002*($E245-J$12)/($E245-3*cc_D/7))))-fcd_cc*(1-(1-MAX(0,MIN(1,IF($E245&lt;=cc_D,0.0035*($E245-J$12)/$E245,0.002*($E245-J$12)/($E245-3*cc_D/7))/0.002)))^2)</f>
        <v/>
      </c>
      <c r="K245">
        <f>MAX(-fyd_cc,MIN(fyd_cc,Es_cc*IF($E245&lt;=cc_D,0.0035*($E245-K$12)/$E245,0.002*($E245-K$12)/($E245-3*cc_D/7))))-fcd_cc*(1-(1-MAX(0,MIN(1,IF($E245&lt;=cc_D,0.0035*($E245-K$12)/$E245,0.002*($E245-K$12)/($E245-3*cc_D/7))/0.002)))^2)</f>
        <v/>
      </c>
      <c r="L245">
        <f>MAX(-fyd_cc,MIN(fyd_cc,Es_cc*IF($E245&lt;=cc_D,0.0035*($E245-L$12)/$E245,0.002*($E245-L$12)/($E245-3*cc_D/7))))-fcd_cc*(1-(1-MAX(0,MIN(1,IF($E245&lt;=cc_D,0.0035*($E245-L$12)/$E245,0.002*($E245-L$12)/($E245-3*cc_D/7))/0.002)))^2)</f>
        <v/>
      </c>
      <c r="M245">
        <f>MAX(-fyd_cc,MIN(fyd_cc,Es_cc*IF($E245&lt;=cc_D,0.0035*($E245-M$12)/$E245,0.002*($E245-M$12)/($E245-3*cc_D/7))))-fcd_cc*(1-(1-MAX(0,MIN(1,IF($E245&lt;=cc_D,0.0035*($E245-M$12)/$E245,0.002*($E245-M$12)/($E245-3*cc_D/7))/0.002)))^2)</f>
        <v/>
      </c>
      <c r="N245">
        <f>MAX(-fyd_cc,MIN(fyd_cc,Es_cc*IF($E245&lt;=cc_D,0.0035*($E245-N$12)/$E245,0.002*($E245-N$12)/($E245-3*cc_D/7))))-fcd_cc*(1-(1-MAX(0,MIN(1,IF($E245&lt;=cc_D,0.0035*($E245-N$12)/$E245,0.002*($E245-N$12)/($E245-3*cc_D/7))/0.002)))^2)</f>
        <v/>
      </c>
      <c r="O245">
        <f>MAX(-fyd_cc,MIN(fyd_cc,Es_cc*IF($E245&lt;=cc_D,0.0035*($E245-O$12)/$E245,0.002*($E245-O$12)/($E245-3*cc_D/7))))-fcd_cc*(1-(1-MAX(0,MIN(1,IF($E245&lt;=cc_D,0.0035*($E245-O$12)/$E245,0.002*($E245-O$12)/($E245-3*cc_D/7))/0.002)))^2)</f>
        <v/>
      </c>
      <c r="P245">
        <f>MAX(-fyd_cc,MIN(fyd_cc,Es_cc*IF($E245&lt;=cc_D,0.0035*($E245-P$12)/$E245,0.002*($E245-P$12)/($E245-3*cc_D/7))))-fcd_cc*(1-(1-MAX(0,MIN(1,IF($E245&lt;=cc_D,0.0035*($E245-P$12)/$E245,0.002*($E245-P$12)/($E245-3*cc_D/7))/0.002)))^2)</f>
        <v/>
      </c>
      <c r="Q245">
        <f>MAX(-fyd_cc,MIN(fyd_cc,Es_cc*IF($E245&lt;=cc_D,0.0035*($E245-Q$12)/$E245,0.002*($E245-Q$12)/($E245-3*cc_D/7))))-fcd_cc*(1-(1-MAX(0,MIN(1,IF($E245&lt;=cc_D,0.0035*($E245-Q$12)/$E245,0.002*($E245-Q$12)/($E245-3*cc_D/7))/0.002)))^2)</f>
        <v/>
      </c>
      <c r="R245">
        <f>MAX(-fyd_cc,MIN(fyd_cc,Es_cc*IF($E245&lt;=cc_D,0.0035*($E245-R$12)/$E245,0.002*($E245-R$12)/($E245-3*cc_D/7))))-fcd_cc*(1-(1-MAX(0,MIN(1,IF($E245&lt;=cc_D,0.0035*($E245-R$12)/$E245,0.002*($E245-R$12)/($E245-3*cc_D/7))/0.002)))^2)</f>
        <v/>
      </c>
      <c r="S245">
        <f>MAX(-fyd_cc,MIN(fyd_cc,Es_cc*IF($E245&lt;=cc_D,0.0035*($E245-S$12)/$E245,0.002*($E245-S$12)/($E245-3*cc_D/7))))-fcd_cc*(1-(1-MAX(0,MIN(1,IF($E245&lt;=cc_D,0.0035*($E245-S$12)/$E245,0.002*($E245-S$12)/($E245-3*cc_D/7))/0.002)))^2)</f>
        <v/>
      </c>
      <c r="T245">
        <f>MAX(-fyd_cc,MIN(fyd_cc,Es_cc*IF($E245&lt;=cc_D,0.0035*($E245-T$12)/$E245,0.002*($E245-T$12)/($E245-3*cc_D/7))))-fcd_cc*(1-(1-MAX(0,MIN(1,IF($E245&lt;=cc_D,0.0035*($E245-T$12)/$E245,0.002*($E245-T$12)/($E245-3*cc_D/7))/0.002)))^2)</f>
        <v/>
      </c>
      <c r="U245">
        <f>MAX(-fyd_cc,MIN(fyd_cc,Es_cc*IF($E245&lt;=cc_D,0.0035*($E245-U$12)/$E245,0.002*($E245-U$12)/($E245-3*cc_D/7))))-fcd_cc*(1-(1-MAX(0,MIN(1,IF($E245&lt;=cc_D,0.0035*($E245-U$12)/$E245,0.002*($E245-U$12)/($E245-3*cc_D/7))/0.002)))^2)</f>
        <v/>
      </c>
      <c r="V245">
        <f>MAX(-fyd_cc,MIN(fyd_cc,Es_cc*IF($E245&lt;=cc_D,0.0035*($E245-V$12)/$E245,0.002*($E245-V$12)/($E245-3*cc_D/7))))-fcd_cc*(1-(1-MAX(0,MIN(1,IF($E245&lt;=cc_D,0.0035*($E245-V$12)/$E245,0.002*($E245-V$12)/($E245-3*cc_D/7))/0.002)))^2)</f>
        <v/>
      </c>
      <c r="W245">
        <f>MAX(-fyd_cc,MIN(fyd_cc,Es_cc*IF($E245&lt;=cc_D,0.0035*($E245-W$12)/$E245,0.002*($E245-W$12)/($E245-3*cc_D/7))))-fcd_cc*(1-(1-MAX(0,MIN(1,IF($E245&lt;=cc_D,0.0035*($E245-W$12)/$E245,0.002*($E245-W$12)/($E245-3*cc_D/7))/0.002)))^2)</f>
        <v/>
      </c>
      <c r="X245">
        <f>MAX(-fyd_cc,MIN(fyd_cc,Es_cc*IF($E245&lt;=cc_D,0.0035*($E245-X$12)/$E245,0.002*($E245-X$12)/($E245-3*cc_D/7))))-fcd_cc*(1-(1-MAX(0,MIN(1,IF($E245&lt;=cc_D,0.0035*($E245-X$12)/$E245,0.002*($E245-X$12)/($E245-3*cc_D/7))/0.002)))^2)</f>
        <v/>
      </c>
      <c r="Y245">
        <f>MAX(-fyd_cc,MIN(fyd_cc,Es_cc*IF($E245&lt;=cc_D,0.0035*($E245-Y$12)/$E245,0.002*($E245-Y$12)/($E245-3*cc_D/7))))-fcd_cc*(1-(1-MAX(0,MIN(1,IF($E245&lt;=cc_D,0.0035*($E245-Y$12)/$E245,0.002*($E245-Y$12)/($E245-3*cc_D/7))/0.002)))^2)</f>
        <v/>
      </c>
      <c r="Z245">
        <f>MAX(-fyd_cc,MIN(fyd_cc,Es_cc*IF($E245&lt;=cc_D,0.0035*($E245-Z$12)/$E245,0.002*($E245-Z$12)/($E245-3*cc_D/7))))-fcd_cc*(1-(1-MAX(0,MIN(1,IF($E245&lt;=cc_D,0.0035*($E245-Z$12)/$E245,0.002*($E245-Z$12)/($E245-3*cc_D/7))/0.002)))^2)</f>
        <v/>
      </c>
      <c r="AA245">
        <f>MAX(-fyd_cc,MIN(fyd_cc,Es_cc*IF($E245&lt;=cc_D,0.0035*($E245-AA$12)/$E245,0.002*($E245-AA$12)/($E245-3*cc_D/7))))-fcd_cc*(1-(1-MAX(0,MIN(1,IF($E245&lt;=cc_D,0.0035*($E245-AA$12)/$E245,0.002*($E245-AA$12)/($E245-3*cc_D/7))/0.002)))^2)</f>
        <v/>
      </c>
      <c r="AB245">
        <f>MAX(-fyd_cc,MIN(fyd_cc,Es_cc*IF($E245&lt;=cc_D,0.0035*($E245-AB$12)/$E245,0.002*($E245-AB$12)/($E245-3*cc_D/7))))-fcd_cc*(1-(1-MAX(0,MIN(1,IF($E245&lt;=cc_D,0.0035*($E245-AB$12)/$E245,0.002*($E245-AB$12)/($E245-3*cc_D/7))/0.002)))^2)</f>
        <v/>
      </c>
      <c r="AC245">
        <f>MAX(-fyd_cc,MIN(fyd_cc,Es_cc*IF($E245&lt;=cc_D,0.0035*($E245-AC$12)/$E245,0.002*($E245-AC$12)/($E245-3*cc_D/7))))-fcd_cc*(1-(1-MAX(0,MIN(1,IF($E245&lt;=cc_D,0.0035*($E245-AC$12)/$E245,0.002*($E245-AC$12)/($E245-3*cc_D/7))/0.002)))^2)</f>
        <v/>
      </c>
      <c r="AD245">
        <f>MAX(-fyd_cc,MIN(fyd_cc,Es_cc*IF($E245&lt;=cc_D,0.0035*($E245-AD$12)/$E245,0.002*($E245-AD$12)/($E245-3*cc_D/7))))-fcd_cc*(1-(1-MAX(0,MIN(1,IF($E245&lt;=cc_D,0.0035*($E245-AD$12)/$E245,0.002*($E245-AD$12)/($E245-3*cc_D/7))/0.002)))^2)</f>
        <v/>
      </c>
      <c r="AE245">
        <f>MAX(-fyd_cc,MIN(fyd_cc,Es_cc*IF($E245&lt;=cc_D,0.0035*($E245-AE$12)/$E245,0.002*($E245-AE$12)/($E245-3*cc_D/7))))-fcd_cc*(1-(1-MAX(0,MIN(1,IF($E245&lt;=cc_D,0.0035*($E245-AE$12)/$E245,0.002*($E245-AE$12)/($E245-3*cc_D/7))/0.002)))^2)</f>
        <v/>
      </c>
      <c r="AF245">
        <f>MAX(-fyd_cc,MIN(fyd_cc,Es_cc*IF($E245&lt;=cc_D,0.0035*($E245-AF$12)/$E245,0.002*($E245-AF$12)/($E245-3*cc_D/7))))-fcd_cc*(1-(1-MAX(0,MIN(1,IF($E245&lt;=cc_D,0.0035*($E245-AF$12)/$E245,0.002*($E245-AF$12)/($E245-3*cc_D/7))/0.002)))^2)</f>
        <v/>
      </c>
      <c r="AG245">
        <f>MAX(-fyd_cc,MIN(fyd_cc,Es_cc*IF($E245&lt;=cc_D,0.0035*($E245-AG$12)/$E245,0.002*($E245-AG$12)/($E245-3*cc_D/7))))-fcd_cc*(1-(1-MAX(0,MIN(1,IF($E245&lt;=cc_D,0.0035*($E245-AG$12)/$E245,0.002*($E245-AG$12)/($E245-3*cc_D/7))/0.002)))^2)</f>
        <v/>
      </c>
      <c r="BF245">
        <f>3*MIN($E245,cc_D)/7</f>
        <v/>
      </c>
      <c r="BG245">
        <f>$E245-$BF245</f>
        <v/>
      </c>
      <c r="BH245">
        <f>ACOS(MAX(-1,MIN(1,1-$BF245/(cc_D/2))))</f>
        <v/>
      </c>
      <c r="BI245">
        <f>ACOS(MAX(-1,MIN(1,1-MIN($E245,cc_D)/(cc_D/2))))</f>
        <v/>
      </c>
      <c r="BJ245">
        <f>((cc_D/2*(1-COS(($BH245+0*($BI245-$BH245)/12)))-$BF245)/$BG245)^2*SIN(($BH245+0*($BI245-$BH245)/12))^2</f>
        <v/>
      </c>
      <c r="BK245">
        <f>((cc_D/2*(1-COS(($BH245+1*($BI245-$BH245)/12)))-$BF245)/$BG245)^2*SIN(($BH245+1*($BI245-$BH245)/12))^2</f>
        <v/>
      </c>
      <c r="BL245">
        <f>((cc_D/2*(1-COS(($BH245+2*($BI245-$BH245)/12)))-$BF245)/$BG245)^2*SIN(($BH245+2*($BI245-$BH245)/12))^2</f>
        <v/>
      </c>
      <c r="BM245">
        <f>((cc_D/2*(1-COS(($BH245+3*($BI245-$BH245)/12)))-$BF245)/$BG245)^2*SIN(($BH245+3*($BI245-$BH245)/12))^2</f>
        <v/>
      </c>
      <c r="BN245">
        <f>((cc_D/2*(1-COS(($BH245+4*($BI245-$BH245)/12)))-$BF245)/$BG245)^2*SIN(($BH245+4*($BI245-$BH245)/12))^2</f>
        <v/>
      </c>
      <c r="BO245">
        <f>((cc_D/2*(1-COS(($BH245+5*($BI245-$BH245)/12)))-$BF245)/$BG245)^2*SIN(($BH245+5*($BI245-$BH245)/12))^2</f>
        <v/>
      </c>
      <c r="BP245">
        <f>((cc_D/2*(1-COS(($BH245+6*($BI245-$BH245)/12)))-$BF245)/$BG245)^2*SIN(($BH245+6*($BI245-$BH245)/12))^2</f>
        <v/>
      </c>
      <c r="BQ245">
        <f>((cc_D/2*(1-COS(($BH245+7*($BI245-$BH245)/12)))-$BF245)/$BG245)^2*SIN(($BH245+7*($BI245-$BH245)/12))^2</f>
        <v/>
      </c>
      <c r="BR245">
        <f>((cc_D/2*(1-COS(($BH245+8*($BI245-$BH245)/12)))-$BF245)/$BG245)^2*SIN(($BH245+8*($BI245-$BH245)/12))^2</f>
        <v/>
      </c>
      <c r="BS245">
        <f>((cc_D/2*(1-COS(($BH245+9*($BI245-$BH245)/12)))-$BF245)/$BG245)^2*SIN(($BH245+9*($BI245-$BH245)/12))^2</f>
        <v/>
      </c>
      <c r="BT245">
        <f>((cc_D/2*(1-COS(($BH245+10*($BI245-$BH245)/12)))-$BF245)/$BG245)^2*SIN(($BH245+10*($BI245-$BH245)/12))^2</f>
        <v/>
      </c>
      <c r="BU245">
        <f>((cc_D/2*(1-COS(($BH245+11*($BI245-$BH245)/12)))-$BF245)/$BG245)^2*SIN(($BH245+11*($BI245-$BH245)/12))^2</f>
        <v/>
      </c>
      <c r="BV245">
        <f>((cc_D/2*(1-COS(($BH245+12*($BI245-$BH245)/12)))-$BF245)/$BG245)^2*SIN(($BH245+12*($BI245-$BH245)/12))^2</f>
        <v/>
      </c>
      <c r="BW245">
        <f>BJ245*COS(($BH245+0*($BI245-$BH245)/12))</f>
        <v/>
      </c>
      <c r="BX245">
        <f>BK245*COS(($BH245+1*($BI245-$BH245)/12))</f>
        <v/>
      </c>
      <c r="BY245">
        <f>BL245*COS(($BH245+2*($BI245-$BH245)/12))</f>
        <v/>
      </c>
      <c r="BZ245">
        <f>BM245*COS(($BH245+3*($BI245-$BH245)/12))</f>
        <v/>
      </c>
      <c r="CA245">
        <f>BN245*COS(($BH245+4*($BI245-$BH245)/12))</f>
        <v/>
      </c>
      <c r="CB245">
        <f>BO245*COS(($BH245+5*($BI245-$BH245)/12))</f>
        <v/>
      </c>
      <c r="CC245">
        <f>BP245*COS(($BH245+6*($BI245-$BH245)/12))</f>
        <v/>
      </c>
      <c r="CD245">
        <f>BQ245*COS(($BH245+7*($BI245-$BH245)/12))</f>
        <v/>
      </c>
      <c r="CE245">
        <f>BR245*COS(($BH245+8*($BI245-$BH245)/12))</f>
        <v/>
      </c>
      <c r="CF245">
        <f>BS245*COS(($BH245+9*($BI245-$BH245)/12))</f>
        <v/>
      </c>
      <c r="CG245">
        <f>BT245*COS(($BH245+10*($BI245-$BH245)/12))</f>
        <v/>
      </c>
      <c r="CH245">
        <f>BU245*COS(($BH245+11*($BI245-$BH245)/12))</f>
        <v/>
      </c>
      <c r="CI245">
        <f>BV245*COS(($BH245+12*($BI245-$BH245)/12))</f>
        <v/>
      </c>
    </row>
    <row r="246">
      <c r="B246" s="65" t="n">
        <v>31</v>
      </c>
      <c r="C246" s="66">
        <f>IF($G245&lt;cc_NEd-1E-9*ABS(cc_NEd),($C245+$D245)/2,$C245)</f>
        <v/>
      </c>
      <c r="D246" s="66">
        <f>IF($G245&lt;cc_NEd-1E-9*ABS(cc_NEd),$D245,($C245+$D245)/2)</f>
        <v/>
      </c>
      <c r="E246" s="67">
        <f>cc_D*(($C246+$D246)/2)/(1-(($C246+$D246)/2))</f>
        <v/>
      </c>
      <c r="F246" s="68">
        <f>IF($E246&lt;=cc_D,3.5,2*$E246/($E246-3*cc_D/7))</f>
        <v/>
      </c>
      <c r="G246" s="67">
        <f>(fcd_cc*((cc_D/2)^2*($BI246-COS($BI246)*SIN($BI246))-2*(cc_D/2)^2*($BI246-$BH246)/12/3*SUMPRODUCT($BJ$4:$BV$4,$BJ246:$BV246))+SUMPRODUCT($J$5:$AG$5,$J246:$AG246))/1000</f>
        <v/>
      </c>
      <c r="H246" s="67">
        <f>(fcd_cc*(2/3*(cc_D/2)^3*SIN($BI246)^3-2*(cc_D/2)^3*($BI246-$BH246)/12/3*SUMPRODUCT($BW$4:$CI$4,$BW246:$CI246))+SUMPRODUCT($J$5:$AG$5,$J246:$AG246,$J$13:$AG$13))/1E6</f>
        <v/>
      </c>
      <c r="I246" s="67">
        <f>SUMPRODUCT($J$5:$AG$5,$J246:$AG246,$J$14:$AG$14)/1E6</f>
        <v/>
      </c>
      <c r="J246">
        <f>MAX(-fyd_cc,MIN(fyd_cc,Es_cc*IF($E246&lt;=cc_D,0.0035*($E246-J$12)/$E246,0.002*($E246-J$12)/($E246-3*cc_D/7))))-fcd_cc*(1-(1-MAX(0,MIN(1,IF($E246&lt;=cc_D,0.0035*($E246-J$12)/$E246,0.002*($E246-J$12)/($E246-3*cc_D/7))/0.002)))^2)</f>
        <v/>
      </c>
      <c r="K246">
        <f>MAX(-fyd_cc,MIN(fyd_cc,Es_cc*IF($E246&lt;=cc_D,0.0035*($E246-K$12)/$E246,0.002*($E246-K$12)/($E246-3*cc_D/7))))-fcd_cc*(1-(1-MAX(0,MIN(1,IF($E246&lt;=cc_D,0.0035*($E246-K$12)/$E246,0.002*($E246-K$12)/($E246-3*cc_D/7))/0.002)))^2)</f>
        <v/>
      </c>
      <c r="L246">
        <f>MAX(-fyd_cc,MIN(fyd_cc,Es_cc*IF($E246&lt;=cc_D,0.0035*($E246-L$12)/$E246,0.002*($E246-L$12)/($E246-3*cc_D/7))))-fcd_cc*(1-(1-MAX(0,MIN(1,IF($E246&lt;=cc_D,0.0035*($E246-L$12)/$E246,0.002*($E246-L$12)/($E246-3*cc_D/7))/0.002)))^2)</f>
        <v/>
      </c>
      <c r="M246">
        <f>MAX(-fyd_cc,MIN(fyd_cc,Es_cc*IF($E246&lt;=cc_D,0.0035*($E246-M$12)/$E246,0.002*($E246-M$12)/($E246-3*cc_D/7))))-fcd_cc*(1-(1-MAX(0,MIN(1,IF($E246&lt;=cc_D,0.0035*($E246-M$12)/$E246,0.002*($E246-M$12)/($E246-3*cc_D/7))/0.002)))^2)</f>
        <v/>
      </c>
      <c r="N246">
        <f>MAX(-fyd_cc,MIN(fyd_cc,Es_cc*IF($E246&lt;=cc_D,0.0035*($E246-N$12)/$E246,0.002*($E246-N$12)/($E246-3*cc_D/7))))-fcd_cc*(1-(1-MAX(0,MIN(1,IF($E246&lt;=cc_D,0.0035*($E246-N$12)/$E246,0.002*($E246-N$12)/($E246-3*cc_D/7))/0.002)))^2)</f>
        <v/>
      </c>
      <c r="O246">
        <f>MAX(-fyd_cc,MIN(fyd_cc,Es_cc*IF($E246&lt;=cc_D,0.0035*($E246-O$12)/$E246,0.002*($E246-O$12)/($E246-3*cc_D/7))))-fcd_cc*(1-(1-MAX(0,MIN(1,IF($E246&lt;=cc_D,0.0035*($E246-O$12)/$E246,0.002*($E246-O$12)/($E246-3*cc_D/7))/0.002)))^2)</f>
        <v/>
      </c>
      <c r="P246">
        <f>MAX(-fyd_cc,MIN(fyd_cc,Es_cc*IF($E246&lt;=cc_D,0.0035*($E246-P$12)/$E246,0.002*($E246-P$12)/($E246-3*cc_D/7))))-fcd_cc*(1-(1-MAX(0,MIN(1,IF($E246&lt;=cc_D,0.0035*($E246-P$12)/$E246,0.002*($E246-P$12)/($E246-3*cc_D/7))/0.002)))^2)</f>
        <v/>
      </c>
      <c r="Q246">
        <f>MAX(-fyd_cc,MIN(fyd_cc,Es_cc*IF($E246&lt;=cc_D,0.0035*($E246-Q$12)/$E246,0.002*($E246-Q$12)/($E246-3*cc_D/7))))-fcd_cc*(1-(1-MAX(0,MIN(1,IF($E246&lt;=cc_D,0.0035*($E246-Q$12)/$E246,0.002*($E246-Q$12)/($E246-3*cc_D/7))/0.002)))^2)</f>
        <v/>
      </c>
      <c r="R246">
        <f>MAX(-fyd_cc,MIN(fyd_cc,Es_cc*IF($E246&lt;=cc_D,0.0035*($E246-R$12)/$E246,0.002*($E246-R$12)/($E246-3*cc_D/7))))-fcd_cc*(1-(1-MAX(0,MIN(1,IF($E246&lt;=cc_D,0.0035*($E246-R$12)/$E246,0.002*($E246-R$12)/($E246-3*cc_D/7))/0.002)))^2)</f>
        <v/>
      </c>
      <c r="S246">
        <f>MAX(-fyd_cc,MIN(fyd_cc,Es_cc*IF($E246&lt;=cc_D,0.0035*($E246-S$12)/$E246,0.002*($E246-S$12)/($E246-3*cc_D/7))))-fcd_cc*(1-(1-MAX(0,MIN(1,IF($E246&lt;=cc_D,0.0035*($E246-S$12)/$E246,0.002*($E246-S$12)/($E246-3*cc_D/7))/0.002)))^2)</f>
        <v/>
      </c>
      <c r="T246">
        <f>MAX(-fyd_cc,MIN(fyd_cc,Es_cc*IF($E246&lt;=cc_D,0.0035*($E246-T$12)/$E246,0.002*($E246-T$12)/($E246-3*cc_D/7))))-fcd_cc*(1-(1-MAX(0,MIN(1,IF($E246&lt;=cc_D,0.0035*($E246-T$12)/$E246,0.002*($E246-T$12)/($E246-3*cc_D/7))/0.002)))^2)</f>
        <v/>
      </c>
      <c r="U246">
        <f>MAX(-fyd_cc,MIN(fyd_cc,Es_cc*IF($E246&lt;=cc_D,0.0035*($E246-U$12)/$E246,0.002*($E246-U$12)/($E246-3*cc_D/7))))-fcd_cc*(1-(1-MAX(0,MIN(1,IF($E246&lt;=cc_D,0.0035*($E246-U$12)/$E246,0.002*($E246-U$12)/($E246-3*cc_D/7))/0.002)))^2)</f>
        <v/>
      </c>
      <c r="V246">
        <f>MAX(-fyd_cc,MIN(fyd_cc,Es_cc*IF($E246&lt;=cc_D,0.0035*($E246-V$12)/$E246,0.002*($E246-V$12)/($E246-3*cc_D/7))))-fcd_cc*(1-(1-MAX(0,MIN(1,IF($E246&lt;=cc_D,0.0035*($E246-V$12)/$E246,0.002*($E246-V$12)/($E246-3*cc_D/7))/0.002)))^2)</f>
        <v/>
      </c>
      <c r="W246">
        <f>MAX(-fyd_cc,MIN(fyd_cc,Es_cc*IF($E246&lt;=cc_D,0.0035*($E246-W$12)/$E246,0.002*($E246-W$12)/($E246-3*cc_D/7))))-fcd_cc*(1-(1-MAX(0,MIN(1,IF($E246&lt;=cc_D,0.0035*($E246-W$12)/$E246,0.002*($E246-W$12)/($E246-3*cc_D/7))/0.002)))^2)</f>
        <v/>
      </c>
      <c r="X246">
        <f>MAX(-fyd_cc,MIN(fyd_cc,Es_cc*IF($E246&lt;=cc_D,0.0035*($E246-X$12)/$E246,0.002*($E246-X$12)/($E246-3*cc_D/7))))-fcd_cc*(1-(1-MAX(0,MIN(1,IF($E246&lt;=cc_D,0.0035*($E246-X$12)/$E246,0.002*($E246-X$12)/($E246-3*cc_D/7))/0.002)))^2)</f>
        <v/>
      </c>
      <c r="Y246">
        <f>MAX(-fyd_cc,MIN(fyd_cc,Es_cc*IF($E246&lt;=cc_D,0.0035*($E246-Y$12)/$E246,0.002*($E246-Y$12)/($E246-3*cc_D/7))))-fcd_cc*(1-(1-MAX(0,MIN(1,IF($E246&lt;=cc_D,0.0035*($E246-Y$12)/$E246,0.002*($E246-Y$12)/($E246-3*cc_D/7))/0.002)))^2)</f>
        <v/>
      </c>
      <c r="Z246">
        <f>MAX(-fyd_cc,MIN(fyd_cc,Es_cc*IF($E246&lt;=cc_D,0.0035*($E246-Z$12)/$E246,0.002*($E246-Z$12)/($E246-3*cc_D/7))))-fcd_cc*(1-(1-MAX(0,MIN(1,IF($E246&lt;=cc_D,0.0035*($E246-Z$12)/$E246,0.002*($E246-Z$12)/($E246-3*cc_D/7))/0.002)))^2)</f>
        <v/>
      </c>
      <c r="AA246">
        <f>MAX(-fyd_cc,MIN(fyd_cc,Es_cc*IF($E246&lt;=cc_D,0.0035*($E246-AA$12)/$E246,0.002*($E246-AA$12)/($E246-3*cc_D/7))))-fcd_cc*(1-(1-MAX(0,MIN(1,IF($E246&lt;=cc_D,0.0035*($E246-AA$12)/$E246,0.002*($E246-AA$12)/($E246-3*cc_D/7))/0.002)))^2)</f>
        <v/>
      </c>
      <c r="AB246">
        <f>MAX(-fyd_cc,MIN(fyd_cc,Es_cc*IF($E246&lt;=cc_D,0.0035*($E246-AB$12)/$E246,0.002*($E246-AB$12)/($E246-3*cc_D/7))))-fcd_cc*(1-(1-MAX(0,MIN(1,IF($E246&lt;=cc_D,0.0035*($E246-AB$12)/$E246,0.002*($E246-AB$12)/($E246-3*cc_D/7))/0.002)))^2)</f>
        <v/>
      </c>
      <c r="AC246">
        <f>MAX(-fyd_cc,MIN(fyd_cc,Es_cc*IF($E246&lt;=cc_D,0.0035*($E246-AC$12)/$E246,0.002*($E246-AC$12)/($E246-3*cc_D/7))))-fcd_cc*(1-(1-MAX(0,MIN(1,IF($E246&lt;=cc_D,0.0035*($E246-AC$12)/$E246,0.002*($E246-AC$12)/($E246-3*cc_D/7))/0.002)))^2)</f>
        <v/>
      </c>
      <c r="AD246">
        <f>MAX(-fyd_cc,MIN(fyd_cc,Es_cc*IF($E246&lt;=cc_D,0.0035*($E246-AD$12)/$E246,0.002*($E246-AD$12)/($E246-3*cc_D/7))))-fcd_cc*(1-(1-MAX(0,MIN(1,IF($E246&lt;=cc_D,0.0035*($E246-AD$12)/$E246,0.002*($E246-AD$12)/($E246-3*cc_D/7))/0.002)))^2)</f>
        <v/>
      </c>
      <c r="AE246">
        <f>MAX(-fyd_cc,MIN(fyd_cc,Es_cc*IF($E246&lt;=cc_D,0.0035*($E246-AE$12)/$E246,0.002*($E246-AE$12)/($E246-3*cc_D/7))))-fcd_cc*(1-(1-MAX(0,MIN(1,IF($E246&lt;=cc_D,0.0035*($E246-AE$12)/$E246,0.002*($E246-AE$12)/($E246-3*cc_D/7))/0.002)))^2)</f>
        <v/>
      </c>
      <c r="AF246">
        <f>MAX(-fyd_cc,MIN(fyd_cc,Es_cc*IF($E246&lt;=cc_D,0.0035*($E246-AF$12)/$E246,0.002*($E246-AF$12)/($E246-3*cc_D/7))))-fcd_cc*(1-(1-MAX(0,MIN(1,IF($E246&lt;=cc_D,0.0035*($E246-AF$12)/$E246,0.002*($E246-AF$12)/($E246-3*cc_D/7))/0.002)))^2)</f>
        <v/>
      </c>
      <c r="AG246">
        <f>MAX(-fyd_cc,MIN(fyd_cc,Es_cc*IF($E246&lt;=cc_D,0.0035*($E246-AG$12)/$E246,0.002*($E246-AG$12)/($E246-3*cc_D/7))))-fcd_cc*(1-(1-MAX(0,MIN(1,IF($E246&lt;=cc_D,0.0035*($E246-AG$12)/$E246,0.002*($E246-AG$12)/($E246-3*cc_D/7))/0.002)))^2)</f>
        <v/>
      </c>
      <c r="BF246">
        <f>3*MIN($E246,cc_D)/7</f>
        <v/>
      </c>
      <c r="BG246">
        <f>$E246-$BF246</f>
        <v/>
      </c>
      <c r="BH246">
        <f>ACOS(MAX(-1,MIN(1,1-$BF246/(cc_D/2))))</f>
        <v/>
      </c>
      <c r="BI246">
        <f>ACOS(MAX(-1,MIN(1,1-MIN($E246,cc_D)/(cc_D/2))))</f>
        <v/>
      </c>
      <c r="BJ246">
        <f>((cc_D/2*(1-COS(($BH246+0*($BI246-$BH246)/12)))-$BF246)/$BG246)^2*SIN(($BH246+0*($BI246-$BH246)/12))^2</f>
        <v/>
      </c>
      <c r="BK246">
        <f>((cc_D/2*(1-COS(($BH246+1*($BI246-$BH246)/12)))-$BF246)/$BG246)^2*SIN(($BH246+1*($BI246-$BH246)/12))^2</f>
        <v/>
      </c>
      <c r="BL246">
        <f>((cc_D/2*(1-COS(($BH246+2*($BI246-$BH246)/12)))-$BF246)/$BG246)^2*SIN(($BH246+2*($BI246-$BH246)/12))^2</f>
        <v/>
      </c>
      <c r="BM246">
        <f>((cc_D/2*(1-COS(($BH246+3*($BI246-$BH246)/12)))-$BF246)/$BG246)^2*SIN(($BH246+3*($BI246-$BH246)/12))^2</f>
        <v/>
      </c>
      <c r="BN246">
        <f>((cc_D/2*(1-COS(($BH246+4*($BI246-$BH246)/12)))-$BF246)/$BG246)^2*SIN(($BH246+4*($BI246-$BH246)/12))^2</f>
        <v/>
      </c>
      <c r="BO246">
        <f>((cc_D/2*(1-COS(($BH246+5*($BI246-$BH246)/12)))-$BF246)/$BG246)^2*SIN(($BH246+5*($BI246-$BH246)/12))^2</f>
        <v/>
      </c>
      <c r="BP246">
        <f>((cc_D/2*(1-COS(($BH246+6*($BI246-$BH246)/12)))-$BF246)/$BG246)^2*SIN(($BH246+6*($BI246-$BH246)/12))^2</f>
        <v/>
      </c>
      <c r="BQ246">
        <f>((cc_D/2*(1-COS(($BH246+7*($BI246-$BH246)/12)))-$BF246)/$BG246)^2*SIN(($BH246+7*($BI246-$BH246)/12))^2</f>
        <v/>
      </c>
      <c r="BR246">
        <f>((cc_D/2*(1-COS(($BH246+8*($BI246-$BH246)/12)))-$BF246)/$BG246)^2*SIN(($BH246+8*($BI246-$BH246)/12))^2</f>
        <v/>
      </c>
      <c r="BS246">
        <f>((cc_D/2*(1-COS(($BH246+9*($BI246-$BH246)/12)))-$BF246)/$BG246)^2*SIN(($BH246+9*($BI246-$BH246)/12))^2</f>
        <v/>
      </c>
      <c r="BT246">
        <f>((cc_D/2*(1-COS(($BH246+10*($BI246-$BH246)/12)))-$BF246)/$BG246)^2*SIN(($BH246+10*($BI246-$BH246)/12))^2</f>
        <v/>
      </c>
      <c r="BU246">
        <f>((cc_D/2*(1-COS(($BH246+11*($BI246-$BH246)/12)))-$BF246)/$BG246)^2*SIN(($BH246+11*($BI246-$BH246)/12))^2</f>
        <v/>
      </c>
      <c r="BV246">
        <f>((cc_D/2*(1-COS(($BH246+12*($BI246-$BH246)/12)))-$BF246)/$BG246)^2*SIN(($BH246+12*($BI246-$BH246)/12))^2</f>
        <v/>
      </c>
      <c r="BW246">
        <f>BJ246*COS(($BH246+0*($BI246-$BH246)/12))</f>
        <v/>
      </c>
      <c r="BX246">
        <f>BK246*COS(($BH246+1*($BI246-$BH246)/12))</f>
        <v/>
      </c>
      <c r="BY246">
        <f>BL246*COS(($BH246+2*($BI246-$BH246)/12))</f>
        <v/>
      </c>
      <c r="BZ246">
        <f>BM246*COS(($BH246+3*($BI246-$BH246)/12))</f>
        <v/>
      </c>
      <c r="CA246">
        <f>BN246*COS(($BH246+4*($BI246-$BH246)/12))</f>
        <v/>
      </c>
      <c r="CB246">
        <f>BO246*COS(($BH246+5*($BI246-$BH246)/12))</f>
        <v/>
      </c>
      <c r="CC246">
        <f>BP246*COS(($BH246+6*($BI246-$BH246)/12))</f>
        <v/>
      </c>
      <c r="CD246">
        <f>BQ246*COS(($BH246+7*($BI246-$BH246)/12))</f>
        <v/>
      </c>
      <c r="CE246">
        <f>BR246*COS(($BH246+8*($BI246-$BH246)/12))</f>
        <v/>
      </c>
      <c r="CF246">
        <f>BS246*COS(($BH246+9*($BI246-$BH246)/12))</f>
        <v/>
      </c>
      <c r="CG246">
        <f>BT246*COS(($BH246+10*($BI246-$BH246)/12))</f>
        <v/>
      </c>
      <c r="CH246">
        <f>BU246*COS(($BH246+11*($BI246-$BH246)/12))</f>
        <v/>
      </c>
      <c r="CI246">
        <f>BV246*COS(($BH246+12*($BI246-$BH246)/12))</f>
        <v/>
      </c>
    </row>
    <row r="247">
      <c r="B247" s="65" t="n">
        <v>32</v>
      </c>
      <c r="C247" s="66">
        <f>IF($G246&lt;cc_NEd-1E-9*ABS(cc_NEd),($C246+$D246)/2,$C246)</f>
        <v/>
      </c>
      <c r="D247" s="66">
        <f>IF($G246&lt;cc_NEd-1E-9*ABS(cc_NEd),$D246,($C246+$D246)/2)</f>
        <v/>
      </c>
      <c r="E247" s="67">
        <f>cc_D*(($C247+$D247)/2)/(1-(($C247+$D247)/2))</f>
        <v/>
      </c>
      <c r="F247" s="68">
        <f>IF($E247&lt;=cc_D,3.5,2*$E247/($E247-3*cc_D/7))</f>
        <v/>
      </c>
      <c r="G247" s="67">
        <f>(fcd_cc*((cc_D/2)^2*($BI247-COS($BI247)*SIN($BI247))-2*(cc_D/2)^2*($BI247-$BH247)/12/3*SUMPRODUCT($BJ$4:$BV$4,$BJ247:$BV247))+SUMPRODUCT($J$5:$AG$5,$J247:$AG247))/1000</f>
        <v/>
      </c>
      <c r="H247" s="67">
        <f>(fcd_cc*(2/3*(cc_D/2)^3*SIN($BI247)^3-2*(cc_D/2)^3*($BI247-$BH247)/12/3*SUMPRODUCT($BW$4:$CI$4,$BW247:$CI247))+SUMPRODUCT($J$5:$AG$5,$J247:$AG247,$J$13:$AG$13))/1E6</f>
        <v/>
      </c>
      <c r="I247" s="67">
        <f>SUMPRODUCT($J$5:$AG$5,$J247:$AG247,$J$14:$AG$14)/1E6</f>
        <v/>
      </c>
      <c r="J247">
        <f>MAX(-fyd_cc,MIN(fyd_cc,Es_cc*IF($E247&lt;=cc_D,0.0035*($E247-J$12)/$E247,0.002*($E247-J$12)/($E247-3*cc_D/7))))-fcd_cc*(1-(1-MAX(0,MIN(1,IF($E247&lt;=cc_D,0.0035*($E247-J$12)/$E247,0.002*($E247-J$12)/($E247-3*cc_D/7))/0.002)))^2)</f>
        <v/>
      </c>
      <c r="K247">
        <f>MAX(-fyd_cc,MIN(fyd_cc,Es_cc*IF($E247&lt;=cc_D,0.0035*($E247-K$12)/$E247,0.002*($E247-K$12)/($E247-3*cc_D/7))))-fcd_cc*(1-(1-MAX(0,MIN(1,IF($E247&lt;=cc_D,0.0035*($E247-K$12)/$E247,0.002*($E247-K$12)/($E247-3*cc_D/7))/0.002)))^2)</f>
        <v/>
      </c>
      <c r="L247">
        <f>MAX(-fyd_cc,MIN(fyd_cc,Es_cc*IF($E247&lt;=cc_D,0.0035*($E247-L$12)/$E247,0.002*($E247-L$12)/($E247-3*cc_D/7))))-fcd_cc*(1-(1-MAX(0,MIN(1,IF($E247&lt;=cc_D,0.0035*($E247-L$12)/$E247,0.002*($E247-L$12)/($E247-3*cc_D/7))/0.002)))^2)</f>
        <v/>
      </c>
      <c r="M247">
        <f>MAX(-fyd_cc,MIN(fyd_cc,Es_cc*IF($E247&lt;=cc_D,0.0035*($E247-M$12)/$E247,0.002*($E247-M$12)/($E247-3*cc_D/7))))-fcd_cc*(1-(1-MAX(0,MIN(1,IF($E247&lt;=cc_D,0.0035*($E247-M$12)/$E247,0.002*($E247-M$12)/($E247-3*cc_D/7))/0.002)))^2)</f>
        <v/>
      </c>
      <c r="N247">
        <f>MAX(-fyd_cc,MIN(fyd_cc,Es_cc*IF($E247&lt;=cc_D,0.0035*($E247-N$12)/$E247,0.002*($E247-N$12)/($E247-3*cc_D/7))))-fcd_cc*(1-(1-MAX(0,MIN(1,IF($E247&lt;=cc_D,0.0035*($E247-N$12)/$E247,0.002*($E247-N$12)/($E247-3*cc_D/7))/0.002)))^2)</f>
        <v/>
      </c>
      <c r="O247">
        <f>MAX(-fyd_cc,MIN(fyd_cc,Es_cc*IF($E247&lt;=cc_D,0.0035*($E247-O$12)/$E247,0.002*($E247-O$12)/($E247-3*cc_D/7))))-fcd_cc*(1-(1-MAX(0,MIN(1,IF($E247&lt;=cc_D,0.0035*($E247-O$12)/$E247,0.002*($E247-O$12)/($E247-3*cc_D/7))/0.002)))^2)</f>
        <v/>
      </c>
      <c r="P247">
        <f>MAX(-fyd_cc,MIN(fyd_cc,Es_cc*IF($E247&lt;=cc_D,0.0035*($E247-P$12)/$E247,0.002*($E247-P$12)/($E247-3*cc_D/7))))-fcd_cc*(1-(1-MAX(0,MIN(1,IF($E247&lt;=cc_D,0.0035*($E247-P$12)/$E247,0.002*($E247-P$12)/($E247-3*cc_D/7))/0.002)))^2)</f>
        <v/>
      </c>
      <c r="Q247">
        <f>MAX(-fyd_cc,MIN(fyd_cc,Es_cc*IF($E247&lt;=cc_D,0.0035*($E247-Q$12)/$E247,0.002*($E247-Q$12)/($E247-3*cc_D/7))))-fcd_cc*(1-(1-MAX(0,MIN(1,IF($E247&lt;=cc_D,0.0035*($E247-Q$12)/$E247,0.002*($E247-Q$12)/($E247-3*cc_D/7))/0.002)))^2)</f>
        <v/>
      </c>
      <c r="R247">
        <f>MAX(-fyd_cc,MIN(fyd_cc,Es_cc*IF($E247&lt;=cc_D,0.0035*($E247-R$12)/$E247,0.002*($E247-R$12)/($E247-3*cc_D/7))))-fcd_cc*(1-(1-MAX(0,MIN(1,IF($E247&lt;=cc_D,0.0035*($E247-R$12)/$E247,0.002*($E247-R$12)/($E247-3*cc_D/7))/0.002)))^2)</f>
        <v/>
      </c>
      <c r="S247">
        <f>MAX(-fyd_cc,MIN(fyd_cc,Es_cc*IF($E247&lt;=cc_D,0.0035*($E247-S$12)/$E247,0.002*($E247-S$12)/($E247-3*cc_D/7))))-fcd_cc*(1-(1-MAX(0,MIN(1,IF($E247&lt;=cc_D,0.0035*($E247-S$12)/$E247,0.002*($E247-S$12)/($E247-3*cc_D/7))/0.002)))^2)</f>
        <v/>
      </c>
      <c r="T247">
        <f>MAX(-fyd_cc,MIN(fyd_cc,Es_cc*IF($E247&lt;=cc_D,0.0035*($E247-T$12)/$E247,0.002*($E247-T$12)/($E247-3*cc_D/7))))-fcd_cc*(1-(1-MAX(0,MIN(1,IF($E247&lt;=cc_D,0.0035*($E247-T$12)/$E247,0.002*($E247-T$12)/($E247-3*cc_D/7))/0.002)))^2)</f>
        <v/>
      </c>
      <c r="U247">
        <f>MAX(-fyd_cc,MIN(fyd_cc,Es_cc*IF($E247&lt;=cc_D,0.0035*($E247-U$12)/$E247,0.002*($E247-U$12)/($E247-3*cc_D/7))))-fcd_cc*(1-(1-MAX(0,MIN(1,IF($E247&lt;=cc_D,0.0035*($E247-U$12)/$E247,0.002*($E247-U$12)/($E247-3*cc_D/7))/0.002)))^2)</f>
        <v/>
      </c>
      <c r="V247">
        <f>MAX(-fyd_cc,MIN(fyd_cc,Es_cc*IF($E247&lt;=cc_D,0.0035*($E247-V$12)/$E247,0.002*($E247-V$12)/($E247-3*cc_D/7))))-fcd_cc*(1-(1-MAX(0,MIN(1,IF($E247&lt;=cc_D,0.0035*($E247-V$12)/$E247,0.002*($E247-V$12)/($E247-3*cc_D/7))/0.002)))^2)</f>
        <v/>
      </c>
      <c r="W247">
        <f>MAX(-fyd_cc,MIN(fyd_cc,Es_cc*IF($E247&lt;=cc_D,0.0035*($E247-W$12)/$E247,0.002*($E247-W$12)/($E247-3*cc_D/7))))-fcd_cc*(1-(1-MAX(0,MIN(1,IF($E247&lt;=cc_D,0.0035*($E247-W$12)/$E247,0.002*($E247-W$12)/($E247-3*cc_D/7))/0.002)))^2)</f>
        <v/>
      </c>
      <c r="X247">
        <f>MAX(-fyd_cc,MIN(fyd_cc,Es_cc*IF($E247&lt;=cc_D,0.0035*($E247-X$12)/$E247,0.002*($E247-X$12)/($E247-3*cc_D/7))))-fcd_cc*(1-(1-MAX(0,MIN(1,IF($E247&lt;=cc_D,0.0035*($E247-X$12)/$E247,0.002*($E247-X$12)/($E247-3*cc_D/7))/0.002)))^2)</f>
        <v/>
      </c>
      <c r="Y247">
        <f>MAX(-fyd_cc,MIN(fyd_cc,Es_cc*IF($E247&lt;=cc_D,0.0035*($E247-Y$12)/$E247,0.002*($E247-Y$12)/($E247-3*cc_D/7))))-fcd_cc*(1-(1-MAX(0,MIN(1,IF($E247&lt;=cc_D,0.0035*($E247-Y$12)/$E247,0.002*($E247-Y$12)/($E247-3*cc_D/7))/0.002)))^2)</f>
        <v/>
      </c>
      <c r="Z247">
        <f>MAX(-fyd_cc,MIN(fyd_cc,Es_cc*IF($E247&lt;=cc_D,0.0035*($E247-Z$12)/$E247,0.002*($E247-Z$12)/($E247-3*cc_D/7))))-fcd_cc*(1-(1-MAX(0,MIN(1,IF($E247&lt;=cc_D,0.0035*($E247-Z$12)/$E247,0.002*($E247-Z$12)/($E247-3*cc_D/7))/0.002)))^2)</f>
        <v/>
      </c>
      <c r="AA247">
        <f>MAX(-fyd_cc,MIN(fyd_cc,Es_cc*IF($E247&lt;=cc_D,0.0035*($E247-AA$12)/$E247,0.002*($E247-AA$12)/($E247-3*cc_D/7))))-fcd_cc*(1-(1-MAX(0,MIN(1,IF($E247&lt;=cc_D,0.0035*($E247-AA$12)/$E247,0.002*($E247-AA$12)/($E247-3*cc_D/7))/0.002)))^2)</f>
        <v/>
      </c>
      <c r="AB247">
        <f>MAX(-fyd_cc,MIN(fyd_cc,Es_cc*IF($E247&lt;=cc_D,0.0035*($E247-AB$12)/$E247,0.002*($E247-AB$12)/($E247-3*cc_D/7))))-fcd_cc*(1-(1-MAX(0,MIN(1,IF($E247&lt;=cc_D,0.0035*($E247-AB$12)/$E247,0.002*($E247-AB$12)/($E247-3*cc_D/7))/0.002)))^2)</f>
        <v/>
      </c>
      <c r="AC247">
        <f>MAX(-fyd_cc,MIN(fyd_cc,Es_cc*IF($E247&lt;=cc_D,0.0035*($E247-AC$12)/$E247,0.002*($E247-AC$12)/($E247-3*cc_D/7))))-fcd_cc*(1-(1-MAX(0,MIN(1,IF($E247&lt;=cc_D,0.0035*($E247-AC$12)/$E247,0.002*($E247-AC$12)/($E247-3*cc_D/7))/0.002)))^2)</f>
        <v/>
      </c>
      <c r="AD247">
        <f>MAX(-fyd_cc,MIN(fyd_cc,Es_cc*IF($E247&lt;=cc_D,0.0035*($E247-AD$12)/$E247,0.002*($E247-AD$12)/($E247-3*cc_D/7))))-fcd_cc*(1-(1-MAX(0,MIN(1,IF($E247&lt;=cc_D,0.0035*($E247-AD$12)/$E247,0.002*($E247-AD$12)/($E247-3*cc_D/7))/0.002)))^2)</f>
        <v/>
      </c>
      <c r="AE247">
        <f>MAX(-fyd_cc,MIN(fyd_cc,Es_cc*IF($E247&lt;=cc_D,0.0035*($E247-AE$12)/$E247,0.002*($E247-AE$12)/($E247-3*cc_D/7))))-fcd_cc*(1-(1-MAX(0,MIN(1,IF($E247&lt;=cc_D,0.0035*($E247-AE$12)/$E247,0.002*($E247-AE$12)/($E247-3*cc_D/7))/0.002)))^2)</f>
        <v/>
      </c>
      <c r="AF247">
        <f>MAX(-fyd_cc,MIN(fyd_cc,Es_cc*IF($E247&lt;=cc_D,0.0035*($E247-AF$12)/$E247,0.002*($E247-AF$12)/($E247-3*cc_D/7))))-fcd_cc*(1-(1-MAX(0,MIN(1,IF($E247&lt;=cc_D,0.0035*($E247-AF$12)/$E247,0.002*($E247-AF$12)/($E247-3*cc_D/7))/0.002)))^2)</f>
        <v/>
      </c>
      <c r="AG247">
        <f>MAX(-fyd_cc,MIN(fyd_cc,Es_cc*IF($E247&lt;=cc_D,0.0035*($E247-AG$12)/$E247,0.002*($E247-AG$12)/($E247-3*cc_D/7))))-fcd_cc*(1-(1-MAX(0,MIN(1,IF($E247&lt;=cc_D,0.0035*($E247-AG$12)/$E247,0.002*($E247-AG$12)/($E247-3*cc_D/7))/0.002)))^2)</f>
        <v/>
      </c>
      <c r="BF247">
        <f>3*MIN($E247,cc_D)/7</f>
        <v/>
      </c>
      <c r="BG247">
        <f>$E247-$BF247</f>
        <v/>
      </c>
      <c r="BH247">
        <f>ACOS(MAX(-1,MIN(1,1-$BF247/(cc_D/2))))</f>
        <v/>
      </c>
      <c r="BI247">
        <f>ACOS(MAX(-1,MIN(1,1-MIN($E247,cc_D)/(cc_D/2))))</f>
        <v/>
      </c>
      <c r="BJ247">
        <f>((cc_D/2*(1-COS(($BH247+0*($BI247-$BH247)/12)))-$BF247)/$BG247)^2*SIN(($BH247+0*($BI247-$BH247)/12))^2</f>
        <v/>
      </c>
      <c r="BK247">
        <f>((cc_D/2*(1-COS(($BH247+1*($BI247-$BH247)/12)))-$BF247)/$BG247)^2*SIN(($BH247+1*($BI247-$BH247)/12))^2</f>
        <v/>
      </c>
      <c r="BL247">
        <f>((cc_D/2*(1-COS(($BH247+2*($BI247-$BH247)/12)))-$BF247)/$BG247)^2*SIN(($BH247+2*($BI247-$BH247)/12))^2</f>
        <v/>
      </c>
      <c r="BM247">
        <f>((cc_D/2*(1-COS(($BH247+3*($BI247-$BH247)/12)))-$BF247)/$BG247)^2*SIN(($BH247+3*($BI247-$BH247)/12))^2</f>
        <v/>
      </c>
      <c r="BN247">
        <f>((cc_D/2*(1-COS(($BH247+4*($BI247-$BH247)/12)))-$BF247)/$BG247)^2*SIN(($BH247+4*($BI247-$BH247)/12))^2</f>
        <v/>
      </c>
      <c r="BO247">
        <f>((cc_D/2*(1-COS(($BH247+5*($BI247-$BH247)/12)))-$BF247)/$BG247)^2*SIN(($BH247+5*($BI247-$BH247)/12))^2</f>
        <v/>
      </c>
      <c r="BP247">
        <f>((cc_D/2*(1-COS(($BH247+6*($BI247-$BH247)/12)))-$BF247)/$BG247)^2*SIN(($BH247+6*($BI247-$BH247)/12))^2</f>
        <v/>
      </c>
      <c r="BQ247">
        <f>((cc_D/2*(1-COS(($BH247+7*($BI247-$BH247)/12)))-$BF247)/$BG247)^2*SIN(($BH247+7*($BI247-$BH247)/12))^2</f>
        <v/>
      </c>
      <c r="BR247">
        <f>((cc_D/2*(1-COS(($BH247+8*($BI247-$BH247)/12)))-$BF247)/$BG247)^2*SIN(($BH247+8*($BI247-$BH247)/12))^2</f>
        <v/>
      </c>
      <c r="BS247">
        <f>((cc_D/2*(1-COS(($BH247+9*($BI247-$BH247)/12)))-$BF247)/$BG247)^2*SIN(($BH247+9*($BI247-$BH247)/12))^2</f>
        <v/>
      </c>
      <c r="BT247">
        <f>((cc_D/2*(1-COS(($BH247+10*($BI247-$BH247)/12)))-$BF247)/$BG247)^2*SIN(($BH247+10*($BI247-$BH247)/12))^2</f>
        <v/>
      </c>
      <c r="BU247">
        <f>((cc_D/2*(1-COS(($BH247+11*($BI247-$BH247)/12)))-$BF247)/$BG247)^2*SIN(($BH247+11*($BI247-$BH247)/12))^2</f>
        <v/>
      </c>
      <c r="BV247">
        <f>((cc_D/2*(1-COS(($BH247+12*($BI247-$BH247)/12)))-$BF247)/$BG247)^2*SIN(($BH247+12*($BI247-$BH247)/12))^2</f>
        <v/>
      </c>
      <c r="BW247">
        <f>BJ247*COS(($BH247+0*($BI247-$BH247)/12))</f>
        <v/>
      </c>
      <c r="BX247">
        <f>BK247*COS(($BH247+1*($BI247-$BH247)/12))</f>
        <v/>
      </c>
      <c r="BY247">
        <f>BL247*COS(($BH247+2*($BI247-$BH247)/12))</f>
        <v/>
      </c>
      <c r="BZ247">
        <f>BM247*COS(($BH247+3*($BI247-$BH247)/12))</f>
        <v/>
      </c>
      <c r="CA247">
        <f>BN247*COS(($BH247+4*($BI247-$BH247)/12))</f>
        <v/>
      </c>
      <c r="CB247">
        <f>BO247*COS(($BH247+5*($BI247-$BH247)/12))</f>
        <v/>
      </c>
      <c r="CC247">
        <f>BP247*COS(($BH247+6*($BI247-$BH247)/12))</f>
        <v/>
      </c>
      <c r="CD247">
        <f>BQ247*COS(($BH247+7*($BI247-$BH247)/12))</f>
        <v/>
      </c>
      <c r="CE247">
        <f>BR247*COS(($BH247+8*($BI247-$BH247)/12))</f>
        <v/>
      </c>
      <c r="CF247">
        <f>BS247*COS(($BH247+9*($BI247-$BH247)/12))</f>
        <v/>
      </c>
      <c r="CG247">
        <f>BT247*COS(($BH247+10*($BI247-$BH247)/12))</f>
        <v/>
      </c>
      <c r="CH247">
        <f>BU247*COS(($BH247+11*($BI247-$BH247)/12))</f>
        <v/>
      </c>
      <c r="CI247">
        <f>BV247*COS(($BH247+12*($BI247-$BH247)/12))</f>
        <v/>
      </c>
    </row>
    <row r="248">
      <c r="B248" s="65" t="n">
        <v>33</v>
      </c>
      <c r="C248" s="66">
        <f>IF($G247&lt;cc_NEd-1E-9*ABS(cc_NEd),($C247+$D247)/2,$C247)</f>
        <v/>
      </c>
      <c r="D248" s="66">
        <f>IF($G247&lt;cc_NEd-1E-9*ABS(cc_NEd),$D247,($C247+$D247)/2)</f>
        <v/>
      </c>
      <c r="E248" s="67">
        <f>cc_D*(($C248+$D248)/2)/(1-(($C248+$D248)/2))</f>
        <v/>
      </c>
      <c r="F248" s="68">
        <f>IF($E248&lt;=cc_D,3.5,2*$E248/($E248-3*cc_D/7))</f>
        <v/>
      </c>
      <c r="G248" s="67">
        <f>(fcd_cc*((cc_D/2)^2*($BI248-COS($BI248)*SIN($BI248))-2*(cc_D/2)^2*($BI248-$BH248)/12/3*SUMPRODUCT($BJ$4:$BV$4,$BJ248:$BV248))+SUMPRODUCT($J$5:$AG$5,$J248:$AG248))/1000</f>
        <v/>
      </c>
      <c r="H248" s="67">
        <f>(fcd_cc*(2/3*(cc_D/2)^3*SIN($BI248)^3-2*(cc_D/2)^3*($BI248-$BH248)/12/3*SUMPRODUCT($BW$4:$CI$4,$BW248:$CI248))+SUMPRODUCT($J$5:$AG$5,$J248:$AG248,$J$13:$AG$13))/1E6</f>
        <v/>
      </c>
      <c r="I248" s="67">
        <f>SUMPRODUCT($J$5:$AG$5,$J248:$AG248,$J$14:$AG$14)/1E6</f>
        <v/>
      </c>
      <c r="J248">
        <f>MAX(-fyd_cc,MIN(fyd_cc,Es_cc*IF($E248&lt;=cc_D,0.0035*($E248-J$12)/$E248,0.002*($E248-J$12)/($E248-3*cc_D/7))))-fcd_cc*(1-(1-MAX(0,MIN(1,IF($E248&lt;=cc_D,0.0035*($E248-J$12)/$E248,0.002*($E248-J$12)/($E248-3*cc_D/7))/0.002)))^2)</f>
        <v/>
      </c>
      <c r="K248">
        <f>MAX(-fyd_cc,MIN(fyd_cc,Es_cc*IF($E248&lt;=cc_D,0.0035*($E248-K$12)/$E248,0.002*($E248-K$12)/($E248-3*cc_D/7))))-fcd_cc*(1-(1-MAX(0,MIN(1,IF($E248&lt;=cc_D,0.0035*($E248-K$12)/$E248,0.002*($E248-K$12)/($E248-3*cc_D/7))/0.002)))^2)</f>
        <v/>
      </c>
      <c r="L248">
        <f>MAX(-fyd_cc,MIN(fyd_cc,Es_cc*IF($E248&lt;=cc_D,0.0035*($E248-L$12)/$E248,0.002*($E248-L$12)/($E248-3*cc_D/7))))-fcd_cc*(1-(1-MAX(0,MIN(1,IF($E248&lt;=cc_D,0.0035*($E248-L$12)/$E248,0.002*($E248-L$12)/($E248-3*cc_D/7))/0.002)))^2)</f>
        <v/>
      </c>
      <c r="M248">
        <f>MAX(-fyd_cc,MIN(fyd_cc,Es_cc*IF($E248&lt;=cc_D,0.0035*($E248-M$12)/$E248,0.002*($E248-M$12)/($E248-3*cc_D/7))))-fcd_cc*(1-(1-MAX(0,MIN(1,IF($E248&lt;=cc_D,0.0035*($E248-M$12)/$E248,0.002*($E248-M$12)/($E248-3*cc_D/7))/0.002)))^2)</f>
        <v/>
      </c>
      <c r="N248">
        <f>MAX(-fyd_cc,MIN(fyd_cc,Es_cc*IF($E248&lt;=cc_D,0.0035*($E248-N$12)/$E248,0.002*($E248-N$12)/($E248-3*cc_D/7))))-fcd_cc*(1-(1-MAX(0,MIN(1,IF($E248&lt;=cc_D,0.0035*($E248-N$12)/$E248,0.002*($E248-N$12)/($E248-3*cc_D/7))/0.002)))^2)</f>
        <v/>
      </c>
      <c r="O248">
        <f>MAX(-fyd_cc,MIN(fyd_cc,Es_cc*IF($E248&lt;=cc_D,0.0035*($E248-O$12)/$E248,0.002*($E248-O$12)/($E248-3*cc_D/7))))-fcd_cc*(1-(1-MAX(0,MIN(1,IF($E248&lt;=cc_D,0.0035*($E248-O$12)/$E248,0.002*($E248-O$12)/($E248-3*cc_D/7))/0.002)))^2)</f>
        <v/>
      </c>
      <c r="P248">
        <f>MAX(-fyd_cc,MIN(fyd_cc,Es_cc*IF($E248&lt;=cc_D,0.0035*($E248-P$12)/$E248,0.002*($E248-P$12)/($E248-3*cc_D/7))))-fcd_cc*(1-(1-MAX(0,MIN(1,IF($E248&lt;=cc_D,0.0035*($E248-P$12)/$E248,0.002*($E248-P$12)/($E248-3*cc_D/7))/0.002)))^2)</f>
        <v/>
      </c>
      <c r="Q248">
        <f>MAX(-fyd_cc,MIN(fyd_cc,Es_cc*IF($E248&lt;=cc_D,0.0035*($E248-Q$12)/$E248,0.002*($E248-Q$12)/($E248-3*cc_D/7))))-fcd_cc*(1-(1-MAX(0,MIN(1,IF($E248&lt;=cc_D,0.0035*($E248-Q$12)/$E248,0.002*($E248-Q$12)/($E248-3*cc_D/7))/0.002)))^2)</f>
        <v/>
      </c>
      <c r="R248">
        <f>MAX(-fyd_cc,MIN(fyd_cc,Es_cc*IF($E248&lt;=cc_D,0.0035*($E248-R$12)/$E248,0.002*($E248-R$12)/($E248-3*cc_D/7))))-fcd_cc*(1-(1-MAX(0,MIN(1,IF($E248&lt;=cc_D,0.0035*($E248-R$12)/$E248,0.002*($E248-R$12)/($E248-3*cc_D/7))/0.002)))^2)</f>
        <v/>
      </c>
      <c r="S248">
        <f>MAX(-fyd_cc,MIN(fyd_cc,Es_cc*IF($E248&lt;=cc_D,0.0035*($E248-S$12)/$E248,0.002*($E248-S$12)/($E248-3*cc_D/7))))-fcd_cc*(1-(1-MAX(0,MIN(1,IF($E248&lt;=cc_D,0.0035*($E248-S$12)/$E248,0.002*($E248-S$12)/($E248-3*cc_D/7))/0.002)))^2)</f>
        <v/>
      </c>
      <c r="T248">
        <f>MAX(-fyd_cc,MIN(fyd_cc,Es_cc*IF($E248&lt;=cc_D,0.0035*($E248-T$12)/$E248,0.002*($E248-T$12)/($E248-3*cc_D/7))))-fcd_cc*(1-(1-MAX(0,MIN(1,IF($E248&lt;=cc_D,0.0035*($E248-T$12)/$E248,0.002*($E248-T$12)/($E248-3*cc_D/7))/0.002)))^2)</f>
        <v/>
      </c>
      <c r="U248">
        <f>MAX(-fyd_cc,MIN(fyd_cc,Es_cc*IF($E248&lt;=cc_D,0.0035*($E248-U$12)/$E248,0.002*($E248-U$12)/($E248-3*cc_D/7))))-fcd_cc*(1-(1-MAX(0,MIN(1,IF($E248&lt;=cc_D,0.0035*($E248-U$12)/$E248,0.002*($E248-U$12)/($E248-3*cc_D/7))/0.002)))^2)</f>
        <v/>
      </c>
      <c r="V248">
        <f>MAX(-fyd_cc,MIN(fyd_cc,Es_cc*IF($E248&lt;=cc_D,0.0035*($E248-V$12)/$E248,0.002*($E248-V$12)/($E248-3*cc_D/7))))-fcd_cc*(1-(1-MAX(0,MIN(1,IF($E248&lt;=cc_D,0.0035*($E248-V$12)/$E248,0.002*($E248-V$12)/($E248-3*cc_D/7))/0.002)))^2)</f>
        <v/>
      </c>
      <c r="W248">
        <f>MAX(-fyd_cc,MIN(fyd_cc,Es_cc*IF($E248&lt;=cc_D,0.0035*($E248-W$12)/$E248,0.002*($E248-W$12)/($E248-3*cc_D/7))))-fcd_cc*(1-(1-MAX(0,MIN(1,IF($E248&lt;=cc_D,0.0035*($E248-W$12)/$E248,0.002*($E248-W$12)/($E248-3*cc_D/7))/0.002)))^2)</f>
        <v/>
      </c>
      <c r="X248">
        <f>MAX(-fyd_cc,MIN(fyd_cc,Es_cc*IF($E248&lt;=cc_D,0.0035*($E248-X$12)/$E248,0.002*($E248-X$12)/($E248-3*cc_D/7))))-fcd_cc*(1-(1-MAX(0,MIN(1,IF($E248&lt;=cc_D,0.0035*($E248-X$12)/$E248,0.002*($E248-X$12)/($E248-3*cc_D/7))/0.002)))^2)</f>
        <v/>
      </c>
      <c r="Y248">
        <f>MAX(-fyd_cc,MIN(fyd_cc,Es_cc*IF($E248&lt;=cc_D,0.0035*($E248-Y$12)/$E248,0.002*($E248-Y$12)/($E248-3*cc_D/7))))-fcd_cc*(1-(1-MAX(0,MIN(1,IF($E248&lt;=cc_D,0.0035*($E248-Y$12)/$E248,0.002*($E248-Y$12)/($E248-3*cc_D/7))/0.002)))^2)</f>
        <v/>
      </c>
      <c r="Z248">
        <f>MAX(-fyd_cc,MIN(fyd_cc,Es_cc*IF($E248&lt;=cc_D,0.0035*($E248-Z$12)/$E248,0.002*($E248-Z$12)/($E248-3*cc_D/7))))-fcd_cc*(1-(1-MAX(0,MIN(1,IF($E248&lt;=cc_D,0.0035*($E248-Z$12)/$E248,0.002*($E248-Z$12)/($E248-3*cc_D/7))/0.002)))^2)</f>
        <v/>
      </c>
      <c r="AA248">
        <f>MAX(-fyd_cc,MIN(fyd_cc,Es_cc*IF($E248&lt;=cc_D,0.0035*($E248-AA$12)/$E248,0.002*($E248-AA$12)/($E248-3*cc_D/7))))-fcd_cc*(1-(1-MAX(0,MIN(1,IF($E248&lt;=cc_D,0.0035*($E248-AA$12)/$E248,0.002*($E248-AA$12)/($E248-3*cc_D/7))/0.002)))^2)</f>
        <v/>
      </c>
      <c r="AB248">
        <f>MAX(-fyd_cc,MIN(fyd_cc,Es_cc*IF($E248&lt;=cc_D,0.0035*($E248-AB$12)/$E248,0.002*($E248-AB$12)/($E248-3*cc_D/7))))-fcd_cc*(1-(1-MAX(0,MIN(1,IF($E248&lt;=cc_D,0.0035*($E248-AB$12)/$E248,0.002*($E248-AB$12)/($E248-3*cc_D/7))/0.002)))^2)</f>
        <v/>
      </c>
      <c r="AC248">
        <f>MAX(-fyd_cc,MIN(fyd_cc,Es_cc*IF($E248&lt;=cc_D,0.0035*($E248-AC$12)/$E248,0.002*($E248-AC$12)/($E248-3*cc_D/7))))-fcd_cc*(1-(1-MAX(0,MIN(1,IF($E248&lt;=cc_D,0.0035*($E248-AC$12)/$E248,0.002*($E248-AC$12)/($E248-3*cc_D/7))/0.002)))^2)</f>
        <v/>
      </c>
      <c r="AD248">
        <f>MAX(-fyd_cc,MIN(fyd_cc,Es_cc*IF($E248&lt;=cc_D,0.0035*($E248-AD$12)/$E248,0.002*($E248-AD$12)/($E248-3*cc_D/7))))-fcd_cc*(1-(1-MAX(0,MIN(1,IF($E248&lt;=cc_D,0.0035*($E248-AD$12)/$E248,0.002*($E248-AD$12)/($E248-3*cc_D/7))/0.002)))^2)</f>
        <v/>
      </c>
      <c r="AE248">
        <f>MAX(-fyd_cc,MIN(fyd_cc,Es_cc*IF($E248&lt;=cc_D,0.0035*($E248-AE$12)/$E248,0.002*($E248-AE$12)/($E248-3*cc_D/7))))-fcd_cc*(1-(1-MAX(0,MIN(1,IF($E248&lt;=cc_D,0.0035*($E248-AE$12)/$E248,0.002*($E248-AE$12)/($E248-3*cc_D/7))/0.002)))^2)</f>
        <v/>
      </c>
      <c r="AF248">
        <f>MAX(-fyd_cc,MIN(fyd_cc,Es_cc*IF($E248&lt;=cc_D,0.0035*($E248-AF$12)/$E248,0.002*($E248-AF$12)/($E248-3*cc_D/7))))-fcd_cc*(1-(1-MAX(0,MIN(1,IF($E248&lt;=cc_D,0.0035*($E248-AF$12)/$E248,0.002*($E248-AF$12)/($E248-3*cc_D/7))/0.002)))^2)</f>
        <v/>
      </c>
      <c r="AG248">
        <f>MAX(-fyd_cc,MIN(fyd_cc,Es_cc*IF($E248&lt;=cc_D,0.0035*($E248-AG$12)/$E248,0.002*($E248-AG$12)/($E248-3*cc_D/7))))-fcd_cc*(1-(1-MAX(0,MIN(1,IF($E248&lt;=cc_D,0.0035*($E248-AG$12)/$E248,0.002*($E248-AG$12)/($E248-3*cc_D/7))/0.002)))^2)</f>
        <v/>
      </c>
      <c r="BF248">
        <f>3*MIN($E248,cc_D)/7</f>
        <v/>
      </c>
      <c r="BG248">
        <f>$E248-$BF248</f>
        <v/>
      </c>
      <c r="BH248">
        <f>ACOS(MAX(-1,MIN(1,1-$BF248/(cc_D/2))))</f>
        <v/>
      </c>
      <c r="BI248">
        <f>ACOS(MAX(-1,MIN(1,1-MIN($E248,cc_D)/(cc_D/2))))</f>
        <v/>
      </c>
      <c r="BJ248">
        <f>((cc_D/2*(1-COS(($BH248+0*($BI248-$BH248)/12)))-$BF248)/$BG248)^2*SIN(($BH248+0*($BI248-$BH248)/12))^2</f>
        <v/>
      </c>
      <c r="BK248">
        <f>((cc_D/2*(1-COS(($BH248+1*($BI248-$BH248)/12)))-$BF248)/$BG248)^2*SIN(($BH248+1*($BI248-$BH248)/12))^2</f>
        <v/>
      </c>
      <c r="BL248">
        <f>((cc_D/2*(1-COS(($BH248+2*($BI248-$BH248)/12)))-$BF248)/$BG248)^2*SIN(($BH248+2*($BI248-$BH248)/12))^2</f>
        <v/>
      </c>
      <c r="BM248">
        <f>((cc_D/2*(1-COS(($BH248+3*($BI248-$BH248)/12)))-$BF248)/$BG248)^2*SIN(($BH248+3*($BI248-$BH248)/12))^2</f>
        <v/>
      </c>
      <c r="BN248">
        <f>((cc_D/2*(1-COS(($BH248+4*($BI248-$BH248)/12)))-$BF248)/$BG248)^2*SIN(($BH248+4*($BI248-$BH248)/12))^2</f>
        <v/>
      </c>
      <c r="BO248">
        <f>((cc_D/2*(1-COS(($BH248+5*($BI248-$BH248)/12)))-$BF248)/$BG248)^2*SIN(($BH248+5*($BI248-$BH248)/12))^2</f>
        <v/>
      </c>
      <c r="BP248">
        <f>((cc_D/2*(1-COS(($BH248+6*($BI248-$BH248)/12)))-$BF248)/$BG248)^2*SIN(($BH248+6*($BI248-$BH248)/12))^2</f>
        <v/>
      </c>
      <c r="BQ248">
        <f>((cc_D/2*(1-COS(($BH248+7*($BI248-$BH248)/12)))-$BF248)/$BG248)^2*SIN(($BH248+7*($BI248-$BH248)/12))^2</f>
        <v/>
      </c>
      <c r="BR248">
        <f>((cc_D/2*(1-COS(($BH248+8*($BI248-$BH248)/12)))-$BF248)/$BG248)^2*SIN(($BH248+8*($BI248-$BH248)/12))^2</f>
        <v/>
      </c>
      <c r="BS248">
        <f>((cc_D/2*(1-COS(($BH248+9*($BI248-$BH248)/12)))-$BF248)/$BG248)^2*SIN(($BH248+9*($BI248-$BH248)/12))^2</f>
        <v/>
      </c>
      <c r="BT248">
        <f>((cc_D/2*(1-COS(($BH248+10*($BI248-$BH248)/12)))-$BF248)/$BG248)^2*SIN(($BH248+10*($BI248-$BH248)/12))^2</f>
        <v/>
      </c>
      <c r="BU248">
        <f>((cc_D/2*(1-COS(($BH248+11*($BI248-$BH248)/12)))-$BF248)/$BG248)^2*SIN(($BH248+11*($BI248-$BH248)/12))^2</f>
        <v/>
      </c>
      <c r="BV248">
        <f>((cc_D/2*(1-COS(($BH248+12*($BI248-$BH248)/12)))-$BF248)/$BG248)^2*SIN(($BH248+12*($BI248-$BH248)/12))^2</f>
        <v/>
      </c>
      <c r="BW248">
        <f>BJ248*COS(($BH248+0*($BI248-$BH248)/12))</f>
        <v/>
      </c>
      <c r="BX248">
        <f>BK248*COS(($BH248+1*($BI248-$BH248)/12))</f>
        <v/>
      </c>
      <c r="BY248">
        <f>BL248*COS(($BH248+2*($BI248-$BH248)/12))</f>
        <v/>
      </c>
      <c r="BZ248">
        <f>BM248*COS(($BH248+3*($BI248-$BH248)/12))</f>
        <v/>
      </c>
      <c r="CA248">
        <f>BN248*COS(($BH248+4*($BI248-$BH248)/12))</f>
        <v/>
      </c>
      <c r="CB248">
        <f>BO248*COS(($BH248+5*($BI248-$BH248)/12))</f>
        <v/>
      </c>
      <c r="CC248">
        <f>BP248*COS(($BH248+6*($BI248-$BH248)/12))</f>
        <v/>
      </c>
      <c r="CD248">
        <f>BQ248*COS(($BH248+7*($BI248-$BH248)/12))</f>
        <v/>
      </c>
      <c r="CE248">
        <f>BR248*COS(($BH248+8*($BI248-$BH248)/12))</f>
        <v/>
      </c>
      <c r="CF248">
        <f>BS248*COS(($BH248+9*($BI248-$BH248)/12))</f>
        <v/>
      </c>
      <c r="CG248">
        <f>BT248*COS(($BH248+10*($BI248-$BH248)/12))</f>
        <v/>
      </c>
      <c r="CH248">
        <f>BU248*COS(($BH248+11*($BI248-$BH248)/12))</f>
        <v/>
      </c>
      <c r="CI248">
        <f>BV248*COS(($BH248+12*($BI248-$BH248)/12))</f>
        <v/>
      </c>
    </row>
    <row r="249">
      <c r="B249" s="65" t="n">
        <v>34</v>
      </c>
      <c r="C249" s="66">
        <f>IF($G248&lt;cc_NEd-1E-9*ABS(cc_NEd),($C248+$D248)/2,$C248)</f>
        <v/>
      </c>
      <c r="D249" s="66">
        <f>IF($G248&lt;cc_NEd-1E-9*ABS(cc_NEd),$D248,($C248+$D248)/2)</f>
        <v/>
      </c>
      <c r="E249" s="67">
        <f>cc_D*(($C249+$D249)/2)/(1-(($C249+$D249)/2))</f>
        <v/>
      </c>
      <c r="F249" s="68">
        <f>IF($E249&lt;=cc_D,3.5,2*$E249/($E249-3*cc_D/7))</f>
        <v/>
      </c>
      <c r="G249" s="67">
        <f>(fcd_cc*((cc_D/2)^2*($BI249-COS($BI249)*SIN($BI249))-2*(cc_D/2)^2*($BI249-$BH249)/12/3*SUMPRODUCT($BJ$4:$BV$4,$BJ249:$BV249))+SUMPRODUCT($J$5:$AG$5,$J249:$AG249))/1000</f>
        <v/>
      </c>
      <c r="H249" s="67">
        <f>(fcd_cc*(2/3*(cc_D/2)^3*SIN($BI249)^3-2*(cc_D/2)^3*($BI249-$BH249)/12/3*SUMPRODUCT($BW$4:$CI$4,$BW249:$CI249))+SUMPRODUCT($J$5:$AG$5,$J249:$AG249,$J$13:$AG$13))/1E6</f>
        <v/>
      </c>
      <c r="I249" s="67">
        <f>SUMPRODUCT($J$5:$AG$5,$J249:$AG249,$J$14:$AG$14)/1E6</f>
        <v/>
      </c>
      <c r="J249">
        <f>MAX(-fyd_cc,MIN(fyd_cc,Es_cc*IF($E249&lt;=cc_D,0.0035*($E249-J$12)/$E249,0.002*($E249-J$12)/($E249-3*cc_D/7))))-fcd_cc*(1-(1-MAX(0,MIN(1,IF($E249&lt;=cc_D,0.0035*($E249-J$12)/$E249,0.002*($E249-J$12)/($E249-3*cc_D/7))/0.002)))^2)</f>
        <v/>
      </c>
      <c r="K249">
        <f>MAX(-fyd_cc,MIN(fyd_cc,Es_cc*IF($E249&lt;=cc_D,0.0035*($E249-K$12)/$E249,0.002*($E249-K$12)/($E249-3*cc_D/7))))-fcd_cc*(1-(1-MAX(0,MIN(1,IF($E249&lt;=cc_D,0.0035*($E249-K$12)/$E249,0.002*($E249-K$12)/($E249-3*cc_D/7))/0.002)))^2)</f>
        <v/>
      </c>
      <c r="L249">
        <f>MAX(-fyd_cc,MIN(fyd_cc,Es_cc*IF($E249&lt;=cc_D,0.0035*($E249-L$12)/$E249,0.002*($E249-L$12)/($E249-3*cc_D/7))))-fcd_cc*(1-(1-MAX(0,MIN(1,IF($E249&lt;=cc_D,0.0035*($E249-L$12)/$E249,0.002*($E249-L$12)/($E249-3*cc_D/7))/0.002)))^2)</f>
        <v/>
      </c>
      <c r="M249">
        <f>MAX(-fyd_cc,MIN(fyd_cc,Es_cc*IF($E249&lt;=cc_D,0.0035*($E249-M$12)/$E249,0.002*($E249-M$12)/($E249-3*cc_D/7))))-fcd_cc*(1-(1-MAX(0,MIN(1,IF($E249&lt;=cc_D,0.0035*($E249-M$12)/$E249,0.002*($E249-M$12)/($E249-3*cc_D/7))/0.002)))^2)</f>
        <v/>
      </c>
      <c r="N249">
        <f>MAX(-fyd_cc,MIN(fyd_cc,Es_cc*IF($E249&lt;=cc_D,0.0035*($E249-N$12)/$E249,0.002*($E249-N$12)/($E249-3*cc_D/7))))-fcd_cc*(1-(1-MAX(0,MIN(1,IF($E249&lt;=cc_D,0.0035*($E249-N$12)/$E249,0.002*($E249-N$12)/($E249-3*cc_D/7))/0.002)))^2)</f>
        <v/>
      </c>
      <c r="O249">
        <f>MAX(-fyd_cc,MIN(fyd_cc,Es_cc*IF($E249&lt;=cc_D,0.0035*($E249-O$12)/$E249,0.002*($E249-O$12)/($E249-3*cc_D/7))))-fcd_cc*(1-(1-MAX(0,MIN(1,IF($E249&lt;=cc_D,0.0035*($E249-O$12)/$E249,0.002*($E249-O$12)/($E249-3*cc_D/7))/0.002)))^2)</f>
        <v/>
      </c>
      <c r="P249">
        <f>MAX(-fyd_cc,MIN(fyd_cc,Es_cc*IF($E249&lt;=cc_D,0.0035*($E249-P$12)/$E249,0.002*($E249-P$12)/($E249-3*cc_D/7))))-fcd_cc*(1-(1-MAX(0,MIN(1,IF($E249&lt;=cc_D,0.0035*($E249-P$12)/$E249,0.002*($E249-P$12)/($E249-3*cc_D/7))/0.002)))^2)</f>
        <v/>
      </c>
      <c r="Q249">
        <f>MAX(-fyd_cc,MIN(fyd_cc,Es_cc*IF($E249&lt;=cc_D,0.0035*($E249-Q$12)/$E249,0.002*($E249-Q$12)/($E249-3*cc_D/7))))-fcd_cc*(1-(1-MAX(0,MIN(1,IF($E249&lt;=cc_D,0.0035*($E249-Q$12)/$E249,0.002*($E249-Q$12)/($E249-3*cc_D/7))/0.002)))^2)</f>
        <v/>
      </c>
      <c r="R249">
        <f>MAX(-fyd_cc,MIN(fyd_cc,Es_cc*IF($E249&lt;=cc_D,0.0035*($E249-R$12)/$E249,0.002*($E249-R$12)/($E249-3*cc_D/7))))-fcd_cc*(1-(1-MAX(0,MIN(1,IF($E249&lt;=cc_D,0.0035*($E249-R$12)/$E249,0.002*($E249-R$12)/($E249-3*cc_D/7))/0.002)))^2)</f>
        <v/>
      </c>
      <c r="S249">
        <f>MAX(-fyd_cc,MIN(fyd_cc,Es_cc*IF($E249&lt;=cc_D,0.0035*($E249-S$12)/$E249,0.002*($E249-S$12)/($E249-3*cc_D/7))))-fcd_cc*(1-(1-MAX(0,MIN(1,IF($E249&lt;=cc_D,0.0035*($E249-S$12)/$E249,0.002*($E249-S$12)/($E249-3*cc_D/7))/0.002)))^2)</f>
        <v/>
      </c>
      <c r="T249">
        <f>MAX(-fyd_cc,MIN(fyd_cc,Es_cc*IF($E249&lt;=cc_D,0.0035*($E249-T$12)/$E249,0.002*($E249-T$12)/($E249-3*cc_D/7))))-fcd_cc*(1-(1-MAX(0,MIN(1,IF($E249&lt;=cc_D,0.0035*($E249-T$12)/$E249,0.002*($E249-T$12)/($E249-3*cc_D/7))/0.002)))^2)</f>
        <v/>
      </c>
      <c r="U249">
        <f>MAX(-fyd_cc,MIN(fyd_cc,Es_cc*IF($E249&lt;=cc_D,0.0035*($E249-U$12)/$E249,0.002*($E249-U$12)/($E249-3*cc_D/7))))-fcd_cc*(1-(1-MAX(0,MIN(1,IF($E249&lt;=cc_D,0.0035*($E249-U$12)/$E249,0.002*($E249-U$12)/($E249-3*cc_D/7))/0.002)))^2)</f>
        <v/>
      </c>
      <c r="V249">
        <f>MAX(-fyd_cc,MIN(fyd_cc,Es_cc*IF($E249&lt;=cc_D,0.0035*($E249-V$12)/$E249,0.002*($E249-V$12)/($E249-3*cc_D/7))))-fcd_cc*(1-(1-MAX(0,MIN(1,IF($E249&lt;=cc_D,0.0035*($E249-V$12)/$E249,0.002*($E249-V$12)/($E249-3*cc_D/7))/0.002)))^2)</f>
        <v/>
      </c>
      <c r="W249">
        <f>MAX(-fyd_cc,MIN(fyd_cc,Es_cc*IF($E249&lt;=cc_D,0.0035*($E249-W$12)/$E249,0.002*($E249-W$12)/($E249-3*cc_D/7))))-fcd_cc*(1-(1-MAX(0,MIN(1,IF($E249&lt;=cc_D,0.0035*($E249-W$12)/$E249,0.002*($E249-W$12)/($E249-3*cc_D/7))/0.002)))^2)</f>
        <v/>
      </c>
      <c r="X249">
        <f>MAX(-fyd_cc,MIN(fyd_cc,Es_cc*IF($E249&lt;=cc_D,0.0035*($E249-X$12)/$E249,0.002*($E249-X$12)/($E249-3*cc_D/7))))-fcd_cc*(1-(1-MAX(0,MIN(1,IF($E249&lt;=cc_D,0.0035*($E249-X$12)/$E249,0.002*($E249-X$12)/($E249-3*cc_D/7))/0.002)))^2)</f>
        <v/>
      </c>
      <c r="Y249">
        <f>MAX(-fyd_cc,MIN(fyd_cc,Es_cc*IF($E249&lt;=cc_D,0.0035*($E249-Y$12)/$E249,0.002*($E249-Y$12)/($E249-3*cc_D/7))))-fcd_cc*(1-(1-MAX(0,MIN(1,IF($E249&lt;=cc_D,0.0035*($E249-Y$12)/$E249,0.002*($E249-Y$12)/($E249-3*cc_D/7))/0.002)))^2)</f>
        <v/>
      </c>
      <c r="Z249">
        <f>MAX(-fyd_cc,MIN(fyd_cc,Es_cc*IF($E249&lt;=cc_D,0.0035*($E249-Z$12)/$E249,0.002*($E249-Z$12)/($E249-3*cc_D/7))))-fcd_cc*(1-(1-MAX(0,MIN(1,IF($E249&lt;=cc_D,0.0035*($E249-Z$12)/$E249,0.002*($E249-Z$12)/($E249-3*cc_D/7))/0.002)))^2)</f>
        <v/>
      </c>
      <c r="AA249">
        <f>MAX(-fyd_cc,MIN(fyd_cc,Es_cc*IF($E249&lt;=cc_D,0.0035*($E249-AA$12)/$E249,0.002*($E249-AA$12)/($E249-3*cc_D/7))))-fcd_cc*(1-(1-MAX(0,MIN(1,IF($E249&lt;=cc_D,0.0035*($E249-AA$12)/$E249,0.002*($E249-AA$12)/($E249-3*cc_D/7))/0.002)))^2)</f>
        <v/>
      </c>
      <c r="AB249">
        <f>MAX(-fyd_cc,MIN(fyd_cc,Es_cc*IF($E249&lt;=cc_D,0.0035*($E249-AB$12)/$E249,0.002*($E249-AB$12)/($E249-3*cc_D/7))))-fcd_cc*(1-(1-MAX(0,MIN(1,IF($E249&lt;=cc_D,0.0035*($E249-AB$12)/$E249,0.002*($E249-AB$12)/($E249-3*cc_D/7))/0.002)))^2)</f>
        <v/>
      </c>
      <c r="AC249">
        <f>MAX(-fyd_cc,MIN(fyd_cc,Es_cc*IF($E249&lt;=cc_D,0.0035*($E249-AC$12)/$E249,0.002*($E249-AC$12)/($E249-3*cc_D/7))))-fcd_cc*(1-(1-MAX(0,MIN(1,IF($E249&lt;=cc_D,0.0035*($E249-AC$12)/$E249,0.002*($E249-AC$12)/($E249-3*cc_D/7))/0.002)))^2)</f>
        <v/>
      </c>
      <c r="AD249">
        <f>MAX(-fyd_cc,MIN(fyd_cc,Es_cc*IF($E249&lt;=cc_D,0.0035*($E249-AD$12)/$E249,0.002*($E249-AD$12)/($E249-3*cc_D/7))))-fcd_cc*(1-(1-MAX(0,MIN(1,IF($E249&lt;=cc_D,0.0035*($E249-AD$12)/$E249,0.002*($E249-AD$12)/($E249-3*cc_D/7))/0.002)))^2)</f>
        <v/>
      </c>
      <c r="AE249">
        <f>MAX(-fyd_cc,MIN(fyd_cc,Es_cc*IF($E249&lt;=cc_D,0.0035*($E249-AE$12)/$E249,0.002*($E249-AE$12)/($E249-3*cc_D/7))))-fcd_cc*(1-(1-MAX(0,MIN(1,IF($E249&lt;=cc_D,0.0035*($E249-AE$12)/$E249,0.002*($E249-AE$12)/($E249-3*cc_D/7))/0.002)))^2)</f>
        <v/>
      </c>
      <c r="AF249">
        <f>MAX(-fyd_cc,MIN(fyd_cc,Es_cc*IF($E249&lt;=cc_D,0.0035*($E249-AF$12)/$E249,0.002*($E249-AF$12)/($E249-3*cc_D/7))))-fcd_cc*(1-(1-MAX(0,MIN(1,IF($E249&lt;=cc_D,0.0035*($E249-AF$12)/$E249,0.002*($E249-AF$12)/($E249-3*cc_D/7))/0.002)))^2)</f>
        <v/>
      </c>
      <c r="AG249">
        <f>MAX(-fyd_cc,MIN(fyd_cc,Es_cc*IF($E249&lt;=cc_D,0.0035*($E249-AG$12)/$E249,0.002*($E249-AG$12)/($E249-3*cc_D/7))))-fcd_cc*(1-(1-MAX(0,MIN(1,IF($E249&lt;=cc_D,0.0035*($E249-AG$12)/$E249,0.002*($E249-AG$12)/($E249-3*cc_D/7))/0.002)))^2)</f>
        <v/>
      </c>
      <c r="BF249">
        <f>3*MIN($E249,cc_D)/7</f>
        <v/>
      </c>
      <c r="BG249">
        <f>$E249-$BF249</f>
        <v/>
      </c>
      <c r="BH249">
        <f>ACOS(MAX(-1,MIN(1,1-$BF249/(cc_D/2))))</f>
        <v/>
      </c>
      <c r="BI249">
        <f>ACOS(MAX(-1,MIN(1,1-MIN($E249,cc_D)/(cc_D/2))))</f>
        <v/>
      </c>
      <c r="BJ249">
        <f>((cc_D/2*(1-COS(($BH249+0*($BI249-$BH249)/12)))-$BF249)/$BG249)^2*SIN(($BH249+0*($BI249-$BH249)/12))^2</f>
        <v/>
      </c>
      <c r="BK249">
        <f>((cc_D/2*(1-COS(($BH249+1*($BI249-$BH249)/12)))-$BF249)/$BG249)^2*SIN(($BH249+1*($BI249-$BH249)/12))^2</f>
        <v/>
      </c>
      <c r="BL249">
        <f>((cc_D/2*(1-COS(($BH249+2*($BI249-$BH249)/12)))-$BF249)/$BG249)^2*SIN(($BH249+2*($BI249-$BH249)/12))^2</f>
        <v/>
      </c>
      <c r="BM249">
        <f>((cc_D/2*(1-COS(($BH249+3*($BI249-$BH249)/12)))-$BF249)/$BG249)^2*SIN(($BH249+3*($BI249-$BH249)/12))^2</f>
        <v/>
      </c>
      <c r="BN249">
        <f>((cc_D/2*(1-COS(($BH249+4*($BI249-$BH249)/12)))-$BF249)/$BG249)^2*SIN(($BH249+4*($BI249-$BH249)/12))^2</f>
        <v/>
      </c>
      <c r="BO249">
        <f>((cc_D/2*(1-COS(($BH249+5*($BI249-$BH249)/12)))-$BF249)/$BG249)^2*SIN(($BH249+5*($BI249-$BH249)/12))^2</f>
        <v/>
      </c>
      <c r="BP249">
        <f>((cc_D/2*(1-COS(($BH249+6*($BI249-$BH249)/12)))-$BF249)/$BG249)^2*SIN(($BH249+6*($BI249-$BH249)/12))^2</f>
        <v/>
      </c>
      <c r="BQ249">
        <f>((cc_D/2*(1-COS(($BH249+7*($BI249-$BH249)/12)))-$BF249)/$BG249)^2*SIN(($BH249+7*($BI249-$BH249)/12))^2</f>
        <v/>
      </c>
      <c r="BR249">
        <f>((cc_D/2*(1-COS(($BH249+8*($BI249-$BH249)/12)))-$BF249)/$BG249)^2*SIN(($BH249+8*($BI249-$BH249)/12))^2</f>
        <v/>
      </c>
      <c r="BS249">
        <f>((cc_D/2*(1-COS(($BH249+9*($BI249-$BH249)/12)))-$BF249)/$BG249)^2*SIN(($BH249+9*($BI249-$BH249)/12))^2</f>
        <v/>
      </c>
      <c r="BT249">
        <f>((cc_D/2*(1-COS(($BH249+10*($BI249-$BH249)/12)))-$BF249)/$BG249)^2*SIN(($BH249+10*($BI249-$BH249)/12))^2</f>
        <v/>
      </c>
      <c r="BU249">
        <f>((cc_D/2*(1-COS(($BH249+11*($BI249-$BH249)/12)))-$BF249)/$BG249)^2*SIN(($BH249+11*($BI249-$BH249)/12))^2</f>
        <v/>
      </c>
      <c r="BV249">
        <f>((cc_D/2*(1-COS(($BH249+12*($BI249-$BH249)/12)))-$BF249)/$BG249)^2*SIN(($BH249+12*($BI249-$BH249)/12))^2</f>
        <v/>
      </c>
      <c r="BW249">
        <f>BJ249*COS(($BH249+0*($BI249-$BH249)/12))</f>
        <v/>
      </c>
      <c r="BX249">
        <f>BK249*COS(($BH249+1*($BI249-$BH249)/12))</f>
        <v/>
      </c>
      <c r="BY249">
        <f>BL249*COS(($BH249+2*($BI249-$BH249)/12))</f>
        <v/>
      </c>
      <c r="BZ249">
        <f>BM249*COS(($BH249+3*($BI249-$BH249)/12))</f>
        <v/>
      </c>
      <c r="CA249">
        <f>BN249*COS(($BH249+4*($BI249-$BH249)/12))</f>
        <v/>
      </c>
      <c r="CB249">
        <f>BO249*COS(($BH249+5*($BI249-$BH249)/12))</f>
        <v/>
      </c>
      <c r="CC249">
        <f>BP249*COS(($BH249+6*($BI249-$BH249)/12))</f>
        <v/>
      </c>
      <c r="CD249">
        <f>BQ249*COS(($BH249+7*($BI249-$BH249)/12))</f>
        <v/>
      </c>
      <c r="CE249">
        <f>BR249*COS(($BH249+8*($BI249-$BH249)/12))</f>
        <v/>
      </c>
      <c r="CF249">
        <f>BS249*COS(($BH249+9*($BI249-$BH249)/12))</f>
        <v/>
      </c>
      <c r="CG249">
        <f>BT249*COS(($BH249+10*($BI249-$BH249)/12))</f>
        <v/>
      </c>
      <c r="CH249">
        <f>BU249*COS(($BH249+11*($BI249-$BH249)/12))</f>
        <v/>
      </c>
      <c r="CI249">
        <f>BV249*COS(($BH249+12*($BI249-$BH249)/12))</f>
        <v/>
      </c>
    </row>
    <row r="250">
      <c r="B250" s="65" t="n">
        <v>35</v>
      </c>
      <c r="C250" s="66">
        <f>IF($G249&lt;cc_NEd-1E-9*ABS(cc_NEd),($C249+$D249)/2,$C249)</f>
        <v/>
      </c>
      <c r="D250" s="66">
        <f>IF($G249&lt;cc_NEd-1E-9*ABS(cc_NEd),$D249,($C249+$D249)/2)</f>
        <v/>
      </c>
      <c r="E250" s="67">
        <f>cc_D*(($C250+$D250)/2)/(1-(($C250+$D250)/2))</f>
        <v/>
      </c>
      <c r="F250" s="68">
        <f>IF($E250&lt;=cc_D,3.5,2*$E250/($E250-3*cc_D/7))</f>
        <v/>
      </c>
      <c r="G250" s="67">
        <f>(fcd_cc*((cc_D/2)^2*($BI250-COS($BI250)*SIN($BI250))-2*(cc_D/2)^2*($BI250-$BH250)/12/3*SUMPRODUCT($BJ$4:$BV$4,$BJ250:$BV250))+SUMPRODUCT($J$5:$AG$5,$J250:$AG250))/1000</f>
        <v/>
      </c>
      <c r="H250" s="67">
        <f>(fcd_cc*(2/3*(cc_D/2)^3*SIN($BI250)^3-2*(cc_D/2)^3*($BI250-$BH250)/12/3*SUMPRODUCT($BW$4:$CI$4,$BW250:$CI250))+SUMPRODUCT($J$5:$AG$5,$J250:$AG250,$J$13:$AG$13))/1E6</f>
        <v/>
      </c>
      <c r="I250" s="67">
        <f>SUMPRODUCT($J$5:$AG$5,$J250:$AG250,$J$14:$AG$14)/1E6</f>
        <v/>
      </c>
      <c r="J250">
        <f>MAX(-fyd_cc,MIN(fyd_cc,Es_cc*IF($E250&lt;=cc_D,0.0035*($E250-J$12)/$E250,0.002*($E250-J$12)/($E250-3*cc_D/7))))-fcd_cc*(1-(1-MAX(0,MIN(1,IF($E250&lt;=cc_D,0.0035*($E250-J$12)/$E250,0.002*($E250-J$12)/($E250-3*cc_D/7))/0.002)))^2)</f>
        <v/>
      </c>
      <c r="K250">
        <f>MAX(-fyd_cc,MIN(fyd_cc,Es_cc*IF($E250&lt;=cc_D,0.0035*($E250-K$12)/$E250,0.002*($E250-K$12)/($E250-3*cc_D/7))))-fcd_cc*(1-(1-MAX(0,MIN(1,IF($E250&lt;=cc_D,0.0035*($E250-K$12)/$E250,0.002*($E250-K$12)/($E250-3*cc_D/7))/0.002)))^2)</f>
        <v/>
      </c>
      <c r="L250">
        <f>MAX(-fyd_cc,MIN(fyd_cc,Es_cc*IF($E250&lt;=cc_D,0.0035*($E250-L$12)/$E250,0.002*($E250-L$12)/($E250-3*cc_D/7))))-fcd_cc*(1-(1-MAX(0,MIN(1,IF($E250&lt;=cc_D,0.0035*($E250-L$12)/$E250,0.002*($E250-L$12)/($E250-3*cc_D/7))/0.002)))^2)</f>
        <v/>
      </c>
      <c r="M250">
        <f>MAX(-fyd_cc,MIN(fyd_cc,Es_cc*IF($E250&lt;=cc_D,0.0035*($E250-M$12)/$E250,0.002*($E250-M$12)/($E250-3*cc_D/7))))-fcd_cc*(1-(1-MAX(0,MIN(1,IF($E250&lt;=cc_D,0.0035*($E250-M$12)/$E250,0.002*($E250-M$12)/($E250-3*cc_D/7))/0.002)))^2)</f>
        <v/>
      </c>
      <c r="N250">
        <f>MAX(-fyd_cc,MIN(fyd_cc,Es_cc*IF($E250&lt;=cc_D,0.0035*($E250-N$12)/$E250,0.002*($E250-N$12)/($E250-3*cc_D/7))))-fcd_cc*(1-(1-MAX(0,MIN(1,IF($E250&lt;=cc_D,0.0035*($E250-N$12)/$E250,0.002*($E250-N$12)/($E250-3*cc_D/7))/0.002)))^2)</f>
        <v/>
      </c>
      <c r="O250">
        <f>MAX(-fyd_cc,MIN(fyd_cc,Es_cc*IF($E250&lt;=cc_D,0.0035*($E250-O$12)/$E250,0.002*($E250-O$12)/($E250-3*cc_D/7))))-fcd_cc*(1-(1-MAX(0,MIN(1,IF($E250&lt;=cc_D,0.0035*($E250-O$12)/$E250,0.002*($E250-O$12)/($E250-3*cc_D/7))/0.002)))^2)</f>
        <v/>
      </c>
      <c r="P250">
        <f>MAX(-fyd_cc,MIN(fyd_cc,Es_cc*IF($E250&lt;=cc_D,0.0035*($E250-P$12)/$E250,0.002*($E250-P$12)/($E250-3*cc_D/7))))-fcd_cc*(1-(1-MAX(0,MIN(1,IF($E250&lt;=cc_D,0.0035*($E250-P$12)/$E250,0.002*($E250-P$12)/($E250-3*cc_D/7))/0.002)))^2)</f>
        <v/>
      </c>
      <c r="Q250">
        <f>MAX(-fyd_cc,MIN(fyd_cc,Es_cc*IF($E250&lt;=cc_D,0.0035*($E250-Q$12)/$E250,0.002*($E250-Q$12)/($E250-3*cc_D/7))))-fcd_cc*(1-(1-MAX(0,MIN(1,IF($E250&lt;=cc_D,0.0035*($E250-Q$12)/$E250,0.002*($E250-Q$12)/($E250-3*cc_D/7))/0.002)))^2)</f>
        <v/>
      </c>
      <c r="R250">
        <f>MAX(-fyd_cc,MIN(fyd_cc,Es_cc*IF($E250&lt;=cc_D,0.0035*($E250-R$12)/$E250,0.002*($E250-R$12)/($E250-3*cc_D/7))))-fcd_cc*(1-(1-MAX(0,MIN(1,IF($E250&lt;=cc_D,0.0035*($E250-R$12)/$E250,0.002*($E250-R$12)/($E250-3*cc_D/7))/0.002)))^2)</f>
        <v/>
      </c>
      <c r="S250">
        <f>MAX(-fyd_cc,MIN(fyd_cc,Es_cc*IF($E250&lt;=cc_D,0.0035*($E250-S$12)/$E250,0.002*($E250-S$12)/($E250-3*cc_D/7))))-fcd_cc*(1-(1-MAX(0,MIN(1,IF($E250&lt;=cc_D,0.0035*($E250-S$12)/$E250,0.002*($E250-S$12)/($E250-3*cc_D/7))/0.002)))^2)</f>
        <v/>
      </c>
      <c r="T250">
        <f>MAX(-fyd_cc,MIN(fyd_cc,Es_cc*IF($E250&lt;=cc_D,0.0035*($E250-T$12)/$E250,0.002*($E250-T$12)/($E250-3*cc_D/7))))-fcd_cc*(1-(1-MAX(0,MIN(1,IF($E250&lt;=cc_D,0.0035*($E250-T$12)/$E250,0.002*($E250-T$12)/($E250-3*cc_D/7))/0.002)))^2)</f>
        <v/>
      </c>
      <c r="U250">
        <f>MAX(-fyd_cc,MIN(fyd_cc,Es_cc*IF($E250&lt;=cc_D,0.0035*($E250-U$12)/$E250,0.002*($E250-U$12)/($E250-3*cc_D/7))))-fcd_cc*(1-(1-MAX(0,MIN(1,IF($E250&lt;=cc_D,0.0035*($E250-U$12)/$E250,0.002*($E250-U$12)/($E250-3*cc_D/7))/0.002)))^2)</f>
        <v/>
      </c>
      <c r="V250">
        <f>MAX(-fyd_cc,MIN(fyd_cc,Es_cc*IF($E250&lt;=cc_D,0.0035*($E250-V$12)/$E250,0.002*($E250-V$12)/($E250-3*cc_D/7))))-fcd_cc*(1-(1-MAX(0,MIN(1,IF($E250&lt;=cc_D,0.0035*($E250-V$12)/$E250,0.002*($E250-V$12)/($E250-3*cc_D/7))/0.002)))^2)</f>
        <v/>
      </c>
      <c r="W250">
        <f>MAX(-fyd_cc,MIN(fyd_cc,Es_cc*IF($E250&lt;=cc_D,0.0035*($E250-W$12)/$E250,0.002*($E250-W$12)/($E250-3*cc_D/7))))-fcd_cc*(1-(1-MAX(0,MIN(1,IF($E250&lt;=cc_D,0.0035*($E250-W$12)/$E250,0.002*($E250-W$12)/($E250-3*cc_D/7))/0.002)))^2)</f>
        <v/>
      </c>
      <c r="X250">
        <f>MAX(-fyd_cc,MIN(fyd_cc,Es_cc*IF($E250&lt;=cc_D,0.0035*($E250-X$12)/$E250,0.002*($E250-X$12)/($E250-3*cc_D/7))))-fcd_cc*(1-(1-MAX(0,MIN(1,IF($E250&lt;=cc_D,0.0035*($E250-X$12)/$E250,0.002*($E250-X$12)/($E250-3*cc_D/7))/0.002)))^2)</f>
        <v/>
      </c>
      <c r="Y250">
        <f>MAX(-fyd_cc,MIN(fyd_cc,Es_cc*IF($E250&lt;=cc_D,0.0035*($E250-Y$12)/$E250,0.002*($E250-Y$12)/($E250-3*cc_D/7))))-fcd_cc*(1-(1-MAX(0,MIN(1,IF($E250&lt;=cc_D,0.0035*($E250-Y$12)/$E250,0.002*($E250-Y$12)/($E250-3*cc_D/7))/0.002)))^2)</f>
        <v/>
      </c>
      <c r="Z250">
        <f>MAX(-fyd_cc,MIN(fyd_cc,Es_cc*IF($E250&lt;=cc_D,0.0035*($E250-Z$12)/$E250,0.002*($E250-Z$12)/($E250-3*cc_D/7))))-fcd_cc*(1-(1-MAX(0,MIN(1,IF($E250&lt;=cc_D,0.0035*($E250-Z$12)/$E250,0.002*($E250-Z$12)/($E250-3*cc_D/7))/0.002)))^2)</f>
        <v/>
      </c>
      <c r="AA250">
        <f>MAX(-fyd_cc,MIN(fyd_cc,Es_cc*IF($E250&lt;=cc_D,0.0035*($E250-AA$12)/$E250,0.002*($E250-AA$12)/($E250-3*cc_D/7))))-fcd_cc*(1-(1-MAX(0,MIN(1,IF($E250&lt;=cc_D,0.0035*($E250-AA$12)/$E250,0.002*($E250-AA$12)/($E250-3*cc_D/7))/0.002)))^2)</f>
        <v/>
      </c>
      <c r="AB250">
        <f>MAX(-fyd_cc,MIN(fyd_cc,Es_cc*IF($E250&lt;=cc_D,0.0035*($E250-AB$12)/$E250,0.002*($E250-AB$12)/($E250-3*cc_D/7))))-fcd_cc*(1-(1-MAX(0,MIN(1,IF($E250&lt;=cc_D,0.0035*($E250-AB$12)/$E250,0.002*($E250-AB$12)/($E250-3*cc_D/7))/0.002)))^2)</f>
        <v/>
      </c>
      <c r="AC250">
        <f>MAX(-fyd_cc,MIN(fyd_cc,Es_cc*IF($E250&lt;=cc_D,0.0035*($E250-AC$12)/$E250,0.002*($E250-AC$12)/($E250-3*cc_D/7))))-fcd_cc*(1-(1-MAX(0,MIN(1,IF($E250&lt;=cc_D,0.0035*($E250-AC$12)/$E250,0.002*($E250-AC$12)/($E250-3*cc_D/7))/0.002)))^2)</f>
        <v/>
      </c>
      <c r="AD250">
        <f>MAX(-fyd_cc,MIN(fyd_cc,Es_cc*IF($E250&lt;=cc_D,0.0035*($E250-AD$12)/$E250,0.002*($E250-AD$12)/($E250-3*cc_D/7))))-fcd_cc*(1-(1-MAX(0,MIN(1,IF($E250&lt;=cc_D,0.0035*($E250-AD$12)/$E250,0.002*($E250-AD$12)/($E250-3*cc_D/7))/0.002)))^2)</f>
        <v/>
      </c>
      <c r="AE250">
        <f>MAX(-fyd_cc,MIN(fyd_cc,Es_cc*IF($E250&lt;=cc_D,0.0035*($E250-AE$12)/$E250,0.002*($E250-AE$12)/($E250-3*cc_D/7))))-fcd_cc*(1-(1-MAX(0,MIN(1,IF($E250&lt;=cc_D,0.0035*($E250-AE$12)/$E250,0.002*($E250-AE$12)/($E250-3*cc_D/7))/0.002)))^2)</f>
        <v/>
      </c>
      <c r="AF250">
        <f>MAX(-fyd_cc,MIN(fyd_cc,Es_cc*IF($E250&lt;=cc_D,0.0035*($E250-AF$12)/$E250,0.002*($E250-AF$12)/($E250-3*cc_D/7))))-fcd_cc*(1-(1-MAX(0,MIN(1,IF($E250&lt;=cc_D,0.0035*($E250-AF$12)/$E250,0.002*($E250-AF$12)/($E250-3*cc_D/7))/0.002)))^2)</f>
        <v/>
      </c>
      <c r="AG250">
        <f>MAX(-fyd_cc,MIN(fyd_cc,Es_cc*IF($E250&lt;=cc_D,0.0035*($E250-AG$12)/$E250,0.002*($E250-AG$12)/($E250-3*cc_D/7))))-fcd_cc*(1-(1-MAX(0,MIN(1,IF($E250&lt;=cc_D,0.0035*($E250-AG$12)/$E250,0.002*($E250-AG$12)/($E250-3*cc_D/7))/0.002)))^2)</f>
        <v/>
      </c>
      <c r="BF250">
        <f>3*MIN($E250,cc_D)/7</f>
        <v/>
      </c>
      <c r="BG250">
        <f>$E250-$BF250</f>
        <v/>
      </c>
      <c r="BH250">
        <f>ACOS(MAX(-1,MIN(1,1-$BF250/(cc_D/2))))</f>
        <v/>
      </c>
      <c r="BI250">
        <f>ACOS(MAX(-1,MIN(1,1-MIN($E250,cc_D)/(cc_D/2))))</f>
        <v/>
      </c>
      <c r="BJ250">
        <f>((cc_D/2*(1-COS(($BH250+0*($BI250-$BH250)/12)))-$BF250)/$BG250)^2*SIN(($BH250+0*($BI250-$BH250)/12))^2</f>
        <v/>
      </c>
      <c r="BK250">
        <f>((cc_D/2*(1-COS(($BH250+1*($BI250-$BH250)/12)))-$BF250)/$BG250)^2*SIN(($BH250+1*($BI250-$BH250)/12))^2</f>
        <v/>
      </c>
      <c r="BL250">
        <f>((cc_D/2*(1-COS(($BH250+2*($BI250-$BH250)/12)))-$BF250)/$BG250)^2*SIN(($BH250+2*($BI250-$BH250)/12))^2</f>
        <v/>
      </c>
      <c r="BM250">
        <f>((cc_D/2*(1-COS(($BH250+3*($BI250-$BH250)/12)))-$BF250)/$BG250)^2*SIN(($BH250+3*($BI250-$BH250)/12))^2</f>
        <v/>
      </c>
      <c r="BN250">
        <f>((cc_D/2*(1-COS(($BH250+4*($BI250-$BH250)/12)))-$BF250)/$BG250)^2*SIN(($BH250+4*($BI250-$BH250)/12))^2</f>
        <v/>
      </c>
      <c r="BO250">
        <f>((cc_D/2*(1-COS(($BH250+5*($BI250-$BH250)/12)))-$BF250)/$BG250)^2*SIN(($BH250+5*($BI250-$BH250)/12))^2</f>
        <v/>
      </c>
      <c r="BP250">
        <f>((cc_D/2*(1-COS(($BH250+6*($BI250-$BH250)/12)))-$BF250)/$BG250)^2*SIN(($BH250+6*($BI250-$BH250)/12))^2</f>
        <v/>
      </c>
      <c r="BQ250">
        <f>((cc_D/2*(1-COS(($BH250+7*($BI250-$BH250)/12)))-$BF250)/$BG250)^2*SIN(($BH250+7*($BI250-$BH250)/12))^2</f>
        <v/>
      </c>
      <c r="BR250">
        <f>((cc_D/2*(1-COS(($BH250+8*($BI250-$BH250)/12)))-$BF250)/$BG250)^2*SIN(($BH250+8*($BI250-$BH250)/12))^2</f>
        <v/>
      </c>
      <c r="BS250">
        <f>((cc_D/2*(1-COS(($BH250+9*($BI250-$BH250)/12)))-$BF250)/$BG250)^2*SIN(($BH250+9*($BI250-$BH250)/12))^2</f>
        <v/>
      </c>
      <c r="BT250">
        <f>((cc_D/2*(1-COS(($BH250+10*($BI250-$BH250)/12)))-$BF250)/$BG250)^2*SIN(($BH250+10*($BI250-$BH250)/12))^2</f>
        <v/>
      </c>
      <c r="BU250">
        <f>((cc_D/2*(1-COS(($BH250+11*($BI250-$BH250)/12)))-$BF250)/$BG250)^2*SIN(($BH250+11*($BI250-$BH250)/12))^2</f>
        <v/>
      </c>
      <c r="BV250">
        <f>((cc_D/2*(1-COS(($BH250+12*($BI250-$BH250)/12)))-$BF250)/$BG250)^2*SIN(($BH250+12*($BI250-$BH250)/12))^2</f>
        <v/>
      </c>
      <c r="BW250">
        <f>BJ250*COS(($BH250+0*($BI250-$BH250)/12))</f>
        <v/>
      </c>
      <c r="BX250">
        <f>BK250*COS(($BH250+1*($BI250-$BH250)/12))</f>
        <v/>
      </c>
      <c r="BY250">
        <f>BL250*COS(($BH250+2*($BI250-$BH250)/12))</f>
        <v/>
      </c>
      <c r="BZ250">
        <f>BM250*COS(($BH250+3*($BI250-$BH250)/12))</f>
        <v/>
      </c>
      <c r="CA250">
        <f>BN250*COS(($BH250+4*($BI250-$BH250)/12))</f>
        <v/>
      </c>
      <c r="CB250">
        <f>BO250*COS(($BH250+5*($BI250-$BH250)/12))</f>
        <v/>
      </c>
      <c r="CC250">
        <f>BP250*COS(($BH250+6*($BI250-$BH250)/12))</f>
        <v/>
      </c>
      <c r="CD250">
        <f>BQ250*COS(($BH250+7*($BI250-$BH250)/12))</f>
        <v/>
      </c>
      <c r="CE250">
        <f>BR250*COS(($BH250+8*($BI250-$BH250)/12))</f>
        <v/>
      </c>
      <c r="CF250">
        <f>BS250*COS(($BH250+9*($BI250-$BH250)/12))</f>
        <v/>
      </c>
      <c r="CG250">
        <f>BT250*COS(($BH250+10*($BI250-$BH250)/12))</f>
        <v/>
      </c>
      <c r="CH250">
        <f>BU250*COS(($BH250+11*($BI250-$BH250)/12))</f>
        <v/>
      </c>
      <c r="CI250">
        <f>BV250*COS(($BH250+12*($BI250-$BH250)/12))</f>
        <v/>
      </c>
    </row>
    <row r="251">
      <c r="B251" s="65" t="n">
        <v>36</v>
      </c>
      <c r="C251" s="66">
        <f>IF($G250&lt;cc_NEd-1E-9*ABS(cc_NEd),($C250+$D250)/2,$C250)</f>
        <v/>
      </c>
      <c r="D251" s="66">
        <f>IF($G250&lt;cc_NEd-1E-9*ABS(cc_NEd),$D250,($C250+$D250)/2)</f>
        <v/>
      </c>
      <c r="E251" s="67">
        <f>cc_D*(($C251+$D251)/2)/(1-(($C251+$D251)/2))</f>
        <v/>
      </c>
      <c r="F251" s="68">
        <f>IF($E251&lt;=cc_D,3.5,2*$E251/($E251-3*cc_D/7))</f>
        <v/>
      </c>
      <c r="G251" s="67">
        <f>(fcd_cc*((cc_D/2)^2*($BI251-COS($BI251)*SIN($BI251))-2*(cc_D/2)^2*($BI251-$BH251)/12/3*SUMPRODUCT($BJ$4:$BV$4,$BJ251:$BV251))+SUMPRODUCT($J$5:$AG$5,$J251:$AG251))/1000</f>
        <v/>
      </c>
      <c r="H251" s="67">
        <f>(fcd_cc*(2/3*(cc_D/2)^3*SIN($BI251)^3-2*(cc_D/2)^3*($BI251-$BH251)/12/3*SUMPRODUCT($BW$4:$CI$4,$BW251:$CI251))+SUMPRODUCT($J$5:$AG$5,$J251:$AG251,$J$13:$AG$13))/1E6</f>
        <v/>
      </c>
      <c r="I251" s="67">
        <f>SUMPRODUCT($J$5:$AG$5,$J251:$AG251,$J$14:$AG$14)/1E6</f>
        <v/>
      </c>
      <c r="J251">
        <f>MAX(-fyd_cc,MIN(fyd_cc,Es_cc*IF($E251&lt;=cc_D,0.0035*($E251-J$12)/$E251,0.002*($E251-J$12)/($E251-3*cc_D/7))))-fcd_cc*(1-(1-MAX(0,MIN(1,IF($E251&lt;=cc_D,0.0035*($E251-J$12)/$E251,0.002*($E251-J$12)/($E251-3*cc_D/7))/0.002)))^2)</f>
        <v/>
      </c>
      <c r="K251">
        <f>MAX(-fyd_cc,MIN(fyd_cc,Es_cc*IF($E251&lt;=cc_D,0.0035*($E251-K$12)/$E251,0.002*($E251-K$12)/($E251-3*cc_D/7))))-fcd_cc*(1-(1-MAX(0,MIN(1,IF($E251&lt;=cc_D,0.0035*($E251-K$12)/$E251,0.002*($E251-K$12)/($E251-3*cc_D/7))/0.002)))^2)</f>
        <v/>
      </c>
      <c r="L251">
        <f>MAX(-fyd_cc,MIN(fyd_cc,Es_cc*IF($E251&lt;=cc_D,0.0035*($E251-L$12)/$E251,0.002*($E251-L$12)/($E251-3*cc_D/7))))-fcd_cc*(1-(1-MAX(0,MIN(1,IF($E251&lt;=cc_D,0.0035*($E251-L$12)/$E251,0.002*($E251-L$12)/($E251-3*cc_D/7))/0.002)))^2)</f>
        <v/>
      </c>
      <c r="M251">
        <f>MAX(-fyd_cc,MIN(fyd_cc,Es_cc*IF($E251&lt;=cc_D,0.0035*($E251-M$12)/$E251,0.002*($E251-M$12)/($E251-3*cc_D/7))))-fcd_cc*(1-(1-MAX(0,MIN(1,IF($E251&lt;=cc_D,0.0035*($E251-M$12)/$E251,0.002*($E251-M$12)/($E251-3*cc_D/7))/0.002)))^2)</f>
        <v/>
      </c>
      <c r="N251">
        <f>MAX(-fyd_cc,MIN(fyd_cc,Es_cc*IF($E251&lt;=cc_D,0.0035*($E251-N$12)/$E251,0.002*($E251-N$12)/($E251-3*cc_D/7))))-fcd_cc*(1-(1-MAX(0,MIN(1,IF($E251&lt;=cc_D,0.0035*($E251-N$12)/$E251,0.002*($E251-N$12)/($E251-3*cc_D/7))/0.002)))^2)</f>
        <v/>
      </c>
      <c r="O251">
        <f>MAX(-fyd_cc,MIN(fyd_cc,Es_cc*IF($E251&lt;=cc_D,0.0035*($E251-O$12)/$E251,0.002*($E251-O$12)/($E251-3*cc_D/7))))-fcd_cc*(1-(1-MAX(0,MIN(1,IF($E251&lt;=cc_D,0.0035*($E251-O$12)/$E251,0.002*($E251-O$12)/($E251-3*cc_D/7))/0.002)))^2)</f>
        <v/>
      </c>
      <c r="P251">
        <f>MAX(-fyd_cc,MIN(fyd_cc,Es_cc*IF($E251&lt;=cc_D,0.0035*($E251-P$12)/$E251,0.002*($E251-P$12)/($E251-3*cc_D/7))))-fcd_cc*(1-(1-MAX(0,MIN(1,IF($E251&lt;=cc_D,0.0035*($E251-P$12)/$E251,0.002*($E251-P$12)/($E251-3*cc_D/7))/0.002)))^2)</f>
        <v/>
      </c>
      <c r="Q251">
        <f>MAX(-fyd_cc,MIN(fyd_cc,Es_cc*IF($E251&lt;=cc_D,0.0035*($E251-Q$12)/$E251,0.002*($E251-Q$12)/($E251-3*cc_D/7))))-fcd_cc*(1-(1-MAX(0,MIN(1,IF($E251&lt;=cc_D,0.0035*($E251-Q$12)/$E251,0.002*($E251-Q$12)/($E251-3*cc_D/7))/0.002)))^2)</f>
        <v/>
      </c>
      <c r="R251">
        <f>MAX(-fyd_cc,MIN(fyd_cc,Es_cc*IF($E251&lt;=cc_D,0.0035*($E251-R$12)/$E251,0.002*($E251-R$12)/($E251-3*cc_D/7))))-fcd_cc*(1-(1-MAX(0,MIN(1,IF($E251&lt;=cc_D,0.0035*($E251-R$12)/$E251,0.002*($E251-R$12)/($E251-3*cc_D/7))/0.002)))^2)</f>
        <v/>
      </c>
      <c r="S251">
        <f>MAX(-fyd_cc,MIN(fyd_cc,Es_cc*IF($E251&lt;=cc_D,0.0035*($E251-S$12)/$E251,0.002*($E251-S$12)/($E251-3*cc_D/7))))-fcd_cc*(1-(1-MAX(0,MIN(1,IF($E251&lt;=cc_D,0.0035*($E251-S$12)/$E251,0.002*($E251-S$12)/($E251-3*cc_D/7))/0.002)))^2)</f>
        <v/>
      </c>
      <c r="T251">
        <f>MAX(-fyd_cc,MIN(fyd_cc,Es_cc*IF($E251&lt;=cc_D,0.0035*($E251-T$12)/$E251,0.002*($E251-T$12)/($E251-3*cc_D/7))))-fcd_cc*(1-(1-MAX(0,MIN(1,IF($E251&lt;=cc_D,0.0035*($E251-T$12)/$E251,0.002*($E251-T$12)/($E251-3*cc_D/7))/0.002)))^2)</f>
        <v/>
      </c>
      <c r="U251">
        <f>MAX(-fyd_cc,MIN(fyd_cc,Es_cc*IF($E251&lt;=cc_D,0.0035*($E251-U$12)/$E251,0.002*($E251-U$12)/($E251-3*cc_D/7))))-fcd_cc*(1-(1-MAX(0,MIN(1,IF($E251&lt;=cc_D,0.0035*($E251-U$12)/$E251,0.002*($E251-U$12)/($E251-3*cc_D/7))/0.002)))^2)</f>
        <v/>
      </c>
      <c r="V251">
        <f>MAX(-fyd_cc,MIN(fyd_cc,Es_cc*IF($E251&lt;=cc_D,0.0035*($E251-V$12)/$E251,0.002*($E251-V$12)/($E251-3*cc_D/7))))-fcd_cc*(1-(1-MAX(0,MIN(1,IF($E251&lt;=cc_D,0.0035*($E251-V$12)/$E251,0.002*($E251-V$12)/($E251-3*cc_D/7))/0.002)))^2)</f>
        <v/>
      </c>
      <c r="W251">
        <f>MAX(-fyd_cc,MIN(fyd_cc,Es_cc*IF($E251&lt;=cc_D,0.0035*($E251-W$12)/$E251,0.002*($E251-W$12)/($E251-3*cc_D/7))))-fcd_cc*(1-(1-MAX(0,MIN(1,IF($E251&lt;=cc_D,0.0035*($E251-W$12)/$E251,0.002*($E251-W$12)/($E251-3*cc_D/7))/0.002)))^2)</f>
        <v/>
      </c>
      <c r="X251">
        <f>MAX(-fyd_cc,MIN(fyd_cc,Es_cc*IF($E251&lt;=cc_D,0.0035*($E251-X$12)/$E251,0.002*($E251-X$12)/($E251-3*cc_D/7))))-fcd_cc*(1-(1-MAX(0,MIN(1,IF($E251&lt;=cc_D,0.0035*($E251-X$12)/$E251,0.002*($E251-X$12)/($E251-3*cc_D/7))/0.002)))^2)</f>
        <v/>
      </c>
      <c r="Y251">
        <f>MAX(-fyd_cc,MIN(fyd_cc,Es_cc*IF($E251&lt;=cc_D,0.0035*($E251-Y$12)/$E251,0.002*($E251-Y$12)/($E251-3*cc_D/7))))-fcd_cc*(1-(1-MAX(0,MIN(1,IF($E251&lt;=cc_D,0.0035*($E251-Y$12)/$E251,0.002*($E251-Y$12)/($E251-3*cc_D/7))/0.002)))^2)</f>
        <v/>
      </c>
      <c r="Z251">
        <f>MAX(-fyd_cc,MIN(fyd_cc,Es_cc*IF($E251&lt;=cc_D,0.0035*($E251-Z$12)/$E251,0.002*($E251-Z$12)/($E251-3*cc_D/7))))-fcd_cc*(1-(1-MAX(0,MIN(1,IF($E251&lt;=cc_D,0.0035*($E251-Z$12)/$E251,0.002*($E251-Z$12)/($E251-3*cc_D/7))/0.002)))^2)</f>
        <v/>
      </c>
      <c r="AA251">
        <f>MAX(-fyd_cc,MIN(fyd_cc,Es_cc*IF($E251&lt;=cc_D,0.0035*($E251-AA$12)/$E251,0.002*($E251-AA$12)/($E251-3*cc_D/7))))-fcd_cc*(1-(1-MAX(0,MIN(1,IF($E251&lt;=cc_D,0.0035*($E251-AA$12)/$E251,0.002*($E251-AA$12)/($E251-3*cc_D/7))/0.002)))^2)</f>
        <v/>
      </c>
      <c r="AB251">
        <f>MAX(-fyd_cc,MIN(fyd_cc,Es_cc*IF($E251&lt;=cc_D,0.0035*($E251-AB$12)/$E251,0.002*($E251-AB$12)/($E251-3*cc_D/7))))-fcd_cc*(1-(1-MAX(0,MIN(1,IF($E251&lt;=cc_D,0.0035*($E251-AB$12)/$E251,0.002*($E251-AB$12)/($E251-3*cc_D/7))/0.002)))^2)</f>
        <v/>
      </c>
      <c r="AC251">
        <f>MAX(-fyd_cc,MIN(fyd_cc,Es_cc*IF($E251&lt;=cc_D,0.0035*($E251-AC$12)/$E251,0.002*($E251-AC$12)/($E251-3*cc_D/7))))-fcd_cc*(1-(1-MAX(0,MIN(1,IF($E251&lt;=cc_D,0.0035*($E251-AC$12)/$E251,0.002*($E251-AC$12)/($E251-3*cc_D/7))/0.002)))^2)</f>
        <v/>
      </c>
      <c r="AD251">
        <f>MAX(-fyd_cc,MIN(fyd_cc,Es_cc*IF($E251&lt;=cc_D,0.0035*($E251-AD$12)/$E251,0.002*($E251-AD$12)/($E251-3*cc_D/7))))-fcd_cc*(1-(1-MAX(0,MIN(1,IF($E251&lt;=cc_D,0.0035*($E251-AD$12)/$E251,0.002*($E251-AD$12)/($E251-3*cc_D/7))/0.002)))^2)</f>
        <v/>
      </c>
      <c r="AE251">
        <f>MAX(-fyd_cc,MIN(fyd_cc,Es_cc*IF($E251&lt;=cc_D,0.0035*($E251-AE$12)/$E251,0.002*($E251-AE$12)/($E251-3*cc_D/7))))-fcd_cc*(1-(1-MAX(0,MIN(1,IF($E251&lt;=cc_D,0.0035*($E251-AE$12)/$E251,0.002*($E251-AE$12)/($E251-3*cc_D/7))/0.002)))^2)</f>
        <v/>
      </c>
      <c r="AF251">
        <f>MAX(-fyd_cc,MIN(fyd_cc,Es_cc*IF($E251&lt;=cc_D,0.0035*($E251-AF$12)/$E251,0.002*($E251-AF$12)/($E251-3*cc_D/7))))-fcd_cc*(1-(1-MAX(0,MIN(1,IF($E251&lt;=cc_D,0.0035*($E251-AF$12)/$E251,0.002*($E251-AF$12)/($E251-3*cc_D/7))/0.002)))^2)</f>
        <v/>
      </c>
      <c r="AG251">
        <f>MAX(-fyd_cc,MIN(fyd_cc,Es_cc*IF($E251&lt;=cc_D,0.0035*($E251-AG$12)/$E251,0.002*($E251-AG$12)/($E251-3*cc_D/7))))-fcd_cc*(1-(1-MAX(0,MIN(1,IF($E251&lt;=cc_D,0.0035*($E251-AG$12)/$E251,0.002*($E251-AG$12)/($E251-3*cc_D/7))/0.002)))^2)</f>
        <v/>
      </c>
      <c r="BF251">
        <f>3*MIN($E251,cc_D)/7</f>
        <v/>
      </c>
      <c r="BG251">
        <f>$E251-$BF251</f>
        <v/>
      </c>
      <c r="BH251">
        <f>ACOS(MAX(-1,MIN(1,1-$BF251/(cc_D/2))))</f>
        <v/>
      </c>
      <c r="BI251">
        <f>ACOS(MAX(-1,MIN(1,1-MIN($E251,cc_D)/(cc_D/2))))</f>
        <v/>
      </c>
      <c r="BJ251">
        <f>((cc_D/2*(1-COS(($BH251+0*($BI251-$BH251)/12)))-$BF251)/$BG251)^2*SIN(($BH251+0*($BI251-$BH251)/12))^2</f>
        <v/>
      </c>
      <c r="BK251">
        <f>((cc_D/2*(1-COS(($BH251+1*($BI251-$BH251)/12)))-$BF251)/$BG251)^2*SIN(($BH251+1*($BI251-$BH251)/12))^2</f>
        <v/>
      </c>
      <c r="BL251">
        <f>((cc_D/2*(1-COS(($BH251+2*($BI251-$BH251)/12)))-$BF251)/$BG251)^2*SIN(($BH251+2*($BI251-$BH251)/12))^2</f>
        <v/>
      </c>
      <c r="BM251">
        <f>((cc_D/2*(1-COS(($BH251+3*($BI251-$BH251)/12)))-$BF251)/$BG251)^2*SIN(($BH251+3*($BI251-$BH251)/12))^2</f>
        <v/>
      </c>
      <c r="BN251">
        <f>((cc_D/2*(1-COS(($BH251+4*($BI251-$BH251)/12)))-$BF251)/$BG251)^2*SIN(($BH251+4*($BI251-$BH251)/12))^2</f>
        <v/>
      </c>
      <c r="BO251">
        <f>((cc_D/2*(1-COS(($BH251+5*($BI251-$BH251)/12)))-$BF251)/$BG251)^2*SIN(($BH251+5*($BI251-$BH251)/12))^2</f>
        <v/>
      </c>
      <c r="BP251">
        <f>((cc_D/2*(1-COS(($BH251+6*($BI251-$BH251)/12)))-$BF251)/$BG251)^2*SIN(($BH251+6*($BI251-$BH251)/12))^2</f>
        <v/>
      </c>
      <c r="BQ251">
        <f>((cc_D/2*(1-COS(($BH251+7*($BI251-$BH251)/12)))-$BF251)/$BG251)^2*SIN(($BH251+7*($BI251-$BH251)/12))^2</f>
        <v/>
      </c>
      <c r="BR251">
        <f>((cc_D/2*(1-COS(($BH251+8*($BI251-$BH251)/12)))-$BF251)/$BG251)^2*SIN(($BH251+8*($BI251-$BH251)/12))^2</f>
        <v/>
      </c>
      <c r="BS251">
        <f>((cc_D/2*(1-COS(($BH251+9*($BI251-$BH251)/12)))-$BF251)/$BG251)^2*SIN(($BH251+9*($BI251-$BH251)/12))^2</f>
        <v/>
      </c>
      <c r="BT251">
        <f>((cc_D/2*(1-COS(($BH251+10*($BI251-$BH251)/12)))-$BF251)/$BG251)^2*SIN(($BH251+10*($BI251-$BH251)/12))^2</f>
        <v/>
      </c>
      <c r="BU251">
        <f>((cc_D/2*(1-COS(($BH251+11*($BI251-$BH251)/12)))-$BF251)/$BG251)^2*SIN(($BH251+11*($BI251-$BH251)/12))^2</f>
        <v/>
      </c>
      <c r="BV251">
        <f>((cc_D/2*(1-COS(($BH251+12*($BI251-$BH251)/12)))-$BF251)/$BG251)^2*SIN(($BH251+12*($BI251-$BH251)/12))^2</f>
        <v/>
      </c>
      <c r="BW251">
        <f>BJ251*COS(($BH251+0*($BI251-$BH251)/12))</f>
        <v/>
      </c>
      <c r="BX251">
        <f>BK251*COS(($BH251+1*($BI251-$BH251)/12))</f>
        <v/>
      </c>
      <c r="BY251">
        <f>BL251*COS(($BH251+2*($BI251-$BH251)/12))</f>
        <v/>
      </c>
      <c r="BZ251">
        <f>BM251*COS(($BH251+3*($BI251-$BH251)/12))</f>
        <v/>
      </c>
      <c r="CA251">
        <f>BN251*COS(($BH251+4*($BI251-$BH251)/12))</f>
        <v/>
      </c>
      <c r="CB251">
        <f>BO251*COS(($BH251+5*($BI251-$BH251)/12))</f>
        <v/>
      </c>
      <c r="CC251">
        <f>BP251*COS(($BH251+6*($BI251-$BH251)/12))</f>
        <v/>
      </c>
      <c r="CD251">
        <f>BQ251*COS(($BH251+7*($BI251-$BH251)/12))</f>
        <v/>
      </c>
      <c r="CE251">
        <f>BR251*COS(($BH251+8*($BI251-$BH251)/12))</f>
        <v/>
      </c>
      <c r="CF251">
        <f>BS251*COS(($BH251+9*($BI251-$BH251)/12))</f>
        <v/>
      </c>
      <c r="CG251">
        <f>BT251*COS(($BH251+10*($BI251-$BH251)/12))</f>
        <v/>
      </c>
      <c r="CH251">
        <f>BU251*COS(($BH251+11*($BI251-$BH251)/12))</f>
        <v/>
      </c>
      <c r="CI251">
        <f>BV251*COS(($BH251+12*($BI251-$BH251)/12))</f>
        <v/>
      </c>
    </row>
    <row r="252">
      <c r="B252" s="65" t="n">
        <v>37</v>
      </c>
      <c r="C252" s="66">
        <f>IF($G251&lt;cc_NEd-1E-9*ABS(cc_NEd),($C251+$D251)/2,$C251)</f>
        <v/>
      </c>
      <c r="D252" s="66">
        <f>IF($G251&lt;cc_NEd-1E-9*ABS(cc_NEd),$D251,($C251+$D251)/2)</f>
        <v/>
      </c>
      <c r="E252" s="67">
        <f>cc_D*(($C252+$D252)/2)/(1-(($C252+$D252)/2))</f>
        <v/>
      </c>
      <c r="F252" s="68">
        <f>IF($E252&lt;=cc_D,3.5,2*$E252/($E252-3*cc_D/7))</f>
        <v/>
      </c>
      <c r="G252" s="67">
        <f>(fcd_cc*((cc_D/2)^2*($BI252-COS($BI252)*SIN($BI252))-2*(cc_D/2)^2*($BI252-$BH252)/12/3*SUMPRODUCT($BJ$4:$BV$4,$BJ252:$BV252))+SUMPRODUCT($J$5:$AG$5,$J252:$AG252))/1000</f>
        <v/>
      </c>
      <c r="H252" s="67">
        <f>(fcd_cc*(2/3*(cc_D/2)^3*SIN($BI252)^3-2*(cc_D/2)^3*($BI252-$BH252)/12/3*SUMPRODUCT($BW$4:$CI$4,$BW252:$CI252))+SUMPRODUCT($J$5:$AG$5,$J252:$AG252,$J$13:$AG$13))/1E6</f>
        <v/>
      </c>
      <c r="I252" s="67">
        <f>SUMPRODUCT($J$5:$AG$5,$J252:$AG252,$J$14:$AG$14)/1E6</f>
        <v/>
      </c>
      <c r="J252">
        <f>MAX(-fyd_cc,MIN(fyd_cc,Es_cc*IF($E252&lt;=cc_D,0.0035*($E252-J$12)/$E252,0.002*($E252-J$12)/($E252-3*cc_D/7))))-fcd_cc*(1-(1-MAX(0,MIN(1,IF($E252&lt;=cc_D,0.0035*($E252-J$12)/$E252,0.002*($E252-J$12)/($E252-3*cc_D/7))/0.002)))^2)</f>
        <v/>
      </c>
      <c r="K252">
        <f>MAX(-fyd_cc,MIN(fyd_cc,Es_cc*IF($E252&lt;=cc_D,0.0035*($E252-K$12)/$E252,0.002*($E252-K$12)/($E252-3*cc_D/7))))-fcd_cc*(1-(1-MAX(0,MIN(1,IF($E252&lt;=cc_D,0.0035*($E252-K$12)/$E252,0.002*($E252-K$12)/($E252-3*cc_D/7))/0.002)))^2)</f>
        <v/>
      </c>
      <c r="L252">
        <f>MAX(-fyd_cc,MIN(fyd_cc,Es_cc*IF($E252&lt;=cc_D,0.0035*($E252-L$12)/$E252,0.002*($E252-L$12)/($E252-3*cc_D/7))))-fcd_cc*(1-(1-MAX(0,MIN(1,IF($E252&lt;=cc_D,0.0035*($E252-L$12)/$E252,0.002*($E252-L$12)/($E252-3*cc_D/7))/0.002)))^2)</f>
        <v/>
      </c>
      <c r="M252">
        <f>MAX(-fyd_cc,MIN(fyd_cc,Es_cc*IF($E252&lt;=cc_D,0.0035*($E252-M$12)/$E252,0.002*($E252-M$12)/($E252-3*cc_D/7))))-fcd_cc*(1-(1-MAX(0,MIN(1,IF($E252&lt;=cc_D,0.0035*($E252-M$12)/$E252,0.002*($E252-M$12)/($E252-3*cc_D/7))/0.002)))^2)</f>
        <v/>
      </c>
      <c r="N252">
        <f>MAX(-fyd_cc,MIN(fyd_cc,Es_cc*IF($E252&lt;=cc_D,0.0035*($E252-N$12)/$E252,0.002*($E252-N$12)/($E252-3*cc_D/7))))-fcd_cc*(1-(1-MAX(0,MIN(1,IF($E252&lt;=cc_D,0.0035*($E252-N$12)/$E252,0.002*($E252-N$12)/($E252-3*cc_D/7))/0.002)))^2)</f>
        <v/>
      </c>
      <c r="O252">
        <f>MAX(-fyd_cc,MIN(fyd_cc,Es_cc*IF($E252&lt;=cc_D,0.0035*($E252-O$12)/$E252,0.002*($E252-O$12)/($E252-3*cc_D/7))))-fcd_cc*(1-(1-MAX(0,MIN(1,IF($E252&lt;=cc_D,0.0035*($E252-O$12)/$E252,0.002*($E252-O$12)/($E252-3*cc_D/7))/0.002)))^2)</f>
        <v/>
      </c>
      <c r="P252">
        <f>MAX(-fyd_cc,MIN(fyd_cc,Es_cc*IF($E252&lt;=cc_D,0.0035*($E252-P$12)/$E252,0.002*($E252-P$12)/($E252-3*cc_D/7))))-fcd_cc*(1-(1-MAX(0,MIN(1,IF($E252&lt;=cc_D,0.0035*($E252-P$12)/$E252,0.002*($E252-P$12)/($E252-3*cc_D/7))/0.002)))^2)</f>
        <v/>
      </c>
      <c r="Q252">
        <f>MAX(-fyd_cc,MIN(fyd_cc,Es_cc*IF($E252&lt;=cc_D,0.0035*($E252-Q$12)/$E252,0.002*($E252-Q$12)/($E252-3*cc_D/7))))-fcd_cc*(1-(1-MAX(0,MIN(1,IF($E252&lt;=cc_D,0.0035*($E252-Q$12)/$E252,0.002*($E252-Q$12)/($E252-3*cc_D/7))/0.002)))^2)</f>
        <v/>
      </c>
      <c r="R252">
        <f>MAX(-fyd_cc,MIN(fyd_cc,Es_cc*IF($E252&lt;=cc_D,0.0035*($E252-R$12)/$E252,0.002*($E252-R$12)/($E252-3*cc_D/7))))-fcd_cc*(1-(1-MAX(0,MIN(1,IF($E252&lt;=cc_D,0.0035*($E252-R$12)/$E252,0.002*($E252-R$12)/($E252-3*cc_D/7))/0.002)))^2)</f>
        <v/>
      </c>
      <c r="S252">
        <f>MAX(-fyd_cc,MIN(fyd_cc,Es_cc*IF($E252&lt;=cc_D,0.0035*($E252-S$12)/$E252,0.002*($E252-S$12)/($E252-3*cc_D/7))))-fcd_cc*(1-(1-MAX(0,MIN(1,IF($E252&lt;=cc_D,0.0035*($E252-S$12)/$E252,0.002*($E252-S$12)/($E252-3*cc_D/7))/0.002)))^2)</f>
        <v/>
      </c>
      <c r="T252">
        <f>MAX(-fyd_cc,MIN(fyd_cc,Es_cc*IF($E252&lt;=cc_D,0.0035*($E252-T$12)/$E252,0.002*($E252-T$12)/($E252-3*cc_D/7))))-fcd_cc*(1-(1-MAX(0,MIN(1,IF($E252&lt;=cc_D,0.0035*($E252-T$12)/$E252,0.002*($E252-T$12)/($E252-3*cc_D/7))/0.002)))^2)</f>
        <v/>
      </c>
      <c r="U252">
        <f>MAX(-fyd_cc,MIN(fyd_cc,Es_cc*IF($E252&lt;=cc_D,0.0035*($E252-U$12)/$E252,0.002*($E252-U$12)/($E252-3*cc_D/7))))-fcd_cc*(1-(1-MAX(0,MIN(1,IF($E252&lt;=cc_D,0.0035*($E252-U$12)/$E252,0.002*($E252-U$12)/($E252-3*cc_D/7))/0.002)))^2)</f>
        <v/>
      </c>
      <c r="V252">
        <f>MAX(-fyd_cc,MIN(fyd_cc,Es_cc*IF($E252&lt;=cc_D,0.0035*($E252-V$12)/$E252,0.002*($E252-V$12)/($E252-3*cc_D/7))))-fcd_cc*(1-(1-MAX(0,MIN(1,IF($E252&lt;=cc_D,0.0035*($E252-V$12)/$E252,0.002*($E252-V$12)/($E252-3*cc_D/7))/0.002)))^2)</f>
        <v/>
      </c>
      <c r="W252">
        <f>MAX(-fyd_cc,MIN(fyd_cc,Es_cc*IF($E252&lt;=cc_D,0.0035*($E252-W$12)/$E252,0.002*($E252-W$12)/($E252-3*cc_D/7))))-fcd_cc*(1-(1-MAX(0,MIN(1,IF($E252&lt;=cc_D,0.0035*($E252-W$12)/$E252,0.002*($E252-W$12)/($E252-3*cc_D/7))/0.002)))^2)</f>
        <v/>
      </c>
      <c r="X252">
        <f>MAX(-fyd_cc,MIN(fyd_cc,Es_cc*IF($E252&lt;=cc_D,0.0035*($E252-X$12)/$E252,0.002*($E252-X$12)/($E252-3*cc_D/7))))-fcd_cc*(1-(1-MAX(0,MIN(1,IF($E252&lt;=cc_D,0.0035*($E252-X$12)/$E252,0.002*($E252-X$12)/($E252-3*cc_D/7))/0.002)))^2)</f>
        <v/>
      </c>
      <c r="Y252">
        <f>MAX(-fyd_cc,MIN(fyd_cc,Es_cc*IF($E252&lt;=cc_D,0.0035*($E252-Y$12)/$E252,0.002*($E252-Y$12)/($E252-3*cc_D/7))))-fcd_cc*(1-(1-MAX(0,MIN(1,IF($E252&lt;=cc_D,0.0035*($E252-Y$12)/$E252,0.002*($E252-Y$12)/($E252-3*cc_D/7))/0.002)))^2)</f>
        <v/>
      </c>
      <c r="Z252">
        <f>MAX(-fyd_cc,MIN(fyd_cc,Es_cc*IF($E252&lt;=cc_D,0.0035*($E252-Z$12)/$E252,0.002*($E252-Z$12)/($E252-3*cc_D/7))))-fcd_cc*(1-(1-MAX(0,MIN(1,IF($E252&lt;=cc_D,0.0035*($E252-Z$12)/$E252,0.002*($E252-Z$12)/($E252-3*cc_D/7))/0.002)))^2)</f>
        <v/>
      </c>
      <c r="AA252">
        <f>MAX(-fyd_cc,MIN(fyd_cc,Es_cc*IF($E252&lt;=cc_D,0.0035*($E252-AA$12)/$E252,0.002*($E252-AA$12)/($E252-3*cc_D/7))))-fcd_cc*(1-(1-MAX(0,MIN(1,IF($E252&lt;=cc_D,0.0035*($E252-AA$12)/$E252,0.002*($E252-AA$12)/($E252-3*cc_D/7))/0.002)))^2)</f>
        <v/>
      </c>
      <c r="AB252">
        <f>MAX(-fyd_cc,MIN(fyd_cc,Es_cc*IF($E252&lt;=cc_D,0.0035*($E252-AB$12)/$E252,0.002*($E252-AB$12)/($E252-3*cc_D/7))))-fcd_cc*(1-(1-MAX(0,MIN(1,IF($E252&lt;=cc_D,0.0035*($E252-AB$12)/$E252,0.002*($E252-AB$12)/($E252-3*cc_D/7))/0.002)))^2)</f>
        <v/>
      </c>
      <c r="AC252">
        <f>MAX(-fyd_cc,MIN(fyd_cc,Es_cc*IF($E252&lt;=cc_D,0.0035*($E252-AC$12)/$E252,0.002*($E252-AC$12)/($E252-3*cc_D/7))))-fcd_cc*(1-(1-MAX(0,MIN(1,IF($E252&lt;=cc_D,0.0035*($E252-AC$12)/$E252,0.002*($E252-AC$12)/($E252-3*cc_D/7))/0.002)))^2)</f>
        <v/>
      </c>
      <c r="AD252">
        <f>MAX(-fyd_cc,MIN(fyd_cc,Es_cc*IF($E252&lt;=cc_D,0.0035*($E252-AD$12)/$E252,0.002*($E252-AD$12)/($E252-3*cc_D/7))))-fcd_cc*(1-(1-MAX(0,MIN(1,IF($E252&lt;=cc_D,0.0035*($E252-AD$12)/$E252,0.002*($E252-AD$12)/($E252-3*cc_D/7))/0.002)))^2)</f>
        <v/>
      </c>
      <c r="AE252">
        <f>MAX(-fyd_cc,MIN(fyd_cc,Es_cc*IF($E252&lt;=cc_D,0.0035*($E252-AE$12)/$E252,0.002*($E252-AE$12)/($E252-3*cc_D/7))))-fcd_cc*(1-(1-MAX(0,MIN(1,IF($E252&lt;=cc_D,0.0035*($E252-AE$12)/$E252,0.002*($E252-AE$12)/($E252-3*cc_D/7))/0.002)))^2)</f>
        <v/>
      </c>
      <c r="AF252">
        <f>MAX(-fyd_cc,MIN(fyd_cc,Es_cc*IF($E252&lt;=cc_D,0.0035*($E252-AF$12)/$E252,0.002*($E252-AF$12)/($E252-3*cc_D/7))))-fcd_cc*(1-(1-MAX(0,MIN(1,IF($E252&lt;=cc_D,0.0035*($E252-AF$12)/$E252,0.002*($E252-AF$12)/($E252-3*cc_D/7))/0.002)))^2)</f>
        <v/>
      </c>
      <c r="AG252">
        <f>MAX(-fyd_cc,MIN(fyd_cc,Es_cc*IF($E252&lt;=cc_D,0.0035*($E252-AG$12)/$E252,0.002*($E252-AG$12)/($E252-3*cc_D/7))))-fcd_cc*(1-(1-MAX(0,MIN(1,IF($E252&lt;=cc_D,0.0035*($E252-AG$12)/$E252,0.002*($E252-AG$12)/($E252-3*cc_D/7))/0.002)))^2)</f>
        <v/>
      </c>
      <c r="BF252">
        <f>3*MIN($E252,cc_D)/7</f>
        <v/>
      </c>
      <c r="BG252">
        <f>$E252-$BF252</f>
        <v/>
      </c>
      <c r="BH252">
        <f>ACOS(MAX(-1,MIN(1,1-$BF252/(cc_D/2))))</f>
        <v/>
      </c>
      <c r="BI252">
        <f>ACOS(MAX(-1,MIN(1,1-MIN($E252,cc_D)/(cc_D/2))))</f>
        <v/>
      </c>
      <c r="BJ252">
        <f>((cc_D/2*(1-COS(($BH252+0*($BI252-$BH252)/12)))-$BF252)/$BG252)^2*SIN(($BH252+0*($BI252-$BH252)/12))^2</f>
        <v/>
      </c>
      <c r="BK252">
        <f>((cc_D/2*(1-COS(($BH252+1*($BI252-$BH252)/12)))-$BF252)/$BG252)^2*SIN(($BH252+1*($BI252-$BH252)/12))^2</f>
        <v/>
      </c>
      <c r="BL252">
        <f>((cc_D/2*(1-COS(($BH252+2*($BI252-$BH252)/12)))-$BF252)/$BG252)^2*SIN(($BH252+2*($BI252-$BH252)/12))^2</f>
        <v/>
      </c>
      <c r="BM252">
        <f>((cc_D/2*(1-COS(($BH252+3*($BI252-$BH252)/12)))-$BF252)/$BG252)^2*SIN(($BH252+3*($BI252-$BH252)/12))^2</f>
        <v/>
      </c>
      <c r="BN252">
        <f>((cc_D/2*(1-COS(($BH252+4*($BI252-$BH252)/12)))-$BF252)/$BG252)^2*SIN(($BH252+4*($BI252-$BH252)/12))^2</f>
        <v/>
      </c>
      <c r="BO252">
        <f>((cc_D/2*(1-COS(($BH252+5*($BI252-$BH252)/12)))-$BF252)/$BG252)^2*SIN(($BH252+5*($BI252-$BH252)/12))^2</f>
        <v/>
      </c>
      <c r="BP252">
        <f>((cc_D/2*(1-COS(($BH252+6*($BI252-$BH252)/12)))-$BF252)/$BG252)^2*SIN(($BH252+6*($BI252-$BH252)/12))^2</f>
        <v/>
      </c>
      <c r="BQ252">
        <f>((cc_D/2*(1-COS(($BH252+7*($BI252-$BH252)/12)))-$BF252)/$BG252)^2*SIN(($BH252+7*($BI252-$BH252)/12))^2</f>
        <v/>
      </c>
      <c r="BR252">
        <f>((cc_D/2*(1-COS(($BH252+8*($BI252-$BH252)/12)))-$BF252)/$BG252)^2*SIN(($BH252+8*($BI252-$BH252)/12))^2</f>
        <v/>
      </c>
      <c r="BS252">
        <f>((cc_D/2*(1-COS(($BH252+9*($BI252-$BH252)/12)))-$BF252)/$BG252)^2*SIN(($BH252+9*($BI252-$BH252)/12))^2</f>
        <v/>
      </c>
      <c r="BT252">
        <f>((cc_D/2*(1-COS(($BH252+10*($BI252-$BH252)/12)))-$BF252)/$BG252)^2*SIN(($BH252+10*($BI252-$BH252)/12))^2</f>
        <v/>
      </c>
      <c r="BU252">
        <f>((cc_D/2*(1-COS(($BH252+11*($BI252-$BH252)/12)))-$BF252)/$BG252)^2*SIN(($BH252+11*($BI252-$BH252)/12))^2</f>
        <v/>
      </c>
      <c r="BV252">
        <f>((cc_D/2*(1-COS(($BH252+12*($BI252-$BH252)/12)))-$BF252)/$BG252)^2*SIN(($BH252+12*($BI252-$BH252)/12))^2</f>
        <v/>
      </c>
      <c r="BW252">
        <f>BJ252*COS(($BH252+0*($BI252-$BH252)/12))</f>
        <v/>
      </c>
      <c r="BX252">
        <f>BK252*COS(($BH252+1*($BI252-$BH252)/12))</f>
        <v/>
      </c>
      <c r="BY252">
        <f>BL252*COS(($BH252+2*($BI252-$BH252)/12))</f>
        <v/>
      </c>
      <c r="BZ252">
        <f>BM252*COS(($BH252+3*($BI252-$BH252)/12))</f>
        <v/>
      </c>
      <c r="CA252">
        <f>BN252*COS(($BH252+4*($BI252-$BH252)/12))</f>
        <v/>
      </c>
      <c r="CB252">
        <f>BO252*COS(($BH252+5*($BI252-$BH252)/12))</f>
        <v/>
      </c>
      <c r="CC252">
        <f>BP252*COS(($BH252+6*($BI252-$BH252)/12))</f>
        <v/>
      </c>
      <c r="CD252">
        <f>BQ252*COS(($BH252+7*($BI252-$BH252)/12))</f>
        <v/>
      </c>
      <c r="CE252">
        <f>BR252*COS(($BH252+8*($BI252-$BH252)/12))</f>
        <v/>
      </c>
      <c r="CF252">
        <f>BS252*COS(($BH252+9*($BI252-$BH252)/12))</f>
        <v/>
      </c>
      <c r="CG252">
        <f>BT252*COS(($BH252+10*($BI252-$BH252)/12))</f>
        <v/>
      </c>
      <c r="CH252">
        <f>BU252*COS(($BH252+11*($BI252-$BH252)/12))</f>
        <v/>
      </c>
      <c r="CI252">
        <f>BV252*COS(($BH252+12*($BI252-$BH252)/12))</f>
        <v/>
      </c>
    </row>
    <row r="253">
      <c r="B253" s="65" t="n">
        <v>38</v>
      </c>
      <c r="C253" s="66">
        <f>IF($G252&lt;cc_NEd-1E-9*ABS(cc_NEd),($C252+$D252)/2,$C252)</f>
        <v/>
      </c>
      <c r="D253" s="66">
        <f>IF($G252&lt;cc_NEd-1E-9*ABS(cc_NEd),$D252,($C252+$D252)/2)</f>
        <v/>
      </c>
      <c r="E253" s="67">
        <f>cc_D*(($C253+$D253)/2)/(1-(($C253+$D253)/2))</f>
        <v/>
      </c>
      <c r="F253" s="68">
        <f>IF($E253&lt;=cc_D,3.5,2*$E253/($E253-3*cc_D/7))</f>
        <v/>
      </c>
      <c r="G253" s="67">
        <f>(fcd_cc*((cc_D/2)^2*($BI253-COS($BI253)*SIN($BI253))-2*(cc_D/2)^2*($BI253-$BH253)/12/3*SUMPRODUCT($BJ$4:$BV$4,$BJ253:$BV253))+SUMPRODUCT($J$5:$AG$5,$J253:$AG253))/1000</f>
        <v/>
      </c>
      <c r="H253" s="67">
        <f>(fcd_cc*(2/3*(cc_D/2)^3*SIN($BI253)^3-2*(cc_D/2)^3*($BI253-$BH253)/12/3*SUMPRODUCT($BW$4:$CI$4,$BW253:$CI253))+SUMPRODUCT($J$5:$AG$5,$J253:$AG253,$J$13:$AG$13))/1E6</f>
        <v/>
      </c>
      <c r="I253" s="67">
        <f>SUMPRODUCT($J$5:$AG$5,$J253:$AG253,$J$14:$AG$14)/1E6</f>
        <v/>
      </c>
      <c r="J253">
        <f>MAX(-fyd_cc,MIN(fyd_cc,Es_cc*IF($E253&lt;=cc_D,0.0035*($E253-J$12)/$E253,0.002*($E253-J$12)/($E253-3*cc_D/7))))-fcd_cc*(1-(1-MAX(0,MIN(1,IF($E253&lt;=cc_D,0.0035*($E253-J$12)/$E253,0.002*($E253-J$12)/($E253-3*cc_D/7))/0.002)))^2)</f>
        <v/>
      </c>
      <c r="K253">
        <f>MAX(-fyd_cc,MIN(fyd_cc,Es_cc*IF($E253&lt;=cc_D,0.0035*($E253-K$12)/$E253,0.002*($E253-K$12)/($E253-3*cc_D/7))))-fcd_cc*(1-(1-MAX(0,MIN(1,IF($E253&lt;=cc_D,0.0035*($E253-K$12)/$E253,0.002*($E253-K$12)/($E253-3*cc_D/7))/0.002)))^2)</f>
        <v/>
      </c>
      <c r="L253">
        <f>MAX(-fyd_cc,MIN(fyd_cc,Es_cc*IF($E253&lt;=cc_D,0.0035*($E253-L$12)/$E253,0.002*($E253-L$12)/($E253-3*cc_D/7))))-fcd_cc*(1-(1-MAX(0,MIN(1,IF($E253&lt;=cc_D,0.0035*($E253-L$12)/$E253,0.002*($E253-L$12)/($E253-3*cc_D/7))/0.002)))^2)</f>
        <v/>
      </c>
      <c r="M253">
        <f>MAX(-fyd_cc,MIN(fyd_cc,Es_cc*IF($E253&lt;=cc_D,0.0035*($E253-M$12)/$E253,0.002*($E253-M$12)/($E253-3*cc_D/7))))-fcd_cc*(1-(1-MAX(0,MIN(1,IF($E253&lt;=cc_D,0.0035*($E253-M$12)/$E253,0.002*($E253-M$12)/($E253-3*cc_D/7))/0.002)))^2)</f>
        <v/>
      </c>
      <c r="N253">
        <f>MAX(-fyd_cc,MIN(fyd_cc,Es_cc*IF($E253&lt;=cc_D,0.0035*($E253-N$12)/$E253,0.002*($E253-N$12)/($E253-3*cc_D/7))))-fcd_cc*(1-(1-MAX(0,MIN(1,IF($E253&lt;=cc_D,0.0035*($E253-N$12)/$E253,0.002*($E253-N$12)/($E253-3*cc_D/7))/0.002)))^2)</f>
        <v/>
      </c>
      <c r="O253">
        <f>MAX(-fyd_cc,MIN(fyd_cc,Es_cc*IF($E253&lt;=cc_D,0.0035*($E253-O$12)/$E253,0.002*($E253-O$12)/($E253-3*cc_D/7))))-fcd_cc*(1-(1-MAX(0,MIN(1,IF($E253&lt;=cc_D,0.0035*($E253-O$12)/$E253,0.002*($E253-O$12)/($E253-3*cc_D/7))/0.002)))^2)</f>
        <v/>
      </c>
      <c r="P253">
        <f>MAX(-fyd_cc,MIN(fyd_cc,Es_cc*IF($E253&lt;=cc_D,0.0035*($E253-P$12)/$E253,0.002*($E253-P$12)/($E253-3*cc_D/7))))-fcd_cc*(1-(1-MAX(0,MIN(1,IF($E253&lt;=cc_D,0.0035*($E253-P$12)/$E253,0.002*($E253-P$12)/($E253-3*cc_D/7))/0.002)))^2)</f>
        <v/>
      </c>
      <c r="Q253">
        <f>MAX(-fyd_cc,MIN(fyd_cc,Es_cc*IF($E253&lt;=cc_D,0.0035*($E253-Q$12)/$E253,0.002*($E253-Q$12)/($E253-3*cc_D/7))))-fcd_cc*(1-(1-MAX(0,MIN(1,IF($E253&lt;=cc_D,0.0035*($E253-Q$12)/$E253,0.002*($E253-Q$12)/($E253-3*cc_D/7))/0.002)))^2)</f>
        <v/>
      </c>
      <c r="R253">
        <f>MAX(-fyd_cc,MIN(fyd_cc,Es_cc*IF($E253&lt;=cc_D,0.0035*($E253-R$12)/$E253,0.002*($E253-R$12)/($E253-3*cc_D/7))))-fcd_cc*(1-(1-MAX(0,MIN(1,IF($E253&lt;=cc_D,0.0035*($E253-R$12)/$E253,0.002*($E253-R$12)/($E253-3*cc_D/7))/0.002)))^2)</f>
        <v/>
      </c>
      <c r="S253">
        <f>MAX(-fyd_cc,MIN(fyd_cc,Es_cc*IF($E253&lt;=cc_D,0.0035*($E253-S$12)/$E253,0.002*($E253-S$12)/($E253-3*cc_D/7))))-fcd_cc*(1-(1-MAX(0,MIN(1,IF($E253&lt;=cc_D,0.0035*($E253-S$12)/$E253,0.002*($E253-S$12)/($E253-3*cc_D/7))/0.002)))^2)</f>
        <v/>
      </c>
      <c r="T253">
        <f>MAX(-fyd_cc,MIN(fyd_cc,Es_cc*IF($E253&lt;=cc_D,0.0035*($E253-T$12)/$E253,0.002*($E253-T$12)/($E253-3*cc_D/7))))-fcd_cc*(1-(1-MAX(0,MIN(1,IF($E253&lt;=cc_D,0.0035*($E253-T$12)/$E253,0.002*($E253-T$12)/($E253-3*cc_D/7))/0.002)))^2)</f>
        <v/>
      </c>
      <c r="U253">
        <f>MAX(-fyd_cc,MIN(fyd_cc,Es_cc*IF($E253&lt;=cc_D,0.0035*($E253-U$12)/$E253,0.002*($E253-U$12)/($E253-3*cc_D/7))))-fcd_cc*(1-(1-MAX(0,MIN(1,IF($E253&lt;=cc_D,0.0035*($E253-U$12)/$E253,0.002*($E253-U$12)/($E253-3*cc_D/7))/0.002)))^2)</f>
        <v/>
      </c>
      <c r="V253">
        <f>MAX(-fyd_cc,MIN(fyd_cc,Es_cc*IF($E253&lt;=cc_D,0.0035*($E253-V$12)/$E253,0.002*($E253-V$12)/($E253-3*cc_D/7))))-fcd_cc*(1-(1-MAX(0,MIN(1,IF($E253&lt;=cc_D,0.0035*($E253-V$12)/$E253,0.002*($E253-V$12)/($E253-3*cc_D/7))/0.002)))^2)</f>
        <v/>
      </c>
      <c r="W253">
        <f>MAX(-fyd_cc,MIN(fyd_cc,Es_cc*IF($E253&lt;=cc_D,0.0035*($E253-W$12)/$E253,0.002*($E253-W$12)/($E253-3*cc_D/7))))-fcd_cc*(1-(1-MAX(0,MIN(1,IF($E253&lt;=cc_D,0.0035*($E253-W$12)/$E253,0.002*($E253-W$12)/($E253-3*cc_D/7))/0.002)))^2)</f>
        <v/>
      </c>
      <c r="X253">
        <f>MAX(-fyd_cc,MIN(fyd_cc,Es_cc*IF($E253&lt;=cc_D,0.0035*($E253-X$12)/$E253,0.002*($E253-X$12)/($E253-3*cc_D/7))))-fcd_cc*(1-(1-MAX(0,MIN(1,IF($E253&lt;=cc_D,0.0035*($E253-X$12)/$E253,0.002*($E253-X$12)/($E253-3*cc_D/7))/0.002)))^2)</f>
        <v/>
      </c>
      <c r="Y253">
        <f>MAX(-fyd_cc,MIN(fyd_cc,Es_cc*IF($E253&lt;=cc_D,0.0035*($E253-Y$12)/$E253,0.002*($E253-Y$12)/($E253-3*cc_D/7))))-fcd_cc*(1-(1-MAX(0,MIN(1,IF($E253&lt;=cc_D,0.0035*($E253-Y$12)/$E253,0.002*($E253-Y$12)/($E253-3*cc_D/7))/0.002)))^2)</f>
        <v/>
      </c>
      <c r="Z253">
        <f>MAX(-fyd_cc,MIN(fyd_cc,Es_cc*IF($E253&lt;=cc_D,0.0035*($E253-Z$12)/$E253,0.002*($E253-Z$12)/($E253-3*cc_D/7))))-fcd_cc*(1-(1-MAX(0,MIN(1,IF($E253&lt;=cc_D,0.0035*($E253-Z$12)/$E253,0.002*($E253-Z$12)/($E253-3*cc_D/7))/0.002)))^2)</f>
        <v/>
      </c>
      <c r="AA253">
        <f>MAX(-fyd_cc,MIN(fyd_cc,Es_cc*IF($E253&lt;=cc_D,0.0035*($E253-AA$12)/$E253,0.002*($E253-AA$12)/($E253-3*cc_D/7))))-fcd_cc*(1-(1-MAX(0,MIN(1,IF($E253&lt;=cc_D,0.0035*($E253-AA$12)/$E253,0.002*($E253-AA$12)/($E253-3*cc_D/7))/0.002)))^2)</f>
        <v/>
      </c>
      <c r="AB253">
        <f>MAX(-fyd_cc,MIN(fyd_cc,Es_cc*IF($E253&lt;=cc_D,0.0035*($E253-AB$12)/$E253,0.002*($E253-AB$12)/($E253-3*cc_D/7))))-fcd_cc*(1-(1-MAX(0,MIN(1,IF($E253&lt;=cc_D,0.0035*($E253-AB$12)/$E253,0.002*($E253-AB$12)/($E253-3*cc_D/7))/0.002)))^2)</f>
        <v/>
      </c>
      <c r="AC253">
        <f>MAX(-fyd_cc,MIN(fyd_cc,Es_cc*IF($E253&lt;=cc_D,0.0035*($E253-AC$12)/$E253,0.002*($E253-AC$12)/($E253-3*cc_D/7))))-fcd_cc*(1-(1-MAX(0,MIN(1,IF($E253&lt;=cc_D,0.0035*($E253-AC$12)/$E253,0.002*($E253-AC$12)/($E253-3*cc_D/7))/0.002)))^2)</f>
        <v/>
      </c>
      <c r="AD253">
        <f>MAX(-fyd_cc,MIN(fyd_cc,Es_cc*IF($E253&lt;=cc_D,0.0035*($E253-AD$12)/$E253,0.002*($E253-AD$12)/($E253-3*cc_D/7))))-fcd_cc*(1-(1-MAX(0,MIN(1,IF($E253&lt;=cc_D,0.0035*($E253-AD$12)/$E253,0.002*($E253-AD$12)/($E253-3*cc_D/7))/0.002)))^2)</f>
        <v/>
      </c>
      <c r="AE253">
        <f>MAX(-fyd_cc,MIN(fyd_cc,Es_cc*IF($E253&lt;=cc_D,0.0035*($E253-AE$12)/$E253,0.002*($E253-AE$12)/($E253-3*cc_D/7))))-fcd_cc*(1-(1-MAX(0,MIN(1,IF($E253&lt;=cc_D,0.0035*($E253-AE$12)/$E253,0.002*($E253-AE$12)/($E253-3*cc_D/7))/0.002)))^2)</f>
        <v/>
      </c>
      <c r="AF253">
        <f>MAX(-fyd_cc,MIN(fyd_cc,Es_cc*IF($E253&lt;=cc_D,0.0035*($E253-AF$12)/$E253,0.002*($E253-AF$12)/($E253-3*cc_D/7))))-fcd_cc*(1-(1-MAX(0,MIN(1,IF($E253&lt;=cc_D,0.0035*($E253-AF$12)/$E253,0.002*($E253-AF$12)/($E253-3*cc_D/7))/0.002)))^2)</f>
        <v/>
      </c>
      <c r="AG253">
        <f>MAX(-fyd_cc,MIN(fyd_cc,Es_cc*IF($E253&lt;=cc_D,0.0035*($E253-AG$12)/$E253,0.002*($E253-AG$12)/($E253-3*cc_D/7))))-fcd_cc*(1-(1-MAX(0,MIN(1,IF($E253&lt;=cc_D,0.0035*($E253-AG$12)/$E253,0.002*($E253-AG$12)/($E253-3*cc_D/7))/0.002)))^2)</f>
        <v/>
      </c>
      <c r="BF253">
        <f>3*MIN($E253,cc_D)/7</f>
        <v/>
      </c>
      <c r="BG253">
        <f>$E253-$BF253</f>
        <v/>
      </c>
      <c r="BH253">
        <f>ACOS(MAX(-1,MIN(1,1-$BF253/(cc_D/2))))</f>
        <v/>
      </c>
      <c r="BI253">
        <f>ACOS(MAX(-1,MIN(1,1-MIN($E253,cc_D)/(cc_D/2))))</f>
        <v/>
      </c>
      <c r="BJ253">
        <f>((cc_D/2*(1-COS(($BH253+0*($BI253-$BH253)/12)))-$BF253)/$BG253)^2*SIN(($BH253+0*($BI253-$BH253)/12))^2</f>
        <v/>
      </c>
      <c r="BK253">
        <f>((cc_D/2*(1-COS(($BH253+1*($BI253-$BH253)/12)))-$BF253)/$BG253)^2*SIN(($BH253+1*($BI253-$BH253)/12))^2</f>
        <v/>
      </c>
      <c r="BL253">
        <f>((cc_D/2*(1-COS(($BH253+2*($BI253-$BH253)/12)))-$BF253)/$BG253)^2*SIN(($BH253+2*($BI253-$BH253)/12))^2</f>
        <v/>
      </c>
      <c r="BM253">
        <f>((cc_D/2*(1-COS(($BH253+3*($BI253-$BH253)/12)))-$BF253)/$BG253)^2*SIN(($BH253+3*($BI253-$BH253)/12))^2</f>
        <v/>
      </c>
      <c r="BN253">
        <f>((cc_D/2*(1-COS(($BH253+4*($BI253-$BH253)/12)))-$BF253)/$BG253)^2*SIN(($BH253+4*($BI253-$BH253)/12))^2</f>
        <v/>
      </c>
      <c r="BO253">
        <f>((cc_D/2*(1-COS(($BH253+5*($BI253-$BH253)/12)))-$BF253)/$BG253)^2*SIN(($BH253+5*($BI253-$BH253)/12))^2</f>
        <v/>
      </c>
      <c r="BP253">
        <f>((cc_D/2*(1-COS(($BH253+6*($BI253-$BH253)/12)))-$BF253)/$BG253)^2*SIN(($BH253+6*($BI253-$BH253)/12))^2</f>
        <v/>
      </c>
      <c r="BQ253">
        <f>((cc_D/2*(1-COS(($BH253+7*($BI253-$BH253)/12)))-$BF253)/$BG253)^2*SIN(($BH253+7*($BI253-$BH253)/12))^2</f>
        <v/>
      </c>
      <c r="BR253">
        <f>((cc_D/2*(1-COS(($BH253+8*($BI253-$BH253)/12)))-$BF253)/$BG253)^2*SIN(($BH253+8*($BI253-$BH253)/12))^2</f>
        <v/>
      </c>
      <c r="BS253">
        <f>((cc_D/2*(1-COS(($BH253+9*($BI253-$BH253)/12)))-$BF253)/$BG253)^2*SIN(($BH253+9*($BI253-$BH253)/12))^2</f>
        <v/>
      </c>
      <c r="BT253">
        <f>((cc_D/2*(1-COS(($BH253+10*($BI253-$BH253)/12)))-$BF253)/$BG253)^2*SIN(($BH253+10*($BI253-$BH253)/12))^2</f>
        <v/>
      </c>
      <c r="BU253">
        <f>((cc_D/2*(1-COS(($BH253+11*($BI253-$BH253)/12)))-$BF253)/$BG253)^2*SIN(($BH253+11*($BI253-$BH253)/12))^2</f>
        <v/>
      </c>
      <c r="BV253">
        <f>((cc_D/2*(1-COS(($BH253+12*($BI253-$BH253)/12)))-$BF253)/$BG253)^2*SIN(($BH253+12*($BI253-$BH253)/12))^2</f>
        <v/>
      </c>
      <c r="BW253">
        <f>BJ253*COS(($BH253+0*($BI253-$BH253)/12))</f>
        <v/>
      </c>
      <c r="BX253">
        <f>BK253*COS(($BH253+1*($BI253-$BH253)/12))</f>
        <v/>
      </c>
      <c r="BY253">
        <f>BL253*COS(($BH253+2*($BI253-$BH253)/12))</f>
        <v/>
      </c>
      <c r="BZ253">
        <f>BM253*COS(($BH253+3*($BI253-$BH253)/12))</f>
        <v/>
      </c>
      <c r="CA253">
        <f>BN253*COS(($BH253+4*($BI253-$BH253)/12))</f>
        <v/>
      </c>
      <c r="CB253">
        <f>BO253*COS(($BH253+5*($BI253-$BH253)/12))</f>
        <v/>
      </c>
      <c r="CC253">
        <f>BP253*COS(($BH253+6*($BI253-$BH253)/12))</f>
        <v/>
      </c>
      <c r="CD253">
        <f>BQ253*COS(($BH253+7*($BI253-$BH253)/12))</f>
        <v/>
      </c>
      <c r="CE253">
        <f>BR253*COS(($BH253+8*($BI253-$BH253)/12))</f>
        <v/>
      </c>
      <c r="CF253">
        <f>BS253*COS(($BH253+9*($BI253-$BH253)/12))</f>
        <v/>
      </c>
      <c r="CG253">
        <f>BT253*COS(($BH253+10*($BI253-$BH253)/12))</f>
        <v/>
      </c>
      <c r="CH253">
        <f>BU253*COS(($BH253+11*($BI253-$BH253)/12))</f>
        <v/>
      </c>
      <c r="CI253">
        <f>BV253*COS(($BH253+12*($BI253-$BH253)/12))</f>
        <v/>
      </c>
    </row>
    <row r="254">
      <c r="B254" s="65" t="n">
        <v>39</v>
      </c>
      <c r="C254" s="66">
        <f>IF($G253&lt;cc_NEd-1E-9*ABS(cc_NEd),($C253+$D253)/2,$C253)</f>
        <v/>
      </c>
      <c r="D254" s="66">
        <f>IF($G253&lt;cc_NEd-1E-9*ABS(cc_NEd),$D253,($C253+$D253)/2)</f>
        <v/>
      </c>
      <c r="E254" s="67">
        <f>cc_D*(($C254+$D254)/2)/(1-(($C254+$D254)/2))</f>
        <v/>
      </c>
      <c r="F254" s="68">
        <f>IF($E254&lt;=cc_D,3.5,2*$E254/($E254-3*cc_D/7))</f>
        <v/>
      </c>
      <c r="G254" s="67">
        <f>(fcd_cc*((cc_D/2)^2*($BI254-COS($BI254)*SIN($BI254))-2*(cc_D/2)^2*($BI254-$BH254)/12/3*SUMPRODUCT($BJ$4:$BV$4,$BJ254:$BV254))+SUMPRODUCT($J$5:$AG$5,$J254:$AG254))/1000</f>
        <v/>
      </c>
      <c r="H254" s="67">
        <f>(fcd_cc*(2/3*(cc_D/2)^3*SIN($BI254)^3-2*(cc_D/2)^3*($BI254-$BH254)/12/3*SUMPRODUCT($BW$4:$CI$4,$BW254:$CI254))+SUMPRODUCT($J$5:$AG$5,$J254:$AG254,$J$13:$AG$13))/1E6</f>
        <v/>
      </c>
      <c r="I254" s="67">
        <f>SUMPRODUCT($J$5:$AG$5,$J254:$AG254,$J$14:$AG$14)/1E6</f>
        <v/>
      </c>
      <c r="J254">
        <f>MAX(-fyd_cc,MIN(fyd_cc,Es_cc*IF($E254&lt;=cc_D,0.0035*($E254-J$12)/$E254,0.002*($E254-J$12)/($E254-3*cc_D/7))))-fcd_cc*(1-(1-MAX(0,MIN(1,IF($E254&lt;=cc_D,0.0035*($E254-J$12)/$E254,0.002*($E254-J$12)/($E254-3*cc_D/7))/0.002)))^2)</f>
        <v/>
      </c>
      <c r="K254">
        <f>MAX(-fyd_cc,MIN(fyd_cc,Es_cc*IF($E254&lt;=cc_D,0.0035*($E254-K$12)/$E254,0.002*($E254-K$12)/($E254-3*cc_D/7))))-fcd_cc*(1-(1-MAX(0,MIN(1,IF($E254&lt;=cc_D,0.0035*($E254-K$12)/$E254,0.002*($E254-K$12)/($E254-3*cc_D/7))/0.002)))^2)</f>
        <v/>
      </c>
      <c r="L254">
        <f>MAX(-fyd_cc,MIN(fyd_cc,Es_cc*IF($E254&lt;=cc_D,0.0035*($E254-L$12)/$E254,0.002*($E254-L$12)/($E254-3*cc_D/7))))-fcd_cc*(1-(1-MAX(0,MIN(1,IF($E254&lt;=cc_D,0.0035*($E254-L$12)/$E254,0.002*($E254-L$12)/($E254-3*cc_D/7))/0.002)))^2)</f>
        <v/>
      </c>
      <c r="M254">
        <f>MAX(-fyd_cc,MIN(fyd_cc,Es_cc*IF($E254&lt;=cc_D,0.0035*($E254-M$12)/$E254,0.002*($E254-M$12)/($E254-3*cc_D/7))))-fcd_cc*(1-(1-MAX(0,MIN(1,IF($E254&lt;=cc_D,0.0035*($E254-M$12)/$E254,0.002*($E254-M$12)/($E254-3*cc_D/7))/0.002)))^2)</f>
        <v/>
      </c>
      <c r="N254">
        <f>MAX(-fyd_cc,MIN(fyd_cc,Es_cc*IF($E254&lt;=cc_D,0.0035*($E254-N$12)/$E254,0.002*($E254-N$12)/($E254-3*cc_D/7))))-fcd_cc*(1-(1-MAX(0,MIN(1,IF($E254&lt;=cc_D,0.0035*($E254-N$12)/$E254,0.002*($E254-N$12)/($E254-3*cc_D/7))/0.002)))^2)</f>
        <v/>
      </c>
      <c r="O254">
        <f>MAX(-fyd_cc,MIN(fyd_cc,Es_cc*IF($E254&lt;=cc_D,0.0035*($E254-O$12)/$E254,0.002*($E254-O$12)/($E254-3*cc_D/7))))-fcd_cc*(1-(1-MAX(0,MIN(1,IF($E254&lt;=cc_D,0.0035*($E254-O$12)/$E254,0.002*($E254-O$12)/($E254-3*cc_D/7))/0.002)))^2)</f>
        <v/>
      </c>
      <c r="P254">
        <f>MAX(-fyd_cc,MIN(fyd_cc,Es_cc*IF($E254&lt;=cc_D,0.0035*($E254-P$12)/$E254,0.002*($E254-P$12)/($E254-3*cc_D/7))))-fcd_cc*(1-(1-MAX(0,MIN(1,IF($E254&lt;=cc_D,0.0035*($E254-P$12)/$E254,0.002*($E254-P$12)/($E254-3*cc_D/7))/0.002)))^2)</f>
        <v/>
      </c>
      <c r="Q254">
        <f>MAX(-fyd_cc,MIN(fyd_cc,Es_cc*IF($E254&lt;=cc_D,0.0035*($E254-Q$12)/$E254,0.002*($E254-Q$12)/($E254-3*cc_D/7))))-fcd_cc*(1-(1-MAX(0,MIN(1,IF($E254&lt;=cc_D,0.0035*($E254-Q$12)/$E254,0.002*($E254-Q$12)/($E254-3*cc_D/7))/0.002)))^2)</f>
        <v/>
      </c>
      <c r="R254">
        <f>MAX(-fyd_cc,MIN(fyd_cc,Es_cc*IF($E254&lt;=cc_D,0.0035*($E254-R$12)/$E254,0.002*($E254-R$12)/($E254-3*cc_D/7))))-fcd_cc*(1-(1-MAX(0,MIN(1,IF($E254&lt;=cc_D,0.0035*($E254-R$12)/$E254,0.002*($E254-R$12)/($E254-3*cc_D/7))/0.002)))^2)</f>
        <v/>
      </c>
      <c r="S254">
        <f>MAX(-fyd_cc,MIN(fyd_cc,Es_cc*IF($E254&lt;=cc_D,0.0035*($E254-S$12)/$E254,0.002*($E254-S$12)/($E254-3*cc_D/7))))-fcd_cc*(1-(1-MAX(0,MIN(1,IF($E254&lt;=cc_D,0.0035*($E254-S$12)/$E254,0.002*($E254-S$12)/($E254-3*cc_D/7))/0.002)))^2)</f>
        <v/>
      </c>
      <c r="T254">
        <f>MAX(-fyd_cc,MIN(fyd_cc,Es_cc*IF($E254&lt;=cc_D,0.0035*($E254-T$12)/$E254,0.002*($E254-T$12)/($E254-3*cc_D/7))))-fcd_cc*(1-(1-MAX(0,MIN(1,IF($E254&lt;=cc_D,0.0035*($E254-T$12)/$E254,0.002*($E254-T$12)/($E254-3*cc_D/7))/0.002)))^2)</f>
        <v/>
      </c>
      <c r="U254">
        <f>MAX(-fyd_cc,MIN(fyd_cc,Es_cc*IF($E254&lt;=cc_D,0.0035*($E254-U$12)/$E254,0.002*($E254-U$12)/($E254-3*cc_D/7))))-fcd_cc*(1-(1-MAX(0,MIN(1,IF($E254&lt;=cc_D,0.0035*($E254-U$12)/$E254,0.002*($E254-U$12)/($E254-3*cc_D/7))/0.002)))^2)</f>
        <v/>
      </c>
      <c r="V254">
        <f>MAX(-fyd_cc,MIN(fyd_cc,Es_cc*IF($E254&lt;=cc_D,0.0035*($E254-V$12)/$E254,0.002*($E254-V$12)/($E254-3*cc_D/7))))-fcd_cc*(1-(1-MAX(0,MIN(1,IF($E254&lt;=cc_D,0.0035*($E254-V$12)/$E254,0.002*($E254-V$12)/($E254-3*cc_D/7))/0.002)))^2)</f>
        <v/>
      </c>
      <c r="W254">
        <f>MAX(-fyd_cc,MIN(fyd_cc,Es_cc*IF($E254&lt;=cc_D,0.0035*($E254-W$12)/$E254,0.002*($E254-W$12)/($E254-3*cc_D/7))))-fcd_cc*(1-(1-MAX(0,MIN(1,IF($E254&lt;=cc_D,0.0035*($E254-W$12)/$E254,0.002*($E254-W$12)/($E254-3*cc_D/7))/0.002)))^2)</f>
        <v/>
      </c>
      <c r="X254">
        <f>MAX(-fyd_cc,MIN(fyd_cc,Es_cc*IF($E254&lt;=cc_D,0.0035*($E254-X$12)/$E254,0.002*($E254-X$12)/($E254-3*cc_D/7))))-fcd_cc*(1-(1-MAX(0,MIN(1,IF($E254&lt;=cc_D,0.0035*($E254-X$12)/$E254,0.002*($E254-X$12)/($E254-3*cc_D/7))/0.002)))^2)</f>
        <v/>
      </c>
      <c r="Y254">
        <f>MAX(-fyd_cc,MIN(fyd_cc,Es_cc*IF($E254&lt;=cc_D,0.0035*($E254-Y$12)/$E254,0.002*($E254-Y$12)/($E254-3*cc_D/7))))-fcd_cc*(1-(1-MAX(0,MIN(1,IF($E254&lt;=cc_D,0.0035*($E254-Y$12)/$E254,0.002*($E254-Y$12)/($E254-3*cc_D/7))/0.002)))^2)</f>
        <v/>
      </c>
      <c r="Z254">
        <f>MAX(-fyd_cc,MIN(fyd_cc,Es_cc*IF($E254&lt;=cc_D,0.0035*($E254-Z$12)/$E254,0.002*($E254-Z$12)/($E254-3*cc_D/7))))-fcd_cc*(1-(1-MAX(0,MIN(1,IF($E254&lt;=cc_D,0.0035*($E254-Z$12)/$E254,0.002*($E254-Z$12)/($E254-3*cc_D/7))/0.002)))^2)</f>
        <v/>
      </c>
      <c r="AA254">
        <f>MAX(-fyd_cc,MIN(fyd_cc,Es_cc*IF($E254&lt;=cc_D,0.0035*($E254-AA$12)/$E254,0.002*($E254-AA$12)/($E254-3*cc_D/7))))-fcd_cc*(1-(1-MAX(0,MIN(1,IF($E254&lt;=cc_D,0.0035*($E254-AA$12)/$E254,0.002*($E254-AA$12)/($E254-3*cc_D/7))/0.002)))^2)</f>
        <v/>
      </c>
      <c r="AB254">
        <f>MAX(-fyd_cc,MIN(fyd_cc,Es_cc*IF($E254&lt;=cc_D,0.0035*($E254-AB$12)/$E254,0.002*($E254-AB$12)/($E254-3*cc_D/7))))-fcd_cc*(1-(1-MAX(0,MIN(1,IF($E254&lt;=cc_D,0.0035*($E254-AB$12)/$E254,0.002*($E254-AB$12)/($E254-3*cc_D/7))/0.002)))^2)</f>
        <v/>
      </c>
      <c r="AC254">
        <f>MAX(-fyd_cc,MIN(fyd_cc,Es_cc*IF($E254&lt;=cc_D,0.0035*($E254-AC$12)/$E254,0.002*($E254-AC$12)/($E254-3*cc_D/7))))-fcd_cc*(1-(1-MAX(0,MIN(1,IF($E254&lt;=cc_D,0.0035*($E254-AC$12)/$E254,0.002*($E254-AC$12)/($E254-3*cc_D/7))/0.002)))^2)</f>
        <v/>
      </c>
      <c r="AD254">
        <f>MAX(-fyd_cc,MIN(fyd_cc,Es_cc*IF($E254&lt;=cc_D,0.0035*($E254-AD$12)/$E254,0.002*($E254-AD$12)/($E254-3*cc_D/7))))-fcd_cc*(1-(1-MAX(0,MIN(1,IF($E254&lt;=cc_D,0.0035*($E254-AD$12)/$E254,0.002*($E254-AD$12)/($E254-3*cc_D/7))/0.002)))^2)</f>
        <v/>
      </c>
      <c r="AE254">
        <f>MAX(-fyd_cc,MIN(fyd_cc,Es_cc*IF($E254&lt;=cc_D,0.0035*($E254-AE$12)/$E254,0.002*($E254-AE$12)/($E254-3*cc_D/7))))-fcd_cc*(1-(1-MAX(0,MIN(1,IF($E254&lt;=cc_D,0.0035*($E254-AE$12)/$E254,0.002*($E254-AE$12)/($E254-3*cc_D/7))/0.002)))^2)</f>
        <v/>
      </c>
      <c r="AF254">
        <f>MAX(-fyd_cc,MIN(fyd_cc,Es_cc*IF($E254&lt;=cc_D,0.0035*($E254-AF$12)/$E254,0.002*($E254-AF$12)/($E254-3*cc_D/7))))-fcd_cc*(1-(1-MAX(0,MIN(1,IF($E254&lt;=cc_D,0.0035*($E254-AF$12)/$E254,0.002*($E254-AF$12)/($E254-3*cc_D/7))/0.002)))^2)</f>
        <v/>
      </c>
      <c r="AG254">
        <f>MAX(-fyd_cc,MIN(fyd_cc,Es_cc*IF($E254&lt;=cc_D,0.0035*($E254-AG$12)/$E254,0.002*($E254-AG$12)/($E254-3*cc_D/7))))-fcd_cc*(1-(1-MAX(0,MIN(1,IF($E254&lt;=cc_D,0.0035*($E254-AG$12)/$E254,0.002*($E254-AG$12)/($E254-3*cc_D/7))/0.002)))^2)</f>
        <v/>
      </c>
      <c r="BF254">
        <f>3*MIN($E254,cc_D)/7</f>
        <v/>
      </c>
      <c r="BG254">
        <f>$E254-$BF254</f>
        <v/>
      </c>
      <c r="BH254">
        <f>ACOS(MAX(-1,MIN(1,1-$BF254/(cc_D/2))))</f>
        <v/>
      </c>
      <c r="BI254">
        <f>ACOS(MAX(-1,MIN(1,1-MIN($E254,cc_D)/(cc_D/2))))</f>
        <v/>
      </c>
      <c r="BJ254">
        <f>((cc_D/2*(1-COS(($BH254+0*($BI254-$BH254)/12)))-$BF254)/$BG254)^2*SIN(($BH254+0*($BI254-$BH254)/12))^2</f>
        <v/>
      </c>
      <c r="BK254">
        <f>((cc_D/2*(1-COS(($BH254+1*($BI254-$BH254)/12)))-$BF254)/$BG254)^2*SIN(($BH254+1*($BI254-$BH254)/12))^2</f>
        <v/>
      </c>
      <c r="BL254">
        <f>((cc_D/2*(1-COS(($BH254+2*($BI254-$BH254)/12)))-$BF254)/$BG254)^2*SIN(($BH254+2*($BI254-$BH254)/12))^2</f>
        <v/>
      </c>
      <c r="BM254">
        <f>((cc_D/2*(1-COS(($BH254+3*($BI254-$BH254)/12)))-$BF254)/$BG254)^2*SIN(($BH254+3*($BI254-$BH254)/12))^2</f>
        <v/>
      </c>
      <c r="BN254">
        <f>((cc_D/2*(1-COS(($BH254+4*($BI254-$BH254)/12)))-$BF254)/$BG254)^2*SIN(($BH254+4*($BI254-$BH254)/12))^2</f>
        <v/>
      </c>
      <c r="BO254">
        <f>((cc_D/2*(1-COS(($BH254+5*($BI254-$BH254)/12)))-$BF254)/$BG254)^2*SIN(($BH254+5*($BI254-$BH254)/12))^2</f>
        <v/>
      </c>
      <c r="BP254">
        <f>((cc_D/2*(1-COS(($BH254+6*($BI254-$BH254)/12)))-$BF254)/$BG254)^2*SIN(($BH254+6*($BI254-$BH254)/12))^2</f>
        <v/>
      </c>
      <c r="BQ254">
        <f>((cc_D/2*(1-COS(($BH254+7*($BI254-$BH254)/12)))-$BF254)/$BG254)^2*SIN(($BH254+7*($BI254-$BH254)/12))^2</f>
        <v/>
      </c>
      <c r="BR254">
        <f>((cc_D/2*(1-COS(($BH254+8*($BI254-$BH254)/12)))-$BF254)/$BG254)^2*SIN(($BH254+8*($BI254-$BH254)/12))^2</f>
        <v/>
      </c>
      <c r="BS254">
        <f>((cc_D/2*(1-COS(($BH254+9*($BI254-$BH254)/12)))-$BF254)/$BG254)^2*SIN(($BH254+9*($BI254-$BH254)/12))^2</f>
        <v/>
      </c>
      <c r="BT254">
        <f>((cc_D/2*(1-COS(($BH254+10*($BI254-$BH254)/12)))-$BF254)/$BG254)^2*SIN(($BH254+10*($BI254-$BH254)/12))^2</f>
        <v/>
      </c>
      <c r="BU254">
        <f>((cc_D/2*(1-COS(($BH254+11*($BI254-$BH254)/12)))-$BF254)/$BG254)^2*SIN(($BH254+11*($BI254-$BH254)/12))^2</f>
        <v/>
      </c>
      <c r="BV254">
        <f>((cc_D/2*(1-COS(($BH254+12*($BI254-$BH254)/12)))-$BF254)/$BG254)^2*SIN(($BH254+12*($BI254-$BH254)/12))^2</f>
        <v/>
      </c>
      <c r="BW254">
        <f>BJ254*COS(($BH254+0*($BI254-$BH254)/12))</f>
        <v/>
      </c>
      <c r="BX254">
        <f>BK254*COS(($BH254+1*($BI254-$BH254)/12))</f>
        <v/>
      </c>
      <c r="BY254">
        <f>BL254*COS(($BH254+2*($BI254-$BH254)/12))</f>
        <v/>
      </c>
      <c r="BZ254">
        <f>BM254*COS(($BH254+3*($BI254-$BH254)/12))</f>
        <v/>
      </c>
      <c r="CA254">
        <f>BN254*COS(($BH254+4*($BI254-$BH254)/12))</f>
        <v/>
      </c>
      <c r="CB254">
        <f>BO254*COS(($BH254+5*($BI254-$BH254)/12))</f>
        <v/>
      </c>
      <c r="CC254">
        <f>BP254*COS(($BH254+6*($BI254-$BH254)/12))</f>
        <v/>
      </c>
      <c r="CD254">
        <f>BQ254*COS(($BH254+7*($BI254-$BH254)/12))</f>
        <v/>
      </c>
      <c r="CE254">
        <f>BR254*COS(($BH254+8*($BI254-$BH254)/12))</f>
        <v/>
      </c>
      <c r="CF254">
        <f>BS254*COS(($BH254+9*($BI254-$BH254)/12))</f>
        <v/>
      </c>
      <c r="CG254">
        <f>BT254*COS(($BH254+10*($BI254-$BH254)/12))</f>
        <v/>
      </c>
      <c r="CH254">
        <f>BU254*COS(($BH254+11*($BI254-$BH254)/12))</f>
        <v/>
      </c>
      <c r="CI254">
        <f>BV254*COS(($BH254+12*($BI254-$BH254)/12))</f>
        <v/>
      </c>
    </row>
    <row r="255">
      <c r="B255" s="65" t="n">
        <v>40</v>
      </c>
      <c r="C255" s="66">
        <f>IF($G254&lt;cc_NEd-1E-9*ABS(cc_NEd),($C254+$D254)/2,$C254)</f>
        <v/>
      </c>
      <c r="D255" s="66">
        <f>IF($G254&lt;cc_NEd-1E-9*ABS(cc_NEd),$D254,($C254+$D254)/2)</f>
        <v/>
      </c>
      <c r="E255" s="67">
        <f>cc_D*(($C255+$D255)/2)/(1-(($C255+$D255)/2))</f>
        <v/>
      </c>
      <c r="F255" s="68">
        <f>IF($E255&lt;=cc_D,3.5,2*$E255/($E255-3*cc_D/7))</f>
        <v/>
      </c>
      <c r="G255" s="67">
        <f>(fcd_cc*((cc_D/2)^2*($BI255-COS($BI255)*SIN($BI255))-2*(cc_D/2)^2*($BI255-$BH255)/12/3*SUMPRODUCT($BJ$4:$BV$4,$BJ255:$BV255))+SUMPRODUCT($J$5:$AG$5,$J255:$AG255))/1000</f>
        <v/>
      </c>
      <c r="H255" s="67">
        <f>(fcd_cc*(2/3*(cc_D/2)^3*SIN($BI255)^3-2*(cc_D/2)^3*($BI255-$BH255)/12/3*SUMPRODUCT($BW$4:$CI$4,$BW255:$CI255))+SUMPRODUCT($J$5:$AG$5,$J255:$AG255,$J$13:$AG$13))/1E6</f>
        <v/>
      </c>
      <c r="I255" s="67">
        <f>SUMPRODUCT($J$5:$AG$5,$J255:$AG255,$J$14:$AG$14)/1E6</f>
        <v/>
      </c>
      <c r="J255">
        <f>MAX(-fyd_cc,MIN(fyd_cc,Es_cc*IF($E255&lt;=cc_D,0.0035*($E255-J$12)/$E255,0.002*($E255-J$12)/($E255-3*cc_D/7))))-fcd_cc*(1-(1-MAX(0,MIN(1,IF($E255&lt;=cc_D,0.0035*($E255-J$12)/$E255,0.002*($E255-J$12)/($E255-3*cc_D/7))/0.002)))^2)</f>
        <v/>
      </c>
      <c r="K255">
        <f>MAX(-fyd_cc,MIN(fyd_cc,Es_cc*IF($E255&lt;=cc_D,0.0035*($E255-K$12)/$E255,0.002*($E255-K$12)/($E255-3*cc_D/7))))-fcd_cc*(1-(1-MAX(0,MIN(1,IF($E255&lt;=cc_D,0.0035*($E255-K$12)/$E255,0.002*($E255-K$12)/($E255-3*cc_D/7))/0.002)))^2)</f>
        <v/>
      </c>
      <c r="L255">
        <f>MAX(-fyd_cc,MIN(fyd_cc,Es_cc*IF($E255&lt;=cc_D,0.0035*($E255-L$12)/$E255,0.002*($E255-L$12)/($E255-3*cc_D/7))))-fcd_cc*(1-(1-MAX(0,MIN(1,IF($E255&lt;=cc_D,0.0035*($E255-L$12)/$E255,0.002*($E255-L$12)/($E255-3*cc_D/7))/0.002)))^2)</f>
        <v/>
      </c>
      <c r="M255">
        <f>MAX(-fyd_cc,MIN(fyd_cc,Es_cc*IF($E255&lt;=cc_D,0.0035*($E255-M$12)/$E255,0.002*($E255-M$12)/($E255-3*cc_D/7))))-fcd_cc*(1-(1-MAX(0,MIN(1,IF($E255&lt;=cc_D,0.0035*($E255-M$12)/$E255,0.002*($E255-M$12)/($E255-3*cc_D/7))/0.002)))^2)</f>
        <v/>
      </c>
      <c r="N255">
        <f>MAX(-fyd_cc,MIN(fyd_cc,Es_cc*IF($E255&lt;=cc_D,0.0035*($E255-N$12)/$E255,0.002*($E255-N$12)/($E255-3*cc_D/7))))-fcd_cc*(1-(1-MAX(0,MIN(1,IF($E255&lt;=cc_D,0.0035*($E255-N$12)/$E255,0.002*($E255-N$12)/($E255-3*cc_D/7))/0.002)))^2)</f>
        <v/>
      </c>
      <c r="O255">
        <f>MAX(-fyd_cc,MIN(fyd_cc,Es_cc*IF($E255&lt;=cc_D,0.0035*($E255-O$12)/$E255,0.002*($E255-O$12)/($E255-3*cc_D/7))))-fcd_cc*(1-(1-MAX(0,MIN(1,IF($E255&lt;=cc_D,0.0035*($E255-O$12)/$E255,0.002*($E255-O$12)/($E255-3*cc_D/7))/0.002)))^2)</f>
        <v/>
      </c>
      <c r="P255">
        <f>MAX(-fyd_cc,MIN(fyd_cc,Es_cc*IF($E255&lt;=cc_D,0.0035*($E255-P$12)/$E255,0.002*($E255-P$12)/($E255-3*cc_D/7))))-fcd_cc*(1-(1-MAX(0,MIN(1,IF($E255&lt;=cc_D,0.0035*($E255-P$12)/$E255,0.002*($E255-P$12)/($E255-3*cc_D/7))/0.002)))^2)</f>
        <v/>
      </c>
      <c r="Q255">
        <f>MAX(-fyd_cc,MIN(fyd_cc,Es_cc*IF($E255&lt;=cc_D,0.0035*($E255-Q$12)/$E255,0.002*($E255-Q$12)/($E255-3*cc_D/7))))-fcd_cc*(1-(1-MAX(0,MIN(1,IF($E255&lt;=cc_D,0.0035*($E255-Q$12)/$E255,0.002*($E255-Q$12)/($E255-3*cc_D/7))/0.002)))^2)</f>
        <v/>
      </c>
      <c r="R255">
        <f>MAX(-fyd_cc,MIN(fyd_cc,Es_cc*IF($E255&lt;=cc_D,0.0035*($E255-R$12)/$E255,0.002*($E255-R$12)/($E255-3*cc_D/7))))-fcd_cc*(1-(1-MAX(0,MIN(1,IF($E255&lt;=cc_D,0.0035*($E255-R$12)/$E255,0.002*($E255-R$12)/($E255-3*cc_D/7))/0.002)))^2)</f>
        <v/>
      </c>
      <c r="S255">
        <f>MAX(-fyd_cc,MIN(fyd_cc,Es_cc*IF($E255&lt;=cc_D,0.0035*($E255-S$12)/$E255,0.002*($E255-S$12)/($E255-3*cc_D/7))))-fcd_cc*(1-(1-MAX(0,MIN(1,IF($E255&lt;=cc_D,0.0035*($E255-S$12)/$E255,0.002*($E255-S$12)/($E255-3*cc_D/7))/0.002)))^2)</f>
        <v/>
      </c>
      <c r="T255">
        <f>MAX(-fyd_cc,MIN(fyd_cc,Es_cc*IF($E255&lt;=cc_D,0.0035*($E255-T$12)/$E255,0.002*($E255-T$12)/($E255-3*cc_D/7))))-fcd_cc*(1-(1-MAX(0,MIN(1,IF($E255&lt;=cc_D,0.0035*($E255-T$12)/$E255,0.002*($E255-T$12)/($E255-3*cc_D/7))/0.002)))^2)</f>
        <v/>
      </c>
      <c r="U255">
        <f>MAX(-fyd_cc,MIN(fyd_cc,Es_cc*IF($E255&lt;=cc_D,0.0035*($E255-U$12)/$E255,0.002*($E255-U$12)/($E255-3*cc_D/7))))-fcd_cc*(1-(1-MAX(0,MIN(1,IF($E255&lt;=cc_D,0.0035*($E255-U$12)/$E255,0.002*($E255-U$12)/($E255-3*cc_D/7))/0.002)))^2)</f>
        <v/>
      </c>
      <c r="V255">
        <f>MAX(-fyd_cc,MIN(fyd_cc,Es_cc*IF($E255&lt;=cc_D,0.0035*($E255-V$12)/$E255,0.002*($E255-V$12)/($E255-3*cc_D/7))))-fcd_cc*(1-(1-MAX(0,MIN(1,IF($E255&lt;=cc_D,0.0035*($E255-V$12)/$E255,0.002*($E255-V$12)/($E255-3*cc_D/7))/0.002)))^2)</f>
        <v/>
      </c>
      <c r="W255">
        <f>MAX(-fyd_cc,MIN(fyd_cc,Es_cc*IF($E255&lt;=cc_D,0.0035*($E255-W$12)/$E255,0.002*($E255-W$12)/($E255-3*cc_D/7))))-fcd_cc*(1-(1-MAX(0,MIN(1,IF($E255&lt;=cc_D,0.0035*($E255-W$12)/$E255,0.002*($E255-W$12)/($E255-3*cc_D/7))/0.002)))^2)</f>
        <v/>
      </c>
      <c r="X255">
        <f>MAX(-fyd_cc,MIN(fyd_cc,Es_cc*IF($E255&lt;=cc_D,0.0035*($E255-X$12)/$E255,0.002*($E255-X$12)/($E255-3*cc_D/7))))-fcd_cc*(1-(1-MAX(0,MIN(1,IF($E255&lt;=cc_D,0.0035*($E255-X$12)/$E255,0.002*($E255-X$12)/($E255-3*cc_D/7))/0.002)))^2)</f>
        <v/>
      </c>
      <c r="Y255">
        <f>MAX(-fyd_cc,MIN(fyd_cc,Es_cc*IF($E255&lt;=cc_D,0.0035*($E255-Y$12)/$E255,0.002*($E255-Y$12)/($E255-3*cc_D/7))))-fcd_cc*(1-(1-MAX(0,MIN(1,IF($E255&lt;=cc_D,0.0035*($E255-Y$12)/$E255,0.002*($E255-Y$12)/($E255-3*cc_D/7))/0.002)))^2)</f>
        <v/>
      </c>
      <c r="Z255">
        <f>MAX(-fyd_cc,MIN(fyd_cc,Es_cc*IF($E255&lt;=cc_D,0.0035*($E255-Z$12)/$E255,0.002*($E255-Z$12)/($E255-3*cc_D/7))))-fcd_cc*(1-(1-MAX(0,MIN(1,IF($E255&lt;=cc_D,0.0035*($E255-Z$12)/$E255,0.002*($E255-Z$12)/($E255-3*cc_D/7))/0.002)))^2)</f>
        <v/>
      </c>
      <c r="AA255">
        <f>MAX(-fyd_cc,MIN(fyd_cc,Es_cc*IF($E255&lt;=cc_D,0.0035*($E255-AA$12)/$E255,0.002*($E255-AA$12)/($E255-3*cc_D/7))))-fcd_cc*(1-(1-MAX(0,MIN(1,IF($E255&lt;=cc_D,0.0035*($E255-AA$12)/$E255,0.002*($E255-AA$12)/($E255-3*cc_D/7))/0.002)))^2)</f>
        <v/>
      </c>
      <c r="AB255">
        <f>MAX(-fyd_cc,MIN(fyd_cc,Es_cc*IF($E255&lt;=cc_D,0.0035*($E255-AB$12)/$E255,0.002*($E255-AB$12)/($E255-3*cc_D/7))))-fcd_cc*(1-(1-MAX(0,MIN(1,IF($E255&lt;=cc_D,0.0035*($E255-AB$12)/$E255,0.002*($E255-AB$12)/($E255-3*cc_D/7))/0.002)))^2)</f>
        <v/>
      </c>
      <c r="AC255">
        <f>MAX(-fyd_cc,MIN(fyd_cc,Es_cc*IF($E255&lt;=cc_D,0.0035*($E255-AC$12)/$E255,0.002*($E255-AC$12)/($E255-3*cc_D/7))))-fcd_cc*(1-(1-MAX(0,MIN(1,IF($E255&lt;=cc_D,0.0035*($E255-AC$12)/$E255,0.002*($E255-AC$12)/($E255-3*cc_D/7))/0.002)))^2)</f>
        <v/>
      </c>
      <c r="AD255">
        <f>MAX(-fyd_cc,MIN(fyd_cc,Es_cc*IF($E255&lt;=cc_D,0.0035*($E255-AD$12)/$E255,0.002*($E255-AD$12)/($E255-3*cc_D/7))))-fcd_cc*(1-(1-MAX(0,MIN(1,IF($E255&lt;=cc_D,0.0035*($E255-AD$12)/$E255,0.002*($E255-AD$12)/($E255-3*cc_D/7))/0.002)))^2)</f>
        <v/>
      </c>
      <c r="AE255">
        <f>MAX(-fyd_cc,MIN(fyd_cc,Es_cc*IF($E255&lt;=cc_D,0.0035*($E255-AE$12)/$E255,0.002*($E255-AE$12)/($E255-3*cc_D/7))))-fcd_cc*(1-(1-MAX(0,MIN(1,IF($E255&lt;=cc_D,0.0035*($E255-AE$12)/$E255,0.002*($E255-AE$12)/($E255-3*cc_D/7))/0.002)))^2)</f>
        <v/>
      </c>
      <c r="AF255">
        <f>MAX(-fyd_cc,MIN(fyd_cc,Es_cc*IF($E255&lt;=cc_D,0.0035*($E255-AF$12)/$E255,0.002*($E255-AF$12)/($E255-3*cc_D/7))))-fcd_cc*(1-(1-MAX(0,MIN(1,IF($E255&lt;=cc_D,0.0035*($E255-AF$12)/$E255,0.002*($E255-AF$12)/($E255-3*cc_D/7))/0.002)))^2)</f>
        <v/>
      </c>
      <c r="AG255">
        <f>MAX(-fyd_cc,MIN(fyd_cc,Es_cc*IF($E255&lt;=cc_D,0.0035*($E255-AG$12)/$E255,0.002*($E255-AG$12)/($E255-3*cc_D/7))))-fcd_cc*(1-(1-MAX(0,MIN(1,IF($E255&lt;=cc_D,0.0035*($E255-AG$12)/$E255,0.002*($E255-AG$12)/($E255-3*cc_D/7))/0.002)))^2)</f>
        <v/>
      </c>
      <c r="BF255">
        <f>3*MIN($E255,cc_D)/7</f>
        <v/>
      </c>
      <c r="BG255">
        <f>$E255-$BF255</f>
        <v/>
      </c>
      <c r="BH255">
        <f>ACOS(MAX(-1,MIN(1,1-$BF255/(cc_D/2))))</f>
        <v/>
      </c>
      <c r="BI255">
        <f>ACOS(MAX(-1,MIN(1,1-MIN($E255,cc_D)/(cc_D/2))))</f>
        <v/>
      </c>
      <c r="BJ255">
        <f>((cc_D/2*(1-COS(($BH255+0*($BI255-$BH255)/12)))-$BF255)/$BG255)^2*SIN(($BH255+0*($BI255-$BH255)/12))^2</f>
        <v/>
      </c>
      <c r="BK255">
        <f>((cc_D/2*(1-COS(($BH255+1*($BI255-$BH255)/12)))-$BF255)/$BG255)^2*SIN(($BH255+1*($BI255-$BH255)/12))^2</f>
        <v/>
      </c>
      <c r="BL255">
        <f>((cc_D/2*(1-COS(($BH255+2*($BI255-$BH255)/12)))-$BF255)/$BG255)^2*SIN(($BH255+2*($BI255-$BH255)/12))^2</f>
        <v/>
      </c>
      <c r="BM255">
        <f>((cc_D/2*(1-COS(($BH255+3*($BI255-$BH255)/12)))-$BF255)/$BG255)^2*SIN(($BH255+3*($BI255-$BH255)/12))^2</f>
        <v/>
      </c>
      <c r="BN255">
        <f>((cc_D/2*(1-COS(($BH255+4*($BI255-$BH255)/12)))-$BF255)/$BG255)^2*SIN(($BH255+4*($BI255-$BH255)/12))^2</f>
        <v/>
      </c>
      <c r="BO255">
        <f>((cc_D/2*(1-COS(($BH255+5*($BI255-$BH255)/12)))-$BF255)/$BG255)^2*SIN(($BH255+5*($BI255-$BH255)/12))^2</f>
        <v/>
      </c>
      <c r="BP255">
        <f>((cc_D/2*(1-COS(($BH255+6*($BI255-$BH255)/12)))-$BF255)/$BG255)^2*SIN(($BH255+6*($BI255-$BH255)/12))^2</f>
        <v/>
      </c>
      <c r="BQ255">
        <f>((cc_D/2*(1-COS(($BH255+7*($BI255-$BH255)/12)))-$BF255)/$BG255)^2*SIN(($BH255+7*($BI255-$BH255)/12))^2</f>
        <v/>
      </c>
      <c r="BR255">
        <f>((cc_D/2*(1-COS(($BH255+8*($BI255-$BH255)/12)))-$BF255)/$BG255)^2*SIN(($BH255+8*($BI255-$BH255)/12))^2</f>
        <v/>
      </c>
      <c r="BS255">
        <f>((cc_D/2*(1-COS(($BH255+9*($BI255-$BH255)/12)))-$BF255)/$BG255)^2*SIN(($BH255+9*($BI255-$BH255)/12))^2</f>
        <v/>
      </c>
      <c r="BT255">
        <f>((cc_D/2*(1-COS(($BH255+10*($BI255-$BH255)/12)))-$BF255)/$BG255)^2*SIN(($BH255+10*($BI255-$BH255)/12))^2</f>
        <v/>
      </c>
      <c r="BU255">
        <f>((cc_D/2*(1-COS(($BH255+11*($BI255-$BH255)/12)))-$BF255)/$BG255)^2*SIN(($BH255+11*($BI255-$BH255)/12))^2</f>
        <v/>
      </c>
      <c r="BV255">
        <f>((cc_D/2*(1-COS(($BH255+12*($BI255-$BH255)/12)))-$BF255)/$BG255)^2*SIN(($BH255+12*($BI255-$BH255)/12))^2</f>
        <v/>
      </c>
      <c r="BW255">
        <f>BJ255*COS(($BH255+0*($BI255-$BH255)/12))</f>
        <v/>
      </c>
      <c r="BX255">
        <f>BK255*COS(($BH255+1*($BI255-$BH255)/12))</f>
        <v/>
      </c>
      <c r="BY255">
        <f>BL255*COS(($BH255+2*($BI255-$BH255)/12))</f>
        <v/>
      </c>
      <c r="BZ255">
        <f>BM255*COS(($BH255+3*($BI255-$BH255)/12))</f>
        <v/>
      </c>
      <c r="CA255">
        <f>BN255*COS(($BH255+4*($BI255-$BH255)/12))</f>
        <v/>
      </c>
      <c r="CB255">
        <f>BO255*COS(($BH255+5*($BI255-$BH255)/12))</f>
        <v/>
      </c>
      <c r="CC255">
        <f>BP255*COS(($BH255+6*($BI255-$BH255)/12))</f>
        <v/>
      </c>
      <c r="CD255">
        <f>BQ255*COS(($BH255+7*($BI255-$BH255)/12))</f>
        <v/>
      </c>
      <c r="CE255">
        <f>BR255*COS(($BH255+8*($BI255-$BH255)/12))</f>
        <v/>
      </c>
      <c r="CF255">
        <f>BS255*COS(($BH255+9*($BI255-$BH255)/12))</f>
        <v/>
      </c>
      <c r="CG255">
        <f>BT255*COS(($BH255+10*($BI255-$BH255)/12))</f>
        <v/>
      </c>
      <c r="CH255">
        <f>BU255*COS(($BH255+11*($BI255-$BH255)/12))</f>
        <v/>
      </c>
      <c r="CI255">
        <f>BV255*COS(($BH255+12*($BI255-$BH255)/12))</f>
        <v/>
      </c>
    </row>
    <row r="256">
      <c r="B256" s="65" t="n">
        <v>41</v>
      </c>
      <c r="C256" s="66">
        <f>IF($G255&lt;cc_NEd-1E-9*ABS(cc_NEd),($C255+$D255)/2,$C255)</f>
        <v/>
      </c>
      <c r="D256" s="66">
        <f>IF($G255&lt;cc_NEd-1E-9*ABS(cc_NEd),$D255,($C255+$D255)/2)</f>
        <v/>
      </c>
      <c r="E256" s="67">
        <f>cc_D*(($C256+$D256)/2)/(1-(($C256+$D256)/2))</f>
        <v/>
      </c>
      <c r="F256" s="68">
        <f>IF($E256&lt;=cc_D,3.5,2*$E256/($E256-3*cc_D/7))</f>
        <v/>
      </c>
      <c r="G256" s="67">
        <f>(fcd_cc*((cc_D/2)^2*($BI256-COS($BI256)*SIN($BI256))-2*(cc_D/2)^2*($BI256-$BH256)/12/3*SUMPRODUCT($BJ$4:$BV$4,$BJ256:$BV256))+SUMPRODUCT($J$5:$AG$5,$J256:$AG256))/1000</f>
        <v/>
      </c>
      <c r="H256" s="67">
        <f>(fcd_cc*(2/3*(cc_D/2)^3*SIN($BI256)^3-2*(cc_D/2)^3*($BI256-$BH256)/12/3*SUMPRODUCT($BW$4:$CI$4,$BW256:$CI256))+SUMPRODUCT($J$5:$AG$5,$J256:$AG256,$J$13:$AG$13))/1E6</f>
        <v/>
      </c>
      <c r="I256" s="67">
        <f>SUMPRODUCT($J$5:$AG$5,$J256:$AG256,$J$14:$AG$14)/1E6</f>
        <v/>
      </c>
      <c r="J256">
        <f>MAX(-fyd_cc,MIN(fyd_cc,Es_cc*IF($E256&lt;=cc_D,0.0035*($E256-J$12)/$E256,0.002*($E256-J$12)/($E256-3*cc_D/7))))-fcd_cc*(1-(1-MAX(0,MIN(1,IF($E256&lt;=cc_D,0.0035*($E256-J$12)/$E256,0.002*($E256-J$12)/($E256-3*cc_D/7))/0.002)))^2)</f>
        <v/>
      </c>
      <c r="K256">
        <f>MAX(-fyd_cc,MIN(fyd_cc,Es_cc*IF($E256&lt;=cc_D,0.0035*($E256-K$12)/$E256,0.002*($E256-K$12)/($E256-3*cc_D/7))))-fcd_cc*(1-(1-MAX(0,MIN(1,IF($E256&lt;=cc_D,0.0035*($E256-K$12)/$E256,0.002*($E256-K$12)/($E256-3*cc_D/7))/0.002)))^2)</f>
        <v/>
      </c>
      <c r="L256">
        <f>MAX(-fyd_cc,MIN(fyd_cc,Es_cc*IF($E256&lt;=cc_D,0.0035*($E256-L$12)/$E256,0.002*($E256-L$12)/($E256-3*cc_D/7))))-fcd_cc*(1-(1-MAX(0,MIN(1,IF($E256&lt;=cc_D,0.0035*($E256-L$12)/$E256,0.002*($E256-L$12)/($E256-3*cc_D/7))/0.002)))^2)</f>
        <v/>
      </c>
      <c r="M256">
        <f>MAX(-fyd_cc,MIN(fyd_cc,Es_cc*IF($E256&lt;=cc_D,0.0035*($E256-M$12)/$E256,0.002*($E256-M$12)/($E256-3*cc_D/7))))-fcd_cc*(1-(1-MAX(0,MIN(1,IF($E256&lt;=cc_D,0.0035*($E256-M$12)/$E256,0.002*($E256-M$12)/($E256-3*cc_D/7))/0.002)))^2)</f>
        <v/>
      </c>
      <c r="N256">
        <f>MAX(-fyd_cc,MIN(fyd_cc,Es_cc*IF($E256&lt;=cc_D,0.0035*($E256-N$12)/$E256,0.002*($E256-N$12)/($E256-3*cc_D/7))))-fcd_cc*(1-(1-MAX(0,MIN(1,IF($E256&lt;=cc_D,0.0035*($E256-N$12)/$E256,0.002*($E256-N$12)/($E256-3*cc_D/7))/0.002)))^2)</f>
        <v/>
      </c>
      <c r="O256">
        <f>MAX(-fyd_cc,MIN(fyd_cc,Es_cc*IF($E256&lt;=cc_D,0.0035*($E256-O$12)/$E256,0.002*($E256-O$12)/($E256-3*cc_D/7))))-fcd_cc*(1-(1-MAX(0,MIN(1,IF($E256&lt;=cc_D,0.0035*($E256-O$12)/$E256,0.002*($E256-O$12)/($E256-3*cc_D/7))/0.002)))^2)</f>
        <v/>
      </c>
      <c r="P256">
        <f>MAX(-fyd_cc,MIN(fyd_cc,Es_cc*IF($E256&lt;=cc_D,0.0035*($E256-P$12)/$E256,0.002*($E256-P$12)/($E256-3*cc_D/7))))-fcd_cc*(1-(1-MAX(0,MIN(1,IF($E256&lt;=cc_D,0.0035*($E256-P$12)/$E256,0.002*($E256-P$12)/($E256-3*cc_D/7))/0.002)))^2)</f>
        <v/>
      </c>
      <c r="Q256">
        <f>MAX(-fyd_cc,MIN(fyd_cc,Es_cc*IF($E256&lt;=cc_D,0.0035*($E256-Q$12)/$E256,0.002*($E256-Q$12)/($E256-3*cc_D/7))))-fcd_cc*(1-(1-MAX(0,MIN(1,IF($E256&lt;=cc_D,0.0035*($E256-Q$12)/$E256,0.002*($E256-Q$12)/($E256-3*cc_D/7))/0.002)))^2)</f>
        <v/>
      </c>
      <c r="R256">
        <f>MAX(-fyd_cc,MIN(fyd_cc,Es_cc*IF($E256&lt;=cc_D,0.0035*($E256-R$12)/$E256,0.002*($E256-R$12)/($E256-3*cc_D/7))))-fcd_cc*(1-(1-MAX(0,MIN(1,IF($E256&lt;=cc_D,0.0035*($E256-R$12)/$E256,0.002*($E256-R$12)/($E256-3*cc_D/7))/0.002)))^2)</f>
        <v/>
      </c>
      <c r="S256">
        <f>MAX(-fyd_cc,MIN(fyd_cc,Es_cc*IF($E256&lt;=cc_D,0.0035*($E256-S$12)/$E256,0.002*($E256-S$12)/($E256-3*cc_D/7))))-fcd_cc*(1-(1-MAX(0,MIN(1,IF($E256&lt;=cc_D,0.0035*($E256-S$12)/$E256,0.002*($E256-S$12)/($E256-3*cc_D/7))/0.002)))^2)</f>
        <v/>
      </c>
      <c r="T256">
        <f>MAX(-fyd_cc,MIN(fyd_cc,Es_cc*IF($E256&lt;=cc_D,0.0035*($E256-T$12)/$E256,0.002*($E256-T$12)/($E256-3*cc_D/7))))-fcd_cc*(1-(1-MAX(0,MIN(1,IF($E256&lt;=cc_D,0.0035*($E256-T$12)/$E256,0.002*($E256-T$12)/($E256-3*cc_D/7))/0.002)))^2)</f>
        <v/>
      </c>
      <c r="U256">
        <f>MAX(-fyd_cc,MIN(fyd_cc,Es_cc*IF($E256&lt;=cc_D,0.0035*($E256-U$12)/$E256,0.002*($E256-U$12)/($E256-3*cc_D/7))))-fcd_cc*(1-(1-MAX(0,MIN(1,IF($E256&lt;=cc_D,0.0035*($E256-U$12)/$E256,0.002*($E256-U$12)/($E256-3*cc_D/7))/0.002)))^2)</f>
        <v/>
      </c>
      <c r="V256">
        <f>MAX(-fyd_cc,MIN(fyd_cc,Es_cc*IF($E256&lt;=cc_D,0.0035*($E256-V$12)/$E256,0.002*($E256-V$12)/($E256-3*cc_D/7))))-fcd_cc*(1-(1-MAX(0,MIN(1,IF($E256&lt;=cc_D,0.0035*($E256-V$12)/$E256,0.002*($E256-V$12)/($E256-3*cc_D/7))/0.002)))^2)</f>
        <v/>
      </c>
      <c r="W256">
        <f>MAX(-fyd_cc,MIN(fyd_cc,Es_cc*IF($E256&lt;=cc_D,0.0035*($E256-W$12)/$E256,0.002*($E256-W$12)/($E256-3*cc_D/7))))-fcd_cc*(1-(1-MAX(0,MIN(1,IF($E256&lt;=cc_D,0.0035*($E256-W$12)/$E256,0.002*($E256-W$12)/($E256-3*cc_D/7))/0.002)))^2)</f>
        <v/>
      </c>
      <c r="X256">
        <f>MAX(-fyd_cc,MIN(fyd_cc,Es_cc*IF($E256&lt;=cc_D,0.0035*($E256-X$12)/$E256,0.002*($E256-X$12)/($E256-3*cc_D/7))))-fcd_cc*(1-(1-MAX(0,MIN(1,IF($E256&lt;=cc_D,0.0035*($E256-X$12)/$E256,0.002*($E256-X$12)/($E256-3*cc_D/7))/0.002)))^2)</f>
        <v/>
      </c>
      <c r="Y256">
        <f>MAX(-fyd_cc,MIN(fyd_cc,Es_cc*IF($E256&lt;=cc_D,0.0035*($E256-Y$12)/$E256,0.002*($E256-Y$12)/($E256-3*cc_D/7))))-fcd_cc*(1-(1-MAX(0,MIN(1,IF($E256&lt;=cc_D,0.0035*($E256-Y$12)/$E256,0.002*($E256-Y$12)/($E256-3*cc_D/7))/0.002)))^2)</f>
        <v/>
      </c>
      <c r="Z256">
        <f>MAX(-fyd_cc,MIN(fyd_cc,Es_cc*IF($E256&lt;=cc_D,0.0035*($E256-Z$12)/$E256,0.002*($E256-Z$12)/($E256-3*cc_D/7))))-fcd_cc*(1-(1-MAX(0,MIN(1,IF($E256&lt;=cc_D,0.0035*($E256-Z$12)/$E256,0.002*($E256-Z$12)/($E256-3*cc_D/7))/0.002)))^2)</f>
        <v/>
      </c>
      <c r="AA256">
        <f>MAX(-fyd_cc,MIN(fyd_cc,Es_cc*IF($E256&lt;=cc_D,0.0035*($E256-AA$12)/$E256,0.002*($E256-AA$12)/($E256-3*cc_D/7))))-fcd_cc*(1-(1-MAX(0,MIN(1,IF($E256&lt;=cc_D,0.0035*($E256-AA$12)/$E256,0.002*($E256-AA$12)/($E256-3*cc_D/7))/0.002)))^2)</f>
        <v/>
      </c>
      <c r="AB256">
        <f>MAX(-fyd_cc,MIN(fyd_cc,Es_cc*IF($E256&lt;=cc_D,0.0035*($E256-AB$12)/$E256,0.002*($E256-AB$12)/($E256-3*cc_D/7))))-fcd_cc*(1-(1-MAX(0,MIN(1,IF($E256&lt;=cc_D,0.0035*($E256-AB$12)/$E256,0.002*($E256-AB$12)/($E256-3*cc_D/7))/0.002)))^2)</f>
        <v/>
      </c>
      <c r="AC256">
        <f>MAX(-fyd_cc,MIN(fyd_cc,Es_cc*IF($E256&lt;=cc_D,0.0035*($E256-AC$12)/$E256,0.002*($E256-AC$12)/($E256-3*cc_D/7))))-fcd_cc*(1-(1-MAX(0,MIN(1,IF($E256&lt;=cc_D,0.0035*($E256-AC$12)/$E256,0.002*($E256-AC$12)/($E256-3*cc_D/7))/0.002)))^2)</f>
        <v/>
      </c>
      <c r="AD256">
        <f>MAX(-fyd_cc,MIN(fyd_cc,Es_cc*IF($E256&lt;=cc_D,0.0035*($E256-AD$12)/$E256,0.002*($E256-AD$12)/($E256-3*cc_D/7))))-fcd_cc*(1-(1-MAX(0,MIN(1,IF($E256&lt;=cc_D,0.0035*($E256-AD$12)/$E256,0.002*($E256-AD$12)/($E256-3*cc_D/7))/0.002)))^2)</f>
        <v/>
      </c>
      <c r="AE256">
        <f>MAX(-fyd_cc,MIN(fyd_cc,Es_cc*IF($E256&lt;=cc_D,0.0035*($E256-AE$12)/$E256,0.002*($E256-AE$12)/($E256-3*cc_D/7))))-fcd_cc*(1-(1-MAX(0,MIN(1,IF($E256&lt;=cc_D,0.0035*($E256-AE$12)/$E256,0.002*($E256-AE$12)/($E256-3*cc_D/7))/0.002)))^2)</f>
        <v/>
      </c>
      <c r="AF256">
        <f>MAX(-fyd_cc,MIN(fyd_cc,Es_cc*IF($E256&lt;=cc_D,0.0035*($E256-AF$12)/$E256,0.002*($E256-AF$12)/($E256-3*cc_D/7))))-fcd_cc*(1-(1-MAX(0,MIN(1,IF($E256&lt;=cc_D,0.0035*($E256-AF$12)/$E256,0.002*($E256-AF$12)/($E256-3*cc_D/7))/0.002)))^2)</f>
        <v/>
      </c>
      <c r="AG256">
        <f>MAX(-fyd_cc,MIN(fyd_cc,Es_cc*IF($E256&lt;=cc_D,0.0035*($E256-AG$12)/$E256,0.002*($E256-AG$12)/($E256-3*cc_D/7))))-fcd_cc*(1-(1-MAX(0,MIN(1,IF($E256&lt;=cc_D,0.0035*($E256-AG$12)/$E256,0.002*($E256-AG$12)/($E256-3*cc_D/7))/0.002)))^2)</f>
        <v/>
      </c>
      <c r="BF256">
        <f>3*MIN($E256,cc_D)/7</f>
        <v/>
      </c>
      <c r="BG256">
        <f>$E256-$BF256</f>
        <v/>
      </c>
      <c r="BH256">
        <f>ACOS(MAX(-1,MIN(1,1-$BF256/(cc_D/2))))</f>
        <v/>
      </c>
      <c r="BI256">
        <f>ACOS(MAX(-1,MIN(1,1-MIN($E256,cc_D)/(cc_D/2))))</f>
        <v/>
      </c>
      <c r="BJ256">
        <f>((cc_D/2*(1-COS(($BH256+0*($BI256-$BH256)/12)))-$BF256)/$BG256)^2*SIN(($BH256+0*($BI256-$BH256)/12))^2</f>
        <v/>
      </c>
      <c r="BK256">
        <f>((cc_D/2*(1-COS(($BH256+1*($BI256-$BH256)/12)))-$BF256)/$BG256)^2*SIN(($BH256+1*($BI256-$BH256)/12))^2</f>
        <v/>
      </c>
      <c r="BL256">
        <f>((cc_D/2*(1-COS(($BH256+2*($BI256-$BH256)/12)))-$BF256)/$BG256)^2*SIN(($BH256+2*($BI256-$BH256)/12))^2</f>
        <v/>
      </c>
      <c r="BM256">
        <f>((cc_D/2*(1-COS(($BH256+3*($BI256-$BH256)/12)))-$BF256)/$BG256)^2*SIN(($BH256+3*($BI256-$BH256)/12))^2</f>
        <v/>
      </c>
      <c r="BN256">
        <f>((cc_D/2*(1-COS(($BH256+4*($BI256-$BH256)/12)))-$BF256)/$BG256)^2*SIN(($BH256+4*($BI256-$BH256)/12))^2</f>
        <v/>
      </c>
      <c r="BO256">
        <f>((cc_D/2*(1-COS(($BH256+5*($BI256-$BH256)/12)))-$BF256)/$BG256)^2*SIN(($BH256+5*($BI256-$BH256)/12))^2</f>
        <v/>
      </c>
      <c r="BP256">
        <f>((cc_D/2*(1-COS(($BH256+6*($BI256-$BH256)/12)))-$BF256)/$BG256)^2*SIN(($BH256+6*($BI256-$BH256)/12))^2</f>
        <v/>
      </c>
      <c r="BQ256">
        <f>((cc_D/2*(1-COS(($BH256+7*($BI256-$BH256)/12)))-$BF256)/$BG256)^2*SIN(($BH256+7*($BI256-$BH256)/12))^2</f>
        <v/>
      </c>
      <c r="BR256">
        <f>((cc_D/2*(1-COS(($BH256+8*($BI256-$BH256)/12)))-$BF256)/$BG256)^2*SIN(($BH256+8*($BI256-$BH256)/12))^2</f>
        <v/>
      </c>
      <c r="BS256">
        <f>((cc_D/2*(1-COS(($BH256+9*($BI256-$BH256)/12)))-$BF256)/$BG256)^2*SIN(($BH256+9*($BI256-$BH256)/12))^2</f>
        <v/>
      </c>
      <c r="BT256">
        <f>((cc_D/2*(1-COS(($BH256+10*($BI256-$BH256)/12)))-$BF256)/$BG256)^2*SIN(($BH256+10*($BI256-$BH256)/12))^2</f>
        <v/>
      </c>
      <c r="BU256">
        <f>((cc_D/2*(1-COS(($BH256+11*($BI256-$BH256)/12)))-$BF256)/$BG256)^2*SIN(($BH256+11*($BI256-$BH256)/12))^2</f>
        <v/>
      </c>
      <c r="BV256">
        <f>((cc_D/2*(1-COS(($BH256+12*($BI256-$BH256)/12)))-$BF256)/$BG256)^2*SIN(($BH256+12*($BI256-$BH256)/12))^2</f>
        <v/>
      </c>
      <c r="BW256">
        <f>BJ256*COS(($BH256+0*($BI256-$BH256)/12))</f>
        <v/>
      </c>
      <c r="BX256">
        <f>BK256*COS(($BH256+1*($BI256-$BH256)/12))</f>
        <v/>
      </c>
      <c r="BY256">
        <f>BL256*COS(($BH256+2*($BI256-$BH256)/12))</f>
        <v/>
      </c>
      <c r="BZ256">
        <f>BM256*COS(($BH256+3*($BI256-$BH256)/12))</f>
        <v/>
      </c>
      <c r="CA256">
        <f>BN256*COS(($BH256+4*($BI256-$BH256)/12))</f>
        <v/>
      </c>
      <c r="CB256">
        <f>BO256*COS(($BH256+5*($BI256-$BH256)/12))</f>
        <v/>
      </c>
      <c r="CC256">
        <f>BP256*COS(($BH256+6*($BI256-$BH256)/12))</f>
        <v/>
      </c>
      <c r="CD256">
        <f>BQ256*COS(($BH256+7*($BI256-$BH256)/12))</f>
        <v/>
      </c>
      <c r="CE256">
        <f>BR256*COS(($BH256+8*($BI256-$BH256)/12))</f>
        <v/>
      </c>
      <c r="CF256">
        <f>BS256*COS(($BH256+9*($BI256-$BH256)/12))</f>
        <v/>
      </c>
      <c r="CG256">
        <f>BT256*COS(($BH256+10*($BI256-$BH256)/12))</f>
        <v/>
      </c>
      <c r="CH256">
        <f>BU256*COS(($BH256+11*($BI256-$BH256)/12))</f>
        <v/>
      </c>
      <c r="CI256">
        <f>BV256*COS(($BH256+12*($BI256-$BH256)/12))</f>
        <v/>
      </c>
    </row>
    <row r="257">
      <c r="B257" s="65" t="n">
        <v>42</v>
      </c>
      <c r="C257" s="66">
        <f>IF($G256&lt;cc_NEd-1E-9*ABS(cc_NEd),($C256+$D256)/2,$C256)</f>
        <v/>
      </c>
      <c r="D257" s="66">
        <f>IF($G256&lt;cc_NEd-1E-9*ABS(cc_NEd),$D256,($C256+$D256)/2)</f>
        <v/>
      </c>
      <c r="E257" s="67">
        <f>cc_D*(($C257+$D257)/2)/(1-(($C257+$D257)/2))</f>
        <v/>
      </c>
      <c r="F257" s="68">
        <f>IF($E257&lt;=cc_D,3.5,2*$E257/($E257-3*cc_D/7))</f>
        <v/>
      </c>
      <c r="G257" s="67">
        <f>(fcd_cc*((cc_D/2)^2*($BI257-COS($BI257)*SIN($BI257))-2*(cc_D/2)^2*($BI257-$BH257)/12/3*SUMPRODUCT($BJ$4:$BV$4,$BJ257:$BV257))+SUMPRODUCT($J$5:$AG$5,$J257:$AG257))/1000</f>
        <v/>
      </c>
      <c r="H257" s="67">
        <f>(fcd_cc*(2/3*(cc_D/2)^3*SIN($BI257)^3-2*(cc_D/2)^3*($BI257-$BH257)/12/3*SUMPRODUCT($BW$4:$CI$4,$BW257:$CI257))+SUMPRODUCT($J$5:$AG$5,$J257:$AG257,$J$13:$AG$13))/1E6</f>
        <v/>
      </c>
      <c r="I257" s="67">
        <f>SUMPRODUCT($J$5:$AG$5,$J257:$AG257,$J$14:$AG$14)/1E6</f>
        <v/>
      </c>
      <c r="J257">
        <f>MAX(-fyd_cc,MIN(fyd_cc,Es_cc*IF($E257&lt;=cc_D,0.0035*($E257-J$12)/$E257,0.002*($E257-J$12)/($E257-3*cc_D/7))))-fcd_cc*(1-(1-MAX(0,MIN(1,IF($E257&lt;=cc_D,0.0035*($E257-J$12)/$E257,0.002*($E257-J$12)/($E257-3*cc_D/7))/0.002)))^2)</f>
        <v/>
      </c>
      <c r="K257">
        <f>MAX(-fyd_cc,MIN(fyd_cc,Es_cc*IF($E257&lt;=cc_D,0.0035*($E257-K$12)/$E257,0.002*($E257-K$12)/($E257-3*cc_D/7))))-fcd_cc*(1-(1-MAX(0,MIN(1,IF($E257&lt;=cc_D,0.0035*($E257-K$12)/$E257,0.002*($E257-K$12)/($E257-3*cc_D/7))/0.002)))^2)</f>
        <v/>
      </c>
      <c r="L257">
        <f>MAX(-fyd_cc,MIN(fyd_cc,Es_cc*IF($E257&lt;=cc_D,0.0035*($E257-L$12)/$E257,0.002*($E257-L$12)/($E257-3*cc_D/7))))-fcd_cc*(1-(1-MAX(0,MIN(1,IF($E257&lt;=cc_D,0.0035*($E257-L$12)/$E257,0.002*($E257-L$12)/($E257-3*cc_D/7))/0.002)))^2)</f>
        <v/>
      </c>
      <c r="M257">
        <f>MAX(-fyd_cc,MIN(fyd_cc,Es_cc*IF($E257&lt;=cc_D,0.0035*($E257-M$12)/$E257,0.002*($E257-M$12)/($E257-3*cc_D/7))))-fcd_cc*(1-(1-MAX(0,MIN(1,IF($E257&lt;=cc_D,0.0035*($E257-M$12)/$E257,0.002*($E257-M$12)/($E257-3*cc_D/7))/0.002)))^2)</f>
        <v/>
      </c>
      <c r="N257">
        <f>MAX(-fyd_cc,MIN(fyd_cc,Es_cc*IF($E257&lt;=cc_D,0.0035*($E257-N$12)/$E257,0.002*($E257-N$12)/($E257-3*cc_D/7))))-fcd_cc*(1-(1-MAX(0,MIN(1,IF($E257&lt;=cc_D,0.0035*($E257-N$12)/$E257,0.002*($E257-N$12)/($E257-3*cc_D/7))/0.002)))^2)</f>
        <v/>
      </c>
      <c r="O257">
        <f>MAX(-fyd_cc,MIN(fyd_cc,Es_cc*IF($E257&lt;=cc_D,0.0035*($E257-O$12)/$E257,0.002*($E257-O$12)/($E257-3*cc_D/7))))-fcd_cc*(1-(1-MAX(0,MIN(1,IF($E257&lt;=cc_D,0.0035*($E257-O$12)/$E257,0.002*($E257-O$12)/($E257-3*cc_D/7))/0.002)))^2)</f>
        <v/>
      </c>
      <c r="P257">
        <f>MAX(-fyd_cc,MIN(fyd_cc,Es_cc*IF($E257&lt;=cc_D,0.0035*($E257-P$12)/$E257,0.002*($E257-P$12)/($E257-3*cc_D/7))))-fcd_cc*(1-(1-MAX(0,MIN(1,IF($E257&lt;=cc_D,0.0035*($E257-P$12)/$E257,0.002*($E257-P$12)/($E257-3*cc_D/7))/0.002)))^2)</f>
        <v/>
      </c>
      <c r="Q257">
        <f>MAX(-fyd_cc,MIN(fyd_cc,Es_cc*IF($E257&lt;=cc_D,0.0035*($E257-Q$12)/$E257,0.002*($E257-Q$12)/($E257-3*cc_D/7))))-fcd_cc*(1-(1-MAX(0,MIN(1,IF($E257&lt;=cc_D,0.0035*($E257-Q$12)/$E257,0.002*($E257-Q$12)/($E257-3*cc_D/7))/0.002)))^2)</f>
        <v/>
      </c>
      <c r="R257">
        <f>MAX(-fyd_cc,MIN(fyd_cc,Es_cc*IF($E257&lt;=cc_D,0.0035*($E257-R$12)/$E257,0.002*($E257-R$12)/($E257-3*cc_D/7))))-fcd_cc*(1-(1-MAX(0,MIN(1,IF($E257&lt;=cc_D,0.0035*($E257-R$12)/$E257,0.002*($E257-R$12)/($E257-3*cc_D/7))/0.002)))^2)</f>
        <v/>
      </c>
      <c r="S257">
        <f>MAX(-fyd_cc,MIN(fyd_cc,Es_cc*IF($E257&lt;=cc_D,0.0035*($E257-S$12)/$E257,0.002*($E257-S$12)/($E257-3*cc_D/7))))-fcd_cc*(1-(1-MAX(0,MIN(1,IF($E257&lt;=cc_D,0.0035*($E257-S$12)/$E257,0.002*($E257-S$12)/($E257-3*cc_D/7))/0.002)))^2)</f>
        <v/>
      </c>
      <c r="T257">
        <f>MAX(-fyd_cc,MIN(fyd_cc,Es_cc*IF($E257&lt;=cc_D,0.0035*($E257-T$12)/$E257,0.002*($E257-T$12)/($E257-3*cc_D/7))))-fcd_cc*(1-(1-MAX(0,MIN(1,IF($E257&lt;=cc_D,0.0035*($E257-T$12)/$E257,0.002*($E257-T$12)/($E257-3*cc_D/7))/0.002)))^2)</f>
        <v/>
      </c>
      <c r="U257">
        <f>MAX(-fyd_cc,MIN(fyd_cc,Es_cc*IF($E257&lt;=cc_D,0.0035*($E257-U$12)/$E257,0.002*($E257-U$12)/($E257-3*cc_D/7))))-fcd_cc*(1-(1-MAX(0,MIN(1,IF($E257&lt;=cc_D,0.0035*($E257-U$12)/$E257,0.002*($E257-U$12)/($E257-3*cc_D/7))/0.002)))^2)</f>
        <v/>
      </c>
      <c r="V257">
        <f>MAX(-fyd_cc,MIN(fyd_cc,Es_cc*IF($E257&lt;=cc_D,0.0035*($E257-V$12)/$E257,0.002*($E257-V$12)/($E257-3*cc_D/7))))-fcd_cc*(1-(1-MAX(0,MIN(1,IF($E257&lt;=cc_D,0.0035*($E257-V$12)/$E257,0.002*($E257-V$12)/($E257-3*cc_D/7))/0.002)))^2)</f>
        <v/>
      </c>
      <c r="W257">
        <f>MAX(-fyd_cc,MIN(fyd_cc,Es_cc*IF($E257&lt;=cc_D,0.0035*($E257-W$12)/$E257,0.002*($E257-W$12)/($E257-3*cc_D/7))))-fcd_cc*(1-(1-MAX(0,MIN(1,IF($E257&lt;=cc_D,0.0035*($E257-W$12)/$E257,0.002*($E257-W$12)/($E257-3*cc_D/7))/0.002)))^2)</f>
        <v/>
      </c>
      <c r="X257">
        <f>MAX(-fyd_cc,MIN(fyd_cc,Es_cc*IF($E257&lt;=cc_D,0.0035*($E257-X$12)/$E257,0.002*($E257-X$12)/($E257-3*cc_D/7))))-fcd_cc*(1-(1-MAX(0,MIN(1,IF($E257&lt;=cc_D,0.0035*($E257-X$12)/$E257,0.002*($E257-X$12)/($E257-3*cc_D/7))/0.002)))^2)</f>
        <v/>
      </c>
      <c r="Y257">
        <f>MAX(-fyd_cc,MIN(fyd_cc,Es_cc*IF($E257&lt;=cc_D,0.0035*($E257-Y$12)/$E257,0.002*($E257-Y$12)/($E257-3*cc_D/7))))-fcd_cc*(1-(1-MAX(0,MIN(1,IF($E257&lt;=cc_D,0.0035*($E257-Y$12)/$E257,0.002*($E257-Y$12)/($E257-3*cc_D/7))/0.002)))^2)</f>
        <v/>
      </c>
      <c r="Z257">
        <f>MAX(-fyd_cc,MIN(fyd_cc,Es_cc*IF($E257&lt;=cc_D,0.0035*($E257-Z$12)/$E257,0.002*($E257-Z$12)/($E257-3*cc_D/7))))-fcd_cc*(1-(1-MAX(0,MIN(1,IF($E257&lt;=cc_D,0.0035*($E257-Z$12)/$E257,0.002*($E257-Z$12)/($E257-3*cc_D/7))/0.002)))^2)</f>
        <v/>
      </c>
      <c r="AA257">
        <f>MAX(-fyd_cc,MIN(fyd_cc,Es_cc*IF($E257&lt;=cc_D,0.0035*($E257-AA$12)/$E257,0.002*($E257-AA$12)/($E257-3*cc_D/7))))-fcd_cc*(1-(1-MAX(0,MIN(1,IF($E257&lt;=cc_D,0.0035*($E257-AA$12)/$E257,0.002*($E257-AA$12)/($E257-3*cc_D/7))/0.002)))^2)</f>
        <v/>
      </c>
      <c r="AB257">
        <f>MAX(-fyd_cc,MIN(fyd_cc,Es_cc*IF($E257&lt;=cc_D,0.0035*($E257-AB$12)/$E257,0.002*($E257-AB$12)/($E257-3*cc_D/7))))-fcd_cc*(1-(1-MAX(0,MIN(1,IF($E257&lt;=cc_D,0.0035*($E257-AB$12)/$E257,0.002*($E257-AB$12)/($E257-3*cc_D/7))/0.002)))^2)</f>
        <v/>
      </c>
      <c r="AC257">
        <f>MAX(-fyd_cc,MIN(fyd_cc,Es_cc*IF($E257&lt;=cc_D,0.0035*($E257-AC$12)/$E257,0.002*($E257-AC$12)/($E257-3*cc_D/7))))-fcd_cc*(1-(1-MAX(0,MIN(1,IF($E257&lt;=cc_D,0.0035*($E257-AC$12)/$E257,0.002*($E257-AC$12)/($E257-3*cc_D/7))/0.002)))^2)</f>
        <v/>
      </c>
      <c r="AD257">
        <f>MAX(-fyd_cc,MIN(fyd_cc,Es_cc*IF($E257&lt;=cc_D,0.0035*($E257-AD$12)/$E257,0.002*($E257-AD$12)/($E257-3*cc_D/7))))-fcd_cc*(1-(1-MAX(0,MIN(1,IF($E257&lt;=cc_D,0.0035*($E257-AD$12)/$E257,0.002*($E257-AD$12)/($E257-3*cc_D/7))/0.002)))^2)</f>
        <v/>
      </c>
      <c r="AE257">
        <f>MAX(-fyd_cc,MIN(fyd_cc,Es_cc*IF($E257&lt;=cc_D,0.0035*($E257-AE$12)/$E257,0.002*($E257-AE$12)/($E257-3*cc_D/7))))-fcd_cc*(1-(1-MAX(0,MIN(1,IF($E257&lt;=cc_D,0.0035*($E257-AE$12)/$E257,0.002*($E257-AE$12)/($E257-3*cc_D/7))/0.002)))^2)</f>
        <v/>
      </c>
      <c r="AF257">
        <f>MAX(-fyd_cc,MIN(fyd_cc,Es_cc*IF($E257&lt;=cc_D,0.0035*($E257-AF$12)/$E257,0.002*($E257-AF$12)/($E257-3*cc_D/7))))-fcd_cc*(1-(1-MAX(0,MIN(1,IF($E257&lt;=cc_D,0.0035*($E257-AF$12)/$E257,0.002*($E257-AF$12)/($E257-3*cc_D/7))/0.002)))^2)</f>
        <v/>
      </c>
      <c r="AG257">
        <f>MAX(-fyd_cc,MIN(fyd_cc,Es_cc*IF($E257&lt;=cc_D,0.0035*($E257-AG$12)/$E257,0.002*($E257-AG$12)/($E257-3*cc_D/7))))-fcd_cc*(1-(1-MAX(0,MIN(1,IF($E257&lt;=cc_D,0.0035*($E257-AG$12)/$E257,0.002*($E257-AG$12)/($E257-3*cc_D/7))/0.002)))^2)</f>
        <v/>
      </c>
      <c r="BF257">
        <f>3*MIN($E257,cc_D)/7</f>
        <v/>
      </c>
      <c r="BG257">
        <f>$E257-$BF257</f>
        <v/>
      </c>
      <c r="BH257">
        <f>ACOS(MAX(-1,MIN(1,1-$BF257/(cc_D/2))))</f>
        <v/>
      </c>
      <c r="BI257">
        <f>ACOS(MAX(-1,MIN(1,1-MIN($E257,cc_D)/(cc_D/2))))</f>
        <v/>
      </c>
      <c r="BJ257">
        <f>((cc_D/2*(1-COS(($BH257+0*($BI257-$BH257)/12)))-$BF257)/$BG257)^2*SIN(($BH257+0*($BI257-$BH257)/12))^2</f>
        <v/>
      </c>
      <c r="BK257">
        <f>((cc_D/2*(1-COS(($BH257+1*($BI257-$BH257)/12)))-$BF257)/$BG257)^2*SIN(($BH257+1*($BI257-$BH257)/12))^2</f>
        <v/>
      </c>
      <c r="BL257">
        <f>((cc_D/2*(1-COS(($BH257+2*($BI257-$BH257)/12)))-$BF257)/$BG257)^2*SIN(($BH257+2*($BI257-$BH257)/12))^2</f>
        <v/>
      </c>
      <c r="BM257">
        <f>((cc_D/2*(1-COS(($BH257+3*($BI257-$BH257)/12)))-$BF257)/$BG257)^2*SIN(($BH257+3*($BI257-$BH257)/12))^2</f>
        <v/>
      </c>
      <c r="BN257">
        <f>((cc_D/2*(1-COS(($BH257+4*($BI257-$BH257)/12)))-$BF257)/$BG257)^2*SIN(($BH257+4*($BI257-$BH257)/12))^2</f>
        <v/>
      </c>
      <c r="BO257">
        <f>((cc_D/2*(1-COS(($BH257+5*($BI257-$BH257)/12)))-$BF257)/$BG257)^2*SIN(($BH257+5*($BI257-$BH257)/12))^2</f>
        <v/>
      </c>
      <c r="BP257">
        <f>((cc_D/2*(1-COS(($BH257+6*($BI257-$BH257)/12)))-$BF257)/$BG257)^2*SIN(($BH257+6*($BI257-$BH257)/12))^2</f>
        <v/>
      </c>
      <c r="BQ257">
        <f>((cc_D/2*(1-COS(($BH257+7*($BI257-$BH257)/12)))-$BF257)/$BG257)^2*SIN(($BH257+7*($BI257-$BH257)/12))^2</f>
        <v/>
      </c>
      <c r="BR257">
        <f>((cc_D/2*(1-COS(($BH257+8*($BI257-$BH257)/12)))-$BF257)/$BG257)^2*SIN(($BH257+8*($BI257-$BH257)/12))^2</f>
        <v/>
      </c>
      <c r="BS257">
        <f>((cc_D/2*(1-COS(($BH257+9*($BI257-$BH257)/12)))-$BF257)/$BG257)^2*SIN(($BH257+9*($BI257-$BH257)/12))^2</f>
        <v/>
      </c>
      <c r="BT257">
        <f>((cc_D/2*(1-COS(($BH257+10*($BI257-$BH257)/12)))-$BF257)/$BG257)^2*SIN(($BH257+10*($BI257-$BH257)/12))^2</f>
        <v/>
      </c>
      <c r="BU257">
        <f>((cc_D/2*(1-COS(($BH257+11*($BI257-$BH257)/12)))-$BF257)/$BG257)^2*SIN(($BH257+11*($BI257-$BH257)/12))^2</f>
        <v/>
      </c>
      <c r="BV257">
        <f>((cc_D/2*(1-COS(($BH257+12*($BI257-$BH257)/12)))-$BF257)/$BG257)^2*SIN(($BH257+12*($BI257-$BH257)/12))^2</f>
        <v/>
      </c>
      <c r="BW257">
        <f>BJ257*COS(($BH257+0*($BI257-$BH257)/12))</f>
        <v/>
      </c>
      <c r="BX257">
        <f>BK257*COS(($BH257+1*($BI257-$BH257)/12))</f>
        <v/>
      </c>
      <c r="BY257">
        <f>BL257*COS(($BH257+2*($BI257-$BH257)/12))</f>
        <v/>
      </c>
      <c r="BZ257">
        <f>BM257*COS(($BH257+3*($BI257-$BH257)/12))</f>
        <v/>
      </c>
      <c r="CA257">
        <f>BN257*COS(($BH257+4*($BI257-$BH257)/12))</f>
        <v/>
      </c>
      <c r="CB257">
        <f>BO257*COS(($BH257+5*($BI257-$BH257)/12))</f>
        <v/>
      </c>
      <c r="CC257">
        <f>BP257*COS(($BH257+6*($BI257-$BH257)/12))</f>
        <v/>
      </c>
      <c r="CD257">
        <f>BQ257*COS(($BH257+7*($BI257-$BH257)/12))</f>
        <v/>
      </c>
      <c r="CE257">
        <f>BR257*COS(($BH257+8*($BI257-$BH257)/12))</f>
        <v/>
      </c>
      <c r="CF257">
        <f>BS257*COS(($BH257+9*($BI257-$BH257)/12))</f>
        <v/>
      </c>
      <c r="CG257">
        <f>BT257*COS(($BH257+10*($BI257-$BH257)/12))</f>
        <v/>
      </c>
      <c r="CH257">
        <f>BU257*COS(($BH257+11*($BI257-$BH257)/12))</f>
        <v/>
      </c>
      <c r="CI257">
        <f>BV257*COS(($BH257+12*($BI257-$BH257)/12))</f>
        <v/>
      </c>
    </row>
    <row r="258">
      <c r="B258" s="65" t="n">
        <v>43</v>
      </c>
      <c r="C258" s="66">
        <f>IF($G257&lt;cc_NEd-1E-9*ABS(cc_NEd),($C257+$D257)/2,$C257)</f>
        <v/>
      </c>
      <c r="D258" s="66">
        <f>IF($G257&lt;cc_NEd-1E-9*ABS(cc_NEd),$D257,($C257+$D257)/2)</f>
        <v/>
      </c>
      <c r="E258" s="67">
        <f>cc_D*(($C258+$D258)/2)/(1-(($C258+$D258)/2))</f>
        <v/>
      </c>
      <c r="F258" s="68">
        <f>IF($E258&lt;=cc_D,3.5,2*$E258/($E258-3*cc_D/7))</f>
        <v/>
      </c>
      <c r="G258" s="67">
        <f>(fcd_cc*((cc_D/2)^2*($BI258-COS($BI258)*SIN($BI258))-2*(cc_D/2)^2*($BI258-$BH258)/12/3*SUMPRODUCT($BJ$4:$BV$4,$BJ258:$BV258))+SUMPRODUCT($J$5:$AG$5,$J258:$AG258))/1000</f>
        <v/>
      </c>
      <c r="H258" s="67">
        <f>(fcd_cc*(2/3*(cc_D/2)^3*SIN($BI258)^3-2*(cc_D/2)^3*($BI258-$BH258)/12/3*SUMPRODUCT($BW$4:$CI$4,$BW258:$CI258))+SUMPRODUCT($J$5:$AG$5,$J258:$AG258,$J$13:$AG$13))/1E6</f>
        <v/>
      </c>
      <c r="I258" s="67">
        <f>SUMPRODUCT($J$5:$AG$5,$J258:$AG258,$J$14:$AG$14)/1E6</f>
        <v/>
      </c>
      <c r="J258">
        <f>MAX(-fyd_cc,MIN(fyd_cc,Es_cc*IF($E258&lt;=cc_D,0.0035*($E258-J$12)/$E258,0.002*($E258-J$12)/($E258-3*cc_D/7))))-fcd_cc*(1-(1-MAX(0,MIN(1,IF($E258&lt;=cc_D,0.0035*($E258-J$12)/$E258,0.002*($E258-J$12)/($E258-3*cc_D/7))/0.002)))^2)</f>
        <v/>
      </c>
      <c r="K258">
        <f>MAX(-fyd_cc,MIN(fyd_cc,Es_cc*IF($E258&lt;=cc_D,0.0035*($E258-K$12)/$E258,0.002*($E258-K$12)/($E258-3*cc_D/7))))-fcd_cc*(1-(1-MAX(0,MIN(1,IF($E258&lt;=cc_D,0.0035*($E258-K$12)/$E258,0.002*($E258-K$12)/($E258-3*cc_D/7))/0.002)))^2)</f>
        <v/>
      </c>
      <c r="L258">
        <f>MAX(-fyd_cc,MIN(fyd_cc,Es_cc*IF($E258&lt;=cc_D,0.0035*($E258-L$12)/$E258,0.002*($E258-L$12)/($E258-3*cc_D/7))))-fcd_cc*(1-(1-MAX(0,MIN(1,IF($E258&lt;=cc_D,0.0035*($E258-L$12)/$E258,0.002*($E258-L$12)/($E258-3*cc_D/7))/0.002)))^2)</f>
        <v/>
      </c>
      <c r="M258">
        <f>MAX(-fyd_cc,MIN(fyd_cc,Es_cc*IF($E258&lt;=cc_D,0.0035*($E258-M$12)/$E258,0.002*($E258-M$12)/($E258-3*cc_D/7))))-fcd_cc*(1-(1-MAX(0,MIN(1,IF($E258&lt;=cc_D,0.0035*($E258-M$12)/$E258,0.002*($E258-M$12)/($E258-3*cc_D/7))/0.002)))^2)</f>
        <v/>
      </c>
      <c r="N258">
        <f>MAX(-fyd_cc,MIN(fyd_cc,Es_cc*IF($E258&lt;=cc_D,0.0035*($E258-N$12)/$E258,0.002*($E258-N$12)/($E258-3*cc_D/7))))-fcd_cc*(1-(1-MAX(0,MIN(1,IF($E258&lt;=cc_D,0.0035*($E258-N$12)/$E258,0.002*($E258-N$12)/($E258-3*cc_D/7))/0.002)))^2)</f>
        <v/>
      </c>
      <c r="O258">
        <f>MAX(-fyd_cc,MIN(fyd_cc,Es_cc*IF($E258&lt;=cc_D,0.0035*($E258-O$12)/$E258,0.002*($E258-O$12)/($E258-3*cc_D/7))))-fcd_cc*(1-(1-MAX(0,MIN(1,IF($E258&lt;=cc_D,0.0035*($E258-O$12)/$E258,0.002*($E258-O$12)/($E258-3*cc_D/7))/0.002)))^2)</f>
        <v/>
      </c>
      <c r="P258">
        <f>MAX(-fyd_cc,MIN(fyd_cc,Es_cc*IF($E258&lt;=cc_D,0.0035*($E258-P$12)/$E258,0.002*($E258-P$12)/($E258-3*cc_D/7))))-fcd_cc*(1-(1-MAX(0,MIN(1,IF($E258&lt;=cc_D,0.0035*($E258-P$12)/$E258,0.002*($E258-P$12)/($E258-3*cc_D/7))/0.002)))^2)</f>
        <v/>
      </c>
      <c r="Q258">
        <f>MAX(-fyd_cc,MIN(fyd_cc,Es_cc*IF($E258&lt;=cc_D,0.0035*($E258-Q$12)/$E258,0.002*($E258-Q$12)/($E258-3*cc_D/7))))-fcd_cc*(1-(1-MAX(0,MIN(1,IF($E258&lt;=cc_D,0.0035*($E258-Q$12)/$E258,0.002*($E258-Q$12)/($E258-3*cc_D/7))/0.002)))^2)</f>
        <v/>
      </c>
      <c r="R258">
        <f>MAX(-fyd_cc,MIN(fyd_cc,Es_cc*IF($E258&lt;=cc_D,0.0035*($E258-R$12)/$E258,0.002*($E258-R$12)/($E258-3*cc_D/7))))-fcd_cc*(1-(1-MAX(0,MIN(1,IF($E258&lt;=cc_D,0.0035*($E258-R$12)/$E258,0.002*($E258-R$12)/($E258-3*cc_D/7))/0.002)))^2)</f>
        <v/>
      </c>
      <c r="S258">
        <f>MAX(-fyd_cc,MIN(fyd_cc,Es_cc*IF($E258&lt;=cc_D,0.0035*($E258-S$12)/$E258,0.002*($E258-S$12)/($E258-3*cc_D/7))))-fcd_cc*(1-(1-MAX(0,MIN(1,IF($E258&lt;=cc_D,0.0035*($E258-S$12)/$E258,0.002*($E258-S$12)/($E258-3*cc_D/7))/0.002)))^2)</f>
        <v/>
      </c>
      <c r="T258">
        <f>MAX(-fyd_cc,MIN(fyd_cc,Es_cc*IF($E258&lt;=cc_D,0.0035*($E258-T$12)/$E258,0.002*($E258-T$12)/($E258-3*cc_D/7))))-fcd_cc*(1-(1-MAX(0,MIN(1,IF($E258&lt;=cc_D,0.0035*($E258-T$12)/$E258,0.002*($E258-T$12)/($E258-3*cc_D/7))/0.002)))^2)</f>
        <v/>
      </c>
      <c r="U258">
        <f>MAX(-fyd_cc,MIN(fyd_cc,Es_cc*IF($E258&lt;=cc_D,0.0035*($E258-U$12)/$E258,0.002*($E258-U$12)/($E258-3*cc_D/7))))-fcd_cc*(1-(1-MAX(0,MIN(1,IF($E258&lt;=cc_D,0.0035*($E258-U$12)/$E258,0.002*($E258-U$12)/($E258-3*cc_D/7))/0.002)))^2)</f>
        <v/>
      </c>
      <c r="V258">
        <f>MAX(-fyd_cc,MIN(fyd_cc,Es_cc*IF($E258&lt;=cc_D,0.0035*($E258-V$12)/$E258,0.002*($E258-V$12)/($E258-3*cc_D/7))))-fcd_cc*(1-(1-MAX(0,MIN(1,IF($E258&lt;=cc_D,0.0035*($E258-V$12)/$E258,0.002*($E258-V$12)/($E258-3*cc_D/7))/0.002)))^2)</f>
        <v/>
      </c>
      <c r="W258">
        <f>MAX(-fyd_cc,MIN(fyd_cc,Es_cc*IF($E258&lt;=cc_D,0.0035*($E258-W$12)/$E258,0.002*($E258-W$12)/($E258-3*cc_D/7))))-fcd_cc*(1-(1-MAX(0,MIN(1,IF($E258&lt;=cc_D,0.0035*($E258-W$12)/$E258,0.002*($E258-W$12)/($E258-3*cc_D/7))/0.002)))^2)</f>
        <v/>
      </c>
      <c r="X258">
        <f>MAX(-fyd_cc,MIN(fyd_cc,Es_cc*IF($E258&lt;=cc_D,0.0035*($E258-X$12)/$E258,0.002*($E258-X$12)/($E258-3*cc_D/7))))-fcd_cc*(1-(1-MAX(0,MIN(1,IF($E258&lt;=cc_D,0.0035*($E258-X$12)/$E258,0.002*($E258-X$12)/($E258-3*cc_D/7))/0.002)))^2)</f>
        <v/>
      </c>
      <c r="Y258">
        <f>MAX(-fyd_cc,MIN(fyd_cc,Es_cc*IF($E258&lt;=cc_D,0.0035*($E258-Y$12)/$E258,0.002*($E258-Y$12)/($E258-3*cc_D/7))))-fcd_cc*(1-(1-MAX(0,MIN(1,IF($E258&lt;=cc_D,0.0035*($E258-Y$12)/$E258,0.002*($E258-Y$12)/($E258-3*cc_D/7))/0.002)))^2)</f>
        <v/>
      </c>
      <c r="Z258">
        <f>MAX(-fyd_cc,MIN(fyd_cc,Es_cc*IF($E258&lt;=cc_D,0.0035*($E258-Z$12)/$E258,0.002*($E258-Z$12)/($E258-3*cc_D/7))))-fcd_cc*(1-(1-MAX(0,MIN(1,IF($E258&lt;=cc_D,0.0035*($E258-Z$12)/$E258,0.002*($E258-Z$12)/($E258-3*cc_D/7))/0.002)))^2)</f>
        <v/>
      </c>
      <c r="AA258">
        <f>MAX(-fyd_cc,MIN(fyd_cc,Es_cc*IF($E258&lt;=cc_D,0.0035*($E258-AA$12)/$E258,0.002*($E258-AA$12)/($E258-3*cc_D/7))))-fcd_cc*(1-(1-MAX(0,MIN(1,IF($E258&lt;=cc_D,0.0035*($E258-AA$12)/$E258,0.002*($E258-AA$12)/($E258-3*cc_D/7))/0.002)))^2)</f>
        <v/>
      </c>
      <c r="AB258">
        <f>MAX(-fyd_cc,MIN(fyd_cc,Es_cc*IF($E258&lt;=cc_D,0.0035*($E258-AB$12)/$E258,0.002*($E258-AB$12)/($E258-3*cc_D/7))))-fcd_cc*(1-(1-MAX(0,MIN(1,IF($E258&lt;=cc_D,0.0035*($E258-AB$12)/$E258,0.002*($E258-AB$12)/($E258-3*cc_D/7))/0.002)))^2)</f>
        <v/>
      </c>
      <c r="AC258">
        <f>MAX(-fyd_cc,MIN(fyd_cc,Es_cc*IF($E258&lt;=cc_D,0.0035*($E258-AC$12)/$E258,0.002*($E258-AC$12)/($E258-3*cc_D/7))))-fcd_cc*(1-(1-MAX(0,MIN(1,IF($E258&lt;=cc_D,0.0035*($E258-AC$12)/$E258,0.002*($E258-AC$12)/($E258-3*cc_D/7))/0.002)))^2)</f>
        <v/>
      </c>
      <c r="AD258">
        <f>MAX(-fyd_cc,MIN(fyd_cc,Es_cc*IF($E258&lt;=cc_D,0.0035*($E258-AD$12)/$E258,0.002*($E258-AD$12)/($E258-3*cc_D/7))))-fcd_cc*(1-(1-MAX(0,MIN(1,IF($E258&lt;=cc_D,0.0035*($E258-AD$12)/$E258,0.002*($E258-AD$12)/($E258-3*cc_D/7))/0.002)))^2)</f>
        <v/>
      </c>
      <c r="AE258">
        <f>MAX(-fyd_cc,MIN(fyd_cc,Es_cc*IF($E258&lt;=cc_D,0.0035*($E258-AE$12)/$E258,0.002*($E258-AE$12)/($E258-3*cc_D/7))))-fcd_cc*(1-(1-MAX(0,MIN(1,IF($E258&lt;=cc_D,0.0035*($E258-AE$12)/$E258,0.002*($E258-AE$12)/($E258-3*cc_D/7))/0.002)))^2)</f>
        <v/>
      </c>
      <c r="AF258">
        <f>MAX(-fyd_cc,MIN(fyd_cc,Es_cc*IF($E258&lt;=cc_D,0.0035*($E258-AF$12)/$E258,0.002*($E258-AF$12)/($E258-3*cc_D/7))))-fcd_cc*(1-(1-MAX(0,MIN(1,IF($E258&lt;=cc_D,0.0035*($E258-AF$12)/$E258,0.002*($E258-AF$12)/($E258-3*cc_D/7))/0.002)))^2)</f>
        <v/>
      </c>
      <c r="AG258">
        <f>MAX(-fyd_cc,MIN(fyd_cc,Es_cc*IF($E258&lt;=cc_D,0.0035*($E258-AG$12)/$E258,0.002*($E258-AG$12)/($E258-3*cc_D/7))))-fcd_cc*(1-(1-MAX(0,MIN(1,IF($E258&lt;=cc_D,0.0035*($E258-AG$12)/$E258,0.002*($E258-AG$12)/($E258-3*cc_D/7))/0.002)))^2)</f>
        <v/>
      </c>
      <c r="BF258">
        <f>3*MIN($E258,cc_D)/7</f>
        <v/>
      </c>
      <c r="BG258">
        <f>$E258-$BF258</f>
        <v/>
      </c>
      <c r="BH258">
        <f>ACOS(MAX(-1,MIN(1,1-$BF258/(cc_D/2))))</f>
        <v/>
      </c>
      <c r="BI258">
        <f>ACOS(MAX(-1,MIN(1,1-MIN($E258,cc_D)/(cc_D/2))))</f>
        <v/>
      </c>
      <c r="BJ258">
        <f>((cc_D/2*(1-COS(($BH258+0*($BI258-$BH258)/12)))-$BF258)/$BG258)^2*SIN(($BH258+0*($BI258-$BH258)/12))^2</f>
        <v/>
      </c>
      <c r="BK258">
        <f>((cc_D/2*(1-COS(($BH258+1*($BI258-$BH258)/12)))-$BF258)/$BG258)^2*SIN(($BH258+1*($BI258-$BH258)/12))^2</f>
        <v/>
      </c>
      <c r="BL258">
        <f>((cc_D/2*(1-COS(($BH258+2*($BI258-$BH258)/12)))-$BF258)/$BG258)^2*SIN(($BH258+2*($BI258-$BH258)/12))^2</f>
        <v/>
      </c>
      <c r="BM258">
        <f>((cc_D/2*(1-COS(($BH258+3*($BI258-$BH258)/12)))-$BF258)/$BG258)^2*SIN(($BH258+3*($BI258-$BH258)/12))^2</f>
        <v/>
      </c>
      <c r="BN258">
        <f>((cc_D/2*(1-COS(($BH258+4*($BI258-$BH258)/12)))-$BF258)/$BG258)^2*SIN(($BH258+4*($BI258-$BH258)/12))^2</f>
        <v/>
      </c>
      <c r="BO258">
        <f>((cc_D/2*(1-COS(($BH258+5*($BI258-$BH258)/12)))-$BF258)/$BG258)^2*SIN(($BH258+5*($BI258-$BH258)/12))^2</f>
        <v/>
      </c>
      <c r="BP258">
        <f>((cc_D/2*(1-COS(($BH258+6*($BI258-$BH258)/12)))-$BF258)/$BG258)^2*SIN(($BH258+6*($BI258-$BH258)/12))^2</f>
        <v/>
      </c>
      <c r="BQ258">
        <f>((cc_D/2*(1-COS(($BH258+7*($BI258-$BH258)/12)))-$BF258)/$BG258)^2*SIN(($BH258+7*($BI258-$BH258)/12))^2</f>
        <v/>
      </c>
      <c r="BR258">
        <f>((cc_D/2*(1-COS(($BH258+8*($BI258-$BH258)/12)))-$BF258)/$BG258)^2*SIN(($BH258+8*($BI258-$BH258)/12))^2</f>
        <v/>
      </c>
      <c r="BS258">
        <f>((cc_D/2*(1-COS(($BH258+9*($BI258-$BH258)/12)))-$BF258)/$BG258)^2*SIN(($BH258+9*($BI258-$BH258)/12))^2</f>
        <v/>
      </c>
      <c r="BT258">
        <f>((cc_D/2*(1-COS(($BH258+10*($BI258-$BH258)/12)))-$BF258)/$BG258)^2*SIN(($BH258+10*($BI258-$BH258)/12))^2</f>
        <v/>
      </c>
      <c r="BU258">
        <f>((cc_D/2*(1-COS(($BH258+11*($BI258-$BH258)/12)))-$BF258)/$BG258)^2*SIN(($BH258+11*($BI258-$BH258)/12))^2</f>
        <v/>
      </c>
      <c r="BV258">
        <f>((cc_D/2*(1-COS(($BH258+12*($BI258-$BH258)/12)))-$BF258)/$BG258)^2*SIN(($BH258+12*($BI258-$BH258)/12))^2</f>
        <v/>
      </c>
      <c r="BW258">
        <f>BJ258*COS(($BH258+0*($BI258-$BH258)/12))</f>
        <v/>
      </c>
      <c r="BX258">
        <f>BK258*COS(($BH258+1*($BI258-$BH258)/12))</f>
        <v/>
      </c>
      <c r="BY258">
        <f>BL258*COS(($BH258+2*($BI258-$BH258)/12))</f>
        <v/>
      </c>
      <c r="BZ258">
        <f>BM258*COS(($BH258+3*($BI258-$BH258)/12))</f>
        <v/>
      </c>
      <c r="CA258">
        <f>BN258*COS(($BH258+4*($BI258-$BH258)/12))</f>
        <v/>
      </c>
      <c r="CB258">
        <f>BO258*COS(($BH258+5*($BI258-$BH258)/12))</f>
        <v/>
      </c>
      <c r="CC258">
        <f>BP258*COS(($BH258+6*($BI258-$BH258)/12))</f>
        <v/>
      </c>
      <c r="CD258">
        <f>BQ258*COS(($BH258+7*($BI258-$BH258)/12))</f>
        <v/>
      </c>
      <c r="CE258">
        <f>BR258*COS(($BH258+8*($BI258-$BH258)/12))</f>
        <v/>
      </c>
      <c r="CF258">
        <f>BS258*COS(($BH258+9*($BI258-$BH258)/12))</f>
        <v/>
      </c>
      <c r="CG258">
        <f>BT258*COS(($BH258+10*($BI258-$BH258)/12))</f>
        <v/>
      </c>
      <c r="CH258">
        <f>BU258*COS(($BH258+11*($BI258-$BH258)/12))</f>
        <v/>
      </c>
      <c r="CI258">
        <f>BV258*COS(($BH258+12*($BI258-$BH258)/12))</f>
        <v/>
      </c>
    </row>
    <row r="259">
      <c r="B259" s="65" t="n">
        <v>44</v>
      </c>
      <c r="C259" s="66">
        <f>IF($G258&lt;cc_NEd-1E-9*ABS(cc_NEd),($C258+$D258)/2,$C258)</f>
        <v/>
      </c>
      <c r="D259" s="66">
        <f>IF($G258&lt;cc_NEd-1E-9*ABS(cc_NEd),$D258,($C258+$D258)/2)</f>
        <v/>
      </c>
      <c r="E259" s="67">
        <f>cc_D*(($C259+$D259)/2)/(1-(($C259+$D259)/2))</f>
        <v/>
      </c>
      <c r="F259" s="68">
        <f>IF($E259&lt;=cc_D,3.5,2*$E259/($E259-3*cc_D/7))</f>
        <v/>
      </c>
      <c r="G259" s="67">
        <f>(fcd_cc*((cc_D/2)^2*($BI259-COS($BI259)*SIN($BI259))-2*(cc_D/2)^2*($BI259-$BH259)/12/3*SUMPRODUCT($BJ$4:$BV$4,$BJ259:$BV259))+SUMPRODUCT($J$5:$AG$5,$J259:$AG259))/1000</f>
        <v/>
      </c>
      <c r="H259" s="67">
        <f>(fcd_cc*(2/3*(cc_D/2)^3*SIN($BI259)^3-2*(cc_D/2)^3*($BI259-$BH259)/12/3*SUMPRODUCT($BW$4:$CI$4,$BW259:$CI259))+SUMPRODUCT($J$5:$AG$5,$J259:$AG259,$J$13:$AG$13))/1E6</f>
        <v/>
      </c>
      <c r="I259" s="67">
        <f>SUMPRODUCT($J$5:$AG$5,$J259:$AG259,$J$14:$AG$14)/1E6</f>
        <v/>
      </c>
      <c r="J259">
        <f>MAX(-fyd_cc,MIN(fyd_cc,Es_cc*IF($E259&lt;=cc_D,0.0035*($E259-J$12)/$E259,0.002*($E259-J$12)/($E259-3*cc_D/7))))-fcd_cc*(1-(1-MAX(0,MIN(1,IF($E259&lt;=cc_D,0.0035*($E259-J$12)/$E259,0.002*($E259-J$12)/($E259-3*cc_D/7))/0.002)))^2)</f>
        <v/>
      </c>
      <c r="K259">
        <f>MAX(-fyd_cc,MIN(fyd_cc,Es_cc*IF($E259&lt;=cc_D,0.0035*($E259-K$12)/$E259,0.002*($E259-K$12)/($E259-3*cc_D/7))))-fcd_cc*(1-(1-MAX(0,MIN(1,IF($E259&lt;=cc_D,0.0035*($E259-K$12)/$E259,0.002*($E259-K$12)/($E259-3*cc_D/7))/0.002)))^2)</f>
        <v/>
      </c>
      <c r="L259">
        <f>MAX(-fyd_cc,MIN(fyd_cc,Es_cc*IF($E259&lt;=cc_D,0.0035*($E259-L$12)/$E259,0.002*($E259-L$12)/($E259-3*cc_D/7))))-fcd_cc*(1-(1-MAX(0,MIN(1,IF($E259&lt;=cc_D,0.0035*($E259-L$12)/$E259,0.002*($E259-L$12)/($E259-3*cc_D/7))/0.002)))^2)</f>
        <v/>
      </c>
      <c r="M259">
        <f>MAX(-fyd_cc,MIN(fyd_cc,Es_cc*IF($E259&lt;=cc_D,0.0035*($E259-M$12)/$E259,0.002*($E259-M$12)/($E259-3*cc_D/7))))-fcd_cc*(1-(1-MAX(0,MIN(1,IF($E259&lt;=cc_D,0.0035*($E259-M$12)/$E259,0.002*($E259-M$12)/($E259-3*cc_D/7))/0.002)))^2)</f>
        <v/>
      </c>
      <c r="N259">
        <f>MAX(-fyd_cc,MIN(fyd_cc,Es_cc*IF($E259&lt;=cc_D,0.0035*($E259-N$12)/$E259,0.002*($E259-N$12)/($E259-3*cc_D/7))))-fcd_cc*(1-(1-MAX(0,MIN(1,IF($E259&lt;=cc_D,0.0035*($E259-N$12)/$E259,0.002*($E259-N$12)/($E259-3*cc_D/7))/0.002)))^2)</f>
        <v/>
      </c>
      <c r="O259">
        <f>MAX(-fyd_cc,MIN(fyd_cc,Es_cc*IF($E259&lt;=cc_D,0.0035*($E259-O$12)/$E259,0.002*($E259-O$12)/($E259-3*cc_D/7))))-fcd_cc*(1-(1-MAX(0,MIN(1,IF($E259&lt;=cc_D,0.0035*($E259-O$12)/$E259,0.002*($E259-O$12)/($E259-3*cc_D/7))/0.002)))^2)</f>
        <v/>
      </c>
      <c r="P259">
        <f>MAX(-fyd_cc,MIN(fyd_cc,Es_cc*IF($E259&lt;=cc_D,0.0035*($E259-P$12)/$E259,0.002*($E259-P$12)/($E259-3*cc_D/7))))-fcd_cc*(1-(1-MAX(0,MIN(1,IF($E259&lt;=cc_D,0.0035*($E259-P$12)/$E259,0.002*($E259-P$12)/($E259-3*cc_D/7))/0.002)))^2)</f>
        <v/>
      </c>
      <c r="Q259">
        <f>MAX(-fyd_cc,MIN(fyd_cc,Es_cc*IF($E259&lt;=cc_D,0.0035*($E259-Q$12)/$E259,0.002*($E259-Q$12)/($E259-3*cc_D/7))))-fcd_cc*(1-(1-MAX(0,MIN(1,IF($E259&lt;=cc_D,0.0035*($E259-Q$12)/$E259,0.002*($E259-Q$12)/($E259-3*cc_D/7))/0.002)))^2)</f>
        <v/>
      </c>
      <c r="R259">
        <f>MAX(-fyd_cc,MIN(fyd_cc,Es_cc*IF($E259&lt;=cc_D,0.0035*($E259-R$12)/$E259,0.002*($E259-R$12)/($E259-3*cc_D/7))))-fcd_cc*(1-(1-MAX(0,MIN(1,IF($E259&lt;=cc_D,0.0035*($E259-R$12)/$E259,0.002*($E259-R$12)/($E259-3*cc_D/7))/0.002)))^2)</f>
        <v/>
      </c>
      <c r="S259">
        <f>MAX(-fyd_cc,MIN(fyd_cc,Es_cc*IF($E259&lt;=cc_D,0.0035*($E259-S$12)/$E259,0.002*($E259-S$12)/($E259-3*cc_D/7))))-fcd_cc*(1-(1-MAX(0,MIN(1,IF($E259&lt;=cc_D,0.0035*($E259-S$12)/$E259,0.002*($E259-S$12)/($E259-3*cc_D/7))/0.002)))^2)</f>
        <v/>
      </c>
      <c r="T259">
        <f>MAX(-fyd_cc,MIN(fyd_cc,Es_cc*IF($E259&lt;=cc_D,0.0035*($E259-T$12)/$E259,0.002*($E259-T$12)/($E259-3*cc_D/7))))-fcd_cc*(1-(1-MAX(0,MIN(1,IF($E259&lt;=cc_D,0.0035*($E259-T$12)/$E259,0.002*($E259-T$12)/($E259-3*cc_D/7))/0.002)))^2)</f>
        <v/>
      </c>
      <c r="U259">
        <f>MAX(-fyd_cc,MIN(fyd_cc,Es_cc*IF($E259&lt;=cc_D,0.0035*($E259-U$12)/$E259,0.002*($E259-U$12)/($E259-3*cc_D/7))))-fcd_cc*(1-(1-MAX(0,MIN(1,IF($E259&lt;=cc_D,0.0035*($E259-U$12)/$E259,0.002*($E259-U$12)/($E259-3*cc_D/7))/0.002)))^2)</f>
        <v/>
      </c>
      <c r="V259">
        <f>MAX(-fyd_cc,MIN(fyd_cc,Es_cc*IF($E259&lt;=cc_D,0.0035*($E259-V$12)/$E259,0.002*($E259-V$12)/($E259-3*cc_D/7))))-fcd_cc*(1-(1-MAX(0,MIN(1,IF($E259&lt;=cc_D,0.0035*($E259-V$12)/$E259,0.002*($E259-V$12)/($E259-3*cc_D/7))/0.002)))^2)</f>
        <v/>
      </c>
      <c r="W259">
        <f>MAX(-fyd_cc,MIN(fyd_cc,Es_cc*IF($E259&lt;=cc_D,0.0035*($E259-W$12)/$E259,0.002*($E259-W$12)/($E259-3*cc_D/7))))-fcd_cc*(1-(1-MAX(0,MIN(1,IF($E259&lt;=cc_D,0.0035*($E259-W$12)/$E259,0.002*($E259-W$12)/($E259-3*cc_D/7))/0.002)))^2)</f>
        <v/>
      </c>
      <c r="X259">
        <f>MAX(-fyd_cc,MIN(fyd_cc,Es_cc*IF($E259&lt;=cc_D,0.0035*($E259-X$12)/$E259,0.002*($E259-X$12)/($E259-3*cc_D/7))))-fcd_cc*(1-(1-MAX(0,MIN(1,IF($E259&lt;=cc_D,0.0035*($E259-X$12)/$E259,0.002*($E259-X$12)/($E259-3*cc_D/7))/0.002)))^2)</f>
        <v/>
      </c>
      <c r="Y259">
        <f>MAX(-fyd_cc,MIN(fyd_cc,Es_cc*IF($E259&lt;=cc_D,0.0035*($E259-Y$12)/$E259,0.002*($E259-Y$12)/($E259-3*cc_D/7))))-fcd_cc*(1-(1-MAX(0,MIN(1,IF($E259&lt;=cc_D,0.0035*($E259-Y$12)/$E259,0.002*($E259-Y$12)/($E259-3*cc_D/7))/0.002)))^2)</f>
        <v/>
      </c>
      <c r="Z259">
        <f>MAX(-fyd_cc,MIN(fyd_cc,Es_cc*IF($E259&lt;=cc_D,0.0035*($E259-Z$12)/$E259,0.002*($E259-Z$12)/($E259-3*cc_D/7))))-fcd_cc*(1-(1-MAX(0,MIN(1,IF($E259&lt;=cc_D,0.0035*($E259-Z$12)/$E259,0.002*($E259-Z$12)/($E259-3*cc_D/7))/0.002)))^2)</f>
        <v/>
      </c>
      <c r="AA259">
        <f>MAX(-fyd_cc,MIN(fyd_cc,Es_cc*IF($E259&lt;=cc_D,0.0035*($E259-AA$12)/$E259,0.002*($E259-AA$12)/($E259-3*cc_D/7))))-fcd_cc*(1-(1-MAX(0,MIN(1,IF($E259&lt;=cc_D,0.0035*($E259-AA$12)/$E259,0.002*($E259-AA$12)/($E259-3*cc_D/7))/0.002)))^2)</f>
        <v/>
      </c>
      <c r="AB259">
        <f>MAX(-fyd_cc,MIN(fyd_cc,Es_cc*IF($E259&lt;=cc_D,0.0035*($E259-AB$12)/$E259,0.002*($E259-AB$12)/($E259-3*cc_D/7))))-fcd_cc*(1-(1-MAX(0,MIN(1,IF($E259&lt;=cc_D,0.0035*($E259-AB$12)/$E259,0.002*($E259-AB$12)/($E259-3*cc_D/7))/0.002)))^2)</f>
        <v/>
      </c>
      <c r="AC259">
        <f>MAX(-fyd_cc,MIN(fyd_cc,Es_cc*IF($E259&lt;=cc_D,0.0035*($E259-AC$12)/$E259,0.002*($E259-AC$12)/($E259-3*cc_D/7))))-fcd_cc*(1-(1-MAX(0,MIN(1,IF($E259&lt;=cc_D,0.0035*($E259-AC$12)/$E259,0.002*($E259-AC$12)/($E259-3*cc_D/7))/0.002)))^2)</f>
        <v/>
      </c>
      <c r="AD259">
        <f>MAX(-fyd_cc,MIN(fyd_cc,Es_cc*IF($E259&lt;=cc_D,0.0035*($E259-AD$12)/$E259,0.002*($E259-AD$12)/($E259-3*cc_D/7))))-fcd_cc*(1-(1-MAX(0,MIN(1,IF($E259&lt;=cc_D,0.0035*($E259-AD$12)/$E259,0.002*($E259-AD$12)/($E259-3*cc_D/7))/0.002)))^2)</f>
        <v/>
      </c>
      <c r="AE259">
        <f>MAX(-fyd_cc,MIN(fyd_cc,Es_cc*IF($E259&lt;=cc_D,0.0035*($E259-AE$12)/$E259,0.002*($E259-AE$12)/($E259-3*cc_D/7))))-fcd_cc*(1-(1-MAX(0,MIN(1,IF($E259&lt;=cc_D,0.0035*($E259-AE$12)/$E259,0.002*($E259-AE$12)/($E259-3*cc_D/7))/0.002)))^2)</f>
        <v/>
      </c>
      <c r="AF259">
        <f>MAX(-fyd_cc,MIN(fyd_cc,Es_cc*IF($E259&lt;=cc_D,0.0035*($E259-AF$12)/$E259,0.002*($E259-AF$12)/($E259-3*cc_D/7))))-fcd_cc*(1-(1-MAX(0,MIN(1,IF($E259&lt;=cc_D,0.0035*($E259-AF$12)/$E259,0.002*($E259-AF$12)/($E259-3*cc_D/7))/0.002)))^2)</f>
        <v/>
      </c>
      <c r="AG259">
        <f>MAX(-fyd_cc,MIN(fyd_cc,Es_cc*IF($E259&lt;=cc_D,0.0035*($E259-AG$12)/$E259,0.002*($E259-AG$12)/($E259-3*cc_D/7))))-fcd_cc*(1-(1-MAX(0,MIN(1,IF($E259&lt;=cc_D,0.0035*($E259-AG$12)/$E259,0.002*($E259-AG$12)/($E259-3*cc_D/7))/0.002)))^2)</f>
        <v/>
      </c>
      <c r="BF259">
        <f>3*MIN($E259,cc_D)/7</f>
        <v/>
      </c>
      <c r="BG259">
        <f>$E259-$BF259</f>
        <v/>
      </c>
      <c r="BH259">
        <f>ACOS(MAX(-1,MIN(1,1-$BF259/(cc_D/2))))</f>
        <v/>
      </c>
      <c r="BI259">
        <f>ACOS(MAX(-1,MIN(1,1-MIN($E259,cc_D)/(cc_D/2))))</f>
        <v/>
      </c>
      <c r="BJ259">
        <f>((cc_D/2*(1-COS(($BH259+0*($BI259-$BH259)/12)))-$BF259)/$BG259)^2*SIN(($BH259+0*($BI259-$BH259)/12))^2</f>
        <v/>
      </c>
      <c r="BK259">
        <f>((cc_D/2*(1-COS(($BH259+1*($BI259-$BH259)/12)))-$BF259)/$BG259)^2*SIN(($BH259+1*($BI259-$BH259)/12))^2</f>
        <v/>
      </c>
      <c r="BL259">
        <f>((cc_D/2*(1-COS(($BH259+2*($BI259-$BH259)/12)))-$BF259)/$BG259)^2*SIN(($BH259+2*($BI259-$BH259)/12))^2</f>
        <v/>
      </c>
      <c r="BM259">
        <f>((cc_D/2*(1-COS(($BH259+3*($BI259-$BH259)/12)))-$BF259)/$BG259)^2*SIN(($BH259+3*($BI259-$BH259)/12))^2</f>
        <v/>
      </c>
      <c r="BN259">
        <f>((cc_D/2*(1-COS(($BH259+4*($BI259-$BH259)/12)))-$BF259)/$BG259)^2*SIN(($BH259+4*($BI259-$BH259)/12))^2</f>
        <v/>
      </c>
      <c r="BO259">
        <f>((cc_D/2*(1-COS(($BH259+5*($BI259-$BH259)/12)))-$BF259)/$BG259)^2*SIN(($BH259+5*($BI259-$BH259)/12))^2</f>
        <v/>
      </c>
      <c r="BP259">
        <f>((cc_D/2*(1-COS(($BH259+6*($BI259-$BH259)/12)))-$BF259)/$BG259)^2*SIN(($BH259+6*($BI259-$BH259)/12))^2</f>
        <v/>
      </c>
      <c r="BQ259">
        <f>((cc_D/2*(1-COS(($BH259+7*($BI259-$BH259)/12)))-$BF259)/$BG259)^2*SIN(($BH259+7*($BI259-$BH259)/12))^2</f>
        <v/>
      </c>
      <c r="BR259">
        <f>((cc_D/2*(1-COS(($BH259+8*($BI259-$BH259)/12)))-$BF259)/$BG259)^2*SIN(($BH259+8*($BI259-$BH259)/12))^2</f>
        <v/>
      </c>
      <c r="BS259">
        <f>((cc_D/2*(1-COS(($BH259+9*($BI259-$BH259)/12)))-$BF259)/$BG259)^2*SIN(($BH259+9*($BI259-$BH259)/12))^2</f>
        <v/>
      </c>
      <c r="BT259">
        <f>((cc_D/2*(1-COS(($BH259+10*($BI259-$BH259)/12)))-$BF259)/$BG259)^2*SIN(($BH259+10*($BI259-$BH259)/12))^2</f>
        <v/>
      </c>
      <c r="BU259">
        <f>((cc_D/2*(1-COS(($BH259+11*($BI259-$BH259)/12)))-$BF259)/$BG259)^2*SIN(($BH259+11*($BI259-$BH259)/12))^2</f>
        <v/>
      </c>
      <c r="BV259">
        <f>((cc_D/2*(1-COS(($BH259+12*($BI259-$BH259)/12)))-$BF259)/$BG259)^2*SIN(($BH259+12*($BI259-$BH259)/12))^2</f>
        <v/>
      </c>
      <c r="BW259">
        <f>BJ259*COS(($BH259+0*($BI259-$BH259)/12))</f>
        <v/>
      </c>
      <c r="BX259">
        <f>BK259*COS(($BH259+1*($BI259-$BH259)/12))</f>
        <v/>
      </c>
      <c r="BY259">
        <f>BL259*COS(($BH259+2*($BI259-$BH259)/12))</f>
        <v/>
      </c>
      <c r="BZ259">
        <f>BM259*COS(($BH259+3*($BI259-$BH259)/12))</f>
        <v/>
      </c>
      <c r="CA259">
        <f>BN259*COS(($BH259+4*($BI259-$BH259)/12))</f>
        <v/>
      </c>
      <c r="CB259">
        <f>BO259*COS(($BH259+5*($BI259-$BH259)/12))</f>
        <v/>
      </c>
      <c r="CC259">
        <f>BP259*COS(($BH259+6*($BI259-$BH259)/12))</f>
        <v/>
      </c>
      <c r="CD259">
        <f>BQ259*COS(($BH259+7*($BI259-$BH259)/12))</f>
        <v/>
      </c>
      <c r="CE259">
        <f>BR259*COS(($BH259+8*($BI259-$BH259)/12))</f>
        <v/>
      </c>
      <c r="CF259">
        <f>BS259*COS(($BH259+9*($BI259-$BH259)/12))</f>
        <v/>
      </c>
      <c r="CG259">
        <f>BT259*COS(($BH259+10*($BI259-$BH259)/12))</f>
        <v/>
      </c>
      <c r="CH259">
        <f>BU259*COS(($BH259+11*($BI259-$BH259)/12))</f>
        <v/>
      </c>
      <c r="CI259">
        <f>BV259*COS(($BH259+12*($BI259-$BH259)/12))</f>
        <v/>
      </c>
    </row>
    <row r="260">
      <c r="B260" s="65" t="n">
        <v>45</v>
      </c>
      <c r="C260" s="66">
        <f>IF($G259&lt;cc_NEd-1E-9*ABS(cc_NEd),($C259+$D259)/2,$C259)</f>
        <v/>
      </c>
      <c r="D260" s="66">
        <f>IF($G259&lt;cc_NEd-1E-9*ABS(cc_NEd),$D259,($C259+$D259)/2)</f>
        <v/>
      </c>
      <c r="E260" s="67">
        <f>cc_D*(($C260+$D260)/2)/(1-(($C260+$D260)/2))</f>
        <v/>
      </c>
      <c r="F260" s="68">
        <f>IF($E260&lt;=cc_D,3.5,2*$E260/($E260-3*cc_D/7))</f>
        <v/>
      </c>
      <c r="G260" s="67">
        <f>(fcd_cc*((cc_D/2)^2*($BI260-COS($BI260)*SIN($BI260))-2*(cc_D/2)^2*($BI260-$BH260)/12/3*SUMPRODUCT($BJ$4:$BV$4,$BJ260:$BV260))+SUMPRODUCT($J$5:$AG$5,$J260:$AG260))/1000</f>
        <v/>
      </c>
      <c r="H260" s="67">
        <f>(fcd_cc*(2/3*(cc_D/2)^3*SIN($BI260)^3-2*(cc_D/2)^3*($BI260-$BH260)/12/3*SUMPRODUCT($BW$4:$CI$4,$BW260:$CI260))+SUMPRODUCT($J$5:$AG$5,$J260:$AG260,$J$13:$AG$13))/1E6</f>
        <v/>
      </c>
      <c r="I260" s="67">
        <f>SUMPRODUCT($J$5:$AG$5,$J260:$AG260,$J$14:$AG$14)/1E6</f>
        <v/>
      </c>
      <c r="J260">
        <f>MAX(-fyd_cc,MIN(fyd_cc,Es_cc*IF($E260&lt;=cc_D,0.0035*($E260-J$12)/$E260,0.002*($E260-J$12)/($E260-3*cc_D/7))))-fcd_cc*(1-(1-MAX(0,MIN(1,IF($E260&lt;=cc_D,0.0035*($E260-J$12)/$E260,0.002*($E260-J$12)/($E260-3*cc_D/7))/0.002)))^2)</f>
        <v/>
      </c>
      <c r="K260">
        <f>MAX(-fyd_cc,MIN(fyd_cc,Es_cc*IF($E260&lt;=cc_D,0.0035*($E260-K$12)/$E260,0.002*($E260-K$12)/($E260-3*cc_D/7))))-fcd_cc*(1-(1-MAX(0,MIN(1,IF($E260&lt;=cc_D,0.0035*($E260-K$12)/$E260,0.002*($E260-K$12)/($E260-3*cc_D/7))/0.002)))^2)</f>
        <v/>
      </c>
      <c r="L260">
        <f>MAX(-fyd_cc,MIN(fyd_cc,Es_cc*IF($E260&lt;=cc_D,0.0035*($E260-L$12)/$E260,0.002*($E260-L$12)/($E260-3*cc_D/7))))-fcd_cc*(1-(1-MAX(0,MIN(1,IF($E260&lt;=cc_D,0.0035*($E260-L$12)/$E260,0.002*($E260-L$12)/($E260-3*cc_D/7))/0.002)))^2)</f>
        <v/>
      </c>
      <c r="M260">
        <f>MAX(-fyd_cc,MIN(fyd_cc,Es_cc*IF($E260&lt;=cc_D,0.0035*($E260-M$12)/$E260,0.002*($E260-M$12)/($E260-3*cc_D/7))))-fcd_cc*(1-(1-MAX(0,MIN(1,IF($E260&lt;=cc_D,0.0035*($E260-M$12)/$E260,0.002*($E260-M$12)/($E260-3*cc_D/7))/0.002)))^2)</f>
        <v/>
      </c>
      <c r="N260">
        <f>MAX(-fyd_cc,MIN(fyd_cc,Es_cc*IF($E260&lt;=cc_D,0.0035*($E260-N$12)/$E260,0.002*($E260-N$12)/($E260-3*cc_D/7))))-fcd_cc*(1-(1-MAX(0,MIN(1,IF($E260&lt;=cc_D,0.0035*($E260-N$12)/$E260,0.002*($E260-N$12)/($E260-3*cc_D/7))/0.002)))^2)</f>
        <v/>
      </c>
      <c r="O260">
        <f>MAX(-fyd_cc,MIN(fyd_cc,Es_cc*IF($E260&lt;=cc_D,0.0035*($E260-O$12)/$E260,0.002*($E260-O$12)/($E260-3*cc_D/7))))-fcd_cc*(1-(1-MAX(0,MIN(1,IF($E260&lt;=cc_D,0.0035*($E260-O$12)/$E260,0.002*($E260-O$12)/($E260-3*cc_D/7))/0.002)))^2)</f>
        <v/>
      </c>
      <c r="P260">
        <f>MAX(-fyd_cc,MIN(fyd_cc,Es_cc*IF($E260&lt;=cc_D,0.0035*($E260-P$12)/$E260,0.002*($E260-P$12)/($E260-3*cc_D/7))))-fcd_cc*(1-(1-MAX(0,MIN(1,IF($E260&lt;=cc_D,0.0035*($E260-P$12)/$E260,0.002*($E260-P$12)/($E260-3*cc_D/7))/0.002)))^2)</f>
        <v/>
      </c>
      <c r="Q260">
        <f>MAX(-fyd_cc,MIN(fyd_cc,Es_cc*IF($E260&lt;=cc_D,0.0035*($E260-Q$12)/$E260,0.002*($E260-Q$12)/($E260-3*cc_D/7))))-fcd_cc*(1-(1-MAX(0,MIN(1,IF($E260&lt;=cc_D,0.0035*($E260-Q$12)/$E260,0.002*($E260-Q$12)/($E260-3*cc_D/7))/0.002)))^2)</f>
        <v/>
      </c>
      <c r="R260">
        <f>MAX(-fyd_cc,MIN(fyd_cc,Es_cc*IF($E260&lt;=cc_D,0.0035*($E260-R$12)/$E260,0.002*($E260-R$12)/($E260-3*cc_D/7))))-fcd_cc*(1-(1-MAX(0,MIN(1,IF($E260&lt;=cc_D,0.0035*($E260-R$12)/$E260,0.002*($E260-R$12)/($E260-3*cc_D/7))/0.002)))^2)</f>
        <v/>
      </c>
      <c r="S260">
        <f>MAX(-fyd_cc,MIN(fyd_cc,Es_cc*IF($E260&lt;=cc_D,0.0035*($E260-S$12)/$E260,0.002*($E260-S$12)/($E260-3*cc_D/7))))-fcd_cc*(1-(1-MAX(0,MIN(1,IF($E260&lt;=cc_D,0.0035*($E260-S$12)/$E260,0.002*($E260-S$12)/($E260-3*cc_D/7))/0.002)))^2)</f>
        <v/>
      </c>
      <c r="T260">
        <f>MAX(-fyd_cc,MIN(fyd_cc,Es_cc*IF($E260&lt;=cc_D,0.0035*($E260-T$12)/$E260,0.002*($E260-T$12)/($E260-3*cc_D/7))))-fcd_cc*(1-(1-MAX(0,MIN(1,IF($E260&lt;=cc_D,0.0035*($E260-T$12)/$E260,0.002*($E260-T$12)/($E260-3*cc_D/7))/0.002)))^2)</f>
        <v/>
      </c>
      <c r="U260">
        <f>MAX(-fyd_cc,MIN(fyd_cc,Es_cc*IF($E260&lt;=cc_D,0.0035*($E260-U$12)/$E260,0.002*($E260-U$12)/($E260-3*cc_D/7))))-fcd_cc*(1-(1-MAX(0,MIN(1,IF($E260&lt;=cc_D,0.0035*($E260-U$12)/$E260,0.002*($E260-U$12)/($E260-3*cc_D/7))/0.002)))^2)</f>
        <v/>
      </c>
      <c r="V260">
        <f>MAX(-fyd_cc,MIN(fyd_cc,Es_cc*IF($E260&lt;=cc_D,0.0035*($E260-V$12)/$E260,0.002*($E260-V$12)/($E260-3*cc_D/7))))-fcd_cc*(1-(1-MAX(0,MIN(1,IF($E260&lt;=cc_D,0.0035*($E260-V$12)/$E260,0.002*($E260-V$12)/($E260-3*cc_D/7))/0.002)))^2)</f>
        <v/>
      </c>
      <c r="W260">
        <f>MAX(-fyd_cc,MIN(fyd_cc,Es_cc*IF($E260&lt;=cc_D,0.0035*($E260-W$12)/$E260,0.002*($E260-W$12)/($E260-3*cc_D/7))))-fcd_cc*(1-(1-MAX(0,MIN(1,IF($E260&lt;=cc_D,0.0035*($E260-W$12)/$E260,0.002*($E260-W$12)/($E260-3*cc_D/7))/0.002)))^2)</f>
        <v/>
      </c>
      <c r="X260">
        <f>MAX(-fyd_cc,MIN(fyd_cc,Es_cc*IF($E260&lt;=cc_D,0.0035*($E260-X$12)/$E260,0.002*($E260-X$12)/($E260-3*cc_D/7))))-fcd_cc*(1-(1-MAX(0,MIN(1,IF($E260&lt;=cc_D,0.0035*($E260-X$12)/$E260,0.002*($E260-X$12)/($E260-3*cc_D/7))/0.002)))^2)</f>
        <v/>
      </c>
      <c r="Y260">
        <f>MAX(-fyd_cc,MIN(fyd_cc,Es_cc*IF($E260&lt;=cc_D,0.0035*($E260-Y$12)/$E260,0.002*($E260-Y$12)/($E260-3*cc_D/7))))-fcd_cc*(1-(1-MAX(0,MIN(1,IF($E260&lt;=cc_D,0.0035*($E260-Y$12)/$E260,0.002*($E260-Y$12)/($E260-3*cc_D/7))/0.002)))^2)</f>
        <v/>
      </c>
      <c r="Z260">
        <f>MAX(-fyd_cc,MIN(fyd_cc,Es_cc*IF($E260&lt;=cc_D,0.0035*($E260-Z$12)/$E260,0.002*($E260-Z$12)/($E260-3*cc_D/7))))-fcd_cc*(1-(1-MAX(0,MIN(1,IF($E260&lt;=cc_D,0.0035*($E260-Z$12)/$E260,0.002*($E260-Z$12)/($E260-3*cc_D/7))/0.002)))^2)</f>
        <v/>
      </c>
      <c r="AA260">
        <f>MAX(-fyd_cc,MIN(fyd_cc,Es_cc*IF($E260&lt;=cc_D,0.0035*($E260-AA$12)/$E260,0.002*($E260-AA$12)/($E260-3*cc_D/7))))-fcd_cc*(1-(1-MAX(0,MIN(1,IF($E260&lt;=cc_D,0.0035*($E260-AA$12)/$E260,0.002*($E260-AA$12)/($E260-3*cc_D/7))/0.002)))^2)</f>
        <v/>
      </c>
      <c r="AB260">
        <f>MAX(-fyd_cc,MIN(fyd_cc,Es_cc*IF($E260&lt;=cc_D,0.0035*($E260-AB$12)/$E260,0.002*($E260-AB$12)/($E260-3*cc_D/7))))-fcd_cc*(1-(1-MAX(0,MIN(1,IF($E260&lt;=cc_D,0.0035*($E260-AB$12)/$E260,0.002*($E260-AB$12)/($E260-3*cc_D/7))/0.002)))^2)</f>
        <v/>
      </c>
      <c r="AC260">
        <f>MAX(-fyd_cc,MIN(fyd_cc,Es_cc*IF($E260&lt;=cc_D,0.0035*($E260-AC$12)/$E260,0.002*($E260-AC$12)/($E260-3*cc_D/7))))-fcd_cc*(1-(1-MAX(0,MIN(1,IF($E260&lt;=cc_D,0.0035*($E260-AC$12)/$E260,0.002*($E260-AC$12)/($E260-3*cc_D/7))/0.002)))^2)</f>
        <v/>
      </c>
      <c r="AD260">
        <f>MAX(-fyd_cc,MIN(fyd_cc,Es_cc*IF($E260&lt;=cc_D,0.0035*($E260-AD$12)/$E260,0.002*($E260-AD$12)/($E260-3*cc_D/7))))-fcd_cc*(1-(1-MAX(0,MIN(1,IF($E260&lt;=cc_D,0.0035*($E260-AD$12)/$E260,0.002*($E260-AD$12)/($E260-3*cc_D/7))/0.002)))^2)</f>
        <v/>
      </c>
      <c r="AE260">
        <f>MAX(-fyd_cc,MIN(fyd_cc,Es_cc*IF($E260&lt;=cc_D,0.0035*($E260-AE$12)/$E260,0.002*($E260-AE$12)/($E260-3*cc_D/7))))-fcd_cc*(1-(1-MAX(0,MIN(1,IF($E260&lt;=cc_D,0.0035*($E260-AE$12)/$E260,0.002*($E260-AE$12)/($E260-3*cc_D/7))/0.002)))^2)</f>
        <v/>
      </c>
      <c r="AF260">
        <f>MAX(-fyd_cc,MIN(fyd_cc,Es_cc*IF($E260&lt;=cc_D,0.0035*($E260-AF$12)/$E260,0.002*($E260-AF$12)/($E260-3*cc_D/7))))-fcd_cc*(1-(1-MAX(0,MIN(1,IF($E260&lt;=cc_D,0.0035*($E260-AF$12)/$E260,0.002*($E260-AF$12)/($E260-3*cc_D/7))/0.002)))^2)</f>
        <v/>
      </c>
      <c r="AG260">
        <f>MAX(-fyd_cc,MIN(fyd_cc,Es_cc*IF($E260&lt;=cc_D,0.0035*($E260-AG$12)/$E260,0.002*($E260-AG$12)/($E260-3*cc_D/7))))-fcd_cc*(1-(1-MAX(0,MIN(1,IF($E260&lt;=cc_D,0.0035*($E260-AG$12)/$E260,0.002*($E260-AG$12)/($E260-3*cc_D/7))/0.002)))^2)</f>
        <v/>
      </c>
      <c r="BF260">
        <f>3*MIN($E260,cc_D)/7</f>
        <v/>
      </c>
      <c r="BG260">
        <f>$E260-$BF260</f>
        <v/>
      </c>
      <c r="BH260">
        <f>ACOS(MAX(-1,MIN(1,1-$BF260/(cc_D/2))))</f>
        <v/>
      </c>
      <c r="BI260">
        <f>ACOS(MAX(-1,MIN(1,1-MIN($E260,cc_D)/(cc_D/2))))</f>
        <v/>
      </c>
      <c r="BJ260">
        <f>((cc_D/2*(1-COS(($BH260+0*($BI260-$BH260)/12)))-$BF260)/$BG260)^2*SIN(($BH260+0*($BI260-$BH260)/12))^2</f>
        <v/>
      </c>
      <c r="BK260">
        <f>((cc_D/2*(1-COS(($BH260+1*($BI260-$BH260)/12)))-$BF260)/$BG260)^2*SIN(($BH260+1*($BI260-$BH260)/12))^2</f>
        <v/>
      </c>
      <c r="BL260">
        <f>((cc_D/2*(1-COS(($BH260+2*($BI260-$BH260)/12)))-$BF260)/$BG260)^2*SIN(($BH260+2*($BI260-$BH260)/12))^2</f>
        <v/>
      </c>
      <c r="BM260">
        <f>((cc_D/2*(1-COS(($BH260+3*($BI260-$BH260)/12)))-$BF260)/$BG260)^2*SIN(($BH260+3*($BI260-$BH260)/12))^2</f>
        <v/>
      </c>
      <c r="BN260">
        <f>((cc_D/2*(1-COS(($BH260+4*($BI260-$BH260)/12)))-$BF260)/$BG260)^2*SIN(($BH260+4*($BI260-$BH260)/12))^2</f>
        <v/>
      </c>
      <c r="BO260">
        <f>((cc_D/2*(1-COS(($BH260+5*($BI260-$BH260)/12)))-$BF260)/$BG260)^2*SIN(($BH260+5*($BI260-$BH260)/12))^2</f>
        <v/>
      </c>
      <c r="BP260">
        <f>((cc_D/2*(1-COS(($BH260+6*($BI260-$BH260)/12)))-$BF260)/$BG260)^2*SIN(($BH260+6*($BI260-$BH260)/12))^2</f>
        <v/>
      </c>
      <c r="BQ260">
        <f>((cc_D/2*(1-COS(($BH260+7*($BI260-$BH260)/12)))-$BF260)/$BG260)^2*SIN(($BH260+7*($BI260-$BH260)/12))^2</f>
        <v/>
      </c>
      <c r="BR260">
        <f>((cc_D/2*(1-COS(($BH260+8*($BI260-$BH260)/12)))-$BF260)/$BG260)^2*SIN(($BH260+8*($BI260-$BH260)/12))^2</f>
        <v/>
      </c>
      <c r="BS260">
        <f>((cc_D/2*(1-COS(($BH260+9*($BI260-$BH260)/12)))-$BF260)/$BG260)^2*SIN(($BH260+9*($BI260-$BH260)/12))^2</f>
        <v/>
      </c>
      <c r="BT260">
        <f>((cc_D/2*(1-COS(($BH260+10*($BI260-$BH260)/12)))-$BF260)/$BG260)^2*SIN(($BH260+10*($BI260-$BH260)/12))^2</f>
        <v/>
      </c>
      <c r="BU260">
        <f>((cc_D/2*(1-COS(($BH260+11*($BI260-$BH260)/12)))-$BF260)/$BG260)^2*SIN(($BH260+11*($BI260-$BH260)/12))^2</f>
        <v/>
      </c>
      <c r="BV260">
        <f>((cc_D/2*(1-COS(($BH260+12*($BI260-$BH260)/12)))-$BF260)/$BG260)^2*SIN(($BH260+12*($BI260-$BH260)/12))^2</f>
        <v/>
      </c>
      <c r="BW260">
        <f>BJ260*COS(($BH260+0*($BI260-$BH260)/12))</f>
        <v/>
      </c>
      <c r="BX260">
        <f>BK260*COS(($BH260+1*($BI260-$BH260)/12))</f>
        <v/>
      </c>
      <c r="BY260">
        <f>BL260*COS(($BH260+2*($BI260-$BH260)/12))</f>
        <v/>
      </c>
      <c r="BZ260">
        <f>BM260*COS(($BH260+3*($BI260-$BH260)/12))</f>
        <v/>
      </c>
      <c r="CA260">
        <f>BN260*COS(($BH260+4*($BI260-$BH260)/12))</f>
        <v/>
      </c>
      <c r="CB260">
        <f>BO260*COS(($BH260+5*($BI260-$BH260)/12))</f>
        <v/>
      </c>
      <c r="CC260">
        <f>BP260*COS(($BH260+6*($BI260-$BH260)/12))</f>
        <v/>
      </c>
      <c r="CD260">
        <f>BQ260*COS(($BH260+7*($BI260-$BH260)/12))</f>
        <v/>
      </c>
      <c r="CE260">
        <f>BR260*COS(($BH260+8*($BI260-$BH260)/12))</f>
        <v/>
      </c>
      <c r="CF260">
        <f>BS260*COS(($BH260+9*($BI260-$BH260)/12))</f>
        <v/>
      </c>
      <c r="CG260">
        <f>BT260*COS(($BH260+10*($BI260-$BH260)/12))</f>
        <v/>
      </c>
      <c r="CH260">
        <f>BU260*COS(($BH260+11*($BI260-$BH260)/12))</f>
        <v/>
      </c>
      <c r="CI260">
        <f>BV260*COS(($BH260+12*($BI260-$BH260)/12))</f>
        <v/>
      </c>
    </row>
    <row r="261">
      <c r="B261" s="65" t="n">
        <v>46</v>
      </c>
      <c r="C261" s="66">
        <f>IF($G260&lt;cc_NEd-1E-9*ABS(cc_NEd),($C260+$D260)/2,$C260)</f>
        <v/>
      </c>
      <c r="D261" s="66">
        <f>IF($G260&lt;cc_NEd-1E-9*ABS(cc_NEd),$D260,($C260+$D260)/2)</f>
        <v/>
      </c>
      <c r="E261" s="67">
        <f>cc_D*(($C261+$D261)/2)/(1-(($C261+$D261)/2))</f>
        <v/>
      </c>
      <c r="F261" s="68">
        <f>IF($E261&lt;=cc_D,3.5,2*$E261/($E261-3*cc_D/7))</f>
        <v/>
      </c>
      <c r="G261" s="67">
        <f>(fcd_cc*((cc_D/2)^2*($BI261-COS($BI261)*SIN($BI261))-2*(cc_D/2)^2*($BI261-$BH261)/12/3*SUMPRODUCT($BJ$4:$BV$4,$BJ261:$BV261))+SUMPRODUCT($J$5:$AG$5,$J261:$AG261))/1000</f>
        <v/>
      </c>
      <c r="H261" s="67">
        <f>(fcd_cc*(2/3*(cc_D/2)^3*SIN($BI261)^3-2*(cc_D/2)^3*($BI261-$BH261)/12/3*SUMPRODUCT($BW$4:$CI$4,$BW261:$CI261))+SUMPRODUCT($J$5:$AG$5,$J261:$AG261,$J$13:$AG$13))/1E6</f>
        <v/>
      </c>
      <c r="I261" s="67">
        <f>SUMPRODUCT($J$5:$AG$5,$J261:$AG261,$J$14:$AG$14)/1E6</f>
        <v/>
      </c>
      <c r="J261">
        <f>MAX(-fyd_cc,MIN(fyd_cc,Es_cc*IF($E261&lt;=cc_D,0.0035*($E261-J$12)/$E261,0.002*($E261-J$12)/($E261-3*cc_D/7))))-fcd_cc*(1-(1-MAX(0,MIN(1,IF($E261&lt;=cc_D,0.0035*($E261-J$12)/$E261,0.002*($E261-J$12)/($E261-3*cc_D/7))/0.002)))^2)</f>
        <v/>
      </c>
      <c r="K261">
        <f>MAX(-fyd_cc,MIN(fyd_cc,Es_cc*IF($E261&lt;=cc_D,0.0035*($E261-K$12)/$E261,0.002*($E261-K$12)/($E261-3*cc_D/7))))-fcd_cc*(1-(1-MAX(0,MIN(1,IF($E261&lt;=cc_D,0.0035*($E261-K$12)/$E261,0.002*($E261-K$12)/($E261-3*cc_D/7))/0.002)))^2)</f>
        <v/>
      </c>
      <c r="L261">
        <f>MAX(-fyd_cc,MIN(fyd_cc,Es_cc*IF($E261&lt;=cc_D,0.0035*($E261-L$12)/$E261,0.002*($E261-L$12)/($E261-3*cc_D/7))))-fcd_cc*(1-(1-MAX(0,MIN(1,IF($E261&lt;=cc_D,0.0035*($E261-L$12)/$E261,0.002*($E261-L$12)/($E261-3*cc_D/7))/0.002)))^2)</f>
        <v/>
      </c>
      <c r="M261">
        <f>MAX(-fyd_cc,MIN(fyd_cc,Es_cc*IF($E261&lt;=cc_D,0.0035*($E261-M$12)/$E261,0.002*($E261-M$12)/($E261-3*cc_D/7))))-fcd_cc*(1-(1-MAX(0,MIN(1,IF($E261&lt;=cc_D,0.0035*($E261-M$12)/$E261,0.002*($E261-M$12)/($E261-3*cc_D/7))/0.002)))^2)</f>
        <v/>
      </c>
      <c r="N261">
        <f>MAX(-fyd_cc,MIN(fyd_cc,Es_cc*IF($E261&lt;=cc_D,0.0035*($E261-N$12)/$E261,0.002*($E261-N$12)/($E261-3*cc_D/7))))-fcd_cc*(1-(1-MAX(0,MIN(1,IF($E261&lt;=cc_D,0.0035*($E261-N$12)/$E261,0.002*($E261-N$12)/($E261-3*cc_D/7))/0.002)))^2)</f>
        <v/>
      </c>
      <c r="O261">
        <f>MAX(-fyd_cc,MIN(fyd_cc,Es_cc*IF($E261&lt;=cc_D,0.0035*($E261-O$12)/$E261,0.002*($E261-O$12)/($E261-3*cc_D/7))))-fcd_cc*(1-(1-MAX(0,MIN(1,IF($E261&lt;=cc_D,0.0035*($E261-O$12)/$E261,0.002*($E261-O$12)/($E261-3*cc_D/7))/0.002)))^2)</f>
        <v/>
      </c>
      <c r="P261">
        <f>MAX(-fyd_cc,MIN(fyd_cc,Es_cc*IF($E261&lt;=cc_D,0.0035*($E261-P$12)/$E261,0.002*($E261-P$12)/($E261-3*cc_D/7))))-fcd_cc*(1-(1-MAX(0,MIN(1,IF($E261&lt;=cc_D,0.0035*($E261-P$12)/$E261,0.002*($E261-P$12)/($E261-3*cc_D/7))/0.002)))^2)</f>
        <v/>
      </c>
      <c r="Q261">
        <f>MAX(-fyd_cc,MIN(fyd_cc,Es_cc*IF($E261&lt;=cc_D,0.0035*($E261-Q$12)/$E261,0.002*($E261-Q$12)/($E261-3*cc_D/7))))-fcd_cc*(1-(1-MAX(0,MIN(1,IF($E261&lt;=cc_D,0.0035*($E261-Q$12)/$E261,0.002*($E261-Q$12)/($E261-3*cc_D/7))/0.002)))^2)</f>
        <v/>
      </c>
      <c r="R261">
        <f>MAX(-fyd_cc,MIN(fyd_cc,Es_cc*IF($E261&lt;=cc_D,0.0035*($E261-R$12)/$E261,0.002*($E261-R$12)/($E261-3*cc_D/7))))-fcd_cc*(1-(1-MAX(0,MIN(1,IF($E261&lt;=cc_D,0.0035*($E261-R$12)/$E261,0.002*($E261-R$12)/($E261-3*cc_D/7))/0.002)))^2)</f>
        <v/>
      </c>
      <c r="S261">
        <f>MAX(-fyd_cc,MIN(fyd_cc,Es_cc*IF($E261&lt;=cc_D,0.0035*($E261-S$12)/$E261,0.002*($E261-S$12)/($E261-3*cc_D/7))))-fcd_cc*(1-(1-MAX(0,MIN(1,IF($E261&lt;=cc_D,0.0035*($E261-S$12)/$E261,0.002*($E261-S$12)/($E261-3*cc_D/7))/0.002)))^2)</f>
        <v/>
      </c>
      <c r="T261">
        <f>MAX(-fyd_cc,MIN(fyd_cc,Es_cc*IF($E261&lt;=cc_D,0.0035*($E261-T$12)/$E261,0.002*($E261-T$12)/($E261-3*cc_D/7))))-fcd_cc*(1-(1-MAX(0,MIN(1,IF($E261&lt;=cc_D,0.0035*($E261-T$12)/$E261,0.002*($E261-T$12)/($E261-3*cc_D/7))/0.002)))^2)</f>
        <v/>
      </c>
      <c r="U261">
        <f>MAX(-fyd_cc,MIN(fyd_cc,Es_cc*IF($E261&lt;=cc_D,0.0035*($E261-U$12)/$E261,0.002*($E261-U$12)/($E261-3*cc_D/7))))-fcd_cc*(1-(1-MAX(0,MIN(1,IF($E261&lt;=cc_D,0.0035*($E261-U$12)/$E261,0.002*($E261-U$12)/($E261-3*cc_D/7))/0.002)))^2)</f>
        <v/>
      </c>
      <c r="V261">
        <f>MAX(-fyd_cc,MIN(fyd_cc,Es_cc*IF($E261&lt;=cc_D,0.0035*($E261-V$12)/$E261,0.002*($E261-V$12)/($E261-3*cc_D/7))))-fcd_cc*(1-(1-MAX(0,MIN(1,IF($E261&lt;=cc_D,0.0035*($E261-V$12)/$E261,0.002*($E261-V$12)/($E261-3*cc_D/7))/0.002)))^2)</f>
        <v/>
      </c>
      <c r="W261">
        <f>MAX(-fyd_cc,MIN(fyd_cc,Es_cc*IF($E261&lt;=cc_D,0.0035*($E261-W$12)/$E261,0.002*($E261-W$12)/($E261-3*cc_D/7))))-fcd_cc*(1-(1-MAX(0,MIN(1,IF($E261&lt;=cc_D,0.0035*($E261-W$12)/$E261,0.002*($E261-W$12)/($E261-3*cc_D/7))/0.002)))^2)</f>
        <v/>
      </c>
      <c r="X261">
        <f>MAX(-fyd_cc,MIN(fyd_cc,Es_cc*IF($E261&lt;=cc_D,0.0035*($E261-X$12)/$E261,0.002*($E261-X$12)/($E261-3*cc_D/7))))-fcd_cc*(1-(1-MAX(0,MIN(1,IF($E261&lt;=cc_D,0.0035*($E261-X$12)/$E261,0.002*($E261-X$12)/($E261-3*cc_D/7))/0.002)))^2)</f>
        <v/>
      </c>
      <c r="Y261">
        <f>MAX(-fyd_cc,MIN(fyd_cc,Es_cc*IF($E261&lt;=cc_D,0.0035*($E261-Y$12)/$E261,0.002*($E261-Y$12)/($E261-3*cc_D/7))))-fcd_cc*(1-(1-MAX(0,MIN(1,IF($E261&lt;=cc_D,0.0035*($E261-Y$12)/$E261,0.002*($E261-Y$12)/($E261-3*cc_D/7))/0.002)))^2)</f>
        <v/>
      </c>
      <c r="Z261">
        <f>MAX(-fyd_cc,MIN(fyd_cc,Es_cc*IF($E261&lt;=cc_D,0.0035*($E261-Z$12)/$E261,0.002*($E261-Z$12)/($E261-3*cc_D/7))))-fcd_cc*(1-(1-MAX(0,MIN(1,IF($E261&lt;=cc_D,0.0035*($E261-Z$12)/$E261,0.002*($E261-Z$12)/($E261-3*cc_D/7))/0.002)))^2)</f>
        <v/>
      </c>
      <c r="AA261">
        <f>MAX(-fyd_cc,MIN(fyd_cc,Es_cc*IF($E261&lt;=cc_D,0.0035*($E261-AA$12)/$E261,0.002*($E261-AA$12)/($E261-3*cc_D/7))))-fcd_cc*(1-(1-MAX(0,MIN(1,IF($E261&lt;=cc_D,0.0035*($E261-AA$12)/$E261,0.002*($E261-AA$12)/($E261-3*cc_D/7))/0.002)))^2)</f>
        <v/>
      </c>
      <c r="AB261">
        <f>MAX(-fyd_cc,MIN(fyd_cc,Es_cc*IF($E261&lt;=cc_D,0.0035*($E261-AB$12)/$E261,0.002*($E261-AB$12)/($E261-3*cc_D/7))))-fcd_cc*(1-(1-MAX(0,MIN(1,IF($E261&lt;=cc_D,0.0035*($E261-AB$12)/$E261,0.002*($E261-AB$12)/($E261-3*cc_D/7))/0.002)))^2)</f>
        <v/>
      </c>
      <c r="AC261">
        <f>MAX(-fyd_cc,MIN(fyd_cc,Es_cc*IF($E261&lt;=cc_D,0.0035*($E261-AC$12)/$E261,0.002*($E261-AC$12)/($E261-3*cc_D/7))))-fcd_cc*(1-(1-MAX(0,MIN(1,IF($E261&lt;=cc_D,0.0035*($E261-AC$12)/$E261,0.002*($E261-AC$12)/($E261-3*cc_D/7))/0.002)))^2)</f>
        <v/>
      </c>
      <c r="AD261">
        <f>MAX(-fyd_cc,MIN(fyd_cc,Es_cc*IF($E261&lt;=cc_D,0.0035*($E261-AD$12)/$E261,0.002*($E261-AD$12)/($E261-3*cc_D/7))))-fcd_cc*(1-(1-MAX(0,MIN(1,IF($E261&lt;=cc_D,0.0035*($E261-AD$12)/$E261,0.002*($E261-AD$12)/($E261-3*cc_D/7))/0.002)))^2)</f>
        <v/>
      </c>
      <c r="AE261">
        <f>MAX(-fyd_cc,MIN(fyd_cc,Es_cc*IF($E261&lt;=cc_D,0.0035*($E261-AE$12)/$E261,0.002*($E261-AE$12)/($E261-3*cc_D/7))))-fcd_cc*(1-(1-MAX(0,MIN(1,IF($E261&lt;=cc_D,0.0035*($E261-AE$12)/$E261,0.002*($E261-AE$12)/($E261-3*cc_D/7))/0.002)))^2)</f>
        <v/>
      </c>
      <c r="AF261">
        <f>MAX(-fyd_cc,MIN(fyd_cc,Es_cc*IF($E261&lt;=cc_D,0.0035*($E261-AF$12)/$E261,0.002*($E261-AF$12)/($E261-3*cc_D/7))))-fcd_cc*(1-(1-MAX(0,MIN(1,IF($E261&lt;=cc_D,0.0035*($E261-AF$12)/$E261,0.002*($E261-AF$12)/($E261-3*cc_D/7))/0.002)))^2)</f>
        <v/>
      </c>
      <c r="AG261">
        <f>MAX(-fyd_cc,MIN(fyd_cc,Es_cc*IF($E261&lt;=cc_D,0.0035*($E261-AG$12)/$E261,0.002*($E261-AG$12)/($E261-3*cc_D/7))))-fcd_cc*(1-(1-MAX(0,MIN(1,IF($E261&lt;=cc_D,0.0035*($E261-AG$12)/$E261,0.002*($E261-AG$12)/($E261-3*cc_D/7))/0.002)))^2)</f>
        <v/>
      </c>
      <c r="BF261">
        <f>3*MIN($E261,cc_D)/7</f>
        <v/>
      </c>
      <c r="BG261">
        <f>$E261-$BF261</f>
        <v/>
      </c>
      <c r="BH261">
        <f>ACOS(MAX(-1,MIN(1,1-$BF261/(cc_D/2))))</f>
        <v/>
      </c>
      <c r="BI261">
        <f>ACOS(MAX(-1,MIN(1,1-MIN($E261,cc_D)/(cc_D/2))))</f>
        <v/>
      </c>
      <c r="BJ261">
        <f>((cc_D/2*(1-COS(($BH261+0*($BI261-$BH261)/12)))-$BF261)/$BG261)^2*SIN(($BH261+0*($BI261-$BH261)/12))^2</f>
        <v/>
      </c>
      <c r="BK261">
        <f>((cc_D/2*(1-COS(($BH261+1*($BI261-$BH261)/12)))-$BF261)/$BG261)^2*SIN(($BH261+1*($BI261-$BH261)/12))^2</f>
        <v/>
      </c>
      <c r="BL261">
        <f>((cc_D/2*(1-COS(($BH261+2*($BI261-$BH261)/12)))-$BF261)/$BG261)^2*SIN(($BH261+2*($BI261-$BH261)/12))^2</f>
        <v/>
      </c>
      <c r="BM261">
        <f>((cc_D/2*(1-COS(($BH261+3*($BI261-$BH261)/12)))-$BF261)/$BG261)^2*SIN(($BH261+3*($BI261-$BH261)/12))^2</f>
        <v/>
      </c>
      <c r="BN261">
        <f>((cc_D/2*(1-COS(($BH261+4*($BI261-$BH261)/12)))-$BF261)/$BG261)^2*SIN(($BH261+4*($BI261-$BH261)/12))^2</f>
        <v/>
      </c>
      <c r="BO261">
        <f>((cc_D/2*(1-COS(($BH261+5*($BI261-$BH261)/12)))-$BF261)/$BG261)^2*SIN(($BH261+5*($BI261-$BH261)/12))^2</f>
        <v/>
      </c>
      <c r="BP261">
        <f>((cc_D/2*(1-COS(($BH261+6*($BI261-$BH261)/12)))-$BF261)/$BG261)^2*SIN(($BH261+6*($BI261-$BH261)/12))^2</f>
        <v/>
      </c>
      <c r="BQ261">
        <f>((cc_D/2*(1-COS(($BH261+7*($BI261-$BH261)/12)))-$BF261)/$BG261)^2*SIN(($BH261+7*($BI261-$BH261)/12))^2</f>
        <v/>
      </c>
      <c r="BR261">
        <f>((cc_D/2*(1-COS(($BH261+8*($BI261-$BH261)/12)))-$BF261)/$BG261)^2*SIN(($BH261+8*($BI261-$BH261)/12))^2</f>
        <v/>
      </c>
      <c r="BS261">
        <f>((cc_D/2*(1-COS(($BH261+9*($BI261-$BH261)/12)))-$BF261)/$BG261)^2*SIN(($BH261+9*($BI261-$BH261)/12))^2</f>
        <v/>
      </c>
      <c r="BT261">
        <f>((cc_D/2*(1-COS(($BH261+10*($BI261-$BH261)/12)))-$BF261)/$BG261)^2*SIN(($BH261+10*($BI261-$BH261)/12))^2</f>
        <v/>
      </c>
      <c r="BU261">
        <f>((cc_D/2*(1-COS(($BH261+11*($BI261-$BH261)/12)))-$BF261)/$BG261)^2*SIN(($BH261+11*($BI261-$BH261)/12))^2</f>
        <v/>
      </c>
      <c r="BV261">
        <f>((cc_D/2*(1-COS(($BH261+12*($BI261-$BH261)/12)))-$BF261)/$BG261)^2*SIN(($BH261+12*($BI261-$BH261)/12))^2</f>
        <v/>
      </c>
      <c r="BW261">
        <f>BJ261*COS(($BH261+0*($BI261-$BH261)/12))</f>
        <v/>
      </c>
      <c r="BX261">
        <f>BK261*COS(($BH261+1*($BI261-$BH261)/12))</f>
        <v/>
      </c>
      <c r="BY261">
        <f>BL261*COS(($BH261+2*($BI261-$BH261)/12))</f>
        <v/>
      </c>
      <c r="BZ261">
        <f>BM261*COS(($BH261+3*($BI261-$BH261)/12))</f>
        <v/>
      </c>
      <c r="CA261">
        <f>BN261*COS(($BH261+4*($BI261-$BH261)/12))</f>
        <v/>
      </c>
      <c r="CB261">
        <f>BO261*COS(($BH261+5*($BI261-$BH261)/12))</f>
        <v/>
      </c>
      <c r="CC261">
        <f>BP261*COS(($BH261+6*($BI261-$BH261)/12))</f>
        <v/>
      </c>
      <c r="CD261">
        <f>BQ261*COS(($BH261+7*($BI261-$BH261)/12))</f>
        <v/>
      </c>
      <c r="CE261">
        <f>BR261*COS(($BH261+8*($BI261-$BH261)/12))</f>
        <v/>
      </c>
      <c r="CF261">
        <f>BS261*COS(($BH261+9*($BI261-$BH261)/12))</f>
        <v/>
      </c>
      <c r="CG261">
        <f>BT261*COS(($BH261+10*($BI261-$BH261)/12))</f>
        <v/>
      </c>
      <c r="CH261">
        <f>BU261*COS(($BH261+11*($BI261-$BH261)/12))</f>
        <v/>
      </c>
      <c r="CI261">
        <f>BV261*COS(($BH261+12*($BI261-$BH261)/12))</f>
        <v/>
      </c>
    </row>
    <row r="262">
      <c r="B262" s="65" t="n">
        <v>47</v>
      </c>
      <c r="C262" s="66">
        <f>IF($G261&lt;cc_NEd-1E-9*ABS(cc_NEd),($C261+$D261)/2,$C261)</f>
        <v/>
      </c>
      <c r="D262" s="66">
        <f>IF($G261&lt;cc_NEd-1E-9*ABS(cc_NEd),$D261,($C261+$D261)/2)</f>
        <v/>
      </c>
      <c r="E262" s="67">
        <f>cc_D*(($C262+$D262)/2)/(1-(($C262+$D262)/2))</f>
        <v/>
      </c>
      <c r="F262" s="68">
        <f>IF($E262&lt;=cc_D,3.5,2*$E262/($E262-3*cc_D/7))</f>
        <v/>
      </c>
      <c r="G262" s="67">
        <f>(fcd_cc*((cc_D/2)^2*($BI262-COS($BI262)*SIN($BI262))-2*(cc_D/2)^2*($BI262-$BH262)/12/3*SUMPRODUCT($BJ$4:$BV$4,$BJ262:$BV262))+SUMPRODUCT($J$5:$AG$5,$J262:$AG262))/1000</f>
        <v/>
      </c>
      <c r="H262" s="67">
        <f>(fcd_cc*(2/3*(cc_D/2)^3*SIN($BI262)^3-2*(cc_D/2)^3*($BI262-$BH262)/12/3*SUMPRODUCT($BW$4:$CI$4,$BW262:$CI262))+SUMPRODUCT($J$5:$AG$5,$J262:$AG262,$J$13:$AG$13))/1E6</f>
        <v/>
      </c>
      <c r="I262" s="67">
        <f>SUMPRODUCT($J$5:$AG$5,$J262:$AG262,$J$14:$AG$14)/1E6</f>
        <v/>
      </c>
      <c r="J262">
        <f>MAX(-fyd_cc,MIN(fyd_cc,Es_cc*IF($E262&lt;=cc_D,0.0035*($E262-J$12)/$E262,0.002*($E262-J$12)/($E262-3*cc_D/7))))-fcd_cc*(1-(1-MAX(0,MIN(1,IF($E262&lt;=cc_D,0.0035*($E262-J$12)/$E262,0.002*($E262-J$12)/($E262-3*cc_D/7))/0.002)))^2)</f>
        <v/>
      </c>
      <c r="K262">
        <f>MAX(-fyd_cc,MIN(fyd_cc,Es_cc*IF($E262&lt;=cc_D,0.0035*($E262-K$12)/$E262,0.002*($E262-K$12)/($E262-3*cc_D/7))))-fcd_cc*(1-(1-MAX(0,MIN(1,IF($E262&lt;=cc_D,0.0035*($E262-K$12)/$E262,0.002*($E262-K$12)/($E262-3*cc_D/7))/0.002)))^2)</f>
        <v/>
      </c>
      <c r="L262">
        <f>MAX(-fyd_cc,MIN(fyd_cc,Es_cc*IF($E262&lt;=cc_D,0.0035*($E262-L$12)/$E262,0.002*($E262-L$12)/($E262-3*cc_D/7))))-fcd_cc*(1-(1-MAX(0,MIN(1,IF($E262&lt;=cc_D,0.0035*($E262-L$12)/$E262,0.002*($E262-L$12)/($E262-3*cc_D/7))/0.002)))^2)</f>
        <v/>
      </c>
      <c r="M262">
        <f>MAX(-fyd_cc,MIN(fyd_cc,Es_cc*IF($E262&lt;=cc_D,0.0035*($E262-M$12)/$E262,0.002*($E262-M$12)/($E262-3*cc_D/7))))-fcd_cc*(1-(1-MAX(0,MIN(1,IF($E262&lt;=cc_D,0.0035*($E262-M$12)/$E262,0.002*($E262-M$12)/($E262-3*cc_D/7))/0.002)))^2)</f>
        <v/>
      </c>
      <c r="N262">
        <f>MAX(-fyd_cc,MIN(fyd_cc,Es_cc*IF($E262&lt;=cc_D,0.0035*($E262-N$12)/$E262,0.002*($E262-N$12)/($E262-3*cc_D/7))))-fcd_cc*(1-(1-MAX(0,MIN(1,IF($E262&lt;=cc_D,0.0035*($E262-N$12)/$E262,0.002*($E262-N$12)/($E262-3*cc_D/7))/0.002)))^2)</f>
        <v/>
      </c>
      <c r="O262">
        <f>MAX(-fyd_cc,MIN(fyd_cc,Es_cc*IF($E262&lt;=cc_D,0.0035*($E262-O$12)/$E262,0.002*($E262-O$12)/($E262-3*cc_D/7))))-fcd_cc*(1-(1-MAX(0,MIN(1,IF($E262&lt;=cc_D,0.0035*($E262-O$12)/$E262,0.002*($E262-O$12)/($E262-3*cc_D/7))/0.002)))^2)</f>
        <v/>
      </c>
      <c r="P262">
        <f>MAX(-fyd_cc,MIN(fyd_cc,Es_cc*IF($E262&lt;=cc_D,0.0035*($E262-P$12)/$E262,0.002*($E262-P$12)/($E262-3*cc_D/7))))-fcd_cc*(1-(1-MAX(0,MIN(1,IF($E262&lt;=cc_D,0.0035*($E262-P$12)/$E262,0.002*($E262-P$12)/($E262-3*cc_D/7))/0.002)))^2)</f>
        <v/>
      </c>
      <c r="Q262">
        <f>MAX(-fyd_cc,MIN(fyd_cc,Es_cc*IF($E262&lt;=cc_D,0.0035*($E262-Q$12)/$E262,0.002*($E262-Q$12)/($E262-3*cc_D/7))))-fcd_cc*(1-(1-MAX(0,MIN(1,IF($E262&lt;=cc_D,0.0035*($E262-Q$12)/$E262,0.002*($E262-Q$12)/($E262-3*cc_D/7))/0.002)))^2)</f>
        <v/>
      </c>
      <c r="R262">
        <f>MAX(-fyd_cc,MIN(fyd_cc,Es_cc*IF($E262&lt;=cc_D,0.0035*($E262-R$12)/$E262,0.002*($E262-R$12)/($E262-3*cc_D/7))))-fcd_cc*(1-(1-MAX(0,MIN(1,IF($E262&lt;=cc_D,0.0035*($E262-R$12)/$E262,0.002*($E262-R$12)/($E262-3*cc_D/7))/0.002)))^2)</f>
        <v/>
      </c>
      <c r="S262">
        <f>MAX(-fyd_cc,MIN(fyd_cc,Es_cc*IF($E262&lt;=cc_D,0.0035*($E262-S$12)/$E262,0.002*($E262-S$12)/($E262-3*cc_D/7))))-fcd_cc*(1-(1-MAX(0,MIN(1,IF($E262&lt;=cc_D,0.0035*($E262-S$12)/$E262,0.002*($E262-S$12)/($E262-3*cc_D/7))/0.002)))^2)</f>
        <v/>
      </c>
      <c r="T262">
        <f>MAX(-fyd_cc,MIN(fyd_cc,Es_cc*IF($E262&lt;=cc_D,0.0035*($E262-T$12)/$E262,0.002*($E262-T$12)/($E262-3*cc_D/7))))-fcd_cc*(1-(1-MAX(0,MIN(1,IF($E262&lt;=cc_D,0.0035*($E262-T$12)/$E262,0.002*($E262-T$12)/($E262-3*cc_D/7))/0.002)))^2)</f>
        <v/>
      </c>
      <c r="U262">
        <f>MAX(-fyd_cc,MIN(fyd_cc,Es_cc*IF($E262&lt;=cc_D,0.0035*($E262-U$12)/$E262,0.002*($E262-U$12)/($E262-3*cc_D/7))))-fcd_cc*(1-(1-MAX(0,MIN(1,IF($E262&lt;=cc_D,0.0035*($E262-U$12)/$E262,0.002*($E262-U$12)/($E262-3*cc_D/7))/0.002)))^2)</f>
        <v/>
      </c>
      <c r="V262">
        <f>MAX(-fyd_cc,MIN(fyd_cc,Es_cc*IF($E262&lt;=cc_D,0.0035*($E262-V$12)/$E262,0.002*($E262-V$12)/($E262-3*cc_D/7))))-fcd_cc*(1-(1-MAX(0,MIN(1,IF($E262&lt;=cc_D,0.0035*($E262-V$12)/$E262,0.002*($E262-V$12)/($E262-3*cc_D/7))/0.002)))^2)</f>
        <v/>
      </c>
      <c r="W262">
        <f>MAX(-fyd_cc,MIN(fyd_cc,Es_cc*IF($E262&lt;=cc_D,0.0035*($E262-W$12)/$E262,0.002*($E262-W$12)/($E262-3*cc_D/7))))-fcd_cc*(1-(1-MAX(0,MIN(1,IF($E262&lt;=cc_D,0.0035*($E262-W$12)/$E262,0.002*($E262-W$12)/($E262-3*cc_D/7))/0.002)))^2)</f>
        <v/>
      </c>
      <c r="X262">
        <f>MAX(-fyd_cc,MIN(fyd_cc,Es_cc*IF($E262&lt;=cc_D,0.0035*($E262-X$12)/$E262,0.002*($E262-X$12)/($E262-3*cc_D/7))))-fcd_cc*(1-(1-MAX(0,MIN(1,IF($E262&lt;=cc_D,0.0035*($E262-X$12)/$E262,0.002*($E262-X$12)/($E262-3*cc_D/7))/0.002)))^2)</f>
        <v/>
      </c>
      <c r="Y262">
        <f>MAX(-fyd_cc,MIN(fyd_cc,Es_cc*IF($E262&lt;=cc_D,0.0035*($E262-Y$12)/$E262,0.002*($E262-Y$12)/($E262-3*cc_D/7))))-fcd_cc*(1-(1-MAX(0,MIN(1,IF($E262&lt;=cc_D,0.0035*($E262-Y$12)/$E262,0.002*($E262-Y$12)/($E262-3*cc_D/7))/0.002)))^2)</f>
        <v/>
      </c>
      <c r="Z262">
        <f>MAX(-fyd_cc,MIN(fyd_cc,Es_cc*IF($E262&lt;=cc_D,0.0035*($E262-Z$12)/$E262,0.002*($E262-Z$12)/($E262-3*cc_D/7))))-fcd_cc*(1-(1-MAX(0,MIN(1,IF($E262&lt;=cc_D,0.0035*($E262-Z$12)/$E262,0.002*($E262-Z$12)/($E262-3*cc_D/7))/0.002)))^2)</f>
        <v/>
      </c>
      <c r="AA262">
        <f>MAX(-fyd_cc,MIN(fyd_cc,Es_cc*IF($E262&lt;=cc_D,0.0035*($E262-AA$12)/$E262,0.002*($E262-AA$12)/($E262-3*cc_D/7))))-fcd_cc*(1-(1-MAX(0,MIN(1,IF($E262&lt;=cc_D,0.0035*($E262-AA$12)/$E262,0.002*($E262-AA$12)/($E262-3*cc_D/7))/0.002)))^2)</f>
        <v/>
      </c>
      <c r="AB262">
        <f>MAX(-fyd_cc,MIN(fyd_cc,Es_cc*IF($E262&lt;=cc_D,0.0035*($E262-AB$12)/$E262,0.002*($E262-AB$12)/($E262-3*cc_D/7))))-fcd_cc*(1-(1-MAX(0,MIN(1,IF($E262&lt;=cc_D,0.0035*($E262-AB$12)/$E262,0.002*($E262-AB$12)/($E262-3*cc_D/7))/0.002)))^2)</f>
        <v/>
      </c>
      <c r="AC262">
        <f>MAX(-fyd_cc,MIN(fyd_cc,Es_cc*IF($E262&lt;=cc_D,0.0035*($E262-AC$12)/$E262,0.002*($E262-AC$12)/($E262-3*cc_D/7))))-fcd_cc*(1-(1-MAX(0,MIN(1,IF($E262&lt;=cc_D,0.0035*($E262-AC$12)/$E262,0.002*($E262-AC$12)/($E262-3*cc_D/7))/0.002)))^2)</f>
        <v/>
      </c>
      <c r="AD262">
        <f>MAX(-fyd_cc,MIN(fyd_cc,Es_cc*IF($E262&lt;=cc_D,0.0035*($E262-AD$12)/$E262,0.002*($E262-AD$12)/($E262-3*cc_D/7))))-fcd_cc*(1-(1-MAX(0,MIN(1,IF($E262&lt;=cc_D,0.0035*($E262-AD$12)/$E262,0.002*($E262-AD$12)/($E262-3*cc_D/7))/0.002)))^2)</f>
        <v/>
      </c>
      <c r="AE262">
        <f>MAX(-fyd_cc,MIN(fyd_cc,Es_cc*IF($E262&lt;=cc_D,0.0035*($E262-AE$12)/$E262,0.002*($E262-AE$12)/($E262-3*cc_D/7))))-fcd_cc*(1-(1-MAX(0,MIN(1,IF($E262&lt;=cc_D,0.0035*($E262-AE$12)/$E262,0.002*($E262-AE$12)/($E262-3*cc_D/7))/0.002)))^2)</f>
        <v/>
      </c>
      <c r="AF262">
        <f>MAX(-fyd_cc,MIN(fyd_cc,Es_cc*IF($E262&lt;=cc_D,0.0035*($E262-AF$12)/$E262,0.002*($E262-AF$12)/($E262-3*cc_D/7))))-fcd_cc*(1-(1-MAX(0,MIN(1,IF($E262&lt;=cc_D,0.0035*($E262-AF$12)/$E262,0.002*($E262-AF$12)/($E262-3*cc_D/7))/0.002)))^2)</f>
        <v/>
      </c>
      <c r="AG262">
        <f>MAX(-fyd_cc,MIN(fyd_cc,Es_cc*IF($E262&lt;=cc_D,0.0035*($E262-AG$12)/$E262,0.002*($E262-AG$12)/($E262-3*cc_D/7))))-fcd_cc*(1-(1-MAX(0,MIN(1,IF($E262&lt;=cc_D,0.0035*($E262-AG$12)/$E262,0.002*($E262-AG$12)/($E262-3*cc_D/7))/0.002)))^2)</f>
        <v/>
      </c>
      <c r="BF262">
        <f>3*MIN($E262,cc_D)/7</f>
        <v/>
      </c>
      <c r="BG262">
        <f>$E262-$BF262</f>
        <v/>
      </c>
      <c r="BH262">
        <f>ACOS(MAX(-1,MIN(1,1-$BF262/(cc_D/2))))</f>
        <v/>
      </c>
      <c r="BI262">
        <f>ACOS(MAX(-1,MIN(1,1-MIN($E262,cc_D)/(cc_D/2))))</f>
        <v/>
      </c>
      <c r="BJ262">
        <f>((cc_D/2*(1-COS(($BH262+0*($BI262-$BH262)/12)))-$BF262)/$BG262)^2*SIN(($BH262+0*($BI262-$BH262)/12))^2</f>
        <v/>
      </c>
      <c r="BK262">
        <f>((cc_D/2*(1-COS(($BH262+1*($BI262-$BH262)/12)))-$BF262)/$BG262)^2*SIN(($BH262+1*($BI262-$BH262)/12))^2</f>
        <v/>
      </c>
      <c r="BL262">
        <f>((cc_D/2*(1-COS(($BH262+2*($BI262-$BH262)/12)))-$BF262)/$BG262)^2*SIN(($BH262+2*($BI262-$BH262)/12))^2</f>
        <v/>
      </c>
      <c r="BM262">
        <f>((cc_D/2*(1-COS(($BH262+3*($BI262-$BH262)/12)))-$BF262)/$BG262)^2*SIN(($BH262+3*($BI262-$BH262)/12))^2</f>
        <v/>
      </c>
      <c r="BN262">
        <f>((cc_D/2*(1-COS(($BH262+4*($BI262-$BH262)/12)))-$BF262)/$BG262)^2*SIN(($BH262+4*($BI262-$BH262)/12))^2</f>
        <v/>
      </c>
      <c r="BO262">
        <f>((cc_D/2*(1-COS(($BH262+5*($BI262-$BH262)/12)))-$BF262)/$BG262)^2*SIN(($BH262+5*($BI262-$BH262)/12))^2</f>
        <v/>
      </c>
      <c r="BP262">
        <f>((cc_D/2*(1-COS(($BH262+6*($BI262-$BH262)/12)))-$BF262)/$BG262)^2*SIN(($BH262+6*($BI262-$BH262)/12))^2</f>
        <v/>
      </c>
      <c r="BQ262">
        <f>((cc_D/2*(1-COS(($BH262+7*($BI262-$BH262)/12)))-$BF262)/$BG262)^2*SIN(($BH262+7*($BI262-$BH262)/12))^2</f>
        <v/>
      </c>
      <c r="BR262">
        <f>((cc_D/2*(1-COS(($BH262+8*($BI262-$BH262)/12)))-$BF262)/$BG262)^2*SIN(($BH262+8*($BI262-$BH262)/12))^2</f>
        <v/>
      </c>
      <c r="BS262">
        <f>((cc_D/2*(1-COS(($BH262+9*($BI262-$BH262)/12)))-$BF262)/$BG262)^2*SIN(($BH262+9*($BI262-$BH262)/12))^2</f>
        <v/>
      </c>
      <c r="BT262">
        <f>((cc_D/2*(1-COS(($BH262+10*($BI262-$BH262)/12)))-$BF262)/$BG262)^2*SIN(($BH262+10*($BI262-$BH262)/12))^2</f>
        <v/>
      </c>
      <c r="BU262">
        <f>((cc_D/2*(1-COS(($BH262+11*($BI262-$BH262)/12)))-$BF262)/$BG262)^2*SIN(($BH262+11*($BI262-$BH262)/12))^2</f>
        <v/>
      </c>
      <c r="BV262">
        <f>((cc_D/2*(1-COS(($BH262+12*($BI262-$BH262)/12)))-$BF262)/$BG262)^2*SIN(($BH262+12*($BI262-$BH262)/12))^2</f>
        <v/>
      </c>
      <c r="BW262">
        <f>BJ262*COS(($BH262+0*($BI262-$BH262)/12))</f>
        <v/>
      </c>
      <c r="BX262">
        <f>BK262*COS(($BH262+1*($BI262-$BH262)/12))</f>
        <v/>
      </c>
      <c r="BY262">
        <f>BL262*COS(($BH262+2*($BI262-$BH262)/12))</f>
        <v/>
      </c>
      <c r="BZ262">
        <f>BM262*COS(($BH262+3*($BI262-$BH262)/12))</f>
        <v/>
      </c>
      <c r="CA262">
        <f>BN262*COS(($BH262+4*($BI262-$BH262)/12))</f>
        <v/>
      </c>
      <c r="CB262">
        <f>BO262*COS(($BH262+5*($BI262-$BH262)/12))</f>
        <v/>
      </c>
      <c r="CC262">
        <f>BP262*COS(($BH262+6*($BI262-$BH262)/12))</f>
        <v/>
      </c>
      <c r="CD262">
        <f>BQ262*COS(($BH262+7*($BI262-$BH262)/12))</f>
        <v/>
      </c>
      <c r="CE262">
        <f>BR262*COS(($BH262+8*($BI262-$BH262)/12))</f>
        <v/>
      </c>
      <c r="CF262">
        <f>BS262*COS(($BH262+9*($BI262-$BH262)/12))</f>
        <v/>
      </c>
      <c r="CG262">
        <f>BT262*COS(($BH262+10*($BI262-$BH262)/12))</f>
        <v/>
      </c>
      <c r="CH262">
        <f>BU262*COS(($BH262+11*($BI262-$BH262)/12))</f>
        <v/>
      </c>
      <c r="CI262">
        <f>BV262*COS(($BH262+12*($BI262-$BH262)/12))</f>
        <v/>
      </c>
    </row>
    <row r="263">
      <c r="B263" s="65" t="n">
        <v>48</v>
      </c>
      <c r="C263" s="66">
        <f>IF($G262&lt;cc_NEd-1E-9*ABS(cc_NEd),($C262+$D262)/2,$C262)</f>
        <v/>
      </c>
      <c r="D263" s="66">
        <f>IF($G262&lt;cc_NEd-1E-9*ABS(cc_NEd),$D262,($C262+$D262)/2)</f>
        <v/>
      </c>
      <c r="E263" s="67">
        <f>cc_D*(($C263+$D263)/2)/(1-(($C263+$D263)/2))</f>
        <v/>
      </c>
      <c r="F263" s="68">
        <f>IF($E263&lt;=cc_D,3.5,2*$E263/($E263-3*cc_D/7))</f>
        <v/>
      </c>
      <c r="G263" s="67">
        <f>(fcd_cc*((cc_D/2)^2*($BI263-COS($BI263)*SIN($BI263))-2*(cc_D/2)^2*($BI263-$BH263)/12/3*SUMPRODUCT($BJ$4:$BV$4,$BJ263:$BV263))+SUMPRODUCT($J$5:$AG$5,$J263:$AG263))/1000</f>
        <v/>
      </c>
      <c r="H263" s="67">
        <f>(fcd_cc*(2/3*(cc_D/2)^3*SIN($BI263)^3-2*(cc_D/2)^3*($BI263-$BH263)/12/3*SUMPRODUCT($BW$4:$CI$4,$BW263:$CI263))+SUMPRODUCT($J$5:$AG$5,$J263:$AG263,$J$13:$AG$13))/1E6</f>
        <v/>
      </c>
      <c r="I263" s="67">
        <f>SUMPRODUCT($J$5:$AG$5,$J263:$AG263,$J$14:$AG$14)/1E6</f>
        <v/>
      </c>
      <c r="J263">
        <f>MAX(-fyd_cc,MIN(fyd_cc,Es_cc*IF($E263&lt;=cc_D,0.0035*($E263-J$12)/$E263,0.002*($E263-J$12)/($E263-3*cc_D/7))))-fcd_cc*(1-(1-MAX(0,MIN(1,IF($E263&lt;=cc_D,0.0035*($E263-J$12)/$E263,0.002*($E263-J$12)/($E263-3*cc_D/7))/0.002)))^2)</f>
        <v/>
      </c>
      <c r="K263">
        <f>MAX(-fyd_cc,MIN(fyd_cc,Es_cc*IF($E263&lt;=cc_D,0.0035*($E263-K$12)/$E263,0.002*($E263-K$12)/($E263-3*cc_D/7))))-fcd_cc*(1-(1-MAX(0,MIN(1,IF($E263&lt;=cc_D,0.0035*($E263-K$12)/$E263,0.002*($E263-K$12)/($E263-3*cc_D/7))/0.002)))^2)</f>
        <v/>
      </c>
      <c r="L263">
        <f>MAX(-fyd_cc,MIN(fyd_cc,Es_cc*IF($E263&lt;=cc_D,0.0035*($E263-L$12)/$E263,0.002*($E263-L$12)/($E263-3*cc_D/7))))-fcd_cc*(1-(1-MAX(0,MIN(1,IF($E263&lt;=cc_D,0.0035*($E263-L$12)/$E263,0.002*($E263-L$12)/($E263-3*cc_D/7))/0.002)))^2)</f>
        <v/>
      </c>
      <c r="M263">
        <f>MAX(-fyd_cc,MIN(fyd_cc,Es_cc*IF($E263&lt;=cc_D,0.0035*($E263-M$12)/$E263,0.002*($E263-M$12)/($E263-3*cc_D/7))))-fcd_cc*(1-(1-MAX(0,MIN(1,IF($E263&lt;=cc_D,0.0035*($E263-M$12)/$E263,0.002*($E263-M$12)/($E263-3*cc_D/7))/0.002)))^2)</f>
        <v/>
      </c>
      <c r="N263">
        <f>MAX(-fyd_cc,MIN(fyd_cc,Es_cc*IF($E263&lt;=cc_D,0.0035*($E263-N$12)/$E263,0.002*($E263-N$12)/($E263-3*cc_D/7))))-fcd_cc*(1-(1-MAX(0,MIN(1,IF($E263&lt;=cc_D,0.0035*($E263-N$12)/$E263,0.002*($E263-N$12)/($E263-3*cc_D/7))/0.002)))^2)</f>
        <v/>
      </c>
      <c r="O263">
        <f>MAX(-fyd_cc,MIN(fyd_cc,Es_cc*IF($E263&lt;=cc_D,0.0035*($E263-O$12)/$E263,0.002*($E263-O$12)/($E263-3*cc_D/7))))-fcd_cc*(1-(1-MAX(0,MIN(1,IF($E263&lt;=cc_D,0.0035*($E263-O$12)/$E263,0.002*($E263-O$12)/($E263-3*cc_D/7))/0.002)))^2)</f>
        <v/>
      </c>
      <c r="P263">
        <f>MAX(-fyd_cc,MIN(fyd_cc,Es_cc*IF($E263&lt;=cc_D,0.0035*($E263-P$12)/$E263,0.002*($E263-P$12)/($E263-3*cc_D/7))))-fcd_cc*(1-(1-MAX(0,MIN(1,IF($E263&lt;=cc_D,0.0035*($E263-P$12)/$E263,0.002*($E263-P$12)/($E263-3*cc_D/7))/0.002)))^2)</f>
        <v/>
      </c>
      <c r="Q263">
        <f>MAX(-fyd_cc,MIN(fyd_cc,Es_cc*IF($E263&lt;=cc_D,0.0035*($E263-Q$12)/$E263,0.002*($E263-Q$12)/($E263-3*cc_D/7))))-fcd_cc*(1-(1-MAX(0,MIN(1,IF($E263&lt;=cc_D,0.0035*($E263-Q$12)/$E263,0.002*($E263-Q$12)/($E263-3*cc_D/7))/0.002)))^2)</f>
        <v/>
      </c>
      <c r="R263">
        <f>MAX(-fyd_cc,MIN(fyd_cc,Es_cc*IF($E263&lt;=cc_D,0.0035*($E263-R$12)/$E263,0.002*($E263-R$12)/($E263-3*cc_D/7))))-fcd_cc*(1-(1-MAX(0,MIN(1,IF($E263&lt;=cc_D,0.0035*($E263-R$12)/$E263,0.002*($E263-R$12)/($E263-3*cc_D/7))/0.002)))^2)</f>
        <v/>
      </c>
      <c r="S263">
        <f>MAX(-fyd_cc,MIN(fyd_cc,Es_cc*IF($E263&lt;=cc_D,0.0035*($E263-S$12)/$E263,0.002*($E263-S$12)/($E263-3*cc_D/7))))-fcd_cc*(1-(1-MAX(0,MIN(1,IF($E263&lt;=cc_D,0.0035*($E263-S$12)/$E263,0.002*($E263-S$12)/($E263-3*cc_D/7))/0.002)))^2)</f>
        <v/>
      </c>
      <c r="T263">
        <f>MAX(-fyd_cc,MIN(fyd_cc,Es_cc*IF($E263&lt;=cc_D,0.0035*($E263-T$12)/$E263,0.002*($E263-T$12)/($E263-3*cc_D/7))))-fcd_cc*(1-(1-MAX(0,MIN(1,IF($E263&lt;=cc_D,0.0035*($E263-T$12)/$E263,0.002*($E263-T$12)/($E263-3*cc_D/7))/0.002)))^2)</f>
        <v/>
      </c>
      <c r="U263">
        <f>MAX(-fyd_cc,MIN(fyd_cc,Es_cc*IF($E263&lt;=cc_D,0.0035*($E263-U$12)/$E263,0.002*($E263-U$12)/($E263-3*cc_D/7))))-fcd_cc*(1-(1-MAX(0,MIN(1,IF($E263&lt;=cc_D,0.0035*($E263-U$12)/$E263,0.002*($E263-U$12)/($E263-3*cc_D/7))/0.002)))^2)</f>
        <v/>
      </c>
      <c r="V263">
        <f>MAX(-fyd_cc,MIN(fyd_cc,Es_cc*IF($E263&lt;=cc_D,0.0035*($E263-V$12)/$E263,0.002*($E263-V$12)/($E263-3*cc_D/7))))-fcd_cc*(1-(1-MAX(0,MIN(1,IF($E263&lt;=cc_D,0.0035*($E263-V$12)/$E263,0.002*($E263-V$12)/($E263-3*cc_D/7))/0.002)))^2)</f>
        <v/>
      </c>
      <c r="W263">
        <f>MAX(-fyd_cc,MIN(fyd_cc,Es_cc*IF($E263&lt;=cc_D,0.0035*($E263-W$12)/$E263,0.002*($E263-W$12)/($E263-3*cc_D/7))))-fcd_cc*(1-(1-MAX(0,MIN(1,IF($E263&lt;=cc_D,0.0035*($E263-W$12)/$E263,0.002*($E263-W$12)/($E263-3*cc_D/7))/0.002)))^2)</f>
        <v/>
      </c>
      <c r="X263">
        <f>MAX(-fyd_cc,MIN(fyd_cc,Es_cc*IF($E263&lt;=cc_D,0.0035*($E263-X$12)/$E263,0.002*($E263-X$12)/($E263-3*cc_D/7))))-fcd_cc*(1-(1-MAX(0,MIN(1,IF($E263&lt;=cc_D,0.0035*($E263-X$12)/$E263,0.002*($E263-X$12)/($E263-3*cc_D/7))/0.002)))^2)</f>
        <v/>
      </c>
      <c r="Y263">
        <f>MAX(-fyd_cc,MIN(fyd_cc,Es_cc*IF($E263&lt;=cc_D,0.0035*($E263-Y$12)/$E263,0.002*($E263-Y$12)/($E263-3*cc_D/7))))-fcd_cc*(1-(1-MAX(0,MIN(1,IF($E263&lt;=cc_D,0.0035*($E263-Y$12)/$E263,0.002*($E263-Y$12)/($E263-3*cc_D/7))/0.002)))^2)</f>
        <v/>
      </c>
      <c r="Z263">
        <f>MAX(-fyd_cc,MIN(fyd_cc,Es_cc*IF($E263&lt;=cc_D,0.0035*($E263-Z$12)/$E263,0.002*($E263-Z$12)/($E263-3*cc_D/7))))-fcd_cc*(1-(1-MAX(0,MIN(1,IF($E263&lt;=cc_D,0.0035*($E263-Z$12)/$E263,0.002*($E263-Z$12)/($E263-3*cc_D/7))/0.002)))^2)</f>
        <v/>
      </c>
      <c r="AA263">
        <f>MAX(-fyd_cc,MIN(fyd_cc,Es_cc*IF($E263&lt;=cc_D,0.0035*($E263-AA$12)/$E263,0.002*($E263-AA$12)/($E263-3*cc_D/7))))-fcd_cc*(1-(1-MAX(0,MIN(1,IF($E263&lt;=cc_D,0.0035*($E263-AA$12)/$E263,0.002*($E263-AA$12)/($E263-3*cc_D/7))/0.002)))^2)</f>
        <v/>
      </c>
      <c r="AB263">
        <f>MAX(-fyd_cc,MIN(fyd_cc,Es_cc*IF($E263&lt;=cc_D,0.0035*($E263-AB$12)/$E263,0.002*($E263-AB$12)/($E263-3*cc_D/7))))-fcd_cc*(1-(1-MAX(0,MIN(1,IF($E263&lt;=cc_D,0.0035*($E263-AB$12)/$E263,0.002*($E263-AB$12)/($E263-3*cc_D/7))/0.002)))^2)</f>
        <v/>
      </c>
      <c r="AC263">
        <f>MAX(-fyd_cc,MIN(fyd_cc,Es_cc*IF($E263&lt;=cc_D,0.0035*($E263-AC$12)/$E263,0.002*($E263-AC$12)/($E263-3*cc_D/7))))-fcd_cc*(1-(1-MAX(0,MIN(1,IF($E263&lt;=cc_D,0.0035*($E263-AC$12)/$E263,0.002*($E263-AC$12)/($E263-3*cc_D/7))/0.002)))^2)</f>
        <v/>
      </c>
      <c r="AD263">
        <f>MAX(-fyd_cc,MIN(fyd_cc,Es_cc*IF($E263&lt;=cc_D,0.0035*($E263-AD$12)/$E263,0.002*($E263-AD$12)/($E263-3*cc_D/7))))-fcd_cc*(1-(1-MAX(0,MIN(1,IF($E263&lt;=cc_D,0.0035*($E263-AD$12)/$E263,0.002*($E263-AD$12)/($E263-3*cc_D/7))/0.002)))^2)</f>
        <v/>
      </c>
      <c r="AE263">
        <f>MAX(-fyd_cc,MIN(fyd_cc,Es_cc*IF($E263&lt;=cc_D,0.0035*($E263-AE$12)/$E263,0.002*($E263-AE$12)/($E263-3*cc_D/7))))-fcd_cc*(1-(1-MAX(0,MIN(1,IF($E263&lt;=cc_D,0.0035*($E263-AE$12)/$E263,0.002*($E263-AE$12)/($E263-3*cc_D/7))/0.002)))^2)</f>
        <v/>
      </c>
      <c r="AF263">
        <f>MAX(-fyd_cc,MIN(fyd_cc,Es_cc*IF($E263&lt;=cc_D,0.0035*($E263-AF$12)/$E263,0.002*($E263-AF$12)/($E263-3*cc_D/7))))-fcd_cc*(1-(1-MAX(0,MIN(1,IF($E263&lt;=cc_D,0.0035*($E263-AF$12)/$E263,0.002*($E263-AF$12)/($E263-3*cc_D/7))/0.002)))^2)</f>
        <v/>
      </c>
      <c r="AG263">
        <f>MAX(-fyd_cc,MIN(fyd_cc,Es_cc*IF($E263&lt;=cc_D,0.0035*($E263-AG$12)/$E263,0.002*($E263-AG$12)/($E263-3*cc_D/7))))-fcd_cc*(1-(1-MAX(0,MIN(1,IF($E263&lt;=cc_D,0.0035*($E263-AG$12)/$E263,0.002*($E263-AG$12)/($E263-3*cc_D/7))/0.002)))^2)</f>
        <v/>
      </c>
      <c r="BF263">
        <f>3*MIN($E263,cc_D)/7</f>
        <v/>
      </c>
      <c r="BG263">
        <f>$E263-$BF263</f>
        <v/>
      </c>
      <c r="BH263">
        <f>ACOS(MAX(-1,MIN(1,1-$BF263/(cc_D/2))))</f>
        <v/>
      </c>
      <c r="BI263">
        <f>ACOS(MAX(-1,MIN(1,1-MIN($E263,cc_D)/(cc_D/2))))</f>
        <v/>
      </c>
      <c r="BJ263">
        <f>((cc_D/2*(1-COS(($BH263+0*($BI263-$BH263)/12)))-$BF263)/$BG263)^2*SIN(($BH263+0*($BI263-$BH263)/12))^2</f>
        <v/>
      </c>
      <c r="BK263">
        <f>((cc_D/2*(1-COS(($BH263+1*($BI263-$BH263)/12)))-$BF263)/$BG263)^2*SIN(($BH263+1*($BI263-$BH263)/12))^2</f>
        <v/>
      </c>
      <c r="BL263">
        <f>((cc_D/2*(1-COS(($BH263+2*($BI263-$BH263)/12)))-$BF263)/$BG263)^2*SIN(($BH263+2*($BI263-$BH263)/12))^2</f>
        <v/>
      </c>
      <c r="BM263">
        <f>((cc_D/2*(1-COS(($BH263+3*($BI263-$BH263)/12)))-$BF263)/$BG263)^2*SIN(($BH263+3*($BI263-$BH263)/12))^2</f>
        <v/>
      </c>
      <c r="BN263">
        <f>((cc_D/2*(1-COS(($BH263+4*($BI263-$BH263)/12)))-$BF263)/$BG263)^2*SIN(($BH263+4*($BI263-$BH263)/12))^2</f>
        <v/>
      </c>
      <c r="BO263">
        <f>((cc_D/2*(1-COS(($BH263+5*($BI263-$BH263)/12)))-$BF263)/$BG263)^2*SIN(($BH263+5*($BI263-$BH263)/12))^2</f>
        <v/>
      </c>
      <c r="BP263">
        <f>((cc_D/2*(1-COS(($BH263+6*($BI263-$BH263)/12)))-$BF263)/$BG263)^2*SIN(($BH263+6*($BI263-$BH263)/12))^2</f>
        <v/>
      </c>
      <c r="BQ263">
        <f>((cc_D/2*(1-COS(($BH263+7*($BI263-$BH263)/12)))-$BF263)/$BG263)^2*SIN(($BH263+7*($BI263-$BH263)/12))^2</f>
        <v/>
      </c>
      <c r="BR263">
        <f>((cc_D/2*(1-COS(($BH263+8*($BI263-$BH263)/12)))-$BF263)/$BG263)^2*SIN(($BH263+8*($BI263-$BH263)/12))^2</f>
        <v/>
      </c>
      <c r="BS263">
        <f>((cc_D/2*(1-COS(($BH263+9*($BI263-$BH263)/12)))-$BF263)/$BG263)^2*SIN(($BH263+9*($BI263-$BH263)/12))^2</f>
        <v/>
      </c>
      <c r="BT263">
        <f>((cc_D/2*(1-COS(($BH263+10*($BI263-$BH263)/12)))-$BF263)/$BG263)^2*SIN(($BH263+10*($BI263-$BH263)/12))^2</f>
        <v/>
      </c>
      <c r="BU263">
        <f>((cc_D/2*(1-COS(($BH263+11*($BI263-$BH263)/12)))-$BF263)/$BG263)^2*SIN(($BH263+11*($BI263-$BH263)/12))^2</f>
        <v/>
      </c>
      <c r="BV263">
        <f>((cc_D/2*(1-COS(($BH263+12*($BI263-$BH263)/12)))-$BF263)/$BG263)^2*SIN(($BH263+12*($BI263-$BH263)/12))^2</f>
        <v/>
      </c>
      <c r="BW263">
        <f>BJ263*COS(($BH263+0*($BI263-$BH263)/12))</f>
        <v/>
      </c>
      <c r="BX263">
        <f>BK263*COS(($BH263+1*($BI263-$BH263)/12))</f>
        <v/>
      </c>
      <c r="BY263">
        <f>BL263*COS(($BH263+2*($BI263-$BH263)/12))</f>
        <v/>
      </c>
      <c r="BZ263">
        <f>BM263*COS(($BH263+3*($BI263-$BH263)/12))</f>
        <v/>
      </c>
      <c r="CA263">
        <f>BN263*COS(($BH263+4*($BI263-$BH263)/12))</f>
        <v/>
      </c>
      <c r="CB263">
        <f>BO263*COS(($BH263+5*($BI263-$BH263)/12))</f>
        <v/>
      </c>
      <c r="CC263">
        <f>BP263*COS(($BH263+6*($BI263-$BH263)/12))</f>
        <v/>
      </c>
      <c r="CD263">
        <f>BQ263*COS(($BH263+7*($BI263-$BH263)/12))</f>
        <v/>
      </c>
      <c r="CE263">
        <f>BR263*COS(($BH263+8*($BI263-$BH263)/12))</f>
        <v/>
      </c>
      <c r="CF263">
        <f>BS263*COS(($BH263+9*($BI263-$BH263)/12))</f>
        <v/>
      </c>
      <c r="CG263">
        <f>BT263*COS(($BH263+10*($BI263-$BH263)/12))</f>
        <v/>
      </c>
      <c r="CH263">
        <f>BU263*COS(($BH263+11*($BI263-$BH263)/12))</f>
        <v/>
      </c>
      <c r="CI263">
        <f>BV263*COS(($BH263+12*($BI263-$BH263)/12))</f>
        <v/>
      </c>
    </row>
    <row r="264">
      <c r="B264" s="65" t="n">
        <v>49</v>
      </c>
      <c r="C264" s="66">
        <f>IF($G263&lt;cc_NEd-1E-9*ABS(cc_NEd),($C263+$D263)/2,$C263)</f>
        <v/>
      </c>
      <c r="D264" s="66">
        <f>IF($G263&lt;cc_NEd-1E-9*ABS(cc_NEd),$D263,($C263+$D263)/2)</f>
        <v/>
      </c>
      <c r="E264" s="67">
        <f>cc_D*(($C264+$D264)/2)/(1-(($C264+$D264)/2))</f>
        <v/>
      </c>
      <c r="F264" s="68">
        <f>IF($E264&lt;=cc_D,3.5,2*$E264/($E264-3*cc_D/7))</f>
        <v/>
      </c>
      <c r="G264" s="67">
        <f>(fcd_cc*((cc_D/2)^2*($BI264-COS($BI264)*SIN($BI264))-2*(cc_D/2)^2*($BI264-$BH264)/12/3*SUMPRODUCT($BJ$4:$BV$4,$BJ264:$BV264))+SUMPRODUCT($J$5:$AG$5,$J264:$AG264))/1000</f>
        <v/>
      </c>
      <c r="H264" s="67">
        <f>(fcd_cc*(2/3*(cc_D/2)^3*SIN($BI264)^3-2*(cc_D/2)^3*($BI264-$BH264)/12/3*SUMPRODUCT($BW$4:$CI$4,$BW264:$CI264))+SUMPRODUCT($J$5:$AG$5,$J264:$AG264,$J$13:$AG$13))/1E6</f>
        <v/>
      </c>
      <c r="I264" s="67">
        <f>SUMPRODUCT($J$5:$AG$5,$J264:$AG264,$J$14:$AG$14)/1E6</f>
        <v/>
      </c>
      <c r="J264">
        <f>MAX(-fyd_cc,MIN(fyd_cc,Es_cc*IF($E264&lt;=cc_D,0.0035*($E264-J$12)/$E264,0.002*($E264-J$12)/($E264-3*cc_D/7))))-fcd_cc*(1-(1-MAX(0,MIN(1,IF($E264&lt;=cc_D,0.0035*($E264-J$12)/$E264,0.002*($E264-J$12)/($E264-3*cc_D/7))/0.002)))^2)</f>
        <v/>
      </c>
      <c r="K264">
        <f>MAX(-fyd_cc,MIN(fyd_cc,Es_cc*IF($E264&lt;=cc_D,0.0035*($E264-K$12)/$E264,0.002*($E264-K$12)/($E264-3*cc_D/7))))-fcd_cc*(1-(1-MAX(0,MIN(1,IF($E264&lt;=cc_D,0.0035*($E264-K$12)/$E264,0.002*($E264-K$12)/($E264-3*cc_D/7))/0.002)))^2)</f>
        <v/>
      </c>
      <c r="L264">
        <f>MAX(-fyd_cc,MIN(fyd_cc,Es_cc*IF($E264&lt;=cc_D,0.0035*($E264-L$12)/$E264,0.002*($E264-L$12)/($E264-3*cc_D/7))))-fcd_cc*(1-(1-MAX(0,MIN(1,IF($E264&lt;=cc_D,0.0035*($E264-L$12)/$E264,0.002*($E264-L$12)/($E264-3*cc_D/7))/0.002)))^2)</f>
        <v/>
      </c>
      <c r="M264">
        <f>MAX(-fyd_cc,MIN(fyd_cc,Es_cc*IF($E264&lt;=cc_D,0.0035*($E264-M$12)/$E264,0.002*($E264-M$12)/($E264-3*cc_D/7))))-fcd_cc*(1-(1-MAX(0,MIN(1,IF($E264&lt;=cc_D,0.0035*($E264-M$12)/$E264,0.002*($E264-M$12)/($E264-3*cc_D/7))/0.002)))^2)</f>
        <v/>
      </c>
      <c r="N264">
        <f>MAX(-fyd_cc,MIN(fyd_cc,Es_cc*IF($E264&lt;=cc_D,0.0035*($E264-N$12)/$E264,0.002*($E264-N$12)/($E264-3*cc_D/7))))-fcd_cc*(1-(1-MAX(0,MIN(1,IF($E264&lt;=cc_D,0.0035*($E264-N$12)/$E264,0.002*($E264-N$12)/($E264-3*cc_D/7))/0.002)))^2)</f>
        <v/>
      </c>
      <c r="O264">
        <f>MAX(-fyd_cc,MIN(fyd_cc,Es_cc*IF($E264&lt;=cc_D,0.0035*($E264-O$12)/$E264,0.002*($E264-O$12)/($E264-3*cc_D/7))))-fcd_cc*(1-(1-MAX(0,MIN(1,IF($E264&lt;=cc_D,0.0035*($E264-O$12)/$E264,0.002*($E264-O$12)/($E264-3*cc_D/7))/0.002)))^2)</f>
        <v/>
      </c>
      <c r="P264">
        <f>MAX(-fyd_cc,MIN(fyd_cc,Es_cc*IF($E264&lt;=cc_D,0.0035*($E264-P$12)/$E264,0.002*($E264-P$12)/($E264-3*cc_D/7))))-fcd_cc*(1-(1-MAX(0,MIN(1,IF($E264&lt;=cc_D,0.0035*($E264-P$12)/$E264,0.002*($E264-P$12)/($E264-3*cc_D/7))/0.002)))^2)</f>
        <v/>
      </c>
      <c r="Q264">
        <f>MAX(-fyd_cc,MIN(fyd_cc,Es_cc*IF($E264&lt;=cc_D,0.0035*($E264-Q$12)/$E264,0.002*($E264-Q$12)/($E264-3*cc_D/7))))-fcd_cc*(1-(1-MAX(0,MIN(1,IF($E264&lt;=cc_D,0.0035*($E264-Q$12)/$E264,0.002*($E264-Q$12)/($E264-3*cc_D/7))/0.002)))^2)</f>
        <v/>
      </c>
      <c r="R264">
        <f>MAX(-fyd_cc,MIN(fyd_cc,Es_cc*IF($E264&lt;=cc_D,0.0035*($E264-R$12)/$E264,0.002*($E264-R$12)/($E264-3*cc_D/7))))-fcd_cc*(1-(1-MAX(0,MIN(1,IF($E264&lt;=cc_D,0.0035*($E264-R$12)/$E264,0.002*($E264-R$12)/($E264-3*cc_D/7))/0.002)))^2)</f>
        <v/>
      </c>
      <c r="S264">
        <f>MAX(-fyd_cc,MIN(fyd_cc,Es_cc*IF($E264&lt;=cc_D,0.0035*($E264-S$12)/$E264,0.002*($E264-S$12)/($E264-3*cc_D/7))))-fcd_cc*(1-(1-MAX(0,MIN(1,IF($E264&lt;=cc_D,0.0035*($E264-S$12)/$E264,0.002*($E264-S$12)/($E264-3*cc_D/7))/0.002)))^2)</f>
        <v/>
      </c>
      <c r="T264">
        <f>MAX(-fyd_cc,MIN(fyd_cc,Es_cc*IF($E264&lt;=cc_D,0.0035*($E264-T$12)/$E264,0.002*($E264-T$12)/($E264-3*cc_D/7))))-fcd_cc*(1-(1-MAX(0,MIN(1,IF($E264&lt;=cc_D,0.0035*($E264-T$12)/$E264,0.002*($E264-T$12)/($E264-3*cc_D/7))/0.002)))^2)</f>
        <v/>
      </c>
      <c r="U264">
        <f>MAX(-fyd_cc,MIN(fyd_cc,Es_cc*IF($E264&lt;=cc_D,0.0035*($E264-U$12)/$E264,0.002*($E264-U$12)/($E264-3*cc_D/7))))-fcd_cc*(1-(1-MAX(0,MIN(1,IF($E264&lt;=cc_D,0.0035*($E264-U$12)/$E264,0.002*($E264-U$12)/($E264-3*cc_D/7))/0.002)))^2)</f>
        <v/>
      </c>
      <c r="V264">
        <f>MAX(-fyd_cc,MIN(fyd_cc,Es_cc*IF($E264&lt;=cc_D,0.0035*($E264-V$12)/$E264,0.002*($E264-V$12)/($E264-3*cc_D/7))))-fcd_cc*(1-(1-MAX(0,MIN(1,IF($E264&lt;=cc_D,0.0035*($E264-V$12)/$E264,0.002*($E264-V$12)/($E264-3*cc_D/7))/0.002)))^2)</f>
        <v/>
      </c>
      <c r="W264">
        <f>MAX(-fyd_cc,MIN(fyd_cc,Es_cc*IF($E264&lt;=cc_D,0.0035*($E264-W$12)/$E264,0.002*($E264-W$12)/($E264-3*cc_D/7))))-fcd_cc*(1-(1-MAX(0,MIN(1,IF($E264&lt;=cc_D,0.0035*($E264-W$12)/$E264,0.002*($E264-W$12)/($E264-3*cc_D/7))/0.002)))^2)</f>
        <v/>
      </c>
      <c r="X264">
        <f>MAX(-fyd_cc,MIN(fyd_cc,Es_cc*IF($E264&lt;=cc_D,0.0035*($E264-X$12)/$E264,0.002*($E264-X$12)/($E264-3*cc_D/7))))-fcd_cc*(1-(1-MAX(0,MIN(1,IF($E264&lt;=cc_D,0.0035*($E264-X$12)/$E264,0.002*($E264-X$12)/($E264-3*cc_D/7))/0.002)))^2)</f>
        <v/>
      </c>
      <c r="Y264">
        <f>MAX(-fyd_cc,MIN(fyd_cc,Es_cc*IF($E264&lt;=cc_D,0.0035*($E264-Y$12)/$E264,0.002*($E264-Y$12)/($E264-3*cc_D/7))))-fcd_cc*(1-(1-MAX(0,MIN(1,IF($E264&lt;=cc_D,0.0035*($E264-Y$12)/$E264,0.002*($E264-Y$12)/($E264-3*cc_D/7))/0.002)))^2)</f>
        <v/>
      </c>
      <c r="Z264">
        <f>MAX(-fyd_cc,MIN(fyd_cc,Es_cc*IF($E264&lt;=cc_D,0.0035*($E264-Z$12)/$E264,0.002*($E264-Z$12)/($E264-3*cc_D/7))))-fcd_cc*(1-(1-MAX(0,MIN(1,IF($E264&lt;=cc_D,0.0035*($E264-Z$12)/$E264,0.002*($E264-Z$12)/($E264-3*cc_D/7))/0.002)))^2)</f>
        <v/>
      </c>
      <c r="AA264">
        <f>MAX(-fyd_cc,MIN(fyd_cc,Es_cc*IF($E264&lt;=cc_D,0.0035*($E264-AA$12)/$E264,0.002*($E264-AA$12)/($E264-3*cc_D/7))))-fcd_cc*(1-(1-MAX(0,MIN(1,IF($E264&lt;=cc_D,0.0035*($E264-AA$12)/$E264,0.002*($E264-AA$12)/($E264-3*cc_D/7))/0.002)))^2)</f>
        <v/>
      </c>
      <c r="AB264">
        <f>MAX(-fyd_cc,MIN(fyd_cc,Es_cc*IF($E264&lt;=cc_D,0.0035*($E264-AB$12)/$E264,0.002*($E264-AB$12)/($E264-3*cc_D/7))))-fcd_cc*(1-(1-MAX(0,MIN(1,IF($E264&lt;=cc_D,0.0035*($E264-AB$12)/$E264,0.002*($E264-AB$12)/($E264-3*cc_D/7))/0.002)))^2)</f>
        <v/>
      </c>
      <c r="AC264">
        <f>MAX(-fyd_cc,MIN(fyd_cc,Es_cc*IF($E264&lt;=cc_D,0.0035*($E264-AC$12)/$E264,0.002*($E264-AC$12)/($E264-3*cc_D/7))))-fcd_cc*(1-(1-MAX(0,MIN(1,IF($E264&lt;=cc_D,0.0035*($E264-AC$12)/$E264,0.002*($E264-AC$12)/($E264-3*cc_D/7))/0.002)))^2)</f>
        <v/>
      </c>
      <c r="AD264">
        <f>MAX(-fyd_cc,MIN(fyd_cc,Es_cc*IF($E264&lt;=cc_D,0.0035*($E264-AD$12)/$E264,0.002*($E264-AD$12)/($E264-3*cc_D/7))))-fcd_cc*(1-(1-MAX(0,MIN(1,IF($E264&lt;=cc_D,0.0035*($E264-AD$12)/$E264,0.002*($E264-AD$12)/($E264-3*cc_D/7))/0.002)))^2)</f>
        <v/>
      </c>
      <c r="AE264">
        <f>MAX(-fyd_cc,MIN(fyd_cc,Es_cc*IF($E264&lt;=cc_D,0.0035*($E264-AE$12)/$E264,0.002*($E264-AE$12)/($E264-3*cc_D/7))))-fcd_cc*(1-(1-MAX(0,MIN(1,IF($E264&lt;=cc_D,0.0035*($E264-AE$12)/$E264,0.002*($E264-AE$12)/($E264-3*cc_D/7))/0.002)))^2)</f>
        <v/>
      </c>
      <c r="AF264">
        <f>MAX(-fyd_cc,MIN(fyd_cc,Es_cc*IF($E264&lt;=cc_D,0.0035*($E264-AF$12)/$E264,0.002*($E264-AF$12)/($E264-3*cc_D/7))))-fcd_cc*(1-(1-MAX(0,MIN(1,IF($E264&lt;=cc_D,0.0035*($E264-AF$12)/$E264,0.002*($E264-AF$12)/($E264-3*cc_D/7))/0.002)))^2)</f>
        <v/>
      </c>
      <c r="AG264">
        <f>MAX(-fyd_cc,MIN(fyd_cc,Es_cc*IF($E264&lt;=cc_D,0.0035*($E264-AG$12)/$E264,0.002*($E264-AG$12)/($E264-3*cc_D/7))))-fcd_cc*(1-(1-MAX(0,MIN(1,IF($E264&lt;=cc_D,0.0035*($E264-AG$12)/$E264,0.002*($E264-AG$12)/($E264-3*cc_D/7))/0.002)))^2)</f>
        <v/>
      </c>
      <c r="BF264">
        <f>3*MIN($E264,cc_D)/7</f>
        <v/>
      </c>
      <c r="BG264">
        <f>$E264-$BF264</f>
        <v/>
      </c>
      <c r="BH264">
        <f>ACOS(MAX(-1,MIN(1,1-$BF264/(cc_D/2))))</f>
        <v/>
      </c>
      <c r="BI264">
        <f>ACOS(MAX(-1,MIN(1,1-MIN($E264,cc_D)/(cc_D/2))))</f>
        <v/>
      </c>
      <c r="BJ264">
        <f>((cc_D/2*(1-COS(($BH264+0*($BI264-$BH264)/12)))-$BF264)/$BG264)^2*SIN(($BH264+0*($BI264-$BH264)/12))^2</f>
        <v/>
      </c>
      <c r="BK264">
        <f>((cc_D/2*(1-COS(($BH264+1*($BI264-$BH264)/12)))-$BF264)/$BG264)^2*SIN(($BH264+1*($BI264-$BH264)/12))^2</f>
        <v/>
      </c>
      <c r="BL264">
        <f>((cc_D/2*(1-COS(($BH264+2*($BI264-$BH264)/12)))-$BF264)/$BG264)^2*SIN(($BH264+2*($BI264-$BH264)/12))^2</f>
        <v/>
      </c>
      <c r="BM264">
        <f>((cc_D/2*(1-COS(($BH264+3*($BI264-$BH264)/12)))-$BF264)/$BG264)^2*SIN(($BH264+3*($BI264-$BH264)/12))^2</f>
        <v/>
      </c>
      <c r="BN264">
        <f>((cc_D/2*(1-COS(($BH264+4*($BI264-$BH264)/12)))-$BF264)/$BG264)^2*SIN(($BH264+4*($BI264-$BH264)/12))^2</f>
        <v/>
      </c>
      <c r="BO264">
        <f>((cc_D/2*(1-COS(($BH264+5*($BI264-$BH264)/12)))-$BF264)/$BG264)^2*SIN(($BH264+5*($BI264-$BH264)/12))^2</f>
        <v/>
      </c>
      <c r="BP264">
        <f>((cc_D/2*(1-COS(($BH264+6*($BI264-$BH264)/12)))-$BF264)/$BG264)^2*SIN(($BH264+6*($BI264-$BH264)/12))^2</f>
        <v/>
      </c>
      <c r="BQ264">
        <f>((cc_D/2*(1-COS(($BH264+7*($BI264-$BH264)/12)))-$BF264)/$BG264)^2*SIN(($BH264+7*($BI264-$BH264)/12))^2</f>
        <v/>
      </c>
      <c r="BR264">
        <f>((cc_D/2*(1-COS(($BH264+8*($BI264-$BH264)/12)))-$BF264)/$BG264)^2*SIN(($BH264+8*($BI264-$BH264)/12))^2</f>
        <v/>
      </c>
      <c r="BS264">
        <f>((cc_D/2*(1-COS(($BH264+9*($BI264-$BH264)/12)))-$BF264)/$BG264)^2*SIN(($BH264+9*($BI264-$BH264)/12))^2</f>
        <v/>
      </c>
      <c r="BT264">
        <f>((cc_D/2*(1-COS(($BH264+10*($BI264-$BH264)/12)))-$BF264)/$BG264)^2*SIN(($BH264+10*($BI264-$BH264)/12))^2</f>
        <v/>
      </c>
      <c r="BU264">
        <f>((cc_D/2*(1-COS(($BH264+11*($BI264-$BH264)/12)))-$BF264)/$BG264)^2*SIN(($BH264+11*($BI264-$BH264)/12))^2</f>
        <v/>
      </c>
      <c r="BV264">
        <f>((cc_D/2*(1-COS(($BH264+12*($BI264-$BH264)/12)))-$BF264)/$BG264)^2*SIN(($BH264+12*($BI264-$BH264)/12))^2</f>
        <v/>
      </c>
      <c r="BW264">
        <f>BJ264*COS(($BH264+0*($BI264-$BH264)/12))</f>
        <v/>
      </c>
      <c r="BX264">
        <f>BK264*COS(($BH264+1*($BI264-$BH264)/12))</f>
        <v/>
      </c>
      <c r="BY264">
        <f>BL264*COS(($BH264+2*($BI264-$BH264)/12))</f>
        <v/>
      </c>
      <c r="BZ264">
        <f>BM264*COS(($BH264+3*($BI264-$BH264)/12))</f>
        <v/>
      </c>
      <c r="CA264">
        <f>BN264*COS(($BH264+4*($BI264-$BH264)/12))</f>
        <v/>
      </c>
      <c r="CB264">
        <f>BO264*COS(($BH264+5*($BI264-$BH264)/12))</f>
        <v/>
      </c>
      <c r="CC264">
        <f>BP264*COS(($BH264+6*($BI264-$BH264)/12))</f>
        <v/>
      </c>
      <c r="CD264">
        <f>BQ264*COS(($BH264+7*($BI264-$BH264)/12))</f>
        <v/>
      </c>
      <c r="CE264">
        <f>BR264*COS(($BH264+8*($BI264-$BH264)/12))</f>
        <v/>
      </c>
      <c r="CF264">
        <f>BS264*COS(($BH264+9*($BI264-$BH264)/12))</f>
        <v/>
      </c>
      <c r="CG264">
        <f>BT264*COS(($BH264+10*($BI264-$BH264)/12))</f>
        <v/>
      </c>
      <c r="CH264">
        <f>BU264*COS(($BH264+11*($BI264-$BH264)/12))</f>
        <v/>
      </c>
      <c r="CI264">
        <f>BV264*COS(($BH264+12*($BI264-$BH264)/12))</f>
        <v/>
      </c>
    </row>
    <row r="265">
      <c r="B265" s="65" t="n">
        <v>50</v>
      </c>
      <c r="C265" s="66">
        <f>IF($G264&lt;cc_NEd-1E-9*ABS(cc_NEd),($C264+$D264)/2,$C264)</f>
        <v/>
      </c>
      <c r="D265" s="66">
        <f>IF($G264&lt;cc_NEd-1E-9*ABS(cc_NEd),$D264,($C264+$D264)/2)</f>
        <v/>
      </c>
      <c r="E265" s="67">
        <f>cc_D*(($C265+$D265)/2)/(1-(($C265+$D265)/2))</f>
        <v/>
      </c>
      <c r="F265" s="68">
        <f>IF($E265&lt;=cc_D,3.5,2*$E265/($E265-3*cc_D/7))</f>
        <v/>
      </c>
      <c r="G265" s="67">
        <f>(fcd_cc*((cc_D/2)^2*($BI265-COS($BI265)*SIN($BI265))-2*(cc_D/2)^2*($BI265-$BH265)/12/3*SUMPRODUCT($BJ$4:$BV$4,$BJ265:$BV265))+SUMPRODUCT($J$5:$AG$5,$J265:$AG265))/1000</f>
        <v/>
      </c>
      <c r="H265" s="67">
        <f>(fcd_cc*(2/3*(cc_D/2)^3*SIN($BI265)^3-2*(cc_D/2)^3*($BI265-$BH265)/12/3*SUMPRODUCT($BW$4:$CI$4,$BW265:$CI265))+SUMPRODUCT($J$5:$AG$5,$J265:$AG265,$J$13:$AG$13))/1E6</f>
        <v/>
      </c>
      <c r="I265" s="67">
        <f>SUMPRODUCT($J$5:$AG$5,$J265:$AG265,$J$14:$AG$14)/1E6</f>
        <v/>
      </c>
      <c r="J265">
        <f>MAX(-fyd_cc,MIN(fyd_cc,Es_cc*IF($E265&lt;=cc_D,0.0035*($E265-J$12)/$E265,0.002*($E265-J$12)/($E265-3*cc_D/7))))-fcd_cc*(1-(1-MAX(0,MIN(1,IF($E265&lt;=cc_D,0.0035*($E265-J$12)/$E265,0.002*($E265-J$12)/($E265-3*cc_D/7))/0.002)))^2)</f>
        <v/>
      </c>
      <c r="K265">
        <f>MAX(-fyd_cc,MIN(fyd_cc,Es_cc*IF($E265&lt;=cc_D,0.0035*($E265-K$12)/$E265,0.002*($E265-K$12)/($E265-3*cc_D/7))))-fcd_cc*(1-(1-MAX(0,MIN(1,IF($E265&lt;=cc_D,0.0035*($E265-K$12)/$E265,0.002*($E265-K$12)/($E265-3*cc_D/7))/0.002)))^2)</f>
        <v/>
      </c>
      <c r="L265">
        <f>MAX(-fyd_cc,MIN(fyd_cc,Es_cc*IF($E265&lt;=cc_D,0.0035*($E265-L$12)/$E265,0.002*($E265-L$12)/($E265-3*cc_D/7))))-fcd_cc*(1-(1-MAX(0,MIN(1,IF($E265&lt;=cc_D,0.0035*($E265-L$12)/$E265,0.002*($E265-L$12)/($E265-3*cc_D/7))/0.002)))^2)</f>
        <v/>
      </c>
      <c r="M265">
        <f>MAX(-fyd_cc,MIN(fyd_cc,Es_cc*IF($E265&lt;=cc_D,0.0035*($E265-M$12)/$E265,0.002*($E265-M$12)/($E265-3*cc_D/7))))-fcd_cc*(1-(1-MAX(0,MIN(1,IF($E265&lt;=cc_D,0.0035*($E265-M$12)/$E265,0.002*($E265-M$12)/($E265-3*cc_D/7))/0.002)))^2)</f>
        <v/>
      </c>
      <c r="N265">
        <f>MAX(-fyd_cc,MIN(fyd_cc,Es_cc*IF($E265&lt;=cc_D,0.0035*($E265-N$12)/$E265,0.002*($E265-N$12)/($E265-3*cc_D/7))))-fcd_cc*(1-(1-MAX(0,MIN(1,IF($E265&lt;=cc_D,0.0035*($E265-N$12)/$E265,0.002*($E265-N$12)/($E265-3*cc_D/7))/0.002)))^2)</f>
        <v/>
      </c>
      <c r="O265">
        <f>MAX(-fyd_cc,MIN(fyd_cc,Es_cc*IF($E265&lt;=cc_D,0.0035*($E265-O$12)/$E265,0.002*($E265-O$12)/($E265-3*cc_D/7))))-fcd_cc*(1-(1-MAX(0,MIN(1,IF($E265&lt;=cc_D,0.0035*($E265-O$12)/$E265,0.002*($E265-O$12)/($E265-3*cc_D/7))/0.002)))^2)</f>
        <v/>
      </c>
      <c r="P265">
        <f>MAX(-fyd_cc,MIN(fyd_cc,Es_cc*IF($E265&lt;=cc_D,0.0035*($E265-P$12)/$E265,0.002*($E265-P$12)/($E265-3*cc_D/7))))-fcd_cc*(1-(1-MAX(0,MIN(1,IF($E265&lt;=cc_D,0.0035*($E265-P$12)/$E265,0.002*($E265-P$12)/($E265-3*cc_D/7))/0.002)))^2)</f>
        <v/>
      </c>
      <c r="Q265">
        <f>MAX(-fyd_cc,MIN(fyd_cc,Es_cc*IF($E265&lt;=cc_D,0.0035*($E265-Q$12)/$E265,0.002*($E265-Q$12)/($E265-3*cc_D/7))))-fcd_cc*(1-(1-MAX(0,MIN(1,IF($E265&lt;=cc_D,0.0035*($E265-Q$12)/$E265,0.002*($E265-Q$12)/($E265-3*cc_D/7))/0.002)))^2)</f>
        <v/>
      </c>
      <c r="R265">
        <f>MAX(-fyd_cc,MIN(fyd_cc,Es_cc*IF($E265&lt;=cc_D,0.0035*($E265-R$12)/$E265,0.002*($E265-R$12)/($E265-3*cc_D/7))))-fcd_cc*(1-(1-MAX(0,MIN(1,IF($E265&lt;=cc_D,0.0035*($E265-R$12)/$E265,0.002*($E265-R$12)/($E265-3*cc_D/7))/0.002)))^2)</f>
        <v/>
      </c>
      <c r="S265">
        <f>MAX(-fyd_cc,MIN(fyd_cc,Es_cc*IF($E265&lt;=cc_D,0.0035*($E265-S$12)/$E265,0.002*($E265-S$12)/($E265-3*cc_D/7))))-fcd_cc*(1-(1-MAX(0,MIN(1,IF($E265&lt;=cc_D,0.0035*($E265-S$12)/$E265,0.002*($E265-S$12)/($E265-3*cc_D/7))/0.002)))^2)</f>
        <v/>
      </c>
      <c r="T265">
        <f>MAX(-fyd_cc,MIN(fyd_cc,Es_cc*IF($E265&lt;=cc_D,0.0035*($E265-T$12)/$E265,0.002*($E265-T$12)/($E265-3*cc_D/7))))-fcd_cc*(1-(1-MAX(0,MIN(1,IF($E265&lt;=cc_D,0.0035*($E265-T$12)/$E265,0.002*($E265-T$12)/($E265-3*cc_D/7))/0.002)))^2)</f>
        <v/>
      </c>
      <c r="U265">
        <f>MAX(-fyd_cc,MIN(fyd_cc,Es_cc*IF($E265&lt;=cc_D,0.0035*($E265-U$12)/$E265,0.002*($E265-U$12)/($E265-3*cc_D/7))))-fcd_cc*(1-(1-MAX(0,MIN(1,IF($E265&lt;=cc_D,0.0035*($E265-U$12)/$E265,0.002*($E265-U$12)/($E265-3*cc_D/7))/0.002)))^2)</f>
        <v/>
      </c>
      <c r="V265">
        <f>MAX(-fyd_cc,MIN(fyd_cc,Es_cc*IF($E265&lt;=cc_D,0.0035*($E265-V$12)/$E265,0.002*($E265-V$12)/($E265-3*cc_D/7))))-fcd_cc*(1-(1-MAX(0,MIN(1,IF($E265&lt;=cc_D,0.0035*($E265-V$12)/$E265,0.002*($E265-V$12)/($E265-3*cc_D/7))/0.002)))^2)</f>
        <v/>
      </c>
      <c r="W265">
        <f>MAX(-fyd_cc,MIN(fyd_cc,Es_cc*IF($E265&lt;=cc_D,0.0035*($E265-W$12)/$E265,0.002*($E265-W$12)/($E265-3*cc_D/7))))-fcd_cc*(1-(1-MAX(0,MIN(1,IF($E265&lt;=cc_D,0.0035*($E265-W$12)/$E265,0.002*($E265-W$12)/($E265-3*cc_D/7))/0.002)))^2)</f>
        <v/>
      </c>
      <c r="X265">
        <f>MAX(-fyd_cc,MIN(fyd_cc,Es_cc*IF($E265&lt;=cc_D,0.0035*($E265-X$12)/$E265,0.002*($E265-X$12)/($E265-3*cc_D/7))))-fcd_cc*(1-(1-MAX(0,MIN(1,IF($E265&lt;=cc_D,0.0035*($E265-X$12)/$E265,0.002*($E265-X$12)/($E265-3*cc_D/7))/0.002)))^2)</f>
        <v/>
      </c>
      <c r="Y265">
        <f>MAX(-fyd_cc,MIN(fyd_cc,Es_cc*IF($E265&lt;=cc_D,0.0035*($E265-Y$12)/$E265,0.002*($E265-Y$12)/($E265-3*cc_D/7))))-fcd_cc*(1-(1-MAX(0,MIN(1,IF($E265&lt;=cc_D,0.0035*($E265-Y$12)/$E265,0.002*($E265-Y$12)/($E265-3*cc_D/7))/0.002)))^2)</f>
        <v/>
      </c>
      <c r="Z265">
        <f>MAX(-fyd_cc,MIN(fyd_cc,Es_cc*IF($E265&lt;=cc_D,0.0035*($E265-Z$12)/$E265,0.002*($E265-Z$12)/($E265-3*cc_D/7))))-fcd_cc*(1-(1-MAX(0,MIN(1,IF($E265&lt;=cc_D,0.0035*($E265-Z$12)/$E265,0.002*($E265-Z$12)/($E265-3*cc_D/7))/0.002)))^2)</f>
        <v/>
      </c>
      <c r="AA265">
        <f>MAX(-fyd_cc,MIN(fyd_cc,Es_cc*IF($E265&lt;=cc_D,0.0035*($E265-AA$12)/$E265,0.002*($E265-AA$12)/($E265-3*cc_D/7))))-fcd_cc*(1-(1-MAX(0,MIN(1,IF($E265&lt;=cc_D,0.0035*($E265-AA$12)/$E265,0.002*($E265-AA$12)/($E265-3*cc_D/7))/0.002)))^2)</f>
        <v/>
      </c>
      <c r="AB265">
        <f>MAX(-fyd_cc,MIN(fyd_cc,Es_cc*IF($E265&lt;=cc_D,0.0035*($E265-AB$12)/$E265,0.002*($E265-AB$12)/($E265-3*cc_D/7))))-fcd_cc*(1-(1-MAX(0,MIN(1,IF($E265&lt;=cc_D,0.0035*($E265-AB$12)/$E265,0.002*($E265-AB$12)/($E265-3*cc_D/7))/0.002)))^2)</f>
        <v/>
      </c>
      <c r="AC265">
        <f>MAX(-fyd_cc,MIN(fyd_cc,Es_cc*IF($E265&lt;=cc_D,0.0035*($E265-AC$12)/$E265,0.002*($E265-AC$12)/($E265-3*cc_D/7))))-fcd_cc*(1-(1-MAX(0,MIN(1,IF($E265&lt;=cc_D,0.0035*($E265-AC$12)/$E265,0.002*($E265-AC$12)/($E265-3*cc_D/7))/0.002)))^2)</f>
        <v/>
      </c>
      <c r="AD265">
        <f>MAX(-fyd_cc,MIN(fyd_cc,Es_cc*IF($E265&lt;=cc_D,0.0035*($E265-AD$12)/$E265,0.002*($E265-AD$12)/($E265-3*cc_D/7))))-fcd_cc*(1-(1-MAX(0,MIN(1,IF($E265&lt;=cc_D,0.0035*($E265-AD$12)/$E265,0.002*($E265-AD$12)/($E265-3*cc_D/7))/0.002)))^2)</f>
        <v/>
      </c>
      <c r="AE265">
        <f>MAX(-fyd_cc,MIN(fyd_cc,Es_cc*IF($E265&lt;=cc_D,0.0035*($E265-AE$12)/$E265,0.002*($E265-AE$12)/($E265-3*cc_D/7))))-fcd_cc*(1-(1-MAX(0,MIN(1,IF($E265&lt;=cc_D,0.0035*($E265-AE$12)/$E265,0.002*($E265-AE$12)/($E265-3*cc_D/7))/0.002)))^2)</f>
        <v/>
      </c>
      <c r="AF265">
        <f>MAX(-fyd_cc,MIN(fyd_cc,Es_cc*IF($E265&lt;=cc_D,0.0035*($E265-AF$12)/$E265,0.002*($E265-AF$12)/($E265-3*cc_D/7))))-fcd_cc*(1-(1-MAX(0,MIN(1,IF($E265&lt;=cc_D,0.0035*($E265-AF$12)/$E265,0.002*($E265-AF$12)/($E265-3*cc_D/7))/0.002)))^2)</f>
        <v/>
      </c>
      <c r="AG265">
        <f>MAX(-fyd_cc,MIN(fyd_cc,Es_cc*IF($E265&lt;=cc_D,0.0035*($E265-AG$12)/$E265,0.002*($E265-AG$12)/($E265-3*cc_D/7))))-fcd_cc*(1-(1-MAX(0,MIN(1,IF($E265&lt;=cc_D,0.0035*($E265-AG$12)/$E265,0.002*($E265-AG$12)/($E265-3*cc_D/7))/0.002)))^2)</f>
        <v/>
      </c>
      <c r="BF265">
        <f>3*MIN($E265,cc_D)/7</f>
        <v/>
      </c>
      <c r="BG265">
        <f>$E265-$BF265</f>
        <v/>
      </c>
      <c r="BH265">
        <f>ACOS(MAX(-1,MIN(1,1-$BF265/(cc_D/2))))</f>
        <v/>
      </c>
      <c r="BI265">
        <f>ACOS(MAX(-1,MIN(1,1-MIN($E265,cc_D)/(cc_D/2))))</f>
        <v/>
      </c>
      <c r="BJ265">
        <f>((cc_D/2*(1-COS(($BH265+0*($BI265-$BH265)/12)))-$BF265)/$BG265)^2*SIN(($BH265+0*($BI265-$BH265)/12))^2</f>
        <v/>
      </c>
      <c r="BK265">
        <f>((cc_D/2*(1-COS(($BH265+1*($BI265-$BH265)/12)))-$BF265)/$BG265)^2*SIN(($BH265+1*($BI265-$BH265)/12))^2</f>
        <v/>
      </c>
      <c r="BL265">
        <f>((cc_D/2*(1-COS(($BH265+2*($BI265-$BH265)/12)))-$BF265)/$BG265)^2*SIN(($BH265+2*($BI265-$BH265)/12))^2</f>
        <v/>
      </c>
      <c r="BM265">
        <f>((cc_D/2*(1-COS(($BH265+3*($BI265-$BH265)/12)))-$BF265)/$BG265)^2*SIN(($BH265+3*($BI265-$BH265)/12))^2</f>
        <v/>
      </c>
      <c r="BN265">
        <f>((cc_D/2*(1-COS(($BH265+4*($BI265-$BH265)/12)))-$BF265)/$BG265)^2*SIN(($BH265+4*($BI265-$BH265)/12))^2</f>
        <v/>
      </c>
      <c r="BO265">
        <f>((cc_D/2*(1-COS(($BH265+5*($BI265-$BH265)/12)))-$BF265)/$BG265)^2*SIN(($BH265+5*($BI265-$BH265)/12))^2</f>
        <v/>
      </c>
      <c r="BP265">
        <f>((cc_D/2*(1-COS(($BH265+6*($BI265-$BH265)/12)))-$BF265)/$BG265)^2*SIN(($BH265+6*($BI265-$BH265)/12))^2</f>
        <v/>
      </c>
      <c r="BQ265">
        <f>((cc_D/2*(1-COS(($BH265+7*($BI265-$BH265)/12)))-$BF265)/$BG265)^2*SIN(($BH265+7*($BI265-$BH265)/12))^2</f>
        <v/>
      </c>
      <c r="BR265">
        <f>((cc_D/2*(1-COS(($BH265+8*($BI265-$BH265)/12)))-$BF265)/$BG265)^2*SIN(($BH265+8*($BI265-$BH265)/12))^2</f>
        <v/>
      </c>
      <c r="BS265">
        <f>((cc_D/2*(1-COS(($BH265+9*($BI265-$BH265)/12)))-$BF265)/$BG265)^2*SIN(($BH265+9*($BI265-$BH265)/12))^2</f>
        <v/>
      </c>
      <c r="BT265">
        <f>((cc_D/2*(1-COS(($BH265+10*($BI265-$BH265)/12)))-$BF265)/$BG265)^2*SIN(($BH265+10*($BI265-$BH265)/12))^2</f>
        <v/>
      </c>
      <c r="BU265">
        <f>((cc_D/2*(1-COS(($BH265+11*($BI265-$BH265)/12)))-$BF265)/$BG265)^2*SIN(($BH265+11*($BI265-$BH265)/12))^2</f>
        <v/>
      </c>
      <c r="BV265">
        <f>((cc_D/2*(1-COS(($BH265+12*($BI265-$BH265)/12)))-$BF265)/$BG265)^2*SIN(($BH265+12*($BI265-$BH265)/12))^2</f>
        <v/>
      </c>
      <c r="BW265">
        <f>BJ265*COS(($BH265+0*($BI265-$BH265)/12))</f>
        <v/>
      </c>
      <c r="BX265">
        <f>BK265*COS(($BH265+1*($BI265-$BH265)/12))</f>
        <v/>
      </c>
      <c r="BY265">
        <f>BL265*COS(($BH265+2*($BI265-$BH265)/12))</f>
        <v/>
      </c>
      <c r="BZ265">
        <f>BM265*COS(($BH265+3*($BI265-$BH265)/12))</f>
        <v/>
      </c>
      <c r="CA265">
        <f>BN265*COS(($BH265+4*($BI265-$BH265)/12))</f>
        <v/>
      </c>
      <c r="CB265">
        <f>BO265*COS(($BH265+5*($BI265-$BH265)/12))</f>
        <v/>
      </c>
      <c r="CC265">
        <f>BP265*COS(($BH265+6*($BI265-$BH265)/12))</f>
        <v/>
      </c>
      <c r="CD265">
        <f>BQ265*COS(($BH265+7*($BI265-$BH265)/12))</f>
        <v/>
      </c>
      <c r="CE265">
        <f>BR265*COS(($BH265+8*($BI265-$BH265)/12))</f>
        <v/>
      </c>
      <c r="CF265">
        <f>BS265*COS(($BH265+9*($BI265-$BH265)/12))</f>
        <v/>
      </c>
      <c r="CG265">
        <f>BT265*COS(($BH265+10*($BI265-$BH265)/12))</f>
        <v/>
      </c>
      <c r="CH265">
        <f>BU265*COS(($BH265+11*($BI265-$BH265)/12))</f>
        <v/>
      </c>
      <c r="CI265">
        <f>BV265*COS(($BH265+12*($BI265-$BH265)/12))</f>
        <v/>
      </c>
    </row>
    <row r="266">
      <c r="B266" s="65" t="n">
        <v>51</v>
      </c>
      <c r="C266" s="66">
        <f>IF($G265&lt;cc_NEd-1E-9*ABS(cc_NEd),($C265+$D265)/2,$C265)</f>
        <v/>
      </c>
      <c r="D266" s="66">
        <f>IF($G265&lt;cc_NEd-1E-9*ABS(cc_NEd),$D265,($C265+$D265)/2)</f>
        <v/>
      </c>
      <c r="E266" s="67">
        <f>cc_D*(($C266+$D266)/2)/(1-(($C266+$D266)/2))</f>
        <v/>
      </c>
      <c r="F266" s="68">
        <f>IF($E266&lt;=cc_D,3.5,2*$E266/($E266-3*cc_D/7))</f>
        <v/>
      </c>
      <c r="G266" s="67">
        <f>(fcd_cc*((cc_D/2)^2*($BI266-COS($BI266)*SIN($BI266))-2*(cc_D/2)^2*($BI266-$BH266)/12/3*SUMPRODUCT($BJ$4:$BV$4,$BJ266:$BV266))+SUMPRODUCT($J$5:$AG$5,$J266:$AG266))/1000</f>
        <v/>
      </c>
      <c r="H266" s="67">
        <f>(fcd_cc*(2/3*(cc_D/2)^3*SIN($BI266)^3-2*(cc_D/2)^3*($BI266-$BH266)/12/3*SUMPRODUCT($BW$4:$CI$4,$BW266:$CI266))+SUMPRODUCT($J$5:$AG$5,$J266:$AG266,$J$13:$AG$13))/1E6</f>
        <v/>
      </c>
      <c r="I266" s="67">
        <f>SUMPRODUCT($J$5:$AG$5,$J266:$AG266,$J$14:$AG$14)/1E6</f>
        <v/>
      </c>
      <c r="J266">
        <f>MAX(-fyd_cc,MIN(fyd_cc,Es_cc*IF($E266&lt;=cc_D,0.0035*($E266-J$12)/$E266,0.002*($E266-J$12)/($E266-3*cc_D/7))))-fcd_cc*(1-(1-MAX(0,MIN(1,IF($E266&lt;=cc_D,0.0035*($E266-J$12)/$E266,0.002*($E266-J$12)/($E266-3*cc_D/7))/0.002)))^2)</f>
        <v/>
      </c>
      <c r="K266">
        <f>MAX(-fyd_cc,MIN(fyd_cc,Es_cc*IF($E266&lt;=cc_D,0.0035*($E266-K$12)/$E266,0.002*($E266-K$12)/($E266-3*cc_D/7))))-fcd_cc*(1-(1-MAX(0,MIN(1,IF($E266&lt;=cc_D,0.0035*($E266-K$12)/$E266,0.002*($E266-K$12)/($E266-3*cc_D/7))/0.002)))^2)</f>
        <v/>
      </c>
      <c r="L266">
        <f>MAX(-fyd_cc,MIN(fyd_cc,Es_cc*IF($E266&lt;=cc_D,0.0035*($E266-L$12)/$E266,0.002*($E266-L$12)/($E266-3*cc_D/7))))-fcd_cc*(1-(1-MAX(0,MIN(1,IF($E266&lt;=cc_D,0.0035*($E266-L$12)/$E266,0.002*($E266-L$12)/($E266-3*cc_D/7))/0.002)))^2)</f>
        <v/>
      </c>
      <c r="M266">
        <f>MAX(-fyd_cc,MIN(fyd_cc,Es_cc*IF($E266&lt;=cc_D,0.0035*($E266-M$12)/$E266,0.002*($E266-M$12)/($E266-3*cc_D/7))))-fcd_cc*(1-(1-MAX(0,MIN(1,IF($E266&lt;=cc_D,0.0035*($E266-M$12)/$E266,0.002*($E266-M$12)/($E266-3*cc_D/7))/0.002)))^2)</f>
        <v/>
      </c>
      <c r="N266">
        <f>MAX(-fyd_cc,MIN(fyd_cc,Es_cc*IF($E266&lt;=cc_D,0.0035*($E266-N$12)/$E266,0.002*($E266-N$12)/($E266-3*cc_D/7))))-fcd_cc*(1-(1-MAX(0,MIN(1,IF($E266&lt;=cc_D,0.0035*($E266-N$12)/$E266,0.002*($E266-N$12)/($E266-3*cc_D/7))/0.002)))^2)</f>
        <v/>
      </c>
      <c r="O266">
        <f>MAX(-fyd_cc,MIN(fyd_cc,Es_cc*IF($E266&lt;=cc_D,0.0035*($E266-O$12)/$E266,0.002*($E266-O$12)/($E266-3*cc_D/7))))-fcd_cc*(1-(1-MAX(0,MIN(1,IF($E266&lt;=cc_D,0.0035*($E266-O$12)/$E266,0.002*($E266-O$12)/($E266-3*cc_D/7))/0.002)))^2)</f>
        <v/>
      </c>
      <c r="P266">
        <f>MAX(-fyd_cc,MIN(fyd_cc,Es_cc*IF($E266&lt;=cc_D,0.0035*($E266-P$12)/$E266,0.002*($E266-P$12)/($E266-3*cc_D/7))))-fcd_cc*(1-(1-MAX(0,MIN(1,IF($E266&lt;=cc_D,0.0035*($E266-P$12)/$E266,0.002*($E266-P$12)/($E266-3*cc_D/7))/0.002)))^2)</f>
        <v/>
      </c>
      <c r="Q266">
        <f>MAX(-fyd_cc,MIN(fyd_cc,Es_cc*IF($E266&lt;=cc_D,0.0035*($E266-Q$12)/$E266,0.002*($E266-Q$12)/($E266-3*cc_D/7))))-fcd_cc*(1-(1-MAX(0,MIN(1,IF($E266&lt;=cc_D,0.0035*($E266-Q$12)/$E266,0.002*($E266-Q$12)/($E266-3*cc_D/7))/0.002)))^2)</f>
        <v/>
      </c>
      <c r="R266">
        <f>MAX(-fyd_cc,MIN(fyd_cc,Es_cc*IF($E266&lt;=cc_D,0.0035*($E266-R$12)/$E266,0.002*($E266-R$12)/($E266-3*cc_D/7))))-fcd_cc*(1-(1-MAX(0,MIN(1,IF($E266&lt;=cc_D,0.0035*($E266-R$12)/$E266,0.002*($E266-R$12)/($E266-3*cc_D/7))/0.002)))^2)</f>
        <v/>
      </c>
      <c r="S266">
        <f>MAX(-fyd_cc,MIN(fyd_cc,Es_cc*IF($E266&lt;=cc_D,0.0035*($E266-S$12)/$E266,0.002*($E266-S$12)/($E266-3*cc_D/7))))-fcd_cc*(1-(1-MAX(0,MIN(1,IF($E266&lt;=cc_D,0.0035*($E266-S$12)/$E266,0.002*($E266-S$12)/($E266-3*cc_D/7))/0.002)))^2)</f>
        <v/>
      </c>
      <c r="T266">
        <f>MAX(-fyd_cc,MIN(fyd_cc,Es_cc*IF($E266&lt;=cc_D,0.0035*($E266-T$12)/$E266,0.002*($E266-T$12)/($E266-3*cc_D/7))))-fcd_cc*(1-(1-MAX(0,MIN(1,IF($E266&lt;=cc_D,0.0035*($E266-T$12)/$E266,0.002*($E266-T$12)/($E266-3*cc_D/7))/0.002)))^2)</f>
        <v/>
      </c>
      <c r="U266">
        <f>MAX(-fyd_cc,MIN(fyd_cc,Es_cc*IF($E266&lt;=cc_D,0.0035*($E266-U$12)/$E266,0.002*($E266-U$12)/($E266-3*cc_D/7))))-fcd_cc*(1-(1-MAX(0,MIN(1,IF($E266&lt;=cc_D,0.0035*($E266-U$12)/$E266,0.002*($E266-U$12)/($E266-3*cc_D/7))/0.002)))^2)</f>
        <v/>
      </c>
      <c r="V266">
        <f>MAX(-fyd_cc,MIN(fyd_cc,Es_cc*IF($E266&lt;=cc_D,0.0035*($E266-V$12)/$E266,0.002*($E266-V$12)/($E266-3*cc_D/7))))-fcd_cc*(1-(1-MAX(0,MIN(1,IF($E266&lt;=cc_D,0.0035*($E266-V$12)/$E266,0.002*($E266-V$12)/($E266-3*cc_D/7))/0.002)))^2)</f>
        <v/>
      </c>
      <c r="W266">
        <f>MAX(-fyd_cc,MIN(fyd_cc,Es_cc*IF($E266&lt;=cc_D,0.0035*($E266-W$12)/$E266,0.002*($E266-W$12)/($E266-3*cc_D/7))))-fcd_cc*(1-(1-MAX(0,MIN(1,IF($E266&lt;=cc_D,0.0035*($E266-W$12)/$E266,0.002*($E266-W$12)/($E266-3*cc_D/7))/0.002)))^2)</f>
        <v/>
      </c>
      <c r="X266">
        <f>MAX(-fyd_cc,MIN(fyd_cc,Es_cc*IF($E266&lt;=cc_D,0.0035*($E266-X$12)/$E266,0.002*($E266-X$12)/($E266-3*cc_D/7))))-fcd_cc*(1-(1-MAX(0,MIN(1,IF($E266&lt;=cc_D,0.0035*($E266-X$12)/$E266,0.002*($E266-X$12)/($E266-3*cc_D/7))/0.002)))^2)</f>
        <v/>
      </c>
      <c r="Y266">
        <f>MAX(-fyd_cc,MIN(fyd_cc,Es_cc*IF($E266&lt;=cc_D,0.0035*($E266-Y$12)/$E266,0.002*($E266-Y$12)/($E266-3*cc_D/7))))-fcd_cc*(1-(1-MAX(0,MIN(1,IF($E266&lt;=cc_D,0.0035*($E266-Y$12)/$E266,0.002*($E266-Y$12)/($E266-3*cc_D/7))/0.002)))^2)</f>
        <v/>
      </c>
      <c r="Z266">
        <f>MAX(-fyd_cc,MIN(fyd_cc,Es_cc*IF($E266&lt;=cc_D,0.0035*($E266-Z$12)/$E266,0.002*($E266-Z$12)/($E266-3*cc_D/7))))-fcd_cc*(1-(1-MAX(0,MIN(1,IF($E266&lt;=cc_D,0.0035*($E266-Z$12)/$E266,0.002*($E266-Z$12)/($E266-3*cc_D/7))/0.002)))^2)</f>
        <v/>
      </c>
      <c r="AA266">
        <f>MAX(-fyd_cc,MIN(fyd_cc,Es_cc*IF($E266&lt;=cc_D,0.0035*($E266-AA$12)/$E266,0.002*($E266-AA$12)/($E266-3*cc_D/7))))-fcd_cc*(1-(1-MAX(0,MIN(1,IF($E266&lt;=cc_D,0.0035*($E266-AA$12)/$E266,0.002*($E266-AA$12)/($E266-3*cc_D/7))/0.002)))^2)</f>
        <v/>
      </c>
      <c r="AB266">
        <f>MAX(-fyd_cc,MIN(fyd_cc,Es_cc*IF($E266&lt;=cc_D,0.0035*($E266-AB$12)/$E266,0.002*($E266-AB$12)/($E266-3*cc_D/7))))-fcd_cc*(1-(1-MAX(0,MIN(1,IF($E266&lt;=cc_D,0.0035*($E266-AB$12)/$E266,0.002*($E266-AB$12)/($E266-3*cc_D/7))/0.002)))^2)</f>
        <v/>
      </c>
      <c r="AC266">
        <f>MAX(-fyd_cc,MIN(fyd_cc,Es_cc*IF($E266&lt;=cc_D,0.0035*($E266-AC$12)/$E266,0.002*($E266-AC$12)/($E266-3*cc_D/7))))-fcd_cc*(1-(1-MAX(0,MIN(1,IF($E266&lt;=cc_D,0.0035*($E266-AC$12)/$E266,0.002*($E266-AC$12)/($E266-3*cc_D/7))/0.002)))^2)</f>
        <v/>
      </c>
      <c r="AD266">
        <f>MAX(-fyd_cc,MIN(fyd_cc,Es_cc*IF($E266&lt;=cc_D,0.0035*($E266-AD$12)/$E266,0.002*($E266-AD$12)/($E266-3*cc_D/7))))-fcd_cc*(1-(1-MAX(0,MIN(1,IF($E266&lt;=cc_D,0.0035*($E266-AD$12)/$E266,0.002*($E266-AD$12)/($E266-3*cc_D/7))/0.002)))^2)</f>
        <v/>
      </c>
      <c r="AE266">
        <f>MAX(-fyd_cc,MIN(fyd_cc,Es_cc*IF($E266&lt;=cc_D,0.0035*($E266-AE$12)/$E266,0.002*($E266-AE$12)/($E266-3*cc_D/7))))-fcd_cc*(1-(1-MAX(0,MIN(1,IF($E266&lt;=cc_D,0.0035*($E266-AE$12)/$E266,0.002*($E266-AE$12)/($E266-3*cc_D/7))/0.002)))^2)</f>
        <v/>
      </c>
      <c r="AF266">
        <f>MAX(-fyd_cc,MIN(fyd_cc,Es_cc*IF($E266&lt;=cc_D,0.0035*($E266-AF$12)/$E266,0.002*($E266-AF$12)/($E266-3*cc_D/7))))-fcd_cc*(1-(1-MAX(0,MIN(1,IF($E266&lt;=cc_D,0.0035*($E266-AF$12)/$E266,0.002*($E266-AF$12)/($E266-3*cc_D/7))/0.002)))^2)</f>
        <v/>
      </c>
      <c r="AG266">
        <f>MAX(-fyd_cc,MIN(fyd_cc,Es_cc*IF($E266&lt;=cc_D,0.0035*($E266-AG$12)/$E266,0.002*($E266-AG$12)/($E266-3*cc_D/7))))-fcd_cc*(1-(1-MAX(0,MIN(1,IF($E266&lt;=cc_D,0.0035*($E266-AG$12)/$E266,0.002*($E266-AG$12)/($E266-3*cc_D/7))/0.002)))^2)</f>
        <v/>
      </c>
      <c r="BF266">
        <f>3*MIN($E266,cc_D)/7</f>
        <v/>
      </c>
      <c r="BG266">
        <f>$E266-$BF266</f>
        <v/>
      </c>
      <c r="BH266">
        <f>ACOS(MAX(-1,MIN(1,1-$BF266/(cc_D/2))))</f>
        <v/>
      </c>
      <c r="BI266">
        <f>ACOS(MAX(-1,MIN(1,1-MIN($E266,cc_D)/(cc_D/2))))</f>
        <v/>
      </c>
      <c r="BJ266">
        <f>((cc_D/2*(1-COS(($BH266+0*($BI266-$BH266)/12)))-$BF266)/$BG266)^2*SIN(($BH266+0*($BI266-$BH266)/12))^2</f>
        <v/>
      </c>
      <c r="BK266">
        <f>((cc_D/2*(1-COS(($BH266+1*($BI266-$BH266)/12)))-$BF266)/$BG266)^2*SIN(($BH266+1*($BI266-$BH266)/12))^2</f>
        <v/>
      </c>
      <c r="BL266">
        <f>((cc_D/2*(1-COS(($BH266+2*($BI266-$BH266)/12)))-$BF266)/$BG266)^2*SIN(($BH266+2*($BI266-$BH266)/12))^2</f>
        <v/>
      </c>
      <c r="BM266">
        <f>((cc_D/2*(1-COS(($BH266+3*($BI266-$BH266)/12)))-$BF266)/$BG266)^2*SIN(($BH266+3*($BI266-$BH266)/12))^2</f>
        <v/>
      </c>
      <c r="BN266">
        <f>((cc_D/2*(1-COS(($BH266+4*($BI266-$BH266)/12)))-$BF266)/$BG266)^2*SIN(($BH266+4*($BI266-$BH266)/12))^2</f>
        <v/>
      </c>
      <c r="BO266">
        <f>((cc_D/2*(1-COS(($BH266+5*($BI266-$BH266)/12)))-$BF266)/$BG266)^2*SIN(($BH266+5*($BI266-$BH266)/12))^2</f>
        <v/>
      </c>
      <c r="BP266">
        <f>((cc_D/2*(1-COS(($BH266+6*($BI266-$BH266)/12)))-$BF266)/$BG266)^2*SIN(($BH266+6*($BI266-$BH266)/12))^2</f>
        <v/>
      </c>
      <c r="BQ266">
        <f>((cc_D/2*(1-COS(($BH266+7*($BI266-$BH266)/12)))-$BF266)/$BG266)^2*SIN(($BH266+7*($BI266-$BH266)/12))^2</f>
        <v/>
      </c>
      <c r="BR266">
        <f>((cc_D/2*(1-COS(($BH266+8*($BI266-$BH266)/12)))-$BF266)/$BG266)^2*SIN(($BH266+8*($BI266-$BH266)/12))^2</f>
        <v/>
      </c>
      <c r="BS266">
        <f>((cc_D/2*(1-COS(($BH266+9*($BI266-$BH266)/12)))-$BF266)/$BG266)^2*SIN(($BH266+9*($BI266-$BH266)/12))^2</f>
        <v/>
      </c>
      <c r="BT266">
        <f>((cc_D/2*(1-COS(($BH266+10*($BI266-$BH266)/12)))-$BF266)/$BG266)^2*SIN(($BH266+10*($BI266-$BH266)/12))^2</f>
        <v/>
      </c>
      <c r="BU266">
        <f>((cc_D/2*(1-COS(($BH266+11*($BI266-$BH266)/12)))-$BF266)/$BG266)^2*SIN(($BH266+11*($BI266-$BH266)/12))^2</f>
        <v/>
      </c>
      <c r="BV266">
        <f>((cc_D/2*(1-COS(($BH266+12*($BI266-$BH266)/12)))-$BF266)/$BG266)^2*SIN(($BH266+12*($BI266-$BH266)/12))^2</f>
        <v/>
      </c>
      <c r="BW266">
        <f>BJ266*COS(($BH266+0*($BI266-$BH266)/12))</f>
        <v/>
      </c>
      <c r="BX266">
        <f>BK266*COS(($BH266+1*($BI266-$BH266)/12))</f>
        <v/>
      </c>
      <c r="BY266">
        <f>BL266*COS(($BH266+2*($BI266-$BH266)/12))</f>
        <v/>
      </c>
      <c r="BZ266">
        <f>BM266*COS(($BH266+3*($BI266-$BH266)/12))</f>
        <v/>
      </c>
      <c r="CA266">
        <f>BN266*COS(($BH266+4*($BI266-$BH266)/12))</f>
        <v/>
      </c>
      <c r="CB266">
        <f>BO266*COS(($BH266+5*($BI266-$BH266)/12))</f>
        <v/>
      </c>
      <c r="CC266">
        <f>BP266*COS(($BH266+6*($BI266-$BH266)/12))</f>
        <v/>
      </c>
      <c r="CD266">
        <f>BQ266*COS(($BH266+7*($BI266-$BH266)/12))</f>
        <v/>
      </c>
      <c r="CE266">
        <f>BR266*COS(($BH266+8*($BI266-$BH266)/12))</f>
        <v/>
      </c>
      <c r="CF266">
        <f>BS266*COS(($BH266+9*($BI266-$BH266)/12))</f>
        <v/>
      </c>
      <c r="CG266">
        <f>BT266*COS(($BH266+10*($BI266-$BH266)/12))</f>
        <v/>
      </c>
      <c r="CH266">
        <f>BU266*COS(($BH266+11*($BI266-$BH266)/12))</f>
        <v/>
      </c>
      <c r="CI266">
        <f>BV266*COS(($BH266+12*($BI266-$BH266)/12))</f>
        <v/>
      </c>
    </row>
    <row r="267">
      <c r="B267" s="65" t="n">
        <v>52</v>
      </c>
      <c r="C267" s="66">
        <f>IF($G266&lt;cc_NEd-1E-9*ABS(cc_NEd),($C266+$D266)/2,$C266)</f>
        <v/>
      </c>
      <c r="D267" s="66">
        <f>IF($G266&lt;cc_NEd-1E-9*ABS(cc_NEd),$D266,($C266+$D266)/2)</f>
        <v/>
      </c>
      <c r="E267" s="67">
        <f>cc_D*(($C267+$D267)/2)/(1-(($C267+$D267)/2))</f>
        <v/>
      </c>
      <c r="F267" s="68">
        <f>IF($E267&lt;=cc_D,3.5,2*$E267/($E267-3*cc_D/7))</f>
        <v/>
      </c>
      <c r="G267" s="67">
        <f>(fcd_cc*((cc_D/2)^2*($BI267-COS($BI267)*SIN($BI267))-2*(cc_D/2)^2*($BI267-$BH267)/12/3*SUMPRODUCT($BJ$4:$BV$4,$BJ267:$BV267))+SUMPRODUCT($J$5:$AG$5,$J267:$AG267))/1000</f>
        <v/>
      </c>
      <c r="H267" s="67">
        <f>(fcd_cc*(2/3*(cc_D/2)^3*SIN($BI267)^3-2*(cc_D/2)^3*($BI267-$BH267)/12/3*SUMPRODUCT($BW$4:$CI$4,$BW267:$CI267))+SUMPRODUCT($J$5:$AG$5,$J267:$AG267,$J$13:$AG$13))/1E6</f>
        <v/>
      </c>
      <c r="I267" s="67">
        <f>SUMPRODUCT($J$5:$AG$5,$J267:$AG267,$J$14:$AG$14)/1E6</f>
        <v/>
      </c>
      <c r="J267">
        <f>MAX(-fyd_cc,MIN(fyd_cc,Es_cc*IF($E267&lt;=cc_D,0.0035*($E267-J$12)/$E267,0.002*($E267-J$12)/($E267-3*cc_D/7))))-fcd_cc*(1-(1-MAX(0,MIN(1,IF($E267&lt;=cc_D,0.0035*($E267-J$12)/$E267,0.002*($E267-J$12)/($E267-3*cc_D/7))/0.002)))^2)</f>
        <v/>
      </c>
      <c r="K267">
        <f>MAX(-fyd_cc,MIN(fyd_cc,Es_cc*IF($E267&lt;=cc_D,0.0035*($E267-K$12)/$E267,0.002*($E267-K$12)/($E267-3*cc_D/7))))-fcd_cc*(1-(1-MAX(0,MIN(1,IF($E267&lt;=cc_D,0.0035*($E267-K$12)/$E267,0.002*($E267-K$12)/($E267-3*cc_D/7))/0.002)))^2)</f>
        <v/>
      </c>
      <c r="L267">
        <f>MAX(-fyd_cc,MIN(fyd_cc,Es_cc*IF($E267&lt;=cc_D,0.0035*($E267-L$12)/$E267,0.002*($E267-L$12)/($E267-3*cc_D/7))))-fcd_cc*(1-(1-MAX(0,MIN(1,IF($E267&lt;=cc_D,0.0035*($E267-L$12)/$E267,0.002*($E267-L$12)/($E267-3*cc_D/7))/0.002)))^2)</f>
        <v/>
      </c>
      <c r="M267">
        <f>MAX(-fyd_cc,MIN(fyd_cc,Es_cc*IF($E267&lt;=cc_D,0.0035*($E267-M$12)/$E267,0.002*($E267-M$12)/($E267-3*cc_D/7))))-fcd_cc*(1-(1-MAX(0,MIN(1,IF($E267&lt;=cc_D,0.0035*($E267-M$12)/$E267,0.002*($E267-M$12)/($E267-3*cc_D/7))/0.002)))^2)</f>
        <v/>
      </c>
      <c r="N267">
        <f>MAX(-fyd_cc,MIN(fyd_cc,Es_cc*IF($E267&lt;=cc_D,0.0035*($E267-N$12)/$E267,0.002*($E267-N$12)/($E267-3*cc_D/7))))-fcd_cc*(1-(1-MAX(0,MIN(1,IF($E267&lt;=cc_D,0.0035*($E267-N$12)/$E267,0.002*($E267-N$12)/($E267-3*cc_D/7))/0.002)))^2)</f>
        <v/>
      </c>
      <c r="O267">
        <f>MAX(-fyd_cc,MIN(fyd_cc,Es_cc*IF($E267&lt;=cc_D,0.0035*($E267-O$12)/$E267,0.002*($E267-O$12)/($E267-3*cc_D/7))))-fcd_cc*(1-(1-MAX(0,MIN(1,IF($E267&lt;=cc_D,0.0035*($E267-O$12)/$E267,0.002*($E267-O$12)/($E267-3*cc_D/7))/0.002)))^2)</f>
        <v/>
      </c>
      <c r="P267">
        <f>MAX(-fyd_cc,MIN(fyd_cc,Es_cc*IF($E267&lt;=cc_D,0.0035*($E267-P$12)/$E267,0.002*($E267-P$12)/($E267-3*cc_D/7))))-fcd_cc*(1-(1-MAX(0,MIN(1,IF($E267&lt;=cc_D,0.0035*($E267-P$12)/$E267,0.002*($E267-P$12)/($E267-3*cc_D/7))/0.002)))^2)</f>
        <v/>
      </c>
      <c r="Q267">
        <f>MAX(-fyd_cc,MIN(fyd_cc,Es_cc*IF($E267&lt;=cc_D,0.0035*($E267-Q$12)/$E267,0.002*($E267-Q$12)/($E267-3*cc_D/7))))-fcd_cc*(1-(1-MAX(0,MIN(1,IF($E267&lt;=cc_D,0.0035*($E267-Q$12)/$E267,0.002*($E267-Q$12)/($E267-3*cc_D/7))/0.002)))^2)</f>
        <v/>
      </c>
      <c r="R267">
        <f>MAX(-fyd_cc,MIN(fyd_cc,Es_cc*IF($E267&lt;=cc_D,0.0035*($E267-R$12)/$E267,0.002*($E267-R$12)/($E267-3*cc_D/7))))-fcd_cc*(1-(1-MAX(0,MIN(1,IF($E267&lt;=cc_D,0.0035*($E267-R$12)/$E267,0.002*($E267-R$12)/($E267-3*cc_D/7))/0.002)))^2)</f>
        <v/>
      </c>
      <c r="S267">
        <f>MAX(-fyd_cc,MIN(fyd_cc,Es_cc*IF($E267&lt;=cc_D,0.0035*($E267-S$12)/$E267,0.002*($E267-S$12)/($E267-3*cc_D/7))))-fcd_cc*(1-(1-MAX(0,MIN(1,IF($E267&lt;=cc_D,0.0035*($E267-S$12)/$E267,0.002*($E267-S$12)/($E267-3*cc_D/7))/0.002)))^2)</f>
        <v/>
      </c>
      <c r="T267">
        <f>MAX(-fyd_cc,MIN(fyd_cc,Es_cc*IF($E267&lt;=cc_D,0.0035*($E267-T$12)/$E267,0.002*($E267-T$12)/($E267-3*cc_D/7))))-fcd_cc*(1-(1-MAX(0,MIN(1,IF($E267&lt;=cc_D,0.0035*($E267-T$12)/$E267,0.002*($E267-T$12)/($E267-3*cc_D/7))/0.002)))^2)</f>
        <v/>
      </c>
      <c r="U267">
        <f>MAX(-fyd_cc,MIN(fyd_cc,Es_cc*IF($E267&lt;=cc_D,0.0035*($E267-U$12)/$E267,0.002*($E267-U$12)/($E267-3*cc_D/7))))-fcd_cc*(1-(1-MAX(0,MIN(1,IF($E267&lt;=cc_D,0.0035*($E267-U$12)/$E267,0.002*($E267-U$12)/($E267-3*cc_D/7))/0.002)))^2)</f>
        <v/>
      </c>
      <c r="V267">
        <f>MAX(-fyd_cc,MIN(fyd_cc,Es_cc*IF($E267&lt;=cc_D,0.0035*($E267-V$12)/$E267,0.002*($E267-V$12)/($E267-3*cc_D/7))))-fcd_cc*(1-(1-MAX(0,MIN(1,IF($E267&lt;=cc_D,0.0035*($E267-V$12)/$E267,0.002*($E267-V$12)/($E267-3*cc_D/7))/0.002)))^2)</f>
        <v/>
      </c>
      <c r="W267">
        <f>MAX(-fyd_cc,MIN(fyd_cc,Es_cc*IF($E267&lt;=cc_D,0.0035*($E267-W$12)/$E267,0.002*($E267-W$12)/($E267-3*cc_D/7))))-fcd_cc*(1-(1-MAX(0,MIN(1,IF($E267&lt;=cc_D,0.0035*($E267-W$12)/$E267,0.002*($E267-W$12)/($E267-3*cc_D/7))/0.002)))^2)</f>
        <v/>
      </c>
      <c r="X267">
        <f>MAX(-fyd_cc,MIN(fyd_cc,Es_cc*IF($E267&lt;=cc_D,0.0035*($E267-X$12)/$E267,0.002*($E267-X$12)/($E267-3*cc_D/7))))-fcd_cc*(1-(1-MAX(0,MIN(1,IF($E267&lt;=cc_D,0.0035*($E267-X$12)/$E267,0.002*($E267-X$12)/($E267-3*cc_D/7))/0.002)))^2)</f>
        <v/>
      </c>
      <c r="Y267">
        <f>MAX(-fyd_cc,MIN(fyd_cc,Es_cc*IF($E267&lt;=cc_D,0.0035*($E267-Y$12)/$E267,0.002*($E267-Y$12)/($E267-3*cc_D/7))))-fcd_cc*(1-(1-MAX(0,MIN(1,IF($E267&lt;=cc_D,0.0035*($E267-Y$12)/$E267,0.002*($E267-Y$12)/($E267-3*cc_D/7))/0.002)))^2)</f>
        <v/>
      </c>
      <c r="Z267">
        <f>MAX(-fyd_cc,MIN(fyd_cc,Es_cc*IF($E267&lt;=cc_D,0.0035*($E267-Z$12)/$E267,0.002*($E267-Z$12)/($E267-3*cc_D/7))))-fcd_cc*(1-(1-MAX(0,MIN(1,IF($E267&lt;=cc_D,0.0035*($E267-Z$12)/$E267,0.002*($E267-Z$12)/($E267-3*cc_D/7))/0.002)))^2)</f>
        <v/>
      </c>
      <c r="AA267">
        <f>MAX(-fyd_cc,MIN(fyd_cc,Es_cc*IF($E267&lt;=cc_D,0.0035*($E267-AA$12)/$E267,0.002*($E267-AA$12)/($E267-3*cc_D/7))))-fcd_cc*(1-(1-MAX(0,MIN(1,IF($E267&lt;=cc_D,0.0035*($E267-AA$12)/$E267,0.002*($E267-AA$12)/($E267-3*cc_D/7))/0.002)))^2)</f>
        <v/>
      </c>
      <c r="AB267">
        <f>MAX(-fyd_cc,MIN(fyd_cc,Es_cc*IF($E267&lt;=cc_D,0.0035*($E267-AB$12)/$E267,0.002*($E267-AB$12)/($E267-3*cc_D/7))))-fcd_cc*(1-(1-MAX(0,MIN(1,IF($E267&lt;=cc_D,0.0035*($E267-AB$12)/$E267,0.002*($E267-AB$12)/($E267-3*cc_D/7))/0.002)))^2)</f>
        <v/>
      </c>
      <c r="AC267">
        <f>MAX(-fyd_cc,MIN(fyd_cc,Es_cc*IF($E267&lt;=cc_D,0.0035*($E267-AC$12)/$E267,0.002*($E267-AC$12)/($E267-3*cc_D/7))))-fcd_cc*(1-(1-MAX(0,MIN(1,IF($E267&lt;=cc_D,0.0035*($E267-AC$12)/$E267,0.002*($E267-AC$12)/($E267-3*cc_D/7))/0.002)))^2)</f>
        <v/>
      </c>
      <c r="AD267">
        <f>MAX(-fyd_cc,MIN(fyd_cc,Es_cc*IF($E267&lt;=cc_D,0.0035*($E267-AD$12)/$E267,0.002*($E267-AD$12)/($E267-3*cc_D/7))))-fcd_cc*(1-(1-MAX(0,MIN(1,IF($E267&lt;=cc_D,0.0035*($E267-AD$12)/$E267,0.002*($E267-AD$12)/($E267-3*cc_D/7))/0.002)))^2)</f>
        <v/>
      </c>
      <c r="AE267">
        <f>MAX(-fyd_cc,MIN(fyd_cc,Es_cc*IF($E267&lt;=cc_D,0.0035*($E267-AE$12)/$E267,0.002*($E267-AE$12)/($E267-3*cc_D/7))))-fcd_cc*(1-(1-MAX(0,MIN(1,IF($E267&lt;=cc_D,0.0035*($E267-AE$12)/$E267,0.002*($E267-AE$12)/($E267-3*cc_D/7))/0.002)))^2)</f>
        <v/>
      </c>
      <c r="AF267">
        <f>MAX(-fyd_cc,MIN(fyd_cc,Es_cc*IF($E267&lt;=cc_D,0.0035*($E267-AF$12)/$E267,0.002*($E267-AF$12)/($E267-3*cc_D/7))))-fcd_cc*(1-(1-MAX(0,MIN(1,IF($E267&lt;=cc_D,0.0035*($E267-AF$12)/$E267,0.002*($E267-AF$12)/($E267-3*cc_D/7))/0.002)))^2)</f>
        <v/>
      </c>
      <c r="AG267">
        <f>MAX(-fyd_cc,MIN(fyd_cc,Es_cc*IF($E267&lt;=cc_D,0.0035*($E267-AG$12)/$E267,0.002*($E267-AG$12)/($E267-3*cc_D/7))))-fcd_cc*(1-(1-MAX(0,MIN(1,IF($E267&lt;=cc_D,0.0035*($E267-AG$12)/$E267,0.002*($E267-AG$12)/($E267-3*cc_D/7))/0.002)))^2)</f>
        <v/>
      </c>
      <c r="BF267">
        <f>3*MIN($E267,cc_D)/7</f>
        <v/>
      </c>
      <c r="BG267">
        <f>$E267-$BF267</f>
        <v/>
      </c>
      <c r="BH267">
        <f>ACOS(MAX(-1,MIN(1,1-$BF267/(cc_D/2))))</f>
        <v/>
      </c>
      <c r="BI267">
        <f>ACOS(MAX(-1,MIN(1,1-MIN($E267,cc_D)/(cc_D/2))))</f>
        <v/>
      </c>
      <c r="BJ267">
        <f>((cc_D/2*(1-COS(($BH267+0*($BI267-$BH267)/12)))-$BF267)/$BG267)^2*SIN(($BH267+0*($BI267-$BH267)/12))^2</f>
        <v/>
      </c>
      <c r="BK267">
        <f>((cc_D/2*(1-COS(($BH267+1*($BI267-$BH267)/12)))-$BF267)/$BG267)^2*SIN(($BH267+1*($BI267-$BH267)/12))^2</f>
        <v/>
      </c>
      <c r="BL267">
        <f>((cc_D/2*(1-COS(($BH267+2*($BI267-$BH267)/12)))-$BF267)/$BG267)^2*SIN(($BH267+2*($BI267-$BH267)/12))^2</f>
        <v/>
      </c>
      <c r="BM267">
        <f>((cc_D/2*(1-COS(($BH267+3*($BI267-$BH267)/12)))-$BF267)/$BG267)^2*SIN(($BH267+3*($BI267-$BH267)/12))^2</f>
        <v/>
      </c>
      <c r="BN267">
        <f>((cc_D/2*(1-COS(($BH267+4*($BI267-$BH267)/12)))-$BF267)/$BG267)^2*SIN(($BH267+4*($BI267-$BH267)/12))^2</f>
        <v/>
      </c>
      <c r="BO267">
        <f>((cc_D/2*(1-COS(($BH267+5*($BI267-$BH267)/12)))-$BF267)/$BG267)^2*SIN(($BH267+5*($BI267-$BH267)/12))^2</f>
        <v/>
      </c>
      <c r="BP267">
        <f>((cc_D/2*(1-COS(($BH267+6*($BI267-$BH267)/12)))-$BF267)/$BG267)^2*SIN(($BH267+6*($BI267-$BH267)/12))^2</f>
        <v/>
      </c>
      <c r="BQ267">
        <f>((cc_D/2*(1-COS(($BH267+7*($BI267-$BH267)/12)))-$BF267)/$BG267)^2*SIN(($BH267+7*($BI267-$BH267)/12))^2</f>
        <v/>
      </c>
      <c r="BR267">
        <f>((cc_D/2*(1-COS(($BH267+8*($BI267-$BH267)/12)))-$BF267)/$BG267)^2*SIN(($BH267+8*($BI267-$BH267)/12))^2</f>
        <v/>
      </c>
      <c r="BS267">
        <f>((cc_D/2*(1-COS(($BH267+9*($BI267-$BH267)/12)))-$BF267)/$BG267)^2*SIN(($BH267+9*($BI267-$BH267)/12))^2</f>
        <v/>
      </c>
      <c r="BT267">
        <f>((cc_D/2*(1-COS(($BH267+10*($BI267-$BH267)/12)))-$BF267)/$BG267)^2*SIN(($BH267+10*($BI267-$BH267)/12))^2</f>
        <v/>
      </c>
      <c r="BU267">
        <f>((cc_D/2*(1-COS(($BH267+11*($BI267-$BH267)/12)))-$BF267)/$BG267)^2*SIN(($BH267+11*($BI267-$BH267)/12))^2</f>
        <v/>
      </c>
      <c r="BV267">
        <f>((cc_D/2*(1-COS(($BH267+12*($BI267-$BH267)/12)))-$BF267)/$BG267)^2*SIN(($BH267+12*($BI267-$BH267)/12))^2</f>
        <v/>
      </c>
      <c r="BW267">
        <f>BJ267*COS(($BH267+0*($BI267-$BH267)/12))</f>
        <v/>
      </c>
      <c r="BX267">
        <f>BK267*COS(($BH267+1*($BI267-$BH267)/12))</f>
        <v/>
      </c>
      <c r="BY267">
        <f>BL267*COS(($BH267+2*($BI267-$BH267)/12))</f>
        <v/>
      </c>
      <c r="BZ267">
        <f>BM267*COS(($BH267+3*($BI267-$BH267)/12))</f>
        <v/>
      </c>
      <c r="CA267">
        <f>BN267*COS(($BH267+4*($BI267-$BH267)/12))</f>
        <v/>
      </c>
      <c r="CB267">
        <f>BO267*COS(($BH267+5*($BI267-$BH267)/12))</f>
        <v/>
      </c>
      <c r="CC267">
        <f>BP267*COS(($BH267+6*($BI267-$BH267)/12))</f>
        <v/>
      </c>
      <c r="CD267">
        <f>BQ267*COS(($BH267+7*($BI267-$BH267)/12))</f>
        <v/>
      </c>
      <c r="CE267">
        <f>BR267*COS(($BH267+8*($BI267-$BH267)/12))</f>
        <v/>
      </c>
      <c r="CF267">
        <f>BS267*COS(($BH267+9*($BI267-$BH267)/12))</f>
        <v/>
      </c>
      <c r="CG267">
        <f>BT267*COS(($BH267+10*($BI267-$BH267)/12))</f>
        <v/>
      </c>
      <c r="CH267">
        <f>BU267*COS(($BH267+11*($BI267-$BH267)/12))</f>
        <v/>
      </c>
      <c r="CI267">
        <f>BV267*COS(($BH267+12*($BI267-$BH267)/12))</f>
        <v/>
      </c>
    </row>
    <row r="268">
      <c r="B268" s="65" t="n">
        <v>53</v>
      </c>
      <c r="C268" s="66">
        <f>IF($G267&lt;cc_NEd-1E-9*ABS(cc_NEd),($C267+$D267)/2,$C267)</f>
        <v/>
      </c>
      <c r="D268" s="66">
        <f>IF($G267&lt;cc_NEd-1E-9*ABS(cc_NEd),$D267,($C267+$D267)/2)</f>
        <v/>
      </c>
      <c r="E268" s="67">
        <f>cc_D*(($C268+$D268)/2)/(1-(($C268+$D268)/2))</f>
        <v/>
      </c>
      <c r="F268" s="68">
        <f>IF($E268&lt;=cc_D,3.5,2*$E268/($E268-3*cc_D/7))</f>
        <v/>
      </c>
      <c r="G268" s="67">
        <f>(fcd_cc*((cc_D/2)^2*($BI268-COS($BI268)*SIN($BI268))-2*(cc_D/2)^2*($BI268-$BH268)/12/3*SUMPRODUCT($BJ$4:$BV$4,$BJ268:$BV268))+SUMPRODUCT($J$5:$AG$5,$J268:$AG268))/1000</f>
        <v/>
      </c>
      <c r="H268" s="67">
        <f>(fcd_cc*(2/3*(cc_D/2)^3*SIN($BI268)^3-2*(cc_D/2)^3*($BI268-$BH268)/12/3*SUMPRODUCT($BW$4:$CI$4,$BW268:$CI268))+SUMPRODUCT($J$5:$AG$5,$J268:$AG268,$J$13:$AG$13))/1E6</f>
        <v/>
      </c>
      <c r="I268" s="67">
        <f>SUMPRODUCT($J$5:$AG$5,$J268:$AG268,$J$14:$AG$14)/1E6</f>
        <v/>
      </c>
      <c r="J268">
        <f>MAX(-fyd_cc,MIN(fyd_cc,Es_cc*IF($E268&lt;=cc_D,0.0035*($E268-J$12)/$E268,0.002*($E268-J$12)/($E268-3*cc_D/7))))-fcd_cc*(1-(1-MAX(0,MIN(1,IF($E268&lt;=cc_D,0.0035*($E268-J$12)/$E268,0.002*($E268-J$12)/($E268-3*cc_D/7))/0.002)))^2)</f>
        <v/>
      </c>
      <c r="K268">
        <f>MAX(-fyd_cc,MIN(fyd_cc,Es_cc*IF($E268&lt;=cc_D,0.0035*($E268-K$12)/$E268,0.002*($E268-K$12)/($E268-3*cc_D/7))))-fcd_cc*(1-(1-MAX(0,MIN(1,IF($E268&lt;=cc_D,0.0035*($E268-K$12)/$E268,0.002*($E268-K$12)/($E268-3*cc_D/7))/0.002)))^2)</f>
        <v/>
      </c>
      <c r="L268">
        <f>MAX(-fyd_cc,MIN(fyd_cc,Es_cc*IF($E268&lt;=cc_D,0.0035*($E268-L$12)/$E268,0.002*($E268-L$12)/($E268-3*cc_D/7))))-fcd_cc*(1-(1-MAX(0,MIN(1,IF($E268&lt;=cc_D,0.0035*($E268-L$12)/$E268,0.002*($E268-L$12)/($E268-3*cc_D/7))/0.002)))^2)</f>
        <v/>
      </c>
      <c r="M268">
        <f>MAX(-fyd_cc,MIN(fyd_cc,Es_cc*IF($E268&lt;=cc_D,0.0035*($E268-M$12)/$E268,0.002*($E268-M$12)/($E268-3*cc_D/7))))-fcd_cc*(1-(1-MAX(0,MIN(1,IF($E268&lt;=cc_D,0.0035*($E268-M$12)/$E268,0.002*($E268-M$12)/($E268-3*cc_D/7))/0.002)))^2)</f>
        <v/>
      </c>
      <c r="N268">
        <f>MAX(-fyd_cc,MIN(fyd_cc,Es_cc*IF($E268&lt;=cc_D,0.0035*($E268-N$12)/$E268,0.002*($E268-N$12)/($E268-3*cc_D/7))))-fcd_cc*(1-(1-MAX(0,MIN(1,IF($E268&lt;=cc_D,0.0035*($E268-N$12)/$E268,0.002*($E268-N$12)/($E268-3*cc_D/7))/0.002)))^2)</f>
        <v/>
      </c>
      <c r="O268">
        <f>MAX(-fyd_cc,MIN(fyd_cc,Es_cc*IF($E268&lt;=cc_D,0.0035*($E268-O$12)/$E268,0.002*($E268-O$12)/($E268-3*cc_D/7))))-fcd_cc*(1-(1-MAX(0,MIN(1,IF($E268&lt;=cc_D,0.0035*($E268-O$12)/$E268,0.002*($E268-O$12)/($E268-3*cc_D/7))/0.002)))^2)</f>
        <v/>
      </c>
      <c r="P268">
        <f>MAX(-fyd_cc,MIN(fyd_cc,Es_cc*IF($E268&lt;=cc_D,0.0035*($E268-P$12)/$E268,0.002*($E268-P$12)/($E268-3*cc_D/7))))-fcd_cc*(1-(1-MAX(0,MIN(1,IF($E268&lt;=cc_D,0.0035*($E268-P$12)/$E268,0.002*($E268-P$12)/($E268-3*cc_D/7))/0.002)))^2)</f>
        <v/>
      </c>
      <c r="Q268">
        <f>MAX(-fyd_cc,MIN(fyd_cc,Es_cc*IF($E268&lt;=cc_D,0.0035*($E268-Q$12)/$E268,0.002*($E268-Q$12)/($E268-3*cc_D/7))))-fcd_cc*(1-(1-MAX(0,MIN(1,IF($E268&lt;=cc_D,0.0035*($E268-Q$12)/$E268,0.002*($E268-Q$12)/($E268-3*cc_D/7))/0.002)))^2)</f>
        <v/>
      </c>
      <c r="R268">
        <f>MAX(-fyd_cc,MIN(fyd_cc,Es_cc*IF($E268&lt;=cc_D,0.0035*($E268-R$12)/$E268,0.002*($E268-R$12)/($E268-3*cc_D/7))))-fcd_cc*(1-(1-MAX(0,MIN(1,IF($E268&lt;=cc_D,0.0035*($E268-R$12)/$E268,0.002*($E268-R$12)/($E268-3*cc_D/7))/0.002)))^2)</f>
        <v/>
      </c>
      <c r="S268">
        <f>MAX(-fyd_cc,MIN(fyd_cc,Es_cc*IF($E268&lt;=cc_D,0.0035*($E268-S$12)/$E268,0.002*($E268-S$12)/($E268-3*cc_D/7))))-fcd_cc*(1-(1-MAX(0,MIN(1,IF($E268&lt;=cc_D,0.0035*($E268-S$12)/$E268,0.002*($E268-S$12)/($E268-3*cc_D/7))/0.002)))^2)</f>
        <v/>
      </c>
      <c r="T268">
        <f>MAX(-fyd_cc,MIN(fyd_cc,Es_cc*IF($E268&lt;=cc_D,0.0035*($E268-T$12)/$E268,0.002*($E268-T$12)/($E268-3*cc_D/7))))-fcd_cc*(1-(1-MAX(0,MIN(1,IF($E268&lt;=cc_D,0.0035*($E268-T$12)/$E268,0.002*($E268-T$12)/($E268-3*cc_D/7))/0.002)))^2)</f>
        <v/>
      </c>
      <c r="U268">
        <f>MAX(-fyd_cc,MIN(fyd_cc,Es_cc*IF($E268&lt;=cc_D,0.0035*($E268-U$12)/$E268,0.002*($E268-U$12)/($E268-3*cc_D/7))))-fcd_cc*(1-(1-MAX(0,MIN(1,IF($E268&lt;=cc_D,0.0035*($E268-U$12)/$E268,0.002*($E268-U$12)/($E268-3*cc_D/7))/0.002)))^2)</f>
        <v/>
      </c>
      <c r="V268">
        <f>MAX(-fyd_cc,MIN(fyd_cc,Es_cc*IF($E268&lt;=cc_D,0.0035*($E268-V$12)/$E268,0.002*($E268-V$12)/($E268-3*cc_D/7))))-fcd_cc*(1-(1-MAX(0,MIN(1,IF($E268&lt;=cc_D,0.0035*($E268-V$12)/$E268,0.002*($E268-V$12)/($E268-3*cc_D/7))/0.002)))^2)</f>
        <v/>
      </c>
      <c r="W268">
        <f>MAX(-fyd_cc,MIN(fyd_cc,Es_cc*IF($E268&lt;=cc_D,0.0035*($E268-W$12)/$E268,0.002*($E268-W$12)/($E268-3*cc_D/7))))-fcd_cc*(1-(1-MAX(0,MIN(1,IF($E268&lt;=cc_D,0.0035*($E268-W$12)/$E268,0.002*($E268-W$12)/($E268-3*cc_D/7))/0.002)))^2)</f>
        <v/>
      </c>
      <c r="X268">
        <f>MAX(-fyd_cc,MIN(fyd_cc,Es_cc*IF($E268&lt;=cc_D,0.0035*($E268-X$12)/$E268,0.002*($E268-X$12)/($E268-3*cc_D/7))))-fcd_cc*(1-(1-MAX(0,MIN(1,IF($E268&lt;=cc_D,0.0035*($E268-X$12)/$E268,0.002*($E268-X$12)/($E268-3*cc_D/7))/0.002)))^2)</f>
        <v/>
      </c>
      <c r="Y268">
        <f>MAX(-fyd_cc,MIN(fyd_cc,Es_cc*IF($E268&lt;=cc_D,0.0035*($E268-Y$12)/$E268,0.002*($E268-Y$12)/($E268-3*cc_D/7))))-fcd_cc*(1-(1-MAX(0,MIN(1,IF($E268&lt;=cc_D,0.0035*($E268-Y$12)/$E268,0.002*($E268-Y$12)/($E268-3*cc_D/7))/0.002)))^2)</f>
        <v/>
      </c>
      <c r="Z268">
        <f>MAX(-fyd_cc,MIN(fyd_cc,Es_cc*IF($E268&lt;=cc_D,0.0035*($E268-Z$12)/$E268,0.002*($E268-Z$12)/($E268-3*cc_D/7))))-fcd_cc*(1-(1-MAX(0,MIN(1,IF($E268&lt;=cc_D,0.0035*($E268-Z$12)/$E268,0.002*($E268-Z$12)/($E268-3*cc_D/7))/0.002)))^2)</f>
        <v/>
      </c>
      <c r="AA268">
        <f>MAX(-fyd_cc,MIN(fyd_cc,Es_cc*IF($E268&lt;=cc_D,0.0035*($E268-AA$12)/$E268,0.002*($E268-AA$12)/($E268-3*cc_D/7))))-fcd_cc*(1-(1-MAX(0,MIN(1,IF($E268&lt;=cc_D,0.0035*($E268-AA$12)/$E268,0.002*($E268-AA$12)/($E268-3*cc_D/7))/0.002)))^2)</f>
        <v/>
      </c>
      <c r="AB268">
        <f>MAX(-fyd_cc,MIN(fyd_cc,Es_cc*IF($E268&lt;=cc_D,0.0035*($E268-AB$12)/$E268,0.002*($E268-AB$12)/($E268-3*cc_D/7))))-fcd_cc*(1-(1-MAX(0,MIN(1,IF($E268&lt;=cc_D,0.0035*($E268-AB$12)/$E268,0.002*($E268-AB$12)/($E268-3*cc_D/7))/0.002)))^2)</f>
        <v/>
      </c>
      <c r="AC268">
        <f>MAX(-fyd_cc,MIN(fyd_cc,Es_cc*IF($E268&lt;=cc_D,0.0035*($E268-AC$12)/$E268,0.002*($E268-AC$12)/($E268-3*cc_D/7))))-fcd_cc*(1-(1-MAX(0,MIN(1,IF($E268&lt;=cc_D,0.0035*($E268-AC$12)/$E268,0.002*($E268-AC$12)/($E268-3*cc_D/7))/0.002)))^2)</f>
        <v/>
      </c>
      <c r="AD268">
        <f>MAX(-fyd_cc,MIN(fyd_cc,Es_cc*IF($E268&lt;=cc_D,0.0035*($E268-AD$12)/$E268,0.002*($E268-AD$12)/($E268-3*cc_D/7))))-fcd_cc*(1-(1-MAX(0,MIN(1,IF($E268&lt;=cc_D,0.0035*($E268-AD$12)/$E268,0.002*($E268-AD$12)/($E268-3*cc_D/7))/0.002)))^2)</f>
        <v/>
      </c>
      <c r="AE268">
        <f>MAX(-fyd_cc,MIN(fyd_cc,Es_cc*IF($E268&lt;=cc_D,0.0035*($E268-AE$12)/$E268,0.002*($E268-AE$12)/($E268-3*cc_D/7))))-fcd_cc*(1-(1-MAX(0,MIN(1,IF($E268&lt;=cc_D,0.0035*($E268-AE$12)/$E268,0.002*($E268-AE$12)/($E268-3*cc_D/7))/0.002)))^2)</f>
        <v/>
      </c>
      <c r="AF268">
        <f>MAX(-fyd_cc,MIN(fyd_cc,Es_cc*IF($E268&lt;=cc_D,0.0035*($E268-AF$12)/$E268,0.002*($E268-AF$12)/($E268-3*cc_D/7))))-fcd_cc*(1-(1-MAX(0,MIN(1,IF($E268&lt;=cc_D,0.0035*($E268-AF$12)/$E268,0.002*($E268-AF$12)/($E268-3*cc_D/7))/0.002)))^2)</f>
        <v/>
      </c>
      <c r="AG268">
        <f>MAX(-fyd_cc,MIN(fyd_cc,Es_cc*IF($E268&lt;=cc_D,0.0035*($E268-AG$12)/$E268,0.002*($E268-AG$12)/($E268-3*cc_D/7))))-fcd_cc*(1-(1-MAX(0,MIN(1,IF($E268&lt;=cc_D,0.0035*($E268-AG$12)/$E268,0.002*($E268-AG$12)/($E268-3*cc_D/7))/0.002)))^2)</f>
        <v/>
      </c>
      <c r="BF268">
        <f>3*MIN($E268,cc_D)/7</f>
        <v/>
      </c>
      <c r="BG268">
        <f>$E268-$BF268</f>
        <v/>
      </c>
      <c r="BH268">
        <f>ACOS(MAX(-1,MIN(1,1-$BF268/(cc_D/2))))</f>
        <v/>
      </c>
      <c r="BI268">
        <f>ACOS(MAX(-1,MIN(1,1-MIN($E268,cc_D)/(cc_D/2))))</f>
        <v/>
      </c>
      <c r="BJ268">
        <f>((cc_D/2*(1-COS(($BH268+0*($BI268-$BH268)/12)))-$BF268)/$BG268)^2*SIN(($BH268+0*($BI268-$BH268)/12))^2</f>
        <v/>
      </c>
      <c r="BK268">
        <f>((cc_D/2*(1-COS(($BH268+1*($BI268-$BH268)/12)))-$BF268)/$BG268)^2*SIN(($BH268+1*($BI268-$BH268)/12))^2</f>
        <v/>
      </c>
      <c r="BL268">
        <f>((cc_D/2*(1-COS(($BH268+2*($BI268-$BH268)/12)))-$BF268)/$BG268)^2*SIN(($BH268+2*($BI268-$BH268)/12))^2</f>
        <v/>
      </c>
      <c r="BM268">
        <f>((cc_D/2*(1-COS(($BH268+3*($BI268-$BH268)/12)))-$BF268)/$BG268)^2*SIN(($BH268+3*($BI268-$BH268)/12))^2</f>
        <v/>
      </c>
      <c r="BN268">
        <f>((cc_D/2*(1-COS(($BH268+4*($BI268-$BH268)/12)))-$BF268)/$BG268)^2*SIN(($BH268+4*($BI268-$BH268)/12))^2</f>
        <v/>
      </c>
      <c r="BO268">
        <f>((cc_D/2*(1-COS(($BH268+5*($BI268-$BH268)/12)))-$BF268)/$BG268)^2*SIN(($BH268+5*($BI268-$BH268)/12))^2</f>
        <v/>
      </c>
      <c r="BP268">
        <f>((cc_D/2*(1-COS(($BH268+6*($BI268-$BH268)/12)))-$BF268)/$BG268)^2*SIN(($BH268+6*($BI268-$BH268)/12))^2</f>
        <v/>
      </c>
      <c r="BQ268">
        <f>((cc_D/2*(1-COS(($BH268+7*($BI268-$BH268)/12)))-$BF268)/$BG268)^2*SIN(($BH268+7*($BI268-$BH268)/12))^2</f>
        <v/>
      </c>
      <c r="BR268">
        <f>((cc_D/2*(1-COS(($BH268+8*($BI268-$BH268)/12)))-$BF268)/$BG268)^2*SIN(($BH268+8*($BI268-$BH268)/12))^2</f>
        <v/>
      </c>
      <c r="BS268">
        <f>((cc_D/2*(1-COS(($BH268+9*($BI268-$BH268)/12)))-$BF268)/$BG268)^2*SIN(($BH268+9*($BI268-$BH268)/12))^2</f>
        <v/>
      </c>
      <c r="BT268">
        <f>((cc_D/2*(1-COS(($BH268+10*($BI268-$BH268)/12)))-$BF268)/$BG268)^2*SIN(($BH268+10*($BI268-$BH268)/12))^2</f>
        <v/>
      </c>
      <c r="BU268">
        <f>((cc_D/2*(1-COS(($BH268+11*($BI268-$BH268)/12)))-$BF268)/$BG268)^2*SIN(($BH268+11*($BI268-$BH268)/12))^2</f>
        <v/>
      </c>
      <c r="BV268">
        <f>((cc_D/2*(1-COS(($BH268+12*($BI268-$BH268)/12)))-$BF268)/$BG268)^2*SIN(($BH268+12*($BI268-$BH268)/12))^2</f>
        <v/>
      </c>
      <c r="BW268">
        <f>BJ268*COS(($BH268+0*($BI268-$BH268)/12))</f>
        <v/>
      </c>
      <c r="BX268">
        <f>BK268*COS(($BH268+1*($BI268-$BH268)/12))</f>
        <v/>
      </c>
      <c r="BY268">
        <f>BL268*COS(($BH268+2*($BI268-$BH268)/12))</f>
        <v/>
      </c>
      <c r="BZ268">
        <f>BM268*COS(($BH268+3*($BI268-$BH268)/12))</f>
        <v/>
      </c>
      <c r="CA268">
        <f>BN268*COS(($BH268+4*($BI268-$BH268)/12))</f>
        <v/>
      </c>
      <c r="CB268">
        <f>BO268*COS(($BH268+5*($BI268-$BH268)/12))</f>
        <v/>
      </c>
      <c r="CC268">
        <f>BP268*COS(($BH268+6*($BI268-$BH268)/12))</f>
        <v/>
      </c>
      <c r="CD268">
        <f>BQ268*COS(($BH268+7*($BI268-$BH268)/12))</f>
        <v/>
      </c>
      <c r="CE268">
        <f>BR268*COS(($BH268+8*($BI268-$BH268)/12))</f>
        <v/>
      </c>
      <c r="CF268">
        <f>BS268*COS(($BH268+9*($BI268-$BH268)/12))</f>
        <v/>
      </c>
      <c r="CG268">
        <f>BT268*COS(($BH268+10*($BI268-$BH268)/12))</f>
        <v/>
      </c>
      <c r="CH268">
        <f>BU268*COS(($BH268+11*($BI268-$BH268)/12))</f>
        <v/>
      </c>
      <c r="CI268">
        <f>BV268*COS(($BH268+12*($BI268-$BH268)/12))</f>
        <v/>
      </c>
    </row>
    <row r="269">
      <c r="B269" s="65" t="n">
        <v>54</v>
      </c>
      <c r="C269" s="66">
        <f>IF($G268&lt;cc_NEd-1E-9*ABS(cc_NEd),($C268+$D268)/2,$C268)</f>
        <v/>
      </c>
      <c r="D269" s="66">
        <f>IF($G268&lt;cc_NEd-1E-9*ABS(cc_NEd),$D268,($C268+$D268)/2)</f>
        <v/>
      </c>
      <c r="E269" s="67">
        <f>cc_D*(($C269+$D269)/2)/(1-(($C269+$D269)/2))</f>
        <v/>
      </c>
      <c r="F269" s="68">
        <f>IF($E269&lt;=cc_D,3.5,2*$E269/($E269-3*cc_D/7))</f>
        <v/>
      </c>
      <c r="G269" s="67">
        <f>(fcd_cc*((cc_D/2)^2*($BI269-COS($BI269)*SIN($BI269))-2*(cc_D/2)^2*($BI269-$BH269)/12/3*SUMPRODUCT($BJ$4:$BV$4,$BJ269:$BV269))+SUMPRODUCT($J$5:$AG$5,$J269:$AG269))/1000</f>
        <v/>
      </c>
      <c r="H269" s="67">
        <f>(fcd_cc*(2/3*(cc_D/2)^3*SIN($BI269)^3-2*(cc_D/2)^3*($BI269-$BH269)/12/3*SUMPRODUCT($BW$4:$CI$4,$BW269:$CI269))+SUMPRODUCT($J$5:$AG$5,$J269:$AG269,$J$13:$AG$13))/1E6</f>
        <v/>
      </c>
      <c r="I269" s="67">
        <f>SUMPRODUCT($J$5:$AG$5,$J269:$AG269,$J$14:$AG$14)/1E6</f>
        <v/>
      </c>
      <c r="J269">
        <f>MAX(-fyd_cc,MIN(fyd_cc,Es_cc*IF($E269&lt;=cc_D,0.0035*($E269-J$12)/$E269,0.002*($E269-J$12)/($E269-3*cc_D/7))))-fcd_cc*(1-(1-MAX(0,MIN(1,IF($E269&lt;=cc_D,0.0035*($E269-J$12)/$E269,0.002*($E269-J$12)/($E269-3*cc_D/7))/0.002)))^2)</f>
        <v/>
      </c>
      <c r="K269">
        <f>MAX(-fyd_cc,MIN(fyd_cc,Es_cc*IF($E269&lt;=cc_D,0.0035*($E269-K$12)/$E269,0.002*($E269-K$12)/($E269-3*cc_D/7))))-fcd_cc*(1-(1-MAX(0,MIN(1,IF($E269&lt;=cc_D,0.0035*($E269-K$12)/$E269,0.002*($E269-K$12)/($E269-3*cc_D/7))/0.002)))^2)</f>
        <v/>
      </c>
      <c r="L269">
        <f>MAX(-fyd_cc,MIN(fyd_cc,Es_cc*IF($E269&lt;=cc_D,0.0035*($E269-L$12)/$E269,0.002*($E269-L$12)/($E269-3*cc_D/7))))-fcd_cc*(1-(1-MAX(0,MIN(1,IF($E269&lt;=cc_D,0.0035*($E269-L$12)/$E269,0.002*($E269-L$12)/($E269-3*cc_D/7))/0.002)))^2)</f>
        <v/>
      </c>
      <c r="M269">
        <f>MAX(-fyd_cc,MIN(fyd_cc,Es_cc*IF($E269&lt;=cc_D,0.0035*($E269-M$12)/$E269,0.002*($E269-M$12)/($E269-3*cc_D/7))))-fcd_cc*(1-(1-MAX(0,MIN(1,IF($E269&lt;=cc_D,0.0035*($E269-M$12)/$E269,0.002*($E269-M$12)/($E269-3*cc_D/7))/0.002)))^2)</f>
        <v/>
      </c>
      <c r="N269">
        <f>MAX(-fyd_cc,MIN(fyd_cc,Es_cc*IF($E269&lt;=cc_D,0.0035*($E269-N$12)/$E269,0.002*($E269-N$12)/($E269-3*cc_D/7))))-fcd_cc*(1-(1-MAX(0,MIN(1,IF($E269&lt;=cc_D,0.0035*($E269-N$12)/$E269,0.002*($E269-N$12)/($E269-3*cc_D/7))/0.002)))^2)</f>
        <v/>
      </c>
      <c r="O269">
        <f>MAX(-fyd_cc,MIN(fyd_cc,Es_cc*IF($E269&lt;=cc_D,0.0035*($E269-O$12)/$E269,0.002*($E269-O$12)/($E269-3*cc_D/7))))-fcd_cc*(1-(1-MAX(0,MIN(1,IF($E269&lt;=cc_D,0.0035*($E269-O$12)/$E269,0.002*($E269-O$12)/($E269-3*cc_D/7))/0.002)))^2)</f>
        <v/>
      </c>
      <c r="P269">
        <f>MAX(-fyd_cc,MIN(fyd_cc,Es_cc*IF($E269&lt;=cc_D,0.0035*($E269-P$12)/$E269,0.002*($E269-P$12)/($E269-3*cc_D/7))))-fcd_cc*(1-(1-MAX(0,MIN(1,IF($E269&lt;=cc_D,0.0035*($E269-P$12)/$E269,0.002*($E269-P$12)/($E269-3*cc_D/7))/0.002)))^2)</f>
        <v/>
      </c>
      <c r="Q269">
        <f>MAX(-fyd_cc,MIN(fyd_cc,Es_cc*IF($E269&lt;=cc_D,0.0035*($E269-Q$12)/$E269,0.002*($E269-Q$12)/($E269-3*cc_D/7))))-fcd_cc*(1-(1-MAX(0,MIN(1,IF($E269&lt;=cc_D,0.0035*($E269-Q$12)/$E269,0.002*($E269-Q$12)/($E269-3*cc_D/7))/0.002)))^2)</f>
        <v/>
      </c>
      <c r="R269">
        <f>MAX(-fyd_cc,MIN(fyd_cc,Es_cc*IF($E269&lt;=cc_D,0.0035*($E269-R$12)/$E269,0.002*($E269-R$12)/($E269-3*cc_D/7))))-fcd_cc*(1-(1-MAX(0,MIN(1,IF($E269&lt;=cc_D,0.0035*($E269-R$12)/$E269,0.002*($E269-R$12)/($E269-3*cc_D/7))/0.002)))^2)</f>
        <v/>
      </c>
      <c r="S269">
        <f>MAX(-fyd_cc,MIN(fyd_cc,Es_cc*IF($E269&lt;=cc_D,0.0035*($E269-S$12)/$E269,0.002*($E269-S$12)/($E269-3*cc_D/7))))-fcd_cc*(1-(1-MAX(0,MIN(1,IF($E269&lt;=cc_D,0.0035*($E269-S$12)/$E269,0.002*($E269-S$12)/($E269-3*cc_D/7))/0.002)))^2)</f>
        <v/>
      </c>
      <c r="T269">
        <f>MAX(-fyd_cc,MIN(fyd_cc,Es_cc*IF($E269&lt;=cc_D,0.0035*($E269-T$12)/$E269,0.002*($E269-T$12)/($E269-3*cc_D/7))))-fcd_cc*(1-(1-MAX(0,MIN(1,IF($E269&lt;=cc_D,0.0035*($E269-T$12)/$E269,0.002*($E269-T$12)/($E269-3*cc_D/7))/0.002)))^2)</f>
        <v/>
      </c>
      <c r="U269">
        <f>MAX(-fyd_cc,MIN(fyd_cc,Es_cc*IF($E269&lt;=cc_D,0.0035*($E269-U$12)/$E269,0.002*($E269-U$12)/($E269-3*cc_D/7))))-fcd_cc*(1-(1-MAX(0,MIN(1,IF($E269&lt;=cc_D,0.0035*($E269-U$12)/$E269,0.002*($E269-U$12)/($E269-3*cc_D/7))/0.002)))^2)</f>
        <v/>
      </c>
      <c r="V269">
        <f>MAX(-fyd_cc,MIN(fyd_cc,Es_cc*IF($E269&lt;=cc_D,0.0035*($E269-V$12)/$E269,0.002*($E269-V$12)/($E269-3*cc_D/7))))-fcd_cc*(1-(1-MAX(0,MIN(1,IF($E269&lt;=cc_D,0.0035*($E269-V$12)/$E269,0.002*($E269-V$12)/($E269-3*cc_D/7))/0.002)))^2)</f>
        <v/>
      </c>
      <c r="W269">
        <f>MAX(-fyd_cc,MIN(fyd_cc,Es_cc*IF($E269&lt;=cc_D,0.0035*($E269-W$12)/$E269,0.002*($E269-W$12)/($E269-3*cc_D/7))))-fcd_cc*(1-(1-MAX(0,MIN(1,IF($E269&lt;=cc_D,0.0035*($E269-W$12)/$E269,0.002*($E269-W$12)/($E269-3*cc_D/7))/0.002)))^2)</f>
        <v/>
      </c>
      <c r="X269">
        <f>MAX(-fyd_cc,MIN(fyd_cc,Es_cc*IF($E269&lt;=cc_D,0.0035*($E269-X$12)/$E269,0.002*($E269-X$12)/($E269-3*cc_D/7))))-fcd_cc*(1-(1-MAX(0,MIN(1,IF($E269&lt;=cc_D,0.0035*($E269-X$12)/$E269,0.002*($E269-X$12)/($E269-3*cc_D/7))/0.002)))^2)</f>
        <v/>
      </c>
      <c r="Y269">
        <f>MAX(-fyd_cc,MIN(fyd_cc,Es_cc*IF($E269&lt;=cc_D,0.0035*($E269-Y$12)/$E269,0.002*($E269-Y$12)/($E269-3*cc_D/7))))-fcd_cc*(1-(1-MAX(0,MIN(1,IF($E269&lt;=cc_D,0.0035*($E269-Y$12)/$E269,0.002*($E269-Y$12)/($E269-3*cc_D/7))/0.002)))^2)</f>
        <v/>
      </c>
      <c r="Z269">
        <f>MAX(-fyd_cc,MIN(fyd_cc,Es_cc*IF($E269&lt;=cc_D,0.0035*($E269-Z$12)/$E269,0.002*($E269-Z$12)/($E269-3*cc_D/7))))-fcd_cc*(1-(1-MAX(0,MIN(1,IF($E269&lt;=cc_D,0.0035*($E269-Z$12)/$E269,0.002*($E269-Z$12)/($E269-3*cc_D/7))/0.002)))^2)</f>
        <v/>
      </c>
      <c r="AA269">
        <f>MAX(-fyd_cc,MIN(fyd_cc,Es_cc*IF($E269&lt;=cc_D,0.0035*($E269-AA$12)/$E269,0.002*($E269-AA$12)/($E269-3*cc_D/7))))-fcd_cc*(1-(1-MAX(0,MIN(1,IF($E269&lt;=cc_D,0.0035*($E269-AA$12)/$E269,0.002*($E269-AA$12)/($E269-3*cc_D/7))/0.002)))^2)</f>
        <v/>
      </c>
      <c r="AB269">
        <f>MAX(-fyd_cc,MIN(fyd_cc,Es_cc*IF($E269&lt;=cc_D,0.0035*($E269-AB$12)/$E269,0.002*($E269-AB$12)/($E269-3*cc_D/7))))-fcd_cc*(1-(1-MAX(0,MIN(1,IF($E269&lt;=cc_D,0.0035*($E269-AB$12)/$E269,0.002*($E269-AB$12)/($E269-3*cc_D/7))/0.002)))^2)</f>
        <v/>
      </c>
      <c r="AC269">
        <f>MAX(-fyd_cc,MIN(fyd_cc,Es_cc*IF($E269&lt;=cc_D,0.0035*($E269-AC$12)/$E269,0.002*($E269-AC$12)/($E269-3*cc_D/7))))-fcd_cc*(1-(1-MAX(0,MIN(1,IF($E269&lt;=cc_D,0.0035*($E269-AC$12)/$E269,0.002*($E269-AC$12)/($E269-3*cc_D/7))/0.002)))^2)</f>
        <v/>
      </c>
      <c r="AD269">
        <f>MAX(-fyd_cc,MIN(fyd_cc,Es_cc*IF($E269&lt;=cc_D,0.0035*($E269-AD$12)/$E269,0.002*($E269-AD$12)/($E269-3*cc_D/7))))-fcd_cc*(1-(1-MAX(0,MIN(1,IF($E269&lt;=cc_D,0.0035*($E269-AD$12)/$E269,0.002*($E269-AD$12)/($E269-3*cc_D/7))/0.002)))^2)</f>
        <v/>
      </c>
      <c r="AE269">
        <f>MAX(-fyd_cc,MIN(fyd_cc,Es_cc*IF($E269&lt;=cc_D,0.0035*($E269-AE$12)/$E269,0.002*($E269-AE$12)/($E269-3*cc_D/7))))-fcd_cc*(1-(1-MAX(0,MIN(1,IF($E269&lt;=cc_D,0.0035*($E269-AE$12)/$E269,0.002*($E269-AE$12)/($E269-3*cc_D/7))/0.002)))^2)</f>
        <v/>
      </c>
      <c r="AF269">
        <f>MAX(-fyd_cc,MIN(fyd_cc,Es_cc*IF($E269&lt;=cc_D,0.0035*($E269-AF$12)/$E269,0.002*($E269-AF$12)/($E269-3*cc_D/7))))-fcd_cc*(1-(1-MAX(0,MIN(1,IF($E269&lt;=cc_D,0.0035*($E269-AF$12)/$E269,0.002*($E269-AF$12)/($E269-3*cc_D/7))/0.002)))^2)</f>
        <v/>
      </c>
      <c r="AG269">
        <f>MAX(-fyd_cc,MIN(fyd_cc,Es_cc*IF($E269&lt;=cc_D,0.0035*($E269-AG$12)/$E269,0.002*($E269-AG$12)/($E269-3*cc_D/7))))-fcd_cc*(1-(1-MAX(0,MIN(1,IF($E269&lt;=cc_D,0.0035*($E269-AG$12)/$E269,0.002*($E269-AG$12)/($E269-3*cc_D/7))/0.002)))^2)</f>
        <v/>
      </c>
      <c r="BF269">
        <f>3*MIN($E269,cc_D)/7</f>
        <v/>
      </c>
      <c r="BG269">
        <f>$E269-$BF269</f>
        <v/>
      </c>
      <c r="BH269">
        <f>ACOS(MAX(-1,MIN(1,1-$BF269/(cc_D/2))))</f>
        <v/>
      </c>
      <c r="BI269">
        <f>ACOS(MAX(-1,MIN(1,1-MIN($E269,cc_D)/(cc_D/2))))</f>
        <v/>
      </c>
      <c r="BJ269">
        <f>((cc_D/2*(1-COS(($BH269+0*($BI269-$BH269)/12)))-$BF269)/$BG269)^2*SIN(($BH269+0*($BI269-$BH269)/12))^2</f>
        <v/>
      </c>
      <c r="BK269">
        <f>((cc_D/2*(1-COS(($BH269+1*($BI269-$BH269)/12)))-$BF269)/$BG269)^2*SIN(($BH269+1*($BI269-$BH269)/12))^2</f>
        <v/>
      </c>
      <c r="BL269">
        <f>((cc_D/2*(1-COS(($BH269+2*($BI269-$BH269)/12)))-$BF269)/$BG269)^2*SIN(($BH269+2*($BI269-$BH269)/12))^2</f>
        <v/>
      </c>
      <c r="BM269">
        <f>((cc_D/2*(1-COS(($BH269+3*($BI269-$BH269)/12)))-$BF269)/$BG269)^2*SIN(($BH269+3*($BI269-$BH269)/12))^2</f>
        <v/>
      </c>
      <c r="BN269">
        <f>((cc_D/2*(1-COS(($BH269+4*($BI269-$BH269)/12)))-$BF269)/$BG269)^2*SIN(($BH269+4*($BI269-$BH269)/12))^2</f>
        <v/>
      </c>
      <c r="BO269">
        <f>((cc_D/2*(1-COS(($BH269+5*($BI269-$BH269)/12)))-$BF269)/$BG269)^2*SIN(($BH269+5*($BI269-$BH269)/12))^2</f>
        <v/>
      </c>
      <c r="BP269">
        <f>((cc_D/2*(1-COS(($BH269+6*($BI269-$BH269)/12)))-$BF269)/$BG269)^2*SIN(($BH269+6*($BI269-$BH269)/12))^2</f>
        <v/>
      </c>
      <c r="BQ269">
        <f>((cc_D/2*(1-COS(($BH269+7*($BI269-$BH269)/12)))-$BF269)/$BG269)^2*SIN(($BH269+7*($BI269-$BH269)/12))^2</f>
        <v/>
      </c>
      <c r="BR269">
        <f>((cc_D/2*(1-COS(($BH269+8*($BI269-$BH269)/12)))-$BF269)/$BG269)^2*SIN(($BH269+8*($BI269-$BH269)/12))^2</f>
        <v/>
      </c>
      <c r="BS269">
        <f>((cc_D/2*(1-COS(($BH269+9*($BI269-$BH269)/12)))-$BF269)/$BG269)^2*SIN(($BH269+9*($BI269-$BH269)/12))^2</f>
        <v/>
      </c>
      <c r="BT269">
        <f>((cc_D/2*(1-COS(($BH269+10*($BI269-$BH269)/12)))-$BF269)/$BG269)^2*SIN(($BH269+10*($BI269-$BH269)/12))^2</f>
        <v/>
      </c>
      <c r="BU269">
        <f>((cc_D/2*(1-COS(($BH269+11*($BI269-$BH269)/12)))-$BF269)/$BG269)^2*SIN(($BH269+11*($BI269-$BH269)/12))^2</f>
        <v/>
      </c>
      <c r="BV269">
        <f>((cc_D/2*(1-COS(($BH269+12*($BI269-$BH269)/12)))-$BF269)/$BG269)^2*SIN(($BH269+12*($BI269-$BH269)/12))^2</f>
        <v/>
      </c>
      <c r="BW269">
        <f>BJ269*COS(($BH269+0*($BI269-$BH269)/12))</f>
        <v/>
      </c>
      <c r="BX269">
        <f>BK269*COS(($BH269+1*($BI269-$BH269)/12))</f>
        <v/>
      </c>
      <c r="BY269">
        <f>BL269*COS(($BH269+2*($BI269-$BH269)/12))</f>
        <v/>
      </c>
      <c r="BZ269">
        <f>BM269*COS(($BH269+3*($BI269-$BH269)/12))</f>
        <v/>
      </c>
      <c r="CA269">
        <f>BN269*COS(($BH269+4*($BI269-$BH269)/12))</f>
        <v/>
      </c>
      <c r="CB269">
        <f>BO269*COS(($BH269+5*($BI269-$BH269)/12))</f>
        <v/>
      </c>
      <c r="CC269">
        <f>BP269*COS(($BH269+6*($BI269-$BH269)/12))</f>
        <v/>
      </c>
      <c r="CD269">
        <f>BQ269*COS(($BH269+7*($BI269-$BH269)/12))</f>
        <v/>
      </c>
      <c r="CE269">
        <f>BR269*COS(($BH269+8*($BI269-$BH269)/12))</f>
        <v/>
      </c>
      <c r="CF269">
        <f>BS269*COS(($BH269+9*($BI269-$BH269)/12))</f>
        <v/>
      </c>
      <c r="CG269">
        <f>BT269*COS(($BH269+10*($BI269-$BH269)/12))</f>
        <v/>
      </c>
      <c r="CH269">
        <f>BU269*COS(($BH269+11*($BI269-$BH269)/12))</f>
        <v/>
      </c>
      <c r="CI269">
        <f>BV269*COS(($BH269+12*($BI269-$BH269)/12))</f>
        <v/>
      </c>
    </row>
    <row r="270">
      <c r="B270" s="65" t="n">
        <v>55</v>
      </c>
      <c r="C270" s="66">
        <f>IF($G269&lt;cc_NEd-1E-9*ABS(cc_NEd),($C269+$D269)/2,$C269)</f>
        <v/>
      </c>
      <c r="D270" s="66">
        <f>IF($G269&lt;cc_NEd-1E-9*ABS(cc_NEd),$D269,($C269+$D269)/2)</f>
        <v/>
      </c>
      <c r="E270" s="67">
        <f>cc_D*(($C270+$D270)/2)/(1-(($C270+$D270)/2))</f>
        <v/>
      </c>
      <c r="F270" s="68">
        <f>IF($E270&lt;=cc_D,3.5,2*$E270/($E270-3*cc_D/7))</f>
        <v/>
      </c>
      <c r="G270" s="67">
        <f>(fcd_cc*((cc_D/2)^2*($BI270-COS($BI270)*SIN($BI270))-2*(cc_D/2)^2*($BI270-$BH270)/12/3*SUMPRODUCT($BJ$4:$BV$4,$BJ270:$BV270))+SUMPRODUCT($J$5:$AG$5,$J270:$AG270))/1000</f>
        <v/>
      </c>
      <c r="H270" s="67">
        <f>(fcd_cc*(2/3*(cc_D/2)^3*SIN($BI270)^3-2*(cc_D/2)^3*($BI270-$BH270)/12/3*SUMPRODUCT($BW$4:$CI$4,$BW270:$CI270))+SUMPRODUCT($J$5:$AG$5,$J270:$AG270,$J$13:$AG$13))/1E6</f>
        <v/>
      </c>
      <c r="I270" s="67">
        <f>SUMPRODUCT($J$5:$AG$5,$J270:$AG270,$J$14:$AG$14)/1E6</f>
        <v/>
      </c>
      <c r="J270">
        <f>MAX(-fyd_cc,MIN(fyd_cc,Es_cc*IF($E270&lt;=cc_D,0.0035*($E270-J$12)/$E270,0.002*($E270-J$12)/($E270-3*cc_D/7))))-fcd_cc*(1-(1-MAX(0,MIN(1,IF($E270&lt;=cc_D,0.0035*($E270-J$12)/$E270,0.002*($E270-J$12)/($E270-3*cc_D/7))/0.002)))^2)</f>
        <v/>
      </c>
      <c r="K270">
        <f>MAX(-fyd_cc,MIN(fyd_cc,Es_cc*IF($E270&lt;=cc_D,0.0035*($E270-K$12)/$E270,0.002*($E270-K$12)/($E270-3*cc_D/7))))-fcd_cc*(1-(1-MAX(0,MIN(1,IF($E270&lt;=cc_D,0.0035*($E270-K$12)/$E270,0.002*($E270-K$12)/($E270-3*cc_D/7))/0.002)))^2)</f>
        <v/>
      </c>
      <c r="L270">
        <f>MAX(-fyd_cc,MIN(fyd_cc,Es_cc*IF($E270&lt;=cc_D,0.0035*($E270-L$12)/$E270,0.002*($E270-L$12)/($E270-3*cc_D/7))))-fcd_cc*(1-(1-MAX(0,MIN(1,IF($E270&lt;=cc_D,0.0035*($E270-L$12)/$E270,0.002*($E270-L$12)/($E270-3*cc_D/7))/0.002)))^2)</f>
        <v/>
      </c>
      <c r="M270">
        <f>MAX(-fyd_cc,MIN(fyd_cc,Es_cc*IF($E270&lt;=cc_D,0.0035*($E270-M$12)/$E270,0.002*($E270-M$12)/($E270-3*cc_D/7))))-fcd_cc*(1-(1-MAX(0,MIN(1,IF($E270&lt;=cc_D,0.0035*($E270-M$12)/$E270,0.002*($E270-M$12)/($E270-3*cc_D/7))/0.002)))^2)</f>
        <v/>
      </c>
      <c r="N270">
        <f>MAX(-fyd_cc,MIN(fyd_cc,Es_cc*IF($E270&lt;=cc_D,0.0035*($E270-N$12)/$E270,0.002*($E270-N$12)/($E270-3*cc_D/7))))-fcd_cc*(1-(1-MAX(0,MIN(1,IF($E270&lt;=cc_D,0.0035*($E270-N$12)/$E270,0.002*($E270-N$12)/($E270-3*cc_D/7))/0.002)))^2)</f>
        <v/>
      </c>
      <c r="O270">
        <f>MAX(-fyd_cc,MIN(fyd_cc,Es_cc*IF($E270&lt;=cc_D,0.0035*($E270-O$12)/$E270,0.002*($E270-O$12)/($E270-3*cc_D/7))))-fcd_cc*(1-(1-MAX(0,MIN(1,IF($E270&lt;=cc_D,0.0035*($E270-O$12)/$E270,0.002*($E270-O$12)/($E270-3*cc_D/7))/0.002)))^2)</f>
        <v/>
      </c>
      <c r="P270">
        <f>MAX(-fyd_cc,MIN(fyd_cc,Es_cc*IF($E270&lt;=cc_D,0.0035*($E270-P$12)/$E270,0.002*($E270-P$12)/($E270-3*cc_D/7))))-fcd_cc*(1-(1-MAX(0,MIN(1,IF($E270&lt;=cc_D,0.0035*($E270-P$12)/$E270,0.002*($E270-P$12)/($E270-3*cc_D/7))/0.002)))^2)</f>
        <v/>
      </c>
      <c r="Q270">
        <f>MAX(-fyd_cc,MIN(fyd_cc,Es_cc*IF($E270&lt;=cc_D,0.0035*($E270-Q$12)/$E270,0.002*($E270-Q$12)/($E270-3*cc_D/7))))-fcd_cc*(1-(1-MAX(0,MIN(1,IF($E270&lt;=cc_D,0.0035*($E270-Q$12)/$E270,0.002*($E270-Q$12)/($E270-3*cc_D/7))/0.002)))^2)</f>
        <v/>
      </c>
      <c r="R270">
        <f>MAX(-fyd_cc,MIN(fyd_cc,Es_cc*IF($E270&lt;=cc_D,0.0035*($E270-R$12)/$E270,0.002*($E270-R$12)/($E270-3*cc_D/7))))-fcd_cc*(1-(1-MAX(0,MIN(1,IF($E270&lt;=cc_D,0.0035*($E270-R$12)/$E270,0.002*($E270-R$12)/($E270-3*cc_D/7))/0.002)))^2)</f>
        <v/>
      </c>
      <c r="S270">
        <f>MAX(-fyd_cc,MIN(fyd_cc,Es_cc*IF($E270&lt;=cc_D,0.0035*($E270-S$12)/$E270,0.002*($E270-S$12)/($E270-3*cc_D/7))))-fcd_cc*(1-(1-MAX(0,MIN(1,IF($E270&lt;=cc_D,0.0035*($E270-S$12)/$E270,0.002*($E270-S$12)/($E270-3*cc_D/7))/0.002)))^2)</f>
        <v/>
      </c>
      <c r="T270">
        <f>MAX(-fyd_cc,MIN(fyd_cc,Es_cc*IF($E270&lt;=cc_D,0.0035*($E270-T$12)/$E270,0.002*($E270-T$12)/($E270-3*cc_D/7))))-fcd_cc*(1-(1-MAX(0,MIN(1,IF($E270&lt;=cc_D,0.0035*($E270-T$12)/$E270,0.002*($E270-T$12)/($E270-3*cc_D/7))/0.002)))^2)</f>
        <v/>
      </c>
      <c r="U270">
        <f>MAX(-fyd_cc,MIN(fyd_cc,Es_cc*IF($E270&lt;=cc_D,0.0035*($E270-U$12)/$E270,0.002*($E270-U$12)/($E270-3*cc_D/7))))-fcd_cc*(1-(1-MAX(0,MIN(1,IF($E270&lt;=cc_D,0.0035*($E270-U$12)/$E270,0.002*($E270-U$12)/($E270-3*cc_D/7))/0.002)))^2)</f>
        <v/>
      </c>
      <c r="V270">
        <f>MAX(-fyd_cc,MIN(fyd_cc,Es_cc*IF($E270&lt;=cc_D,0.0035*($E270-V$12)/$E270,0.002*($E270-V$12)/($E270-3*cc_D/7))))-fcd_cc*(1-(1-MAX(0,MIN(1,IF($E270&lt;=cc_D,0.0035*($E270-V$12)/$E270,0.002*($E270-V$12)/($E270-3*cc_D/7))/0.002)))^2)</f>
        <v/>
      </c>
      <c r="W270">
        <f>MAX(-fyd_cc,MIN(fyd_cc,Es_cc*IF($E270&lt;=cc_D,0.0035*($E270-W$12)/$E270,0.002*($E270-W$12)/($E270-3*cc_D/7))))-fcd_cc*(1-(1-MAX(0,MIN(1,IF($E270&lt;=cc_D,0.0035*($E270-W$12)/$E270,0.002*($E270-W$12)/($E270-3*cc_D/7))/0.002)))^2)</f>
        <v/>
      </c>
      <c r="X270">
        <f>MAX(-fyd_cc,MIN(fyd_cc,Es_cc*IF($E270&lt;=cc_D,0.0035*($E270-X$12)/$E270,0.002*($E270-X$12)/($E270-3*cc_D/7))))-fcd_cc*(1-(1-MAX(0,MIN(1,IF($E270&lt;=cc_D,0.0035*($E270-X$12)/$E270,0.002*($E270-X$12)/($E270-3*cc_D/7))/0.002)))^2)</f>
        <v/>
      </c>
      <c r="Y270">
        <f>MAX(-fyd_cc,MIN(fyd_cc,Es_cc*IF($E270&lt;=cc_D,0.0035*($E270-Y$12)/$E270,0.002*($E270-Y$12)/($E270-3*cc_D/7))))-fcd_cc*(1-(1-MAX(0,MIN(1,IF($E270&lt;=cc_D,0.0035*($E270-Y$12)/$E270,0.002*($E270-Y$12)/($E270-3*cc_D/7))/0.002)))^2)</f>
        <v/>
      </c>
      <c r="Z270">
        <f>MAX(-fyd_cc,MIN(fyd_cc,Es_cc*IF($E270&lt;=cc_D,0.0035*($E270-Z$12)/$E270,0.002*($E270-Z$12)/($E270-3*cc_D/7))))-fcd_cc*(1-(1-MAX(0,MIN(1,IF($E270&lt;=cc_D,0.0035*($E270-Z$12)/$E270,0.002*($E270-Z$12)/($E270-3*cc_D/7))/0.002)))^2)</f>
        <v/>
      </c>
      <c r="AA270">
        <f>MAX(-fyd_cc,MIN(fyd_cc,Es_cc*IF($E270&lt;=cc_D,0.0035*($E270-AA$12)/$E270,0.002*($E270-AA$12)/($E270-3*cc_D/7))))-fcd_cc*(1-(1-MAX(0,MIN(1,IF($E270&lt;=cc_D,0.0035*($E270-AA$12)/$E270,0.002*($E270-AA$12)/($E270-3*cc_D/7))/0.002)))^2)</f>
        <v/>
      </c>
      <c r="AB270">
        <f>MAX(-fyd_cc,MIN(fyd_cc,Es_cc*IF($E270&lt;=cc_D,0.0035*($E270-AB$12)/$E270,0.002*($E270-AB$12)/($E270-3*cc_D/7))))-fcd_cc*(1-(1-MAX(0,MIN(1,IF($E270&lt;=cc_D,0.0035*($E270-AB$12)/$E270,0.002*($E270-AB$12)/($E270-3*cc_D/7))/0.002)))^2)</f>
        <v/>
      </c>
      <c r="AC270">
        <f>MAX(-fyd_cc,MIN(fyd_cc,Es_cc*IF($E270&lt;=cc_D,0.0035*($E270-AC$12)/$E270,0.002*($E270-AC$12)/($E270-3*cc_D/7))))-fcd_cc*(1-(1-MAX(0,MIN(1,IF($E270&lt;=cc_D,0.0035*($E270-AC$12)/$E270,0.002*($E270-AC$12)/($E270-3*cc_D/7))/0.002)))^2)</f>
        <v/>
      </c>
      <c r="AD270">
        <f>MAX(-fyd_cc,MIN(fyd_cc,Es_cc*IF($E270&lt;=cc_D,0.0035*($E270-AD$12)/$E270,0.002*($E270-AD$12)/($E270-3*cc_D/7))))-fcd_cc*(1-(1-MAX(0,MIN(1,IF($E270&lt;=cc_D,0.0035*($E270-AD$12)/$E270,0.002*($E270-AD$12)/($E270-3*cc_D/7))/0.002)))^2)</f>
        <v/>
      </c>
      <c r="AE270">
        <f>MAX(-fyd_cc,MIN(fyd_cc,Es_cc*IF($E270&lt;=cc_D,0.0035*($E270-AE$12)/$E270,0.002*($E270-AE$12)/($E270-3*cc_D/7))))-fcd_cc*(1-(1-MAX(0,MIN(1,IF($E270&lt;=cc_D,0.0035*($E270-AE$12)/$E270,0.002*($E270-AE$12)/($E270-3*cc_D/7))/0.002)))^2)</f>
        <v/>
      </c>
      <c r="AF270">
        <f>MAX(-fyd_cc,MIN(fyd_cc,Es_cc*IF($E270&lt;=cc_D,0.0035*($E270-AF$12)/$E270,0.002*($E270-AF$12)/($E270-3*cc_D/7))))-fcd_cc*(1-(1-MAX(0,MIN(1,IF($E270&lt;=cc_D,0.0035*($E270-AF$12)/$E270,0.002*($E270-AF$12)/($E270-3*cc_D/7))/0.002)))^2)</f>
        <v/>
      </c>
      <c r="AG270">
        <f>MAX(-fyd_cc,MIN(fyd_cc,Es_cc*IF($E270&lt;=cc_D,0.0035*($E270-AG$12)/$E270,0.002*($E270-AG$12)/($E270-3*cc_D/7))))-fcd_cc*(1-(1-MAX(0,MIN(1,IF($E270&lt;=cc_D,0.0035*($E270-AG$12)/$E270,0.002*($E270-AG$12)/($E270-3*cc_D/7))/0.002)))^2)</f>
        <v/>
      </c>
      <c r="BF270">
        <f>3*MIN($E270,cc_D)/7</f>
        <v/>
      </c>
      <c r="BG270">
        <f>$E270-$BF270</f>
        <v/>
      </c>
      <c r="BH270">
        <f>ACOS(MAX(-1,MIN(1,1-$BF270/(cc_D/2))))</f>
        <v/>
      </c>
      <c r="BI270">
        <f>ACOS(MAX(-1,MIN(1,1-MIN($E270,cc_D)/(cc_D/2))))</f>
        <v/>
      </c>
      <c r="BJ270">
        <f>((cc_D/2*(1-COS(($BH270+0*($BI270-$BH270)/12)))-$BF270)/$BG270)^2*SIN(($BH270+0*($BI270-$BH270)/12))^2</f>
        <v/>
      </c>
      <c r="BK270">
        <f>((cc_D/2*(1-COS(($BH270+1*($BI270-$BH270)/12)))-$BF270)/$BG270)^2*SIN(($BH270+1*($BI270-$BH270)/12))^2</f>
        <v/>
      </c>
      <c r="BL270">
        <f>((cc_D/2*(1-COS(($BH270+2*($BI270-$BH270)/12)))-$BF270)/$BG270)^2*SIN(($BH270+2*($BI270-$BH270)/12))^2</f>
        <v/>
      </c>
      <c r="BM270">
        <f>((cc_D/2*(1-COS(($BH270+3*($BI270-$BH270)/12)))-$BF270)/$BG270)^2*SIN(($BH270+3*($BI270-$BH270)/12))^2</f>
        <v/>
      </c>
      <c r="BN270">
        <f>((cc_D/2*(1-COS(($BH270+4*($BI270-$BH270)/12)))-$BF270)/$BG270)^2*SIN(($BH270+4*($BI270-$BH270)/12))^2</f>
        <v/>
      </c>
      <c r="BO270">
        <f>((cc_D/2*(1-COS(($BH270+5*($BI270-$BH270)/12)))-$BF270)/$BG270)^2*SIN(($BH270+5*($BI270-$BH270)/12))^2</f>
        <v/>
      </c>
      <c r="BP270">
        <f>((cc_D/2*(1-COS(($BH270+6*($BI270-$BH270)/12)))-$BF270)/$BG270)^2*SIN(($BH270+6*($BI270-$BH270)/12))^2</f>
        <v/>
      </c>
      <c r="BQ270">
        <f>((cc_D/2*(1-COS(($BH270+7*($BI270-$BH270)/12)))-$BF270)/$BG270)^2*SIN(($BH270+7*($BI270-$BH270)/12))^2</f>
        <v/>
      </c>
      <c r="BR270">
        <f>((cc_D/2*(1-COS(($BH270+8*($BI270-$BH270)/12)))-$BF270)/$BG270)^2*SIN(($BH270+8*($BI270-$BH270)/12))^2</f>
        <v/>
      </c>
      <c r="BS270">
        <f>((cc_D/2*(1-COS(($BH270+9*($BI270-$BH270)/12)))-$BF270)/$BG270)^2*SIN(($BH270+9*($BI270-$BH270)/12))^2</f>
        <v/>
      </c>
      <c r="BT270">
        <f>((cc_D/2*(1-COS(($BH270+10*($BI270-$BH270)/12)))-$BF270)/$BG270)^2*SIN(($BH270+10*($BI270-$BH270)/12))^2</f>
        <v/>
      </c>
      <c r="BU270">
        <f>((cc_D/2*(1-COS(($BH270+11*($BI270-$BH270)/12)))-$BF270)/$BG270)^2*SIN(($BH270+11*($BI270-$BH270)/12))^2</f>
        <v/>
      </c>
      <c r="BV270">
        <f>((cc_D/2*(1-COS(($BH270+12*($BI270-$BH270)/12)))-$BF270)/$BG270)^2*SIN(($BH270+12*($BI270-$BH270)/12))^2</f>
        <v/>
      </c>
      <c r="BW270">
        <f>BJ270*COS(($BH270+0*($BI270-$BH270)/12))</f>
        <v/>
      </c>
      <c r="BX270">
        <f>BK270*COS(($BH270+1*($BI270-$BH270)/12))</f>
        <v/>
      </c>
      <c r="BY270">
        <f>BL270*COS(($BH270+2*($BI270-$BH270)/12))</f>
        <v/>
      </c>
      <c r="BZ270">
        <f>BM270*COS(($BH270+3*($BI270-$BH270)/12))</f>
        <v/>
      </c>
      <c r="CA270">
        <f>BN270*COS(($BH270+4*($BI270-$BH270)/12))</f>
        <v/>
      </c>
      <c r="CB270">
        <f>BO270*COS(($BH270+5*($BI270-$BH270)/12))</f>
        <v/>
      </c>
      <c r="CC270">
        <f>BP270*COS(($BH270+6*($BI270-$BH270)/12))</f>
        <v/>
      </c>
      <c r="CD270">
        <f>BQ270*COS(($BH270+7*($BI270-$BH270)/12))</f>
        <v/>
      </c>
      <c r="CE270">
        <f>BR270*COS(($BH270+8*($BI270-$BH270)/12))</f>
        <v/>
      </c>
      <c r="CF270">
        <f>BS270*COS(($BH270+9*($BI270-$BH270)/12))</f>
        <v/>
      </c>
      <c r="CG270">
        <f>BT270*COS(($BH270+10*($BI270-$BH270)/12))</f>
        <v/>
      </c>
      <c r="CH270">
        <f>BU270*COS(($BH270+11*($BI270-$BH270)/12))</f>
        <v/>
      </c>
      <c r="CI270">
        <f>BV270*COS(($BH270+12*($BI270-$BH270)/12))</f>
        <v/>
      </c>
    </row>
    <row r="271">
      <c r="B271" s="65" t="n">
        <v>56</v>
      </c>
      <c r="C271" s="66">
        <f>IF($G270&lt;cc_NEd-1E-9*ABS(cc_NEd),($C270+$D270)/2,$C270)</f>
        <v/>
      </c>
      <c r="D271" s="66">
        <f>IF($G270&lt;cc_NEd-1E-9*ABS(cc_NEd),$D270,($C270+$D270)/2)</f>
        <v/>
      </c>
      <c r="E271" s="67">
        <f>cc_D*(($C271+$D271)/2)/(1-(($C271+$D271)/2))</f>
        <v/>
      </c>
      <c r="F271" s="68">
        <f>IF($E271&lt;=cc_D,3.5,2*$E271/($E271-3*cc_D/7))</f>
        <v/>
      </c>
      <c r="G271" s="67">
        <f>(fcd_cc*((cc_D/2)^2*($BI271-COS($BI271)*SIN($BI271))-2*(cc_D/2)^2*($BI271-$BH271)/12/3*SUMPRODUCT($BJ$4:$BV$4,$BJ271:$BV271))+SUMPRODUCT($J$5:$AG$5,$J271:$AG271))/1000</f>
        <v/>
      </c>
      <c r="H271" s="67">
        <f>(fcd_cc*(2/3*(cc_D/2)^3*SIN($BI271)^3-2*(cc_D/2)^3*($BI271-$BH271)/12/3*SUMPRODUCT($BW$4:$CI$4,$BW271:$CI271))+SUMPRODUCT($J$5:$AG$5,$J271:$AG271,$J$13:$AG$13))/1E6</f>
        <v/>
      </c>
      <c r="I271" s="67">
        <f>SUMPRODUCT($J$5:$AG$5,$J271:$AG271,$J$14:$AG$14)/1E6</f>
        <v/>
      </c>
      <c r="J271">
        <f>MAX(-fyd_cc,MIN(fyd_cc,Es_cc*IF($E271&lt;=cc_D,0.0035*($E271-J$12)/$E271,0.002*($E271-J$12)/($E271-3*cc_D/7))))-fcd_cc*(1-(1-MAX(0,MIN(1,IF($E271&lt;=cc_D,0.0035*($E271-J$12)/$E271,0.002*($E271-J$12)/($E271-3*cc_D/7))/0.002)))^2)</f>
        <v/>
      </c>
      <c r="K271">
        <f>MAX(-fyd_cc,MIN(fyd_cc,Es_cc*IF($E271&lt;=cc_D,0.0035*($E271-K$12)/$E271,0.002*($E271-K$12)/($E271-3*cc_D/7))))-fcd_cc*(1-(1-MAX(0,MIN(1,IF($E271&lt;=cc_D,0.0035*($E271-K$12)/$E271,0.002*($E271-K$12)/($E271-3*cc_D/7))/0.002)))^2)</f>
        <v/>
      </c>
      <c r="L271">
        <f>MAX(-fyd_cc,MIN(fyd_cc,Es_cc*IF($E271&lt;=cc_D,0.0035*($E271-L$12)/$E271,0.002*($E271-L$12)/($E271-3*cc_D/7))))-fcd_cc*(1-(1-MAX(0,MIN(1,IF($E271&lt;=cc_D,0.0035*($E271-L$12)/$E271,0.002*($E271-L$12)/($E271-3*cc_D/7))/0.002)))^2)</f>
        <v/>
      </c>
      <c r="M271">
        <f>MAX(-fyd_cc,MIN(fyd_cc,Es_cc*IF($E271&lt;=cc_D,0.0035*($E271-M$12)/$E271,0.002*($E271-M$12)/($E271-3*cc_D/7))))-fcd_cc*(1-(1-MAX(0,MIN(1,IF($E271&lt;=cc_D,0.0035*($E271-M$12)/$E271,0.002*($E271-M$12)/($E271-3*cc_D/7))/0.002)))^2)</f>
        <v/>
      </c>
      <c r="N271">
        <f>MAX(-fyd_cc,MIN(fyd_cc,Es_cc*IF($E271&lt;=cc_D,0.0035*($E271-N$12)/$E271,0.002*($E271-N$12)/($E271-3*cc_D/7))))-fcd_cc*(1-(1-MAX(0,MIN(1,IF($E271&lt;=cc_D,0.0035*($E271-N$12)/$E271,0.002*($E271-N$12)/($E271-3*cc_D/7))/0.002)))^2)</f>
        <v/>
      </c>
      <c r="O271">
        <f>MAX(-fyd_cc,MIN(fyd_cc,Es_cc*IF($E271&lt;=cc_D,0.0035*($E271-O$12)/$E271,0.002*($E271-O$12)/($E271-3*cc_D/7))))-fcd_cc*(1-(1-MAX(0,MIN(1,IF($E271&lt;=cc_D,0.0035*($E271-O$12)/$E271,0.002*($E271-O$12)/($E271-3*cc_D/7))/0.002)))^2)</f>
        <v/>
      </c>
      <c r="P271">
        <f>MAX(-fyd_cc,MIN(fyd_cc,Es_cc*IF($E271&lt;=cc_D,0.0035*($E271-P$12)/$E271,0.002*($E271-P$12)/($E271-3*cc_D/7))))-fcd_cc*(1-(1-MAX(0,MIN(1,IF($E271&lt;=cc_D,0.0035*($E271-P$12)/$E271,0.002*($E271-P$12)/($E271-3*cc_D/7))/0.002)))^2)</f>
        <v/>
      </c>
      <c r="Q271">
        <f>MAX(-fyd_cc,MIN(fyd_cc,Es_cc*IF($E271&lt;=cc_D,0.0035*($E271-Q$12)/$E271,0.002*($E271-Q$12)/($E271-3*cc_D/7))))-fcd_cc*(1-(1-MAX(0,MIN(1,IF($E271&lt;=cc_D,0.0035*($E271-Q$12)/$E271,0.002*($E271-Q$12)/($E271-3*cc_D/7))/0.002)))^2)</f>
        <v/>
      </c>
      <c r="R271">
        <f>MAX(-fyd_cc,MIN(fyd_cc,Es_cc*IF($E271&lt;=cc_D,0.0035*($E271-R$12)/$E271,0.002*($E271-R$12)/($E271-3*cc_D/7))))-fcd_cc*(1-(1-MAX(0,MIN(1,IF($E271&lt;=cc_D,0.0035*($E271-R$12)/$E271,0.002*($E271-R$12)/($E271-3*cc_D/7))/0.002)))^2)</f>
        <v/>
      </c>
      <c r="S271">
        <f>MAX(-fyd_cc,MIN(fyd_cc,Es_cc*IF($E271&lt;=cc_D,0.0035*($E271-S$12)/$E271,0.002*($E271-S$12)/($E271-3*cc_D/7))))-fcd_cc*(1-(1-MAX(0,MIN(1,IF($E271&lt;=cc_D,0.0035*($E271-S$12)/$E271,0.002*($E271-S$12)/($E271-3*cc_D/7))/0.002)))^2)</f>
        <v/>
      </c>
      <c r="T271">
        <f>MAX(-fyd_cc,MIN(fyd_cc,Es_cc*IF($E271&lt;=cc_D,0.0035*($E271-T$12)/$E271,0.002*($E271-T$12)/($E271-3*cc_D/7))))-fcd_cc*(1-(1-MAX(0,MIN(1,IF($E271&lt;=cc_D,0.0035*($E271-T$12)/$E271,0.002*($E271-T$12)/($E271-3*cc_D/7))/0.002)))^2)</f>
        <v/>
      </c>
      <c r="U271">
        <f>MAX(-fyd_cc,MIN(fyd_cc,Es_cc*IF($E271&lt;=cc_D,0.0035*($E271-U$12)/$E271,0.002*($E271-U$12)/($E271-3*cc_D/7))))-fcd_cc*(1-(1-MAX(0,MIN(1,IF($E271&lt;=cc_D,0.0035*($E271-U$12)/$E271,0.002*($E271-U$12)/($E271-3*cc_D/7))/0.002)))^2)</f>
        <v/>
      </c>
      <c r="V271">
        <f>MAX(-fyd_cc,MIN(fyd_cc,Es_cc*IF($E271&lt;=cc_D,0.0035*($E271-V$12)/$E271,0.002*($E271-V$12)/($E271-3*cc_D/7))))-fcd_cc*(1-(1-MAX(0,MIN(1,IF($E271&lt;=cc_D,0.0035*($E271-V$12)/$E271,0.002*($E271-V$12)/($E271-3*cc_D/7))/0.002)))^2)</f>
        <v/>
      </c>
      <c r="W271">
        <f>MAX(-fyd_cc,MIN(fyd_cc,Es_cc*IF($E271&lt;=cc_D,0.0035*($E271-W$12)/$E271,0.002*($E271-W$12)/($E271-3*cc_D/7))))-fcd_cc*(1-(1-MAX(0,MIN(1,IF($E271&lt;=cc_D,0.0035*($E271-W$12)/$E271,0.002*($E271-W$12)/($E271-3*cc_D/7))/0.002)))^2)</f>
        <v/>
      </c>
      <c r="X271">
        <f>MAX(-fyd_cc,MIN(fyd_cc,Es_cc*IF($E271&lt;=cc_D,0.0035*($E271-X$12)/$E271,0.002*($E271-X$12)/($E271-3*cc_D/7))))-fcd_cc*(1-(1-MAX(0,MIN(1,IF($E271&lt;=cc_D,0.0035*($E271-X$12)/$E271,0.002*($E271-X$12)/($E271-3*cc_D/7))/0.002)))^2)</f>
        <v/>
      </c>
      <c r="Y271">
        <f>MAX(-fyd_cc,MIN(fyd_cc,Es_cc*IF($E271&lt;=cc_D,0.0035*($E271-Y$12)/$E271,0.002*($E271-Y$12)/($E271-3*cc_D/7))))-fcd_cc*(1-(1-MAX(0,MIN(1,IF($E271&lt;=cc_D,0.0035*($E271-Y$12)/$E271,0.002*($E271-Y$12)/($E271-3*cc_D/7))/0.002)))^2)</f>
        <v/>
      </c>
      <c r="Z271">
        <f>MAX(-fyd_cc,MIN(fyd_cc,Es_cc*IF($E271&lt;=cc_D,0.0035*($E271-Z$12)/$E271,0.002*($E271-Z$12)/($E271-3*cc_D/7))))-fcd_cc*(1-(1-MAX(0,MIN(1,IF($E271&lt;=cc_D,0.0035*($E271-Z$12)/$E271,0.002*($E271-Z$12)/($E271-3*cc_D/7))/0.002)))^2)</f>
        <v/>
      </c>
      <c r="AA271">
        <f>MAX(-fyd_cc,MIN(fyd_cc,Es_cc*IF($E271&lt;=cc_D,0.0035*($E271-AA$12)/$E271,0.002*($E271-AA$12)/($E271-3*cc_D/7))))-fcd_cc*(1-(1-MAX(0,MIN(1,IF($E271&lt;=cc_D,0.0035*($E271-AA$12)/$E271,0.002*($E271-AA$12)/($E271-3*cc_D/7))/0.002)))^2)</f>
        <v/>
      </c>
      <c r="AB271">
        <f>MAX(-fyd_cc,MIN(fyd_cc,Es_cc*IF($E271&lt;=cc_D,0.0035*($E271-AB$12)/$E271,0.002*($E271-AB$12)/($E271-3*cc_D/7))))-fcd_cc*(1-(1-MAX(0,MIN(1,IF($E271&lt;=cc_D,0.0035*($E271-AB$12)/$E271,0.002*($E271-AB$12)/($E271-3*cc_D/7))/0.002)))^2)</f>
        <v/>
      </c>
      <c r="AC271">
        <f>MAX(-fyd_cc,MIN(fyd_cc,Es_cc*IF($E271&lt;=cc_D,0.0035*($E271-AC$12)/$E271,0.002*($E271-AC$12)/($E271-3*cc_D/7))))-fcd_cc*(1-(1-MAX(0,MIN(1,IF($E271&lt;=cc_D,0.0035*($E271-AC$12)/$E271,0.002*($E271-AC$12)/($E271-3*cc_D/7))/0.002)))^2)</f>
        <v/>
      </c>
      <c r="AD271">
        <f>MAX(-fyd_cc,MIN(fyd_cc,Es_cc*IF($E271&lt;=cc_D,0.0035*($E271-AD$12)/$E271,0.002*($E271-AD$12)/($E271-3*cc_D/7))))-fcd_cc*(1-(1-MAX(0,MIN(1,IF($E271&lt;=cc_D,0.0035*($E271-AD$12)/$E271,0.002*($E271-AD$12)/($E271-3*cc_D/7))/0.002)))^2)</f>
        <v/>
      </c>
      <c r="AE271">
        <f>MAX(-fyd_cc,MIN(fyd_cc,Es_cc*IF($E271&lt;=cc_D,0.0035*($E271-AE$12)/$E271,0.002*($E271-AE$12)/($E271-3*cc_D/7))))-fcd_cc*(1-(1-MAX(0,MIN(1,IF($E271&lt;=cc_D,0.0035*($E271-AE$12)/$E271,0.002*($E271-AE$12)/($E271-3*cc_D/7))/0.002)))^2)</f>
        <v/>
      </c>
      <c r="AF271">
        <f>MAX(-fyd_cc,MIN(fyd_cc,Es_cc*IF($E271&lt;=cc_D,0.0035*($E271-AF$12)/$E271,0.002*($E271-AF$12)/($E271-3*cc_D/7))))-fcd_cc*(1-(1-MAX(0,MIN(1,IF($E271&lt;=cc_D,0.0035*($E271-AF$12)/$E271,0.002*($E271-AF$12)/($E271-3*cc_D/7))/0.002)))^2)</f>
        <v/>
      </c>
      <c r="AG271">
        <f>MAX(-fyd_cc,MIN(fyd_cc,Es_cc*IF($E271&lt;=cc_D,0.0035*($E271-AG$12)/$E271,0.002*($E271-AG$12)/($E271-3*cc_D/7))))-fcd_cc*(1-(1-MAX(0,MIN(1,IF($E271&lt;=cc_D,0.0035*($E271-AG$12)/$E271,0.002*($E271-AG$12)/($E271-3*cc_D/7))/0.002)))^2)</f>
        <v/>
      </c>
      <c r="BF271">
        <f>3*MIN($E271,cc_D)/7</f>
        <v/>
      </c>
      <c r="BG271">
        <f>$E271-$BF271</f>
        <v/>
      </c>
      <c r="BH271">
        <f>ACOS(MAX(-1,MIN(1,1-$BF271/(cc_D/2))))</f>
        <v/>
      </c>
      <c r="BI271">
        <f>ACOS(MAX(-1,MIN(1,1-MIN($E271,cc_D)/(cc_D/2))))</f>
        <v/>
      </c>
      <c r="BJ271">
        <f>((cc_D/2*(1-COS(($BH271+0*($BI271-$BH271)/12)))-$BF271)/$BG271)^2*SIN(($BH271+0*($BI271-$BH271)/12))^2</f>
        <v/>
      </c>
      <c r="BK271">
        <f>((cc_D/2*(1-COS(($BH271+1*($BI271-$BH271)/12)))-$BF271)/$BG271)^2*SIN(($BH271+1*($BI271-$BH271)/12))^2</f>
        <v/>
      </c>
      <c r="BL271">
        <f>((cc_D/2*(1-COS(($BH271+2*($BI271-$BH271)/12)))-$BF271)/$BG271)^2*SIN(($BH271+2*($BI271-$BH271)/12))^2</f>
        <v/>
      </c>
      <c r="BM271">
        <f>((cc_D/2*(1-COS(($BH271+3*($BI271-$BH271)/12)))-$BF271)/$BG271)^2*SIN(($BH271+3*($BI271-$BH271)/12))^2</f>
        <v/>
      </c>
      <c r="BN271">
        <f>((cc_D/2*(1-COS(($BH271+4*($BI271-$BH271)/12)))-$BF271)/$BG271)^2*SIN(($BH271+4*($BI271-$BH271)/12))^2</f>
        <v/>
      </c>
      <c r="BO271">
        <f>((cc_D/2*(1-COS(($BH271+5*($BI271-$BH271)/12)))-$BF271)/$BG271)^2*SIN(($BH271+5*($BI271-$BH271)/12))^2</f>
        <v/>
      </c>
      <c r="BP271">
        <f>((cc_D/2*(1-COS(($BH271+6*($BI271-$BH271)/12)))-$BF271)/$BG271)^2*SIN(($BH271+6*($BI271-$BH271)/12))^2</f>
        <v/>
      </c>
      <c r="BQ271">
        <f>((cc_D/2*(1-COS(($BH271+7*($BI271-$BH271)/12)))-$BF271)/$BG271)^2*SIN(($BH271+7*($BI271-$BH271)/12))^2</f>
        <v/>
      </c>
      <c r="BR271">
        <f>((cc_D/2*(1-COS(($BH271+8*($BI271-$BH271)/12)))-$BF271)/$BG271)^2*SIN(($BH271+8*($BI271-$BH271)/12))^2</f>
        <v/>
      </c>
      <c r="BS271">
        <f>((cc_D/2*(1-COS(($BH271+9*($BI271-$BH271)/12)))-$BF271)/$BG271)^2*SIN(($BH271+9*($BI271-$BH271)/12))^2</f>
        <v/>
      </c>
      <c r="BT271">
        <f>((cc_D/2*(1-COS(($BH271+10*($BI271-$BH271)/12)))-$BF271)/$BG271)^2*SIN(($BH271+10*($BI271-$BH271)/12))^2</f>
        <v/>
      </c>
      <c r="BU271">
        <f>((cc_D/2*(1-COS(($BH271+11*($BI271-$BH271)/12)))-$BF271)/$BG271)^2*SIN(($BH271+11*($BI271-$BH271)/12))^2</f>
        <v/>
      </c>
      <c r="BV271">
        <f>((cc_D/2*(1-COS(($BH271+12*($BI271-$BH271)/12)))-$BF271)/$BG271)^2*SIN(($BH271+12*($BI271-$BH271)/12))^2</f>
        <v/>
      </c>
      <c r="BW271">
        <f>BJ271*COS(($BH271+0*($BI271-$BH271)/12))</f>
        <v/>
      </c>
      <c r="BX271">
        <f>BK271*COS(($BH271+1*($BI271-$BH271)/12))</f>
        <v/>
      </c>
      <c r="BY271">
        <f>BL271*COS(($BH271+2*($BI271-$BH271)/12))</f>
        <v/>
      </c>
      <c r="BZ271">
        <f>BM271*COS(($BH271+3*($BI271-$BH271)/12))</f>
        <v/>
      </c>
      <c r="CA271">
        <f>BN271*COS(($BH271+4*($BI271-$BH271)/12))</f>
        <v/>
      </c>
      <c r="CB271">
        <f>BO271*COS(($BH271+5*($BI271-$BH271)/12))</f>
        <v/>
      </c>
      <c r="CC271">
        <f>BP271*COS(($BH271+6*($BI271-$BH271)/12))</f>
        <v/>
      </c>
      <c r="CD271">
        <f>BQ271*COS(($BH271+7*($BI271-$BH271)/12))</f>
        <v/>
      </c>
      <c r="CE271">
        <f>BR271*COS(($BH271+8*($BI271-$BH271)/12))</f>
        <v/>
      </c>
      <c r="CF271">
        <f>BS271*COS(($BH271+9*($BI271-$BH271)/12))</f>
        <v/>
      </c>
      <c r="CG271">
        <f>BT271*COS(($BH271+10*($BI271-$BH271)/12))</f>
        <v/>
      </c>
      <c r="CH271">
        <f>BU271*COS(($BH271+11*($BI271-$BH271)/12))</f>
        <v/>
      </c>
      <c r="CI271">
        <f>BV271*COS(($BH271+12*($BI271-$BH271)/12))</f>
        <v/>
      </c>
    </row>
    <row r="272">
      <c r="B272" s="65" t="n">
        <v>57</v>
      </c>
      <c r="C272" s="66">
        <f>IF($G271&lt;cc_NEd-1E-9*ABS(cc_NEd),($C271+$D271)/2,$C271)</f>
        <v/>
      </c>
      <c r="D272" s="66">
        <f>IF($G271&lt;cc_NEd-1E-9*ABS(cc_NEd),$D271,($C271+$D271)/2)</f>
        <v/>
      </c>
      <c r="E272" s="67">
        <f>cc_D*(($C272+$D272)/2)/(1-(($C272+$D272)/2))</f>
        <v/>
      </c>
      <c r="F272" s="68">
        <f>IF($E272&lt;=cc_D,3.5,2*$E272/($E272-3*cc_D/7))</f>
        <v/>
      </c>
      <c r="G272" s="67">
        <f>(fcd_cc*((cc_D/2)^2*($BI272-COS($BI272)*SIN($BI272))-2*(cc_D/2)^2*($BI272-$BH272)/12/3*SUMPRODUCT($BJ$4:$BV$4,$BJ272:$BV272))+SUMPRODUCT($J$5:$AG$5,$J272:$AG272))/1000</f>
        <v/>
      </c>
      <c r="H272" s="67">
        <f>(fcd_cc*(2/3*(cc_D/2)^3*SIN($BI272)^3-2*(cc_D/2)^3*($BI272-$BH272)/12/3*SUMPRODUCT($BW$4:$CI$4,$BW272:$CI272))+SUMPRODUCT($J$5:$AG$5,$J272:$AG272,$J$13:$AG$13))/1E6</f>
        <v/>
      </c>
      <c r="I272" s="67">
        <f>SUMPRODUCT($J$5:$AG$5,$J272:$AG272,$J$14:$AG$14)/1E6</f>
        <v/>
      </c>
      <c r="J272">
        <f>MAX(-fyd_cc,MIN(fyd_cc,Es_cc*IF($E272&lt;=cc_D,0.0035*($E272-J$12)/$E272,0.002*($E272-J$12)/($E272-3*cc_D/7))))-fcd_cc*(1-(1-MAX(0,MIN(1,IF($E272&lt;=cc_D,0.0035*($E272-J$12)/$E272,0.002*($E272-J$12)/($E272-3*cc_D/7))/0.002)))^2)</f>
        <v/>
      </c>
      <c r="K272">
        <f>MAX(-fyd_cc,MIN(fyd_cc,Es_cc*IF($E272&lt;=cc_D,0.0035*($E272-K$12)/$E272,0.002*($E272-K$12)/($E272-3*cc_D/7))))-fcd_cc*(1-(1-MAX(0,MIN(1,IF($E272&lt;=cc_D,0.0035*($E272-K$12)/$E272,0.002*($E272-K$12)/($E272-3*cc_D/7))/0.002)))^2)</f>
        <v/>
      </c>
      <c r="L272">
        <f>MAX(-fyd_cc,MIN(fyd_cc,Es_cc*IF($E272&lt;=cc_D,0.0035*($E272-L$12)/$E272,0.002*($E272-L$12)/($E272-3*cc_D/7))))-fcd_cc*(1-(1-MAX(0,MIN(1,IF($E272&lt;=cc_D,0.0035*($E272-L$12)/$E272,0.002*($E272-L$12)/($E272-3*cc_D/7))/0.002)))^2)</f>
        <v/>
      </c>
      <c r="M272">
        <f>MAX(-fyd_cc,MIN(fyd_cc,Es_cc*IF($E272&lt;=cc_D,0.0035*($E272-M$12)/$E272,0.002*($E272-M$12)/($E272-3*cc_D/7))))-fcd_cc*(1-(1-MAX(0,MIN(1,IF($E272&lt;=cc_D,0.0035*($E272-M$12)/$E272,0.002*($E272-M$12)/($E272-3*cc_D/7))/0.002)))^2)</f>
        <v/>
      </c>
      <c r="N272">
        <f>MAX(-fyd_cc,MIN(fyd_cc,Es_cc*IF($E272&lt;=cc_D,0.0035*($E272-N$12)/$E272,0.002*($E272-N$12)/($E272-3*cc_D/7))))-fcd_cc*(1-(1-MAX(0,MIN(1,IF($E272&lt;=cc_D,0.0035*($E272-N$12)/$E272,0.002*($E272-N$12)/($E272-3*cc_D/7))/0.002)))^2)</f>
        <v/>
      </c>
      <c r="O272">
        <f>MAX(-fyd_cc,MIN(fyd_cc,Es_cc*IF($E272&lt;=cc_D,0.0035*($E272-O$12)/$E272,0.002*($E272-O$12)/($E272-3*cc_D/7))))-fcd_cc*(1-(1-MAX(0,MIN(1,IF($E272&lt;=cc_D,0.0035*($E272-O$12)/$E272,0.002*($E272-O$12)/($E272-3*cc_D/7))/0.002)))^2)</f>
        <v/>
      </c>
      <c r="P272">
        <f>MAX(-fyd_cc,MIN(fyd_cc,Es_cc*IF($E272&lt;=cc_D,0.0035*($E272-P$12)/$E272,0.002*($E272-P$12)/($E272-3*cc_D/7))))-fcd_cc*(1-(1-MAX(0,MIN(1,IF($E272&lt;=cc_D,0.0035*($E272-P$12)/$E272,0.002*($E272-P$12)/($E272-3*cc_D/7))/0.002)))^2)</f>
        <v/>
      </c>
      <c r="Q272">
        <f>MAX(-fyd_cc,MIN(fyd_cc,Es_cc*IF($E272&lt;=cc_D,0.0035*($E272-Q$12)/$E272,0.002*($E272-Q$12)/($E272-3*cc_D/7))))-fcd_cc*(1-(1-MAX(0,MIN(1,IF($E272&lt;=cc_D,0.0035*($E272-Q$12)/$E272,0.002*($E272-Q$12)/($E272-3*cc_D/7))/0.002)))^2)</f>
        <v/>
      </c>
      <c r="R272">
        <f>MAX(-fyd_cc,MIN(fyd_cc,Es_cc*IF($E272&lt;=cc_D,0.0035*($E272-R$12)/$E272,0.002*($E272-R$12)/($E272-3*cc_D/7))))-fcd_cc*(1-(1-MAX(0,MIN(1,IF($E272&lt;=cc_D,0.0035*($E272-R$12)/$E272,0.002*($E272-R$12)/($E272-3*cc_D/7))/0.002)))^2)</f>
        <v/>
      </c>
      <c r="S272">
        <f>MAX(-fyd_cc,MIN(fyd_cc,Es_cc*IF($E272&lt;=cc_D,0.0035*($E272-S$12)/$E272,0.002*($E272-S$12)/($E272-3*cc_D/7))))-fcd_cc*(1-(1-MAX(0,MIN(1,IF($E272&lt;=cc_D,0.0035*($E272-S$12)/$E272,0.002*($E272-S$12)/($E272-3*cc_D/7))/0.002)))^2)</f>
        <v/>
      </c>
      <c r="T272">
        <f>MAX(-fyd_cc,MIN(fyd_cc,Es_cc*IF($E272&lt;=cc_D,0.0035*($E272-T$12)/$E272,0.002*($E272-T$12)/($E272-3*cc_D/7))))-fcd_cc*(1-(1-MAX(0,MIN(1,IF($E272&lt;=cc_D,0.0035*($E272-T$12)/$E272,0.002*($E272-T$12)/($E272-3*cc_D/7))/0.002)))^2)</f>
        <v/>
      </c>
      <c r="U272">
        <f>MAX(-fyd_cc,MIN(fyd_cc,Es_cc*IF($E272&lt;=cc_D,0.0035*($E272-U$12)/$E272,0.002*($E272-U$12)/($E272-3*cc_D/7))))-fcd_cc*(1-(1-MAX(0,MIN(1,IF($E272&lt;=cc_D,0.0035*($E272-U$12)/$E272,0.002*($E272-U$12)/($E272-3*cc_D/7))/0.002)))^2)</f>
        <v/>
      </c>
      <c r="V272">
        <f>MAX(-fyd_cc,MIN(fyd_cc,Es_cc*IF($E272&lt;=cc_D,0.0035*($E272-V$12)/$E272,0.002*($E272-V$12)/($E272-3*cc_D/7))))-fcd_cc*(1-(1-MAX(0,MIN(1,IF($E272&lt;=cc_D,0.0035*($E272-V$12)/$E272,0.002*($E272-V$12)/($E272-3*cc_D/7))/0.002)))^2)</f>
        <v/>
      </c>
      <c r="W272">
        <f>MAX(-fyd_cc,MIN(fyd_cc,Es_cc*IF($E272&lt;=cc_D,0.0035*($E272-W$12)/$E272,0.002*($E272-W$12)/($E272-3*cc_D/7))))-fcd_cc*(1-(1-MAX(0,MIN(1,IF($E272&lt;=cc_D,0.0035*($E272-W$12)/$E272,0.002*($E272-W$12)/($E272-3*cc_D/7))/0.002)))^2)</f>
        <v/>
      </c>
      <c r="X272">
        <f>MAX(-fyd_cc,MIN(fyd_cc,Es_cc*IF($E272&lt;=cc_D,0.0035*($E272-X$12)/$E272,0.002*($E272-X$12)/($E272-3*cc_D/7))))-fcd_cc*(1-(1-MAX(0,MIN(1,IF($E272&lt;=cc_D,0.0035*($E272-X$12)/$E272,0.002*($E272-X$12)/($E272-3*cc_D/7))/0.002)))^2)</f>
        <v/>
      </c>
      <c r="Y272">
        <f>MAX(-fyd_cc,MIN(fyd_cc,Es_cc*IF($E272&lt;=cc_D,0.0035*($E272-Y$12)/$E272,0.002*($E272-Y$12)/($E272-3*cc_D/7))))-fcd_cc*(1-(1-MAX(0,MIN(1,IF($E272&lt;=cc_D,0.0035*($E272-Y$12)/$E272,0.002*($E272-Y$12)/($E272-3*cc_D/7))/0.002)))^2)</f>
        <v/>
      </c>
      <c r="Z272">
        <f>MAX(-fyd_cc,MIN(fyd_cc,Es_cc*IF($E272&lt;=cc_D,0.0035*($E272-Z$12)/$E272,0.002*($E272-Z$12)/($E272-3*cc_D/7))))-fcd_cc*(1-(1-MAX(0,MIN(1,IF($E272&lt;=cc_D,0.0035*($E272-Z$12)/$E272,0.002*($E272-Z$12)/($E272-3*cc_D/7))/0.002)))^2)</f>
        <v/>
      </c>
      <c r="AA272">
        <f>MAX(-fyd_cc,MIN(fyd_cc,Es_cc*IF($E272&lt;=cc_D,0.0035*($E272-AA$12)/$E272,0.002*($E272-AA$12)/($E272-3*cc_D/7))))-fcd_cc*(1-(1-MAX(0,MIN(1,IF($E272&lt;=cc_D,0.0035*($E272-AA$12)/$E272,0.002*($E272-AA$12)/($E272-3*cc_D/7))/0.002)))^2)</f>
        <v/>
      </c>
      <c r="AB272">
        <f>MAX(-fyd_cc,MIN(fyd_cc,Es_cc*IF($E272&lt;=cc_D,0.0035*($E272-AB$12)/$E272,0.002*($E272-AB$12)/($E272-3*cc_D/7))))-fcd_cc*(1-(1-MAX(0,MIN(1,IF($E272&lt;=cc_D,0.0035*($E272-AB$12)/$E272,0.002*($E272-AB$12)/($E272-3*cc_D/7))/0.002)))^2)</f>
        <v/>
      </c>
      <c r="AC272">
        <f>MAX(-fyd_cc,MIN(fyd_cc,Es_cc*IF($E272&lt;=cc_D,0.0035*($E272-AC$12)/$E272,0.002*($E272-AC$12)/($E272-3*cc_D/7))))-fcd_cc*(1-(1-MAX(0,MIN(1,IF($E272&lt;=cc_D,0.0035*($E272-AC$12)/$E272,0.002*($E272-AC$12)/($E272-3*cc_D/7))/0.002)))^2)</f>
        <v/>
      </c>
      <c r="AD272">
        <f>MAX(-fyd_cc,MIN(fyd_cc,Es_cc*IF($E272&lt;=cc_D,0.0035*($E272-AD$12)/$E272,0.002*($E272-AD$12)/($E272-3*cc_D/7))))-fcd_cc*(1-(1-MAX(0,MIN(1,IF($E272&lt;=cc_D,0.0035*($E272-AD$12)/$E272,0.002*($E272-AD$12)/($E272-3*cc_D/7))/0.002)))^2)</f>
        <v/>
      </c>
      <c r="AE272">
        <f>MAX(-fyd_cc,MIN(fyd_cc,Es_cc*IF($E272&lt;=cc_D,0.0035*($E272-AE$12)/$E272,0.002*($E272-AE$12)/($E272-3*cc_D/7))))-fcd_cc*(1-(1-MAX(0,MIN(1,IF($E272&lt;=cc_D,0.0035*($E272-AE$12)/$E272,0.002*($E272-AE$12)/($E272-3*cc_D/7))/0.002)))^2)</f>
        <v/>
      </c>
      <c r="AF272">
        <f>MAX(-fyd_cc,MIN(fyd_cc,Es_cc*IF($E272&lt;=cc_D,0.0035*($E272-AF$12)/$E272,0.002*($E272-AF$12)/($E272-3*cc_D/7))))-fcd_cc*(1-(1-MAX(0,MIN(1,IF($E272&lt;=cc_D,0.0035*($E272-AF$12)/$E272,0.002*($E272-AF$12)/($E272-3*cc_D/7))/0.002)))^2)</f>
        <v/>
      </c>
      <c r="AG272">
        <f>MAX(-fyd_cc,MIN(fyd_cc,Es_cc*IF($E272&lt;=cc_D,0.0035*($E272-AG$12)/$E272,0.002*($E272-AG$12)/($E272-3*cc_D/7))))-fcd_cc*(1-(1-MAX(0,MIN(1,IF($E272&lt;=cc_D,0.0035*($E272-AG$12)/$E272,0.002*($E272-AG$12)/($E272-3*cc_D/7))/0.002)))^2)</f>
        <v/>
      </c>
      <c r="BF272">
        <f>3*MIN($E272,cc_D)/7</f>
        <v/>
      </c>
      <c r="BG272">
        <f>$E272-$BF272</f>
        <v/>
      </c>
      <c r="BH272">
        <f>ACOS(MAX(-1,MIN(1,1-$BF272/(cc_D/2))))</f>
        <v/>
      </c>
      <c r="BI272">
        <f>ACOS(MAX(-1,MIN(1,1-MIN($E272,cc_D)/(cc_D/2))))</f>
        <v/>
      </c>
      <c r="BJ272">
        <f>((cc_D/2*(1-COS(($BH272+0*($BI272-$BH272)/12)))-$BF272)/$BG272)^2*SIN(($BH272+0*($BI272-$BH272)/12))^2</f>
        <v/>
      </c>
      <c r="BK272">
        <f>((cc_D/2*(1-COS(($BH272+1*($BI272-$BH272)/12)))-$BF272)/$BG272)^2*SIN(($BH272+1*($BI272-$BH272)/12))^2</f>
        <v/>
      </c>
      <c r="BL272">
        <f>((cc_D/2*(1-COS(($BH272+2*($BI272-$BH272)/12)))-$BF272)/$BG272)^2*SIN(($BH272+2*($BI272-$BH272)/12))^2</f>
        <v/>
      </c>
      <c r="BM272">
        <f>((cc_D/2*(1-COS(($BH272+3*($BI272-$BH272)/12)))-$BF272)/$BG272)^2*SIN(($BH272+3*($BI272-$BH272)/12))^2</f>
        <v/>
      </c>
      <c r="BN272">
        <f>((cc_D/2*(1-COS(($BH272+4*($BI272-$BH272)/12)))-$BF272)/$BG272)^2*SIN(($BH272+4*($BI272-$BH272)/12))^2</f>
        <v/>
      </c>
      <c r="BO272">
        <f>((cc_D/2*(1-COS(($BH272+5*($BI272-$BH272)/12)))-$BF272)/$BG272)^2*SIN(($BH272+5*($BI272-$BH272)/12))^2</f>
        <v/>
      </c>
      <c r="BP272">
        <f>((cc_D/2*(1-COS(($BH272+6*($BI272-$BH272)/12)))-$BF272)/$BG272)^2*SIN(($BH272+6*($BI272-$BH272)/12))^2</f>
        <v/>
      </c>
      <c r="BQ272">
        <f>((cc_D/2*(1-COS(($BH272+7*($BI272-$BH272)/12)))-$BF272)/$BG272)^2*SIN(($BH272+7*($BI272-$BH272)/12))^2</f>
        <v/>
      </c>
      <c r="BR272">
        <f>((cc_D/2*(1-COS(($BH272+8*($BI272-$BH272)/12)))-$BF272)/$BG272)^2*SIN(($BH272+8*($BI272-$BH272)/12))^2</f>
        <v/>
      </c>
      <c r="BS272">
        <f>((cc_D/2*(1-COS(($BH272+9*($BI272-$BH272)/12)))-$BF272)/$BG272)^2*SIN(($BH272+9*($BI272-$BH272)/12))^2</f>
        <v/>
      </c>
      <c r="BT272">
        <f>((cc_D/2*(1-COS(($BH272+10*($BI272-$BH272)/12)))-$BF272)/$BG272)^2*SIN(($BH272+10*($BI272-$BH272)/12))^2</f>
        <v/>
      </c>
      <c r="BU272">
        <f>((cc_D/2*(1-COS(($BH272+11*($BI272-$BH272)/12)))-$BF272)/$BG272)^2*SIN(($BH272+11*($BI272-$BH272)/12))^2</f>
        <v/>
      </c>
      <c r="BV272">
        <f>((cc_D/2*(1-COS(($BH272+12*($BI272-$BH272)/12)))-$BF272)/$BG272)^2*SIN(($BH272+12*($BI272-$BH272)/12))^2</f>
        <v/>
      </c>
      <c r="BW272">
        <f>BJ272*COS(($BH272+0*($BI272-$BH272)/12))</f>
        <v/>
      </c>
      <c r="BX272">
        <f>BK272*COS(($BH272+1*($BI272-$BH272)/12))</f>
        <v/>
      </c>
      <c r="BY272">
        <f>BL272*COS(($BH272+2*($BI272-$BH272)/12))</f>
        <v/>
      </c>
      <c r="BZ272">
        <f>BM272*COS(($BH272+3*($BI272-$BH272)/12))</f>
        <v/>
      </c>
      <c r="CA272">
        <f>BN272*COS(($BH272+4*($BI272-$BH272)/12))</f>
        <v/>
      </c>
      <c r="CB272">
        <f>BO272*COS(($BH272+5*($BI272-$BH272)/12))</f>
        <v/>
      </c>
      <c r="CC272">
        <f>BP272*COS(($BH272+6*($BI272-$BH272)/12))</f>
        <v/>
      </c>
      <c r="CD272">
        <f>BQ272*COS(($BH272+7*($BI272-$BH272)/12))</f>
        <v/>
      </c>
      <c r="CE272">
        <f>BR272*COS(($BH272+8*($BI272-$BH272)/12))</f>
        <v/>
      </c>
      <c r="CF272">
        <f>BS272*COS(($BH272+9*($BI272-$BH272)/12))</f>
        <v/>
      </c>
      <c r="CG272">
        <f>BT272*COS(($BH272+10*($BI272-$BH272)/12))</f>
        <v/>
      </c>
      <c r="CH272">
        <f>BU272*COS(($BH272+11*($BI272-$BH272)/12))</f>
        <v/>
      </c>
      <c r="CI272">
        <f>BV272*COS(($BH272+12*($BI272-$BH272)/12))</f>
        <v/>
      </c>
    </row>
    <row r="273">
      <c r="B273" s="65" t="n">
        <v>58</v>
      </c>
      <c r="C273" s="66">
        <f>IF($G272&lt;cc_NEd-1E-9*ABS(cc_NEd),($C272+$D272)/2,$C272)</f>
        <v/>
      </c>
      <c r="D273" s="66">
        <f>IF($G272&lt;cc_NEd-1E-9*ABS(cc_NEd),$D272,($C272+$D272)/2)</f>
        <v/>
      </c>
      <c r="E273" s="67">
        <f>cc_D*(($C273+$D273)/2)/(1-(($C273+$D273)/2))</f>
        <v/>
      </c>
      <c r="F273" s="68">
        <f>IF($E273&lt;=cc_D,3.5,2*$E273/($E273-3*cc_D/7))</f>
        <v/>
      </c>
      <c r="G273" s="67">
        <f>(fcd_cc*((cc_D/2)^2*($BI273-COS($BI273)*SIN($BI273))-2*(cc_D/2)^2*($BI273-$BH273)/12/3*SUMPRODUCT($BJ$4:$BV$4,$BJ273:$BV273))+SUMPRODUCT($J$5:$AG$5,$J273:$AG273))/1000</f>
        <v/>
      </c>
      <c r="H273" s="67">
        <f>(fcd_cc*(2/3*(cc_D/2)^3*SIN($BI273)^3-2*(cc_D/2)^3*($BI273-$BH273)/12/3*SUMPRODUCT($BW$4:$CI$4,$BW273:$CI273))+SUMPRODUCT($J$5:$AG$5,$J273:$AG273,$J$13:$AG$13))/1E6</f>
        <v/>
      </c>
      <c r="I273" s="67">
        <f>SUMPRODUCT($J$5:$AG$5,$J273:$AG273,$J$14:$AG$14)/1E6</f>
        <v/>
      </c>
      <c r="J273">
        <f>MAX(-fyd_cc,MIN(fyd_cc,Es_cc*IF($E273&lt;=cc_D,0.0035*($E273-J$12)/$E273,0.002*($E273-J$12)/($E273-3*cc_D/7))))-fcd_cc*(1-(1-MAX(0,MIN(1,IF($E273&lt;=cc_D,0.0035*($E273-J$12)/$E273,0.002*($E273-J$12)/($E273-3*cc_D/7))/0.002)))^2)</f>
        <v/>
      </c>
      <c r="K273">
        <f>MAX(-fyd_cc,MIN(fyd_cc,Es_cc*IF($E273&lt;=cc_D,0.0035*($E273-K$12)/$E273,0.002*($E273-K$12)/($E273-3*cc_D/7))))-fcd_cc*(1-(1-MAX(0,MIN(1,IF($E273&lt;=cc_D,0.0035*($E273-K$12)/$E273,0.002*($E273-K$12)/($E273-3*cc_D/7))/0.002)))^2)</f>
        <v/>
      </c>
      <c r="L273">
        <f>MAX(-fyd_cc,MIN(fyd_cc,Es_cc*IF($E273&lt;=cc_D,0.0035*($E273-L$12)/$E273,0.002*($E273-L$12)/($E273-3*cc_D/7))))-fcd_cc*(1-(1-MAX(0,MIN(1,IF($E273&lt;=cc_D,0.0035*($E273-L$12)/$E273,0.002*($E273-L$12)/($E273-3*cc_D/7))/0.002)))^2)</f>
        <v/>
      </c>
      <c r="M273">
        <f>MAX(-fyd_cc,MIN(fyd_cc,Es_cc*IF($E273&lt;=cc_D,0.0035*($E273-M$12)/$E273,0.002*($E273-M$12)/($E273-3*cc_D/7))))-fcd_cc*(1-(1-MAX(0,MIN(1,IF($E273&lt;=cc_D,0.0035*($E273-M$12)/$E273,0.002*($E273-M$12)/($E273-3*cc_D/7))/0.002)))^2)</f>
        <v/>
      </c>
      <c r="N273">
        <f>MAX(-fyd_cc,MIN(fyd_cc,Es_cc*IF($E273&lt;=cc_D,0.0035*($E273-N$12)/$E273,0.002*($E273-N$12)/($E273-3*cc_D/7))))-fcd_cc*(1-(1-MAX(0,MIN(1,IF($E273&lt;=cc_D,0.0035*($E273-N$12)/$E273,0.002*($E273-N$12)/($E273-3*cc_D/7))/0.002)))^2)</f>
        <v/>
      </c>
      <c r="O273">
        <f>MAX(-fyd_cc,MIN(fyd_cc,Es_cc*IF($E273&lt;=cc_D,0.0035*($E273-O$12)/$E273,0.002*($E273-O$12)/($E273-3*cc_D/7))))-fcd_cc*(1-(1-MAX(0,MIN(1,IF($E273&lt;=cc_D,0.0035*($E273-O$12)/$E273,0.002*($E273-O$12)/($E273-3*cc_D/7))/0.002)))^2)</f>
        <v/>
      </c>
      <c r="P273">
        <f>MAX(-fyd_cc,MIN(fyd_cc,Es_cc*IF($E273&lt;=cc_D,0.0035*($E273-P$12)/$E273,0.002*($E273-P$12)/($E273-3*cc_D/7))))-fcd_cc*(1-(1-MAX(0,MIN(1,IF($E273&lt;=cc_D,0.0035*($E273-P$12)/$E273,0.002*($E273-P$12)/($E273-3*cc_D/7))/0.002)))^2)</f>
        <v/>
      </c>
      <c r="Q273">
        <f>MAX(-fyd_cc,MIN(fyd_cc,Es_cc*IF($E273&lt;=cc_D,0.0035*($E273-Q$12)/$E273,0.002*($E273-Q$12)/($E273-3*cc_D/7))))-fcd_cc*(1-(1-MAX(0,MIN(1,IF($E273&lt;=cc_D,0.0035*($E273-Q$12)/$E273,0.002*($E273-Q$12)/($E273-3*cc_D/7))/0.002)))^2)</f>
        <v/>
      </c>
      <c r="R273">
        <f>MAX(-fyd_cc,MIN(fyd_cc,Es_cc*IF($E273&lt;=cc_D,0.0035*($E273-R$12)/$E273,0.002*($E273-R$12)/($E273-3*cc_D/7))))-fcd_cc*(1-(1-MAX(0,MIN(1,IF($E273&lt;=cc_D,0.0035*($E273-R$12)/$E273,0.002*($E273-R$12)/($E273-3*cc_D/7))/0.002)))^2)</f>
        <v/>
      </c>
      <c r="S273">
        <f>MAX(-fyd_cc,MIN(fyd_cc,Es_cc*IF($E273&lt;=cc_D,0.0035*($E273-S$12)/$E273,0.002*($E273-S$12)/($E273-3*cc_D/7))))-fcd_cc*(1-(1-MAX(0,MIN(1,IF($E273&lt;=cc_D,0.0035*($E273-S$12)/$E273,0.002*($E273-S$12)/($E273-3*cc_D/7))/0.002)))^2)</f>
        <v/>
      </c>
      <c r="T273">
        <f>MAX(-fyd_cc,MIN(fyd_cc,Es_cc*IF($E273&lt;=cc_D,0.0035*($E273-T$12)/$E273,0.002*($E273-T$12)/($E273-3*cc_D/7))))-fcd_cc*(1-(1-MAX(0,MIN(1,IF($E273&lt;=cc_D,0.0035*($E273-T$12)/$E273,0.002*($E273-T$12)/($E273-3*cc_D/7))/0.002)))^2)</f>
        <v/>
      </c>
      <c r="U273">
        <f>MAX(-fyd_cc,MIN(fyd_cc,Es_cc*IF($E273&lt;=cc_D,0.0035*($E273-U$12)/$E273,0.002*($E273-U$12)/($E273-3*cc_D/7))))-fcd_cc*(1-(1-MAX(0,MIN(1,IF($E273&lt;=cc_D,0.0035*($E273-U$12)/$E273,0.002*($E273-U$12)/($E273-3*cc_D/7))/0.002)))^2)</f>
        <v/>
      </c>
      <c r="V273">
        <f>MAX(-fyd_cc,MIN(fyd_cc,Es_cc*IF($E273&lt;=cc_D,0.0035*($E273-V$12)/$E273,0.002*($E273-V$12)/($E273-3*cc_D/7))))-fcd_cc*(1-(1-MAX(0,MIN(1,IF($E273&lt;=cc_D,0.0035*($E273-V$12)/$E273,0.002*($E273-V$12)/($E273-3*cc_D/7))/0.002)))^2)</f>
        <v/>
      </c>
      <c r="W273">
        <f>MAX(-fyd_cc,MIN(fyd_cc,Es_cc*IF($E273&lt;=cc_D,0.0035*($E273-W$12)/$E273,0.002*($E273-W$12)/($E273-3*cc_D/7))))-fcd_cc*(1-(1-MAX(0,MIN(1,IF($E273&lt;=cc_D,0.0035*($E273-W$12)/$E273,0.002*($E273-W$12)/($E273-3*cc_D/7))/0.002)))^2)</f>
        <v/>
      </c>
      <c r="X273">
        <f>MAX(-fyd_cc,MIN(fyd_cc,Es_cc*IF($E273&lt;=cc_D,0.0035*($E273-X$12)/$E273,0.002*($E273-X$12)/($E273-3*cc_D/7))))-fcd_cc*(1-(1-MAX(0,MIN(1,IF($E273&lt;=cc_D,0.0035*($E273-X$12)/$E273,0.002*($E273-X$12)/($E273-3*cc_D/7))/0.002)))^2)</f>
        <v/>
      </c>
      <c r="Y273">
        <f>MAX(-fyd_cc,MIN(fyd_cc,Es_cc*IF($E273&lt;=cc_D,0.0035*($E273-Y$12)/$E273,0.002*($E273-Y$12)/($E273-3*cc_D/7))))-fcd_cc*(1-(1-MAX(0,MIN(1,IF($E273&lt;=cc_D,0.0035*($E273-Y$12)/$E273,0.002*($E273-Y$12)/($E273-3*cc_D/7))/0.002)))^2)</f>
        <v/>
      </c>
      <c r="Z273">
        <f>MAX(-fyd_cc,MIN(fyd_cc,Es_cc*IF($E273&lt;=cc_D,0.0035*($E273-Z$12)/$E273,0.002*($E273-Z$12)/($E273-3*cc_D/7))))-fcd_cc*(1-(1-MAX(0,MIN(1,IF($E273&lt;=cc_D,0.0035*($E273-Z$12)/$E273,0.002*($E273-Z$12)/($E273-3*cc_D/7))/0.002)))^2)</f>
        <v/>
      </c>
      <c r="AA273">
        <f>MAX(-fyd_cc,MIN(fyd_cc,Es_cc*IF($E273&lt;=cc_D,0.0035*($E273-AA$12)/$E273,0.002*($E273-AA$12)/($E273-3*cc_D/7))))-fcd_cc*(1-(1-MAX(0,MIN(1,IF($E273&lt;=cc_D,0.0035*($E273-AA$12)/$E273,0.002*($E273-AA$12)/($E273-3*cc_D/7))/0.002)))^2)</f>
        <v/>
      </c>
      <c r="AB273">
        <f>MAX(-fyd_cc,MIN(fyd_cc,Es_cc*IF($E273&lt;=cc_D,0.0035*($E273-AB$12)/$E273,0.002*($E273-AB$12)/($E273-3*cc_D/7))))-fcd_cc*(1-(1-MAX(0,MIN(1,IF($E273&lt;=cc_D,0.0035*($E273-AB$12)/$E273,0.002*($E273-AB$12)/($E273-3*cc_D/7))/0.002)))^2)</f>
        <v/>
      </c>
      <c r="AC273">
        <f>MAX(-fyd_cc,MIN(fyd_cc,Es_cc*IF($E273&lt;=cc_D,0.0035*($E273-AC$12)/$E273,0.002*($E273-AC$12)/($E273-3*cc_D/7))))-fcd_cc*(1-(1-MAX(0,MIN(1,IF($E273&lt;=cc_D,0.0035*($E273-AC$12)/$E273,0.002*($E273-AC$12)/($E273-3*cc_D/7))/0.002)))^2)</f>
        <v/>
      </c>
      <c r="AD273">
        <f>MAX(-fyd_cc,MIN(fyd_cc,Es_cc*IF($E273&lt;=cc_D,0.0035*($E273-AD$12)/$E273,0.002*($E273-AD$12)/($E273-3*cc_D/7))))-fcd_cc*(1-(1-MAX(0,MIN(1,IF($E273&lt;=cc_D,0.0035*($E273-AD$12)/$E273,0.002*($E273-AD$12)/($E273-3*cc_D/7))/0.002)))^2)</f>
        <v/>
      </c>
      <c r="AE273">
        <f>MAX(-fyd_cc,MIN(fyd_cc,Es_cc*IF($E273&lt;=cc_D,0.0035*($E273-AE$12)/$E273,0.002*($E273-AE$12)/($E273-3*cc_D/7))))-fcd_cc*(1-(1-MAX(0,MIN(1,IF($E273&lt;=cc_D,0.0035*($E273-AE$12)/$E273,0.002*($E273-AE$12)/($E273-3*cc_D/7))/0.002)))^2)</f>
        <v/>
      </c>
      <c r="AF273">
        <f>MAX(-fyd_cc,MIN(fyd_cc,Es_cc*IF($E273&lt;=cc_D,0.0035*($E273-AF$12)/$E273,0.002*($E273-AF$12)/($E273-3*cc_D/7))))-fcd_cc*(1-(1-MAX(0,MIN(1,IF($E273&lt;=cc_D,0.0035*($E273-AF$12)/$E273,0.002*($E273-AF$12)/($E273-3*cc_D/7))/0.002)))^2)</f>
        <v/>
      </c>
      <c r="AG273">
        <f>MAX(-fyd_cc,MIN(fyd_cc,Es_cc*IF($E273&lt;=cc_D,0.0035*($E273-AG$12)/$E273,0.002*($E273-AG$12)/($E273-3*cc_D/7))))-fcd_cc*(1-(1-MAX(0,MIN(1,IF($E273&lt;=cc_D,0.0035*($E273-AG$12)/$E273,0.002*($E273-AG$12)/($E273-3*cc_D/7))/0.002)))^2)</f>
        <v/>
      </c>
      <c r="BF273">
        <f>3*MIN($E273,cc_D)/7</f>
        <v/>
      </c>
      <c r="BG273">
        <f>$E273-$BF273</f>
        <v/>
      </c>
      <c r="BH273">
        <f>ACOS(MAX(-1,MIN(1,1-$BF273/(cc_D/2))))</f>
        <v/>
      </c>
      <c r="BI273">
        <f>ACOS(MAX(-1,MIN(1,1-MIN($E273,cc_D)/(cc_D/2))))</f>
        <v/>
      </c>
      <c r="BJ273">
        <f>((cc_D/2*(1-COS(($BH273+0*($BI273-$BH273)/12)))-$BF273)/$BG273)^2*SIN(($BH273+0*($BI273-$BH273)/12))^2</f>
        <v/>
      </c>
      <c r="BK273">
        <f>((cc_D/2*(1-COS(($BH273+1*($BI273-$BH273)/12)))-$BF273)/$BG273)^2*SIN(($BH273+1*($BI273-$BH273)/12))^2</f>
        <v/>
      </c>
      <c r="BL273">
        <f>((cc_D/2*(1-COS(($BH273+2*($BI273-$BH273)/12)))-$BF273)/$BG273)^2*SIN(($BH273+2*($BI273-$BH273)/12))^2</f>
        <v/>
      </c>
      <c r="BM273">
        <f>((cc_D/2*(1-COS(($BH273+3*($BI273-$BH273)/12)))-$BF273)/$BG273)^2*SIN(($BH273+3*($BI273-$BH273)/12))^2</f>
        <v/>
      </c>
      <c r="BN273">
        <f>((cc_D/2*(1-COS(($BH273+4*($BI273-$BH273)/12)))-$BF273)/$BG273)^2*SIN(($BH273+4*($BI273-$BH273)/12))^2</f>
        <v/>
      </c>
      <c r="BO273">
        <f>((cc_D/2*(1-COS(($BH273+5*($BI273-$BH273)/12)))-$BF273)/$BG273)^2*SIN(($BH273+5*($BI273-$BH273)/12))^2</f>
        <v/>
      </c>
      <c r="BP273">
        <f>((cc_D/2*(1-COS(($BH273+6*($BI273-$BH273)/12)))-$BF273)/$BG273)^2*SIN(($BH273+6*($BI273-$BH273)/12))^2</f>
        <v/>
      </c>
      <c r="BQ273">
        <f>((cc_D/2*(1-COS(($BH273+7*($BI273-$BH273)/12)))-$BF273)/$BG273)^2*SIN(($BH273+7*($BI273-$BH273)/12))^2</f>
        <v/>
      </c>
      <c r="BR273">
        <f>((cc_D/2*(1-COS(($BH273+8*($BI273-$BH273)/12)))-$BF273)/$BG273)^2*SIN(($BH273+8*($BI273-$BH273)/12))^2</f>
        <v/>
      </c>
      <c r="BS273">
        <f>((cc_D/2*(1-COS(($BH273+9*($BI273-$BH273)/12)))-$BF273)/$BG273)^2*SIN(($BH273+9*($BI273-$BH273)/12))^2</f>
        <v/>
      </c>
      <c r="BT273">
        <f>((cc_D/2*(1-COS(($BH273+10*($BI273-$BH273)/12)))-$BF273)/$BG273)^2*SIN(($BH273+10*($BI273-$BH273)/12))^2</f>
        <v/>
      </c>
      <c r="BU273">
        <f>((cc_D/2*(1-COS(($BH273+11*($BI273-$BH273)/12)))-$BF273)/$BG273)^2*SIN(($BH273+11*($BI273-$BH273)/12))^2</f>
        <v/>
      </c>
      <c r="BV273">
        <f>((cc_D/2*(1-COS(($BH273+12*($BI273-$BH273)/12)))-$BF273)/$BG273)^2*SIN(($BH273+12*($BI273-$BH273)/12))^2</f>
        <v/>
      </c>
      <c r="BW273">
        <f>BJ273*COS(($BH273+0*($BI273-$BH273)/12))</f>
        <v/>
      </c>
      <c r="BX273">
        <f>BK273*COS(($BH273+1*($BI273-$BH273)/12))</f>
        <v/>
      </c>
      <c r="BY273">
        <f>BL273*COS(($BH273+2*($BI273-$BH273)/12))</f>
        <v/>
      </c>
      <c r="BZ273">
        <f>BM273*COS(($BH273+3*($BI273-$BH273)/12))</f>
        <v/>
      </c>
      <c r="CA273">
        <f>BN273*COS(($BH273+4*($BI273-$BH273)/12))</f>
        <v/>
      </c>
      <c r="CB273">
        <f>BO273*COS(($BH273+5*($BI273-$BH273)/12))</f>
        <v/>
      </c>
      <c r="CC273">
        <f>BP273*COS(($BH273+6*($BI273-$BH273)/12))</f>
        <v/>
      </c>
      <c r="CD273">
        <f>BQ273*COS(($BH273+7*($BI273-$BH273)/12))</f>
        <v/>
      </c>
      <c r="CE273">
        <f>BR273*COS(($BH273+8*($BI273-$BH273)/12))</f>
        <v/>
      </c>
      <c r="CF273">
        <f>BS273*COS(($BH273+9*($BI273-$BH273)/12))</f>
        <v/>
      </c>
      <c r="CG273">
        <f>BT273*COS(($BH273+10*($BI273-$BH273)/12))</f>
        <v/>
      </c>
      <c r="CH273">
        <f>BU273*COS(($BH273+11*($BI273-$BH273)/12))</f>
        <v/>
      </c>
      <c r="CI273">
        <f>BV273*COS(($BH273+12*($BI273-$BH273)/12))</f>
        <v/>
      </c>
    </row>
    <row r="274">
      <c r="B274" s="65" t="n">
        <v>59</v>
      </c>
      <c r="C274" s="66">
        <f>IF($G273&lt;cc_NEd-1E-9*ABS(cc_NEd),($C273+$D273)/2,$C273)</f>
        <v/>
      </c>
      <c r="D274" s="66">
        <f>IF($G273&lt;cc_NEd-1E-9*ABS(cc_NEd),$D273,($C273+$D273)/2)</f>
        <v/>
      </c>
      <c r="E274" s="67">
        <f>cc_D*(($C274+$D274)/2)/(1-(($C274+$D274)/2))</f>
        <v/>
      </c>
      <c r="F274" s="68">
        <f>IF($E274&lt;=cc_D,3.5,2*$E274/($E274-3*cc_D/7))</f>
        <v/>
      </c>
      <c r="G274" s="67">
        <f>(fcd_cc*((cc_D/2)^2*($BI274-COS($BI274)*SIN($BI274))-2*(cc_D/2)^2*($BI274-$BH274)/12/3*SUMPRODUCT($BJ$4:$BV$4,$BJ274:$BV274))+SUMPRODUCT($J$5:$AG$5,$J274:$AG274))/1000</f>
        <v/>
      </c>
      <c r="H274" s="67">
        <f>(fcd_cc*(2/3*(cc_D/2)^3*SIN($BI274)^3-2*(cc_D/2)^3*($BI274-$BH274)/12/3*SUMPRODUCT($BW$4:$CI$4,$BW274:$CI274))+SUMPRODUCT($J$5:$AG$5,$J274:$AG274,$J$13:$AG$13))/1E6</f>
        <v/>
      </c>
      <c r="I274" s="67">
        <f>SUMPRODUCT($J$5:$AG$5,$J274:$AG274,$J$14:$AG$14)/1E6</f>
        <v/>
      </c>
      <c r="J274">
        <f>MAX(-fyd_cc,MIN(fyd_cc,Es_cc*IF($E274&lt;=cc_D,0.0035*($E274-J$12)/$E274,0.002*($E274-J$12)/($E274-3*cc_D/7))))-fcd_cc*(1-(1-MAX(0,MIN(1,IF($E274&lt;=cc_D,0.0035*($E274-J$12)/$E274,0.002*($E274-J$12)/($E274-3*cc_D/7))/0.002)))^2)</f>
        <v/>
      </c>
      <c r="K274">
        <f>MAX(-fyd_cc,MIN(fyd_cc,Es_cc*IF($E274&lt;=cc_D,0.0035*($E274-K$12)/$E274,0.002*($E274-K$12)/($E274-3*cc_D/7))))-fcd_cc*(1-(1-MAX(0,MIN(1,IF($E274&lt;=cc_D,0.0035*($E274-K$12)/$E274,0.002*($E274-K$12)/($E274-3*cc_D/7))/0.002)))^2)</f>
        <v/>
      </c>
      <c r="L274">
        <f>MAX(-fyd_cc,MIN(fyd_cc,Es_cc*IF($E274&lt;=cc_D,0.0035*($E274-L$12)/$E274,0.002*($E274-L$12)/($E274-3*cc_D/7))))-fcd_cc*(1-(1-MAX(0,MIN(1,IF($E274&lt;=cc_D,0.0035*($E274-L$12)/$E274,0.002*($E274-L$12)/($E274-3*cc_D/7))/0.002)))^2)</f>
        <v/>
      </c>
      <c r="M274">
        <f>MAX(-fyd_cc,MIN(fyd_cc,Es_cc*IF($E274&lt;=cc_D,0.0035*($E274-M$12)/$E274,0.002*($E274-M$12)/($E274-3*cc_D/7))))-fcd_cc*(1-(1-MAX(0,MIN(1,IF($E274&lt;=cc_D,0.0035*($E274-M$12)/$E274,0.002*($E274-M$12)/($E274-3*cc_D/7))/0.002)))^2)</f>
        <v/>
      </c>
      <c r="N274">
        <f>MAX(-fyd_cc,MIN(fyd_cc,Es_cc*IF($E274&lt;=cc_D,0.0035*($E274-N$12)/$E274,0.002*($E274-N$12)/($E274-3*cc_D/7))))-fcd_cc*(1-(1-MAX(0,MIN(1,IF($E274&lt;=cc_D,0.0035*($E274-N$12)/$E274,0.002*($E274-N$12)/($E274-3*cc_D/7))/0.002)))^2)</f>
        <v/>
      </c>
      <c r="O274">
        <f>MAX(-fyd_cc,MIN(fyd_cc,Es_cc*IF($E274&lt;=cc_D,0.0035*($E274-O$12)/$E274,0.002*($E274-O$12)/($E274-3*cc_D/7))))-fcd_cc*(1-(1-MAX(0,MIN(1,IF($E274&lt;=cc_D,0.0035*($E274-O$12)/$E274,0.002*($E274-O$12)/($E274-3*cc_D/7))/0.002)))^2)</f>
        <v/>
      </c>
      <c r="P274">
        <f>MAX(-fyd_cc,MIN(fyd_cc,Es_cc*IF($E274&lt;=cc_D,0.0035*($E274-P$12)/$E274,0.002*($E274-P$12)/($E274-3*cc_D/7))))-fcd_cc*(1-(1-MAX(0,MIN(1,IF($E274&lt;=cc_D,0.0035*($E274-P$12)/$E274,0.002*($E274-P$12)/($E274-3*cc_D/7))/0.002)))^2)</f>
        <v/>
      </c>
      <c r="Q274">
        <f>MAX(-fyd_cc,MIN(fyd_cc,Es_cc*IF($E274&lt;=cc_D,0.0035*($E274-Q$12)/$E274,0.002*($E274-Q$12)/($E274-3*cc_D/7))))-fcd_cc*(1-(1-MAX(0,MIN(1,IF($E274&lt;=cc_D,0.0035*($E274-Q$12)/$E274,0.002*($E274-Q$12)/($E274-3*cc_D/7))/0.002)))^2)</f>
        <v/>
      </c>
      <c r="R274">
        <f>MAX(-fyd_cc,MIN(fyd_cc,Es_cc*IF($E274&lt;=cc_D,0.0035*($E274-R$12)/$E274,0.002*($E274-R$12)/($E274-3*cc_D/7))))-fcd_cc*(1-(1-MAX(0,MIN(1,IF($E274&lt;=cc_D,0.0035*($E274-R$12)/$E274,0.002*($E274-R$12)/($E274-3*cc_D/7))/0.002)))^2)</f>
        <v/>
      </c>
      <c r="S274">
        <f>MAX(-fyd_cc,MIN(fyd_cc,Es_cc*IF($E274&lt;=cc_D,0.0035*($E274-S$12)/$E274,0.002*($E274-S$12)/($E274-3*cc_D/7))))-fcd_cc*(1-(1-MAX(0,MIN(1,IF($E274&lt;=cc_D,0.0035*($E274-S$12)/$E274,0.002*($E274-S$12)/($E274-3*cc_D/7))/0.002)))^2)</f>
        <v/>
      </c>
      <c r="T274">
        <f>MAX(-fyd_cc,MIN(fyd_cc,Es_cc*IF($E274&lt;=cc_D,0.0035*($E274-T$12)/$E274,0.002*($E274-T$12)/($E274-3*cc_D/7))))-fcd_cc*(1-(1-MAX(0,MIN(1,IF($E274&lt;=cc_D,0.0035*($E274-T$12)/$E274,0.002*($E274-T$12)/($E274-3*cc_D/7))/0.002)))^2)</f>
        <v/>
      </c>
      <c r="U274">
        <f>MAX(-fyd_cc,MIN(fyd_cc,Es_cc*IF($E274&lt;=cc_D,0.0035*($E274-U$12)/$E274,0.002*($E274-U$12)/($E274-3*cc_D/7))))-fcd_cc*(1-(1-MAX(0,MIN(1,IF($E274&lt;=cc_D,0.0035*($E274-U$12)/$E274,0.002*($E274-U$12)/($E274-3*cc_D/7))/0.002)))^2)</f>
        <v/>
      </c>
      <c r="V274">
        <f>MAX(-fyd_cc,MIN(fyd_cc,Es_cc*IF($E274&lt;=cc_D,0.0035*($E274-V$12)/$E274,0.002*($E274-V$12)/($E274-3*cc_D/7))))-fcd_cc*(1-(1-MAX(0,MIN(1,IF($E274&lt;=cc_D,0.0035*($E274-V$12)/$E274,0.002*($E274-V$12)/($E274-3*cc_D/7))/0.002)))^2)</f>
        <v/>
      </c>
      <c r="W274">
        <f>MAX(-fyd_cc,MIN(fyd_cc,Es_cc*IF($E274&lt;=cc_D,0.0035*($E274-W$12)/$E274,0.002*($E274-W$12)/($E274-3*cc_D/7))))-fcd_cc*(1-(1-MAX(0,MIN(1,IF($E274&lt;=cc_D,0.0035*($E274-W$12)/$E274,0.002*($E274-W$12)/($E274-3*cc_D/7))/0.002)))^2)</f>
        <v/>
      </c>
      <c r="X274">
        <f>MAX(-fyd_cc,MIN(fyd_cc,Es_cc*IF($E274&lt;=cc_D,0.0035*($E274-X$12)/$E274,0.002*($E274-X$12)/($E274-3*cc_D/7))))-fcd_cc*(1-(1-MAX(0,MIN(1,IF($E274&lt;=cc_D,0.0035*($E274-X$12)/$E274,0.002*($E274-X$12)/($E274-3*cc_D/7))/0.002)))^2)</f>
        <v/>
      </c>
      <c r="Y274">
        <f>MAX(-fyd_cc,MIN(fyd_cc,Es_cc*IF($E274&lt;=cc_D,0.0035*($E274-Y$12)/$E274,0.002*($E274-Y$12)/($E274-3*cc_D/7))))-fcd_cc*(1-(1-MAX(0,MIN(1,IF($E274&lt;=cc_D,0.0035*($E274-Y$12)/$E274,0.002*($E274-Y$12)/($E274-3*cc_D/7))/0.002)))^2)</f>
        <v/>
      </c>
      <c r="Z274">
        <f>MAX(-fyd_cc,MIN(fyd_cc,Es_cc*IF($E274&lt;=cc_D,0.0035*($E274-Z$12)/$E274,0.002*($E274-Z$12)/($E274-3*cc_D/7))))-fcd_cc*(1-(1-MAX(0,MIN(1,IF($E274&lt;=cc_D,0.0035*($E274-Z$12)/$E274,0.002*($E274-Z$12)/($E274-3*cc_D/7))/0.002)))^2)</f>
        <v/>
      </c>
      <c r="AA274">
        <f>MAX(-fyd_cc,MIN(fyd_cc,Es_cc*IF($E274&lt;=cc_D,0.0035*($E274-AA$12)/$E274,0.002*($E274-AA$12)/($E274-3*cc_D/7))))-fcd_cc*(1-(1-MAX(0,MIN(1,IF($E274&lt;=cc_D,0.0035*($E274-AA$12)/$E274,0.002*($E274-AA$12)/($E274-3*cc_D/7))/0.002)))^2)</f>
        <v/>
      </c>
      <c r="AB274">
        <f>MAX(-fyd_cc,MIN(fyd_cc,Es_cc*IF($E274&lt;=cc_D,0.0035*($E274-AB$12)/$E274,0.002*($E274-AB$12)/($E274-3*cc_D/7))))-fcd_cc*(1-(1-MAX(0,MIN(1,IF($E274&lt;=cc_D,0.0035*($E274-AB$12)/$E274,0.002*($E274-AB$12)/($E274-3*cc_D/7))/0.002)))^2)</f>
        <v/>
      </c>
      <c r="AC274">
        <f>MAX(-fyd_cc,MIN(fyd_cc,Es_cc*IF($E274&lt;=cc_D,0.0035*($E274-AC$12)/$E274,0.002*($E274-AC$12)/($E274-3*cc_D/7))))-fcd_cc*(1-(1-MAX(0,MIN(1,IF($E274&lt;=cc_D,0.0035*($E274-AC$12)/$E274,0.002*($E274-AC$12)/($E274-3*cc_D/7))/0.002)))^2)</f>
        <v/>
      </c>
      <c r="AD274">
        <f>MAX(-fyd_cc,MIN(fyd_cc,Es_cc*IF($E274&lt;=cc_D,0.0035*($E274-AD$12)/$E274,0.002*($E274-AD$12)/($E274-3*cc_D/7))))-fcd_cc*(1-(1-MAX(0,MIN(1,IF($E274&lt;=cc_D,0.0035*($E274-AD$12)/$E274,0.002*($E274-AD$12)/($E274-3*cc_D/7))/0.002)))^2)</f>
        <v/>
      </c>
      <c r="AE274">
        <f>MAX(-fyd_cc,MIN(fyd_cc,Es_cc*IF($E274&lt;=cc_D,0.0035*($E274-AE$12)/$E274,0.002*($E274-AE$12)/($E274-3*cc_D/7))))-fcd_cc*(1-(1-MAX(0,MIN(1,IF($E274&lt;=cc_D,0.0035*($E274-AE$12)/$E274,0.002*($E274-AE$12)/($E274-3*cc_D/7))/0.002)))^2)</f>
        <v/>
      </c>
      <c r="AF274">
        <f>MAX(-fyd_cc,MIN(fyd_cc,Es_cc*IF($E274&lt;=cc_D,0.0035*($E274-AF$12)/$E274,0.002*($E274-AF$12)/($E274-3*cc_D/7))))-fcd_cc*(1-(1-MAX(0,MIN(1,IF($E274&lt;=cc_D,0.0035*($E274-AF$12)/$E274,0.002*($E274-AF$12)/($E274-3*cc_D/7))/0.002)))^2)</f>
        <v/>
      </c>
      <c r="AG274">
        <f>MAX(-fyd_cc,MIN(fyd_cc,Es_cc*IF($E274&lt;=cc_D,0.0035*($E274-AG$12)/$E274,0.002*($E274-AG$12)/($E274-3*cc_D/7))))-fcd_cc*(1-(1-MAX(0,MIN(1,IF($E274&lt;=cc_D,0.0035*($E274-AG$12)/$E274,0.002*($E274-AG$12)/($E274-3*cc_D/7))/0.002)))^2)</f>
        <v/>
      </c>
      <c r="BF274">
        <f>3*MIN($E274,cc_D)/7</f>
        <v/>
      </c>
      <c r="BG274">
        <f>$E274-$BF274</f>
        <v/>
      </c>
      <c r="BH274">
        <f>ACOS(MAX(-1,MIN(1,1-$BF274/(cc_D/2))))</f>
        <v/>
      </c>
      <c r="BI274">
        <f>ACOS(MAX(-1,MIN(1,1-MIN($E274,cc_D)/(cc_D/2))))</f>
        <v/>
      </c>
      <c r="BJ274">
        <f>((cc_D/2*(1-COS(($BH274+0*($BI274-$BH274)/12)))-$BF274)/$BG274)^2*SIN(($BH274+0*($BI274-$BH274)/12))^2</f>
        <v/>
      </c>
      <c r="BK274">
        <f>((cc_D/2*(1-COS(($BH274+1*($BI274-$BH274)/12)))-$BF274)/$BG274)^2*SIN(($BH274+1*($BI274-$BH274)/12))^2</f>
        <v/>
      </c>
      <c r="BL274">
        <f>((cc_D/2*(1-COS(($BH274+2*($BI274-$BH274)/12)))-$BF274)/$BG274)^2*SIN(($BH274+2*($BI274-$BH274)/12))^2</f>
        <v/>
      </c>
      <c r="BM274">
        <f>((cc_D/2*(1-COS(($BH274+3*($BI274-$BH274)/12)))-$BF274)/$BG274)^2*SIN(($BH274+3*($BI274-$BH274)/12))^2</f>
        <v/>
      </c>
      <c r="BN274">
        <f>((cc_D/2*(1-COS(($BH274+4*($BI274-$BH274)/12)))-$BF274)/$BG274)^2*SIN(($BH274+4*($BI274-$BH274)/12))^2</f>
        <v/>
      </c>
      <c r="BO274">
        <f>((cc_D/2*(1-COS(($BH274+5*($BI274-$BH274)/12)))-$BF274)/$BG274)^2*SIN(($BH274+5*($BI274-$BH274)/12))^2</f>
        <v/>
      </c>
      <c r="BP274">
        <f>((cc_D/2*(1-COS(($BH274+6*($BI274-$BH274)/12)))-$BF274)/$BG274)^2*SIN(($BH274+6*($BI274-$BH274)/12))^2</f>
        <v/>
      </c>
      <c r="BQ274">
        <f>((cc_D/2*(1-COS(($BH274+7*($BI274-$BH274)/12)))-$BF274)/$BG274)^2*SIN(($BH274+7*($BI274-$BH274)/12))^2</f>
        <v/>
      </c>
      <c r="BR274">
        <f>((cc_D/2*(1-COS(($BH274+8*($BI274-$BH274)/12)))-$BF274)/$BG274)^2*SIN(($BH274+8*($BI274-$BH274)/12))^2</f>
        <v/>
      </c>
      <c r="BS274">
        <f>((cc_D/2*(1-COS(($BH274+9*($BI274-$BH274)/12)))-$BF274)/$BG274)^2*SIN(($BH274+9*($BI274-$BH274)/12))^2</f>
        <v/>
      </c>
      <c r="BT274">
        <f>((cc_D/2*(1-COS(($BH274+10*($BI274-$BH274)/12)))-$BF274)/$BG274)^2*SIN(($BH274+10*($BI274-$BH274)/12))^2</f>
        <v/>
      </c>
      <c r="BU274">
        <f>((cc_D/2*(1-COS(($BH274+11*($BI274-$BH274)/12)))-$BF274)/$BG274)^2*SIN(($BH274+11*($BI274-$BH274)/12))^2</f>
        <v/>
      </c>
      <c r="BV274">
        <f>((cc_D/2*(1-COS(($BH274+12*($BI274-$BH274)/12)))-$BF274)/$BG274)^2*SIN(($BH274+12*($BI274-$BH274)/12))^2</f>
        <v/>
      </c>
      <c r="BW274">
        <f>BJ274*COS(($BH274+0*($BI274-$BH274)/12))</f>
        <v/>
      </c>
      <c r="BX274">
        <f>BK274*COS(($BH274+1*($BI274-$BH274)/12))</f>
        <v/>
      </c>
      <c r="BY274">
        <f>BL274*COS(($BH274+2*($BI274-$BH274)/12))</f>
        <v/>
      </c>
      <c r="BZ274">
        <f>BM274*COS(($BH274+3*($BI274-$BH274)/12))</f>
        <v/>
      </c>
      <c r="CA274">
        <f>BN274*COS(($BH274+4*($BI274-$BH274)/12))</f>
        <v/>
      </c>
      <c r="CB274">
        <f>BO274*COS(($BH274+5*($BI274-$BH274)/12))</f>
        <v/>
      </c>
      <c r="CC274">
        <f>BP274*COS(($BH274+6*($BI274-$BH274)/12))</f>
        <v/>
      </c>
      <c r="CD274">
        <f>BQ274*COS(($BH274+7*($BI274-$BH274)/12))</f>
        <v/>
      </c>
      <c r="CE274">
        <f>BR274*COS(($BH274+8*($BI274-$BH274)/12))</f>
        <v/>
      </c>
      <c r="CF274">
        <f>BS274*COS(($BH274+9*($BI274-$BH274)/12))</f>
        <v/>
      </c>
      <c r="CG274">
        <f>BT274*COS(($BH274+10*($BI274-$BH274)/12))</f>
        <v/>
      </c>
      <c r="CH274">
        <f>BU274*COS(($BH274+11*($BI274-$BH274)/12))</f>
        <v/>
      </c>
      <c r="CI274">
        <f>BV274*COS(($BH274+12*($BI274-$BH274)/12))</f>
        <v/>
      </c>
    </row>
    <row r="275">
      <c r="B275" s="65" t="n">
        <v>60</v>
      </c>
      <c r="C275" s="66">
        <f>IF($G274&lt;cc_NEd-1E-9*ABS(cc_NEd),($C274+$D274)/2,$C274)</f>
        <v/>
      </c>
      <c r="D275" s="66">
        <f>IF($G274&lt;cc_NEd-1E-9*ABS(cc_NEd),$D274,($C274+$D274)/2)</f>
        <v/>
      </c>
      <c r="E275" s="67">
        <f>cc_D*(($C275+$D275)/2)/(1-(($C275+$D275)/2))</f>
        <v/>
      </c>
      <c r="F275" s="68">
        <f>IF($E275&lt;=cc_D,3.5,2*$E275/($E275-3*cc_D/7))</f>
        <v/>
      </c>
      <c r="G275" s="67">
        <f>(fcd_cc*((cc_D/2)^2*($BI275-COS($BI275)*SIN($BI275))-2*(cc_D/2)^2*($BI275-$BH275)/12/3*SUMPRODUCT($BJ$4:$BV$4,$BJ275:$BV275))+SUMPRODUCT($J$5:$AG$5,$J275:$AG275))/1000</f>
        <v/>
      </c>
      <c r="H275" s="67">
        <f>(fcd_cc*(2/3*(cc_D/2)^3*SIN($BI275)^3-2*(cc_D/2)^3*($BI275-$BH275)/12/3*SUMPRODUCT($BW$4:$CI$4,$BW275:$CI275))+SUMPRODUCT($J$5:$AG$5,$J275:$AG275,$J$13:$AG$13))/1E6</f>
        <v/>
      </c>
      <c r="I275" s="67">
        <f>SUMPRODUCT($J$5:$AG$5,$J275:$AG275,$J$14:$AG$14)/1E6</f>
        <v/>
      </c>
      <c r="J275">
        <f>MAX(-fyd_cc,MIN(fyd_cc,Es_cc*IF($E275&lt;=cc_D,0.0035*($E275-J$12)/$E275,0.002*($E275-J$12)/($E275-3*cc_D/7))))-fcd_cc*(1-(1-MAX(0,MIN(1,IF($E275&lt;=cc_D,0.0035*($E275-J$12)/$E275,0.002*($E275-J$12)/($E275-3*cc_D/7))/0.002)))^2)</f>
        <v/>
      </c>
      <c r="K275">
        <f>MAX(-fyd_cc,MIN(fyd_cc,Es_cc*IF($E275&lt;=cc_D,0.0035*($E275-K$12)/$E275,0.002*($E275-K$12)/($E275-3*cc_D/7))))-fcd_cc*(1-(1-MAX(0,MIN(1,IF($E275&lt;=cc_D,0.0035*($E275-K$12)/$E275,0.002*($E275-K$12)/($E275-3*cc_D/7))/0.002)))^2)</f>
        <v/>
      </c>
      <c r="L275">
        <f>MAX(-fyd_cc,MIN(fyd_cc,Es_cc*IF($E275&lt;=cc_D,0.0035*($E275-L$12)/$E275,0.002*($E275-L$12)/($E275-3*cc_D/7))))-fcd_cc*(1-(1-MAX(0,MIN(1,IF($E275&lt;=cc_D,0.0035*($E275-L$12)/$E275,0.002*($E275-L$12)/($E275-3*cc_D/7))/0.002)))^2)</f>
        <v/>
      </c>
      <c r="M275">
        <f>MAX(-fyd_cc,MIN(fyd_cc,Es_cc*IF($E275&lt;=cc_D,0.0035*($E275-M$12)/$E275,0.002*($E275-M$12)/($E275-3*cc_D/7))))-fcd_cc*(1-(1-MAX(0,MIN(1,IF($E275&lt;=cc_D,0.0035*($E275-M$12)/$E275,0.002*($E275-M$12)/($E275-3*cc_D/7))/0.002)))^2)</f>
        <v/>
      </c>
      <c r="N275">
        <f>MAX(-fyd_cc,MIN(fyd_cc,Es_cc*IF($E275&lt;=cc_D,0.0035*($E275-N$12)/$E275,0.002*($E275-N$12)/($E275-3*cc_D/7))))-fcd_cc*(1-(1-MAX(0,MIN(1,IF($E275&lt;=cc_D,0.0035*($E275-N$12)/$E275,0.002*($E275-N$12)/($E275-3*cc_D/7))/0.002)))^2)</f>
        <v/>
      </c>
      <c r="O275">
        <f>MAX(-fyd_cc,MIN(fyd_cc,Es_cc*IF($E275&lt;=cc_D,0.0035*($E275-O$12)/$E275,0.002*($E275-O$12)/($E275-3*cc_D/7))))-fcd_cc*(1-(1-MAX(0,MIN(1,IF($E275&lt;=cc_D,0.0035*($E275-O$12)/$E275,0.002*($E275-O$12)/($E275-3*cc_D/7))/0.002)))^2)</f>
        <v/>
      </c>
      <c r="P275">
        <f>MAX(-fyd_cc,MIN(fyd_cc,Es_cc*IF($E275&lt;=cc_D,0.0035*($E275-P$12)/$E275,0.002*($E275-P$12)/($E275-3*cc_D/7))))-fcd_cc*(1-(1-MAX(0,MIN(1,IF($E275&lt;=cc_D,0.0035*($E275-P$12)/$E275,0.002*($E275-P$12)/($E275-3*cc_D/7))/0.002)))^2)</f>
        <v/>
      </c>
      <c r="Q275">
        <f>MAX(-fyd_cc,MIN(fyd_cc,Es_cc*IF($E275&lt;=cc_D,0.0035*($E275-Q$12)/$E275,0.002*($E275-Q$12)/($E275-3*cc_D/7))))-fcd_cc*(1-(1-MAX(0,MIN(1,IF($E275&lt;=cc_D,0.0035*($E275-Q$12)/$E275,0.002*($E275-Q$12)/($E275-3*cc_D/7))/0.002)))^2)</f>
        <v/>
      </c>
      <c r="R275">
        <f>MAX(-fyd_cc,MIN(fyd_cc,Es_cc*IF($E275&lt;=cc_D,0.0035*($E275-R$12)/$E275,0.002*($E275-R$12)/($E275-3*cc_D/7))))-fcd_cc*(1-(1-MAX(0,MIN(1,IF($E275&lt;=cc_D,0.0035*($E275-R$12)/$E275,0.002*($E275-R$12)/($E275-3*cc_D/7))/0.002)))^2)</f>
        <v/>
      </c>
      <c r="S275">
        <f>MAX(-fyd_cc,MIN(fyd_cc,Es_cc*IF($E275&lt;=cc_D,0.0035*($E275-S$12)/$E275,0.002*($E275-S$12)/($E275-3*cc_D/7))))-fcd_cc*(1-(1-MAX(0,MIN(1,IF($E275&lt;=cc_D,0.0035*($E275-S$12)/$E275,0.002*($E275-S$12)/($E275-3*cc_D/7))/0.002)))^2)</f>
        <v/>
      </c>
      <c r="T275">
        <f>MAX(-fyd_cc,MIN(fyd_cc,Es_cc*IF($E275&lt;=cc_D,0.0035*($E275-T$12)/$E275,0.002*($E275-T$12)/($E275-3*cc_D/7))))-fcd_cc*(1-(1-MAX(0,MIN(1,IF($E275&lt;=cc_D,0.0035*($E275-T$12)/$E275,0.002*($E275-T$12)/($E275-3*cc_D/7))/0.002)))^2)</f>
        <v/>
      </c>
      <c r="U275">
        <f>MAX(-fyd_cc,MIN(fyd_cc,Es_cc*IF($E275&lt;=cc_D,0.0035*($E275-U$12)/$E275,0.002*($E275-U$12)/($E275-3*cc_D/7))))-fcd_cc*(1-(1-MAX(0,MIN(1,IF($E275&lt;=cc_D,0.0035*($E275-U$12)/$E275,0.002*($E275-U$12)/($E275-3*cc_D/7))/0.002)))^2)</f>
        <v/>
      </c>
      <c r="V275">
        <f>MAX(-fyd_cc,MIN(fyd_cc,Es_cc*IF($E275&lt;=cc_D,0.0035*($E275-V$12)/$E275,0.002*($E275-V$12)/($E275-3*cc_D/7))))-fcd_cc*(1-(1-MAX(0,MIN(1,IF($E275&lt;=cc_D,0.0035*($E275-V$12)/$E275,0.002*($E275-V$12)/($E275-3*cc_D/7))/0.002)))^2)</f>
        <v/>
      </c>
      <c r="W275">
        <f>MAX(-fyd_cc,MIN(fyd_cc,Es_cc*IF($E275&lt;=cc_D,0.0035*($E275-W$12)/$E275,0.002*($E275-W$12)/($E275-3*cc_D/7))))-fcd_cc*(1-(1-MAX(0,MIN(1,IF($E275&lt;=cc_D,0.0035*($E275-W$12)/$E275,0.002*($E275-W$12)/($E275-3*cc_D/7))/0.002)))^2)</f>
        <v/>
      </c>
      <c r="X275">
        <f>MAX(-fyd_cc,MIN(fyd_cc,Es_cc*IF($E275&lt;=cc_D,0.0035*($E275-X$12)/$E275,0.002*($E275-X$12)/($E275-3*cc_D/7))))-fcd_cc*(1-(1-MAX(0,MIN(1,IF($E275&lt;=cc_D,0.0035*($E275-X$12)/$E275,0.002*($E275-X$12)/($E275-3*cc_D/7))/0.002)))^2)</f>
        <v/>
      </c>
      <c r="Y275">
        <f>MAX(-fyd_cc,MIN(fyd_cc,Es_cc*IF($E275&lt;=cc_D,0.0035*($E275-Y$12)/$E275,0.002*($E275-Y$12)/($E275-3*cc_D/7))))-fcd_cc*(1-(1-MAX(0,MIN(1,IF($E275&lt;=cc_D,0.0035*($E275-Y$12)/$E275,0.002*($E275-Y$12)/($E275-3*cc_D/7))/0.002)))^2)</f>
        <v/>
      </c>
      <c r="Z275">
        <f>MAX(-fyd_cc,MIN(fyd_cc,Es_cc*IF($E275&lt;=cc_D,0.0035*($E275-Z$12)/$E275,0.002*($E275-Z$12)/($E275-3*cc_D/7))))-fcd_cc*(1-(1-MAX(0,MIN(1,IF($E275&lt;=cc_D,0.0035*($E275-Z$12)/$E275,0.002*($E275-Z$12)/($E275-3*cc_D/7))/0.002)))^2)</f>
        <v/>
      </c>
      <c r="AA275">
        <f>MAX(-fyd_cc,MIN(fyd_cc,Es_cc*IF($E275&lt;=cc_D,0.0035*($E275-AA$12)/$E275,0.002*($E275-AA$12)/($E275-3*cc_D/7))))-fcd_cc*(1-(1-MAX(0,MIN(1,IF($E275&lt;=cc_D,0.0035*($E275-AA$12)/$E275,0.002*($E275-AA$12)/($E275-3*cc_D/7))/0.002)))^2)</f>
        <v/>
      </c>
      <c r="AB275">
        <f>MAX(-fyd_cc,MIN(fyd_cc,Es_cc*IF($E275&lt;=cc_D,0.0035*($E275-AB$12)/$E275,0.002*($E275-AB$12)/($E275-3*cc_D/7))))-fcd_cc*(1-(1-MAX(0,MIN(1,IF($E275&lt;=cc_D,0.0035*($E275-AB$12)/$E275,0.002*($E275-AB$12)/($E275-3*cc_D/7))/0.002)))^2)</f>
        <v/>
      </c>
      <c r="AC275">
        <f>MAX(-fyd_cc,MIN(fyd_cc,Es_cc*IF($E275&lt;=cc_D,0.0035*($E275-AC$12)/$E275,0.002*($E275-AC$12)/($E275-3*cc_D/7))))-fcd_cc*(1-(1-MAX(0,MIN(1,IF($E275&lt;=cc_D,0.0035*($E275-AC$12)/$E275,0.002*($E275-AC$12)/($E275-3*cc_D/7))/0.002)))^2)</f>
        <v/>
      </c>
      <c r="AD275">
        <f>MAX(-fyd_cc,MIN(fyd_cc,Es_cc*IF($E275&lt;=cc_D,0.0035*($E275-AD$12)/$E275,0.002*($E275-AD$12)/($E275-3*cc_D/7))))-fcd_cc*(1-(1-MAX(0,MIN(1,IF($E275&lt;=cc_D,0.0035*($E275-AD$12)/$E275,0.002*($E275-AD$12)/($E275-3*cc_D/7))/0.002)))^2)</f>
        <v/>
      </c>
      <c r="AE275">
        <f>MAX(-fyd_cc,MIN(fyd_cc,Es_cc*IF($E275&lt;=cc_D,0.0035*($E275-AE$12)/$E275,0.002*($E275-AE$12)/($E275-3*cc_D/7))))-fcd_cc*(1-(1-MAX(0,MIN(1,IF($E275&lt;=cc_D,0.0035*($E275-AE$12)/$E275,0.002*($E275-AE$12)/($E275-3*cc_D/7))/0.002)))^2)</f>
        <v/>
      </c>
      <c r="AF275">
        <f>MAX(-fyd_cc,MIN(fyd_cc,Es_cc*IF($E275&lt;=cc_D,0.0035*($E275-AF$12)/$E275,0.002*($E275-AF$12)/($E275-3*cc_D/7))))-fcd_cc*(1-(1-MAX(0,MIN(1,IF($E275&lt;=cc_D,0.0035*($E275-AF$12)/$E275,0.002*($E275-AF$12)/($E275-3*cc_D/7))/0.002)))^2)</f>
        <v/>
      </c>
      <c r="AG275">
        <f>MAX(-fyd_cc,MIN(fyd_cc,Es_cc*IF($E275&lt;=cc_D,0.0035*($E275-AG$12)/$E275,0.002*($E275-AG$12)/($E275-3*cc_D/7))))-fcd_cc*(1-(1-MAX(0,MIN(1,IF($E275&lt;=cc_D,0.0035*($E275-AG$12)/$E275,0.002*($E275-AG$12)/($E275-3*cc_D/7))/0.002)))^2)</f>
        <v/>
      </c>
      <c r="BF275">
        <f>3*MIN($E275,cc_D)/7</f>
        <v/>
      </c>
      <c r="BG275">
        <f>$E275-$BF275</f>
        <v/>
      </c>
      <c r="BH275">
        <f>ACOS(MAX(-1,MIN(1,1-$BF275/(cc_D/2))))</f>
        <v/>
      </c>
      <c r="BI275">
        <f>ACOS(MAX(-1,MIN(1,1-MIN($E275,cc_D)/(cc_D/2))))</f>
        <v/>
      </c>
      <c r="BJ275">
        <f>((cc_D/2*(1-COS(($BH275+0*($BI275-$BH275)/12)))-$BF275)/$BG275)^2*SIN(($BH275+0*($BI275-$BH275)/12))^2</f>
        <v/>
      </c>
      <c r="BK275">
        <f>((cc_D/2*(1-COS(($BH275+1*($BI275-$BH275)/12)))-$BF275)/$BG275)^2*SIN(($BH275+1*($BI275-$BH275)/12))^2</f>
        <v/>
      </c>
      <c r="BL275">
        <f>((cc_D/2*(1-COS(($BH275+2*($BI275-$BH275)/12)))-$BF275)/$BG275)^2*SIN(($BH275+2*($BI275-$BH275)/12))^2</f>
        <v/>
      </c>
      <c r="BM275">
        <f>((cc_D/2*(1-COS(($BH275+3*($BI275-$BH275)/12)))-$BF275)/$BG275)^2*SIN(($BH275+3*($BI275-$BH275)/12))^2</f>
        <v/>
      </c>
      <c r="BN275">
        <f>((cc_D/2*(1-COS(($BH275+4*($BI275-$BH275)/12)))-$BF275)/$BG275)^2*SIN(($BH275+4*($BI275-$BH275)/12))^2</f>
        <v/>
      </c>
      <c r="BO275">
        <f>((cc_D/2*(1-COS(($BH275+5*($BI275-$BH275)/12)))-$BF275)/$BG275)^2*SIN(($BH275+5*($BI275-$BH275)/12))^2</f>
        <v/>
      </c>
      <c r="BP275">
        <f>((cc_D/2*(1-COS(($BH275+6*($BI275-$BH275)/12)))-$BF275)/$BG275)^2*SIN(($BH275+6*($BI275-$BH275)/12))^2</f>
        <v/>
      </c>
      <c r="BQ275">
        <f>((cc_D/2*(1-COS(($BH275+7*($BI275-$BH275)/12)))-$BF275)/$BG275)^2*SIN(($BH275+7*($BI275-$BH275)/12))^2</f>
        <v/>
      </c>
      <c r="BR275">
        <f>((cc_D/2*(1-COS(($BH275+8*($BI275-$BH275)/12)))-$BF275)/$BG275)^2*SIN(($BH275+8*($BI275-$BH275)/12))^2</f>
        <v/>
      </c>
      <c r="BS275">
        <f>((cc_D/2*(1-COS(($BH275+9*($BI275-$BH275)/12)))-$BF275)/$BG275)^2*SIN(($BH275+9*($BI275-$BH275)/12))^2</f>
        <v/>
      </c>
      <c r="BT275">
        <f>((cc_D/2*(1-COS(($BH275+10*($BI275-$BH275)/12)))-$BF275)/$BG275)^2*SIN(($BH275+10*($BI275-$BH275)/12))^2</f>
        <v/>
      </c>
      <c r="BU275">
        <f>((cc_D/2*(1-COS(($BH275+11*($BI275-$BH275)/12)))-$BF275)/$BG275)^2*SIN(($BH275+11*($BI275-$BH275)/12))^2</f>
        <v/>
      </c>
      <c r="BV275">
        <f>((cc_D/2*(1-COS(($BH275+12*($BI275-$BH275)/12)))-$BF275)/$BG275)^2*SIN(($BH275+12*($BI275-$BH275)/12))^2</f>
        <v/>
      </c>
      <c r="BW275">
        <f>BJ275*COS(($BH275+0*($BI275-$BH275)/12))</f>
        <v/>
      </c>
      <c r="BX275">
        <f>BK275*COS(($BH275+1*($BI275-$BH275)/12))</f>
        <v/>
      </c>
      <c r="BY275">
        <f>BL275*COS(($BH275+2*($BI275-$BH275)/12))</f>
        <v/>
      </c>
      <c r="BZ275">
        <f>BM275*COS(($BH275+3*($BI275-$BH275)/12))</f>
        <v/>
      </c>
      <c r="CA275">
        <f>BN275*COS(($BH275+4*($BI275-$BH275)/12))</f>
        <v/>
      </c>
      <c r="CB275">
        <f>BO275*COS(($BH275+5*($BI275-$BH275)/12))</f>
        <v/>
      </c>
      <c r="CC275">
        <f>BP275*COS(($BH275+6*($BI275-$BH275)/12))</f>
        <v/>
      </c>
      <c r="CD275">
        <f>BQ275*COS(($BH275+7*($BI275-$BH275)/12))</f>
        <v/>
      </c>
      <c r="CE275">
        <f>BR275*COS(($BH275+8*($BI275-$BH275)/12))</f>
        <v/>
      </c>
      <c r="CF275">
        <f>BS275*COS(($BH275+9*($BI275-$BH275)/12))</f>
        <v/>
      </c>
      <c r="CG275">
        <f>BT275*COS(($BH275+10*($BI275-$BH275)/12))</f>
        <v/>
      </c>
      <c r="CH275">
        <f>BU275*COS(($BH275+11*($BI275-$BH275)/12))</f>
        <v/>
      </c>
      <c r="CI275">
        <f>BV275*COS(($BH275+12*($BI275-$BH275)/12))</f>
        <v/>
      </c>
    </row>
    <row r="277">
      <c r="B277" s="59" t="inlineStr">
        <is>
          <t>Orientation Q3  ·  turned by 0.75 π/n</t>
        </is>
      </c>
    </row>
    <row r="278">
      <c r="B278" s="52" t="inlineStr">
        <is>
          <t>step</t>
        </is>
      </c>
      <c r="C278" s="52" t="inlineStr">
        <is>
          <t>u low</t>
        </is>
      </c>
      <c r="D278" s="52" t="inlineStr">
        <is>
          <t>u high</t>
        </is>
      </c>
      <c r="E278" s="52" t="inlineStr">
        <is>
          <t>x (mm)</t>
        </is>
      </c>
      <c r="F278" s="52" t="inlineStr">
        <is>
          <t>εc top (‰)</t>
        </is>
      </c>
      <c r="G278" s="52" t="inlineStr">
        <is>
          <t>N (kN)</t>
        </is>
      </c>
      <c r="H278" s="52" t="inlineStr">
        <is>
          <t>M (kNm)</t>
        </is>
      </c>
      <c r="I278" s="52" t="inlineStr">
        <is>
          <t>M⊥ (kNm)</t>
        </is>
      </c>
    </row>
    <row r="279">
      <c r="B279" s="65" t="n">
        <v>1</v>
      </c>
      <c r="C279" s="66" t="n">
        <v>0</v>
      </c>
      <c r="D279" s="66">
        <f>1-1E-12</f>
        <v/>
      </c>
      <c r="E279" s="67">
        <f>cc_D*(($C279+$D279)/2)/(1-(($C279+$D279)/2))</f>
        <v/>
      </c>
      <c r="F279" s="68">
        <f>IF($E279&lt;=cc_D,3.5,2*$E279/($E279-3*cc_D/7))</f>
        <v/>
      </c>
      <c r="G279" s="67">
        <f>(fcd_cc*((cc_D/2)^2*($BI279-COS($BI279)*SIN($BI279))-2*(cc_D/2)^2*($BI279-$BH279)/12/3*SUMPRODUCT($BJ$4:$BV$4,$BJ279:$BV279))+SUMPRODUCT($J$5:$AG$5,$J279:$AG279))/1000</f>
        <v/>
      </c>
      <c r="H279" s="67">
        <f>(fcd_cc*(2/3*(cc_D/2)^3*SIN($BI279)^3-2*(cc_D/2)^3*($BI279-$BH279)/12/3*SUMPRODUCT($BW$4:$CI$4,$BW279:$CI279))+SUMPRODUCT($J$5:$AG$5,$J279:$AG279,$J$16:$AG$16))/1E6</f>
        <v/>
      </c>
      <c r="I279" s="67">
        <f>SUMPRODUCT($J$5:$AG$5,$J279:$AG279,$J$17:$AG$17)/1E6</f>
        <v/>
      </c>
      <c r="J279">
        <f>MAX(-fyd_cc,MIN(fyd_cc,Es_cc*IF($E279&lt;=cc_D,0.0035*($E279-J$15)/$E279,0.002*($E279-J$15)/($E279-3*cc_D/7))))-fcd_cc*(1-(1-MAX(0,MIN(1,IF($E279&lt;=cc_D,0.0035*($E279-J$15)/$E279,0.002*($E279-J$15)/($E279-3*cc_D/7))/0.002)))^2)</f>
        <v/>
      </c>
      <c r="K279">
        <f>MAX(-fyd_cc,MIN(fyd_cc,Es_cc*IF($E279&lt;=cc_D,0.0035*($E279-K$15)/$E279,0.002*($E279-K$15)/($E279-3*cc_D/7))))-fcd_cc*(1-(1-MAX(0,MIN(1,IF($E279&lt;=cc_D,0.0035*($E279-K$15)/$E279,0.002*($E279-K$15)/($E279-3*cc_D/7))/0.002)))^2)</f>
        <v/>
      </c>
      <c r="L279">
        <f>MAX(-fyd_cc,MIN(fyd_cc,Es_cc*IF($E279&lt;=cc_D,0.0035*($E279-L$15)/$E279,0.002*($E279-L$15)/($E279-3*cc_D/7))))-fcd_cc*(1-(1-MAX(0,MIN(1,IF($E279&lt;=cc_D,0.0035*($E279-L$15)/$E279,0.002*($E279-L$15)/($E279-3*cc_D/7))/0.002)))^2)</f>
        <v/>
      </c>
      <c r="M279">
        <f>MAX(-fyd_cc,MIN(fyd_cc,Es_cc*IF($E279&lt;=cc_D,0.0035*($E279-M$15)/$E279,0.002*($E279-M$15)/($E279-3*cc_D/7))))-fcd_cc*(1-(1-MAX(0,MIN(1,IF($E279&lt;=cc_D,0.0035*($E279-M$15)/$E279,0.002*($E279-M$15)/($E279-3*cc_D/7))/0.002)))^2)</f>
        <v/>
      </c>
      <c r="N279">
        <f>MAX(-fyd_cc,MIN(fyd_cc,Es_cc*IF($E279&lt;=cc_D,0.0035*($E279-N$15)/$E279,0.002*($E279-N$15)/($E279-3*cc_D/7))))-fcd_cc*(1-(1-MAX(0,MIN(1,IF($E279&lt;=cc_D,0.0035*($E279-N$15)/$E279,0.002*($E279-N$15)/($E279-3*cc_D/7))/0.002)))^2)</f>
        <v/>
      </c>
      <c r="O279">
        <f>MAX(-fyd_cc,MIN(fyd_cc,Es_cc*IF($E279&lt;=cc_D,0.0035*($E279-O$15)/$E279,0.002*($E279-O$15)/($E279-3*cc_D/7))))-fcd_cc*(1-(1-MAX(0,MIN(1,IF($E279&lt;=cc_D,0.0035*($E279-O$15)/$E279,0.002*($E279-O$15)/($E279-3*cc_D/7))/0.002)))^2)</f>
        <v/>
      </c>
      <c r="P279">
        <f>MAX(-fyd_cc,MIN(fyd_cc,Es_cc*IF($E279&lt;=cc_D,0.0035*($E279-P$15)/$E279,0.002*($E279-P$15)/($E279-3*cc_D/7))))-fcd_cc*(1-(1-MAX(0,MIN(1,IF($E279&lt;=cc_D,0.0035*($E279-P$15)/$E279,0.002*($E279-P$15)/($E279-3*cc_D/7))/0.002)))^2)</f>
        <v/>
      </c>
      <c r="Q279">
        <f>MAX(-fyd_cc,MIN(fyd_cc,Es_cc*IF($E279&lt;=cc_D,0.0035*($E279-Q$15)/$E279,0.002*($E279-Q$15)/($E279-3*cc_D/7))))-fcd_cc*(1-(1-MAX(0,MIN(1,IF($E279&lt;=cc_D,0.0035*($E279-Q$15)/$E279,0.002*($E279-Q$15)/($E279-3*cc_D/7))/0.002)))^2)</f>
        <v/>
      </c>
      <c r="R279">
        <f>MAX(-fyd_cc,MIN(fyd_cc,Es_cc*IF($E279&lt;=cc_D,0.0035*($E279-R$15)/$E279,0.002*($E279-R$15)/($E279-3*cc_D/7))))-fcd_cc*(1-(1-MAX(0,MIN(1,IF($E279&lt;=cc_D,0.0035*($E279-R$15)/$E279,0.002*($E279-R$15)/($E279-3*cc_D/7))/0.002)))^2)</f>
        <v/>
      </c>
      <c r="S279">
        <f>MAX(-fyd_cc,MIN(fyd_cc,Es_cc*IF($E279&lt;=cc_D,0.0035*($E279-S$15)/$E279,0.002*($E279-S$15)/($E279-3*cc_D/7))))-fcd_cc*(1-(1-MAX(0,MIN(1,IF($E279&lt;=cc_D,0.0035*($E279-S$15)/$E279,0.002*($E279-S$15)/($E279-3*cc_D/7))/0.002)))^2)</f>
        <v/>
      </c>
      <c r="T279">
        <f>MAX(-fyd_cc,MIN(fyd_cc,Es_cc*IF($E279&lt;=cc_D,0.0035*($E279-T$15)/$E279,0.002*($E279-T$15)/($E279-3*cc_D/7))))-fcd_cc*(1-(1-MAX(0,MIN(1,IF($E279&lt;=cc_D,0.0035*($E279-T$15)/$E279,0.002*($E279-T$15)/($E279-3*cc_D/7))/0.002)))^2)</f>
        <v/>
      </c>
      <c r="U279">
        <f>MAX(-fyd_cc,MIN(fyd_cc,Es_cc*IF($E279&lt;=cc_D,0.0035*($E279-U$15)/$E279,0.002*($E279-U$15)/($E279-3*cc_D/7))))-fcd_cc*(1-(1-MAX(0,MIN(1,IF($E279&lt;=cc_D,0.0035*($E279-U$15)/$E279,0.002*($E279-U$15)/($E279-3*cc_D/7))/0.002)))^2)</f>
        <v/>
      </c>
      <c r="V279">
        <f>MAX(-fyd_cc,MIN(fyd_cc,Es_cc*IF($E279&lt;=cc_D,0.0035*($E279-V$15)/$E279,0.002*($E279-V$15)/($E279-3*cc_D/7))))-fcd_cc*(1-(1-MAX(0,MIN(1,IF($E279&lt;=cc_D,0.0035*($E279-V$15)/$E279,0.002*($E279-V$15)/($E279-3*cc_D/7))/0.002)))^2)</f>
        <v/>
      </c>
      <c r="W279">
        <f>MAX(-fyd_cc,MIN(fyd_cc,Es_cc*IF($E279&lt;=cc_D,0.0035*($E279-W$15)/$E279,0.002*($E279-W$15)/($E279-3*cc_D/7))))-fcd_cc*(1-(1-MAX(0,MIN(1,IF($E279&lt;=cc_D,0.0035*($E279-W$15)/$E279,0.002*($E279-W$15)/($E279-3*cc_D/7))/0.002)))^2)</f>
        <v/>
      </c>
      <c r="X279">
        <f>MAX(-fyd_cc,MIN(fyd_cc,Es_cc*IF($E279&lt;=cc_D,0.0035*($E279-X$15)/$E279,0.002*($E279-X$15)/($E279-3*cc_D/7))))-fcd_cc*(1-(1-MAX(0,MIN(1,IF($E279&lt;=cc_D,0.0035*($E279-X$15)/$E279,0.002*($E279-X$15)/($E279-3*cc_D/7))/0.002)))^2)</f>
        <v/>
      </c>
      <c r="Y279">
        <f>MAX(-fyd_cc,MIN(fyd_cc,Es_cc*IF($E279&lt;=cc_D,0.0035*($E279-Y$15)/$E279,0.002*($E279-Y$15)/($E279-3*cc_D/7))))-fcd_cc*(1-(1-MAX(0,MIN(1,IF($E279&lt;=cc_D,0.0035*($E279-Y$15)/$E279,0.002*($E279-Y$15)/($E279-3*cc_D/7))/0.002)))^2)</f>
        <v/>
      </c>
      <c r="Z279">
        <f>MAX(-fyd_cc,MIN(fyd_cc,Es_cc*IF($E279&lt;=cc_D,0.0035*($E279-Z$15)/$E279,0.002*($E279-Z$15)/($E279-3*cc_D/7))))-fcd_cc*(1-(1-MAX(0,MIN(1,IF($E279&lt;=cc_D,0.0035*($E279-Z$15)/$E279,0.002*($E279-Z$15)/($E279-3*cc_D/7))/0.002)))^2)</f>
        <v/>
      </c>
      <c r="AA279">
        <f>MAX(-fyd_cc,MIN(fyd_cc,Es_cc*IF($E279&lt;=cc_D,0.0035*($E279-AA$15)/$E279,0.002*($E279-AA$15)/($E279-3*cc_D/7))))-fcd_cc*(1-(1-MAX(0,MIN(1,IF($E279&lt;=cc_D,0.0035*($E279-AA$15)/$E279,0.002*($E279-AA$15)/($E279-3*cc_D/7))/0.002)))^2)</f>
        <v/>
      </c>
      <c r="AB279">
        <f>MAX(-fyd_cc,MIN(fyd_cc,Es_cc*IF($E279&lt;=cc_D,0.0035*($E279-AB$15)/$E279,0.002*($E279-AB$15)/($E279-3*cc_D/7))))-fcd_cc*(1-(1-MAX(0,MIN(1,IF($E279&lt;=cc_D,0.0035*($E279-AB$15)/$E279,0.002*($E279-AB$15)/($E279-3*cc_D/7))/0.002)))^2)</f>
        <v/>
      </c>
      <c r="AC279">
        <f>MAX(-fyd_cc,MIN(fyd_cc,Es_cc*IF($E279&lt;=cc_D,0.0035*($E279-AC$15)/$E279,0.002*($E279-AC$15)/($E279-3*cc_D/7))))-fcd_cc*(1-(1-MAX(0,MIN(1,IF($E279&lt;=cc_D,0.0035*($E279-AC$15)/$E279,0.002*($E279-AC$15)/($E279-3*cc_D/7))/0.002)))^2)</f>
        <v/>
      </c>
      <c r="AD279">
        <f>MAX(-fyd_cc,MIN(fyd_cc,Es_cc*IF($E279&lt;=cc_D,0.0035*($E279-AD$15)/$E279,0.002*($E279-AD$15)/($E279-3*cc_D/7))))-fcd_cc*(1-(1-MAX(0,MIN(1,IF($E279&lt;=cc_D,0.0035*($E279-AD$15)/$E279,0.002*($E279-AD$15)/($E279-3*cc_D/7))/0.002)))^2)</f>
        <v/>
      </c>
      <c r="AE279">
        <f>MAX(-fyd_cc,MIN(fyd_cc,Es_cc*IF($E279&lt;=cc_D,0.0035*($E279-AE$15)/$E279,0.002*($E279-AE$15)/($E279-3*cc_D/7))))-fcd_cc*(1-(1-MAX(0,MIN(1,IF($E279&lt;=cc_D,0.0035*($E279-AE$15)/$E279,0.002*($E279-AE$15)/($E279-3*cc_D/7))/0.002)))^2)</f>
        <v/>
      </c>
      <c r="AF279">
        <f>MAX(-fyd_cc,MIN(fyd_cc,Es_cc*IF($E279&lt;=cc_D,0.0035*($E279-AF$15)/$E279,0.002*($E279-AF$15)/($E279-3*cc_D/7))))-fcd_cc*(1-(1-MAX(0,MIN(1,IF($E279&lt;=cc_D,0.0035*($E279-AF$15)/$E279,0.002*($E279-AF$15)/($E279-3*cc_D/7))/0.002)))^2)</f>
        <v/>
      </c>
      <c r="AG279">
        <f>MAX(-fyd_cc,MIN(fyd_cc,Es_cc*IF($E279&lt;=cc_D,0.0035*($E279-AG$15)/$E279,0.002*($E279-AG$15)/($E279-3*cc_D/7))))-fcd_cc*(1-(1-MAX(0,MIN(1,IF($E279&lt;=cc_D,0.0035*($E279-AG$15)/$E279,0.002*($E279-AG$15)/($E279-3*cc_D/7))/0.002)))^2)</f>
        <v/>
      </c>
      <c r="BF279">
        <f>3*MIN($E279,cc_D)/7</f>
        <v/>
      </c>
      <c r="BG279">
        <f>$E279-$BF279</f>
        <v/>
      </c>
      <c r="BH279">
        <f>ACOS(MAX(-1,MIN(1,1-$BF279/(cc_D/2))))</f>
        <v/>
      </c>
      <c r="BI279">
        <f>ACOS(MAX(-1,MIN(1,1-MIN($E279,cc_D)/(cc_D/2))))</f>
        <v/>
      </c>
      <c r="BJ279">
        <f>((cc_D/2*(1-COS(($BH279+0*($BI279-$BH279)/12)))-$BF279)/$BG279)^2*SIN(($BH279+0*($BI279-$BH279)/12))^2</f>
        <v/>
      </c>
      <c r="BK279">
        <f>((cc_D/2*(1-COS(($BH279+1*($BI279-$BH279)/12)))-$BF279)/$BG279)^2*SIN(($BH279+1*($BI279-$BH279)/12))^2</f>
        <v/>
      </c>
      <c r="BL279">
        <f>((cc_D/2*(1-COS(($BH279+2*($BI279-$BH279)/12)))-$BF279)/$BG279)^2*SIN(($BH279+2*($BI279-$BH279)/12))^2</f>
        <v/>
      </c>
      <c r="BM279">
        <f>((cc_D/2*(1-COS(($BH279+3*($BI279-$BH279)/12)))-$BF279)/$BG279)^2*SIN(($BH279+3*($BI279-$BH279)/12))^2</f>
        <v/>
      </c>
      <c r="BN279">
        <f>((cc_D/2*(1-COS(($BH279+4*($BI279-$BH279)/12)))-$BF279)/$BG279)^2*SIN(($BH279+4*($BI279-$BH279)/12))^2</f>
        <v/>
      </c>
      <c r="BO279">
        <f>((cc_D/2*(1-COS(($BH279+5*($BI279-$BH279)/12)))-$BF279)/$BG279)^2*SIN(($BH279+5*($BI279-$BH279)/12))^2</f>
        <v/>
      </c>
      <c r="BP279">
        <f>((cc_D/2*(1-COS(($BH279+6*($BI279-$BH279)/12)))-$BF279)/$BG279)^2*SIN(($BH279+6*($BI279-$BH279)/12))^2</f>
        <v/>
      </c>
      <c r="BQ279">
        <f>((cc_D/2*(1-COS(($BH279+7*($BI279-$BH279)/12)))-$BF279)/$BG279)^2*SIN(($BH279+7*($BI279-$BH279)/12))^2</f>
        <v/>
      </c>
      <c r="BR279">
        <f>((cc_D/2*(1-COS(($BH279+8*($BI279-$BH279)/12)))-$BF279)/$BG279)^2*SIN(($BH279+8*($BI279-$BH279)/12))^2</f>
        <v/>
      </c>
      <c r="BS279">
        <f>((cc_D/2*(1-COS(($BH279+9*($BI279-$BH279)/12)))-$BF279)/$BG279)^2*SIN(($BH279+9*($BI279-$BH279)/12))^2</f>
        <v/>
      </c>
      <c r="BT279">
        <f>((cc_D/2*(1-COS(($BH279+10*($BI279-$BH279)/12)))-$BF279)/$BG279)^2*SIN(($BH279+10*($BI279-$BH279)/12))^2</f>
        <v/>
      </c>
      <c r="BU279">
        <f>((cc_D/2*(1-COS(($BH279+11*($BI279-$BH279)/12)))-$BF279)/$BG279)^2*SIN(($BH279+11*($BI279-$BH279)/12))^2</f>
        <v/>
      </c>
      <c r="BV279">
        <f>((cc_D/2*(1-COS(($BH279+12*($BI279-$BH279)/12)))-$BF279)/$BG279)^2*SIN(($BH279+12*($BI279-$BH279)/12))^2</f>
        <v/>
      </c>
      <c r="BW279">
        <f>BJ279*COS(($BH279+0*($BI279-$BH279)/12))</f>
        <v/>
      </c>
      <c r="BX279">
        <f>BK279*COS(($BH279+1*($BI279-$BH279)/12))</f>
        <v/>
      </c>
      <c r="BY279">
        <f>BL279*COS(($BH279+2*($BI279-$BH279)/12))</f>
        <v/>
      </c>
      <c r="BZ279">
        <f>BM279*COS(($BH279+3*($BI279-$BH279)/12))</f>
        <v/>
      </c>
      <c r="CA279">
        <f>BN279*COS(($BH279+4*($BI279-$BH279)/12))</f>
        <v/>
      </c>
      <c r="CB279">
        <f>BO279*COS(($BH279+5*($BI279-$BH279)/12))</f>
        <v/>
      </c>
      <c r="CC279">
        <f>BP279*COS(($BH279+6*($BI279-$BH279)/12))</f>
        <v/>
      </c>
      <c r="CD279">
        <f>BQ279*COS(($BH279+7*($BI279-$BH279)/12))</f>
        <v/>
      </c>
      <c r="CE279">
        <f>BR279*COS(($BH279+8*($BI279-$BH279)/12))</f>
        <v/>
      </c>
      <c r="CF279">
        <f>BS279*COS(($BH279+9*($BI279-$BH279)/12))</f>
        <v/>
      </c>
      <c r="CG279">
        <f>BT279*COS(($BH279+10*($BI279-$BH279)/12))</f>
        <v/>
      </c>
      <c r="CH279">
        <f>BU279*COS(($BH279+11*($BI279-$BH279)/12))</f>
        <v/>
      </c>
      <c r="CI279">
        <f>BV279*COS(($BH279+12*($BI279-$BH279)/12))</f>
        <v/>
      </c>
    </row>
    <row r="280">
      <c r="B280" s="65" t="n">
        <v>2</v>
      </c>
      <c r="C280" s="66">
        <f>IF($G279&lt;cc_NEd-1E-9*ABS(cc_NEd),($C279+$D279)/2,$C279)</f>
        <v/>
      </c>
      <c r="D280" s="66">
        <f>IF($G279&lt;cc_NEd-1E-9*ABS(cc_NEd),$D279,($C279+$D279)/2)</f>
        <v/>
      </c>
      <c r="E280" s="67">
        <f>cc_D*(($C280+$D280)/2)/(1-(($C280+$D280)/2))</f>
        <v/>
      </c>
      <c r="F280" s="68">
        <f>IF($E280&lt;=cc_D,3.5,2*$E280/($E280-3*cc_D/7))</f>
        <v/>
      </c>
      <c r="G280" s="67">
        <f>(fcd_cc*((cc_D/2)^2*($BI280-COS($BI280)*SIN($BI280))-2*(cc_D/2)^2*($BI280-$BH280)/12/3*SUMPRODUCT($BJ$4:$BV$4,$BJ280:$BV280))+SUMPRODUCT($J$5:$AG$5,$J280:$AG280))/1000</f>
        <v/>
      </c>
      <c r="H280" s="67">
        <f>(fcd_cc*(2/3*(cc_D/2)^3*SIN($BI280)^3-2*(cc_D/2)^3*($BI280-$BH280)/12/3*SUMPRODUCT($BW$4:$CI$4,$BW280:$CI280))+SUMPRODUCT($J$5:$AG$5,$J280:$AG280,$J$16:$AG$16))/1E6</f>
        <v/>
      </c>
      <c r="I280" s="67">
        <f>SUMPRODUCT($J$5:$AG$5,$J280:$AG280,$J$17:$AG$17)/1E6</f>
        <v/>
      </c>
      <c r="J280">
        <f>MAX(-fyd_cc,MIN(fyd_cc,Es_cc*IF($E280&lt;=cc_D,0.0035*($E280-J$15)/$E280,0.002*($E280-J$15)/($E280-3*cc_D/7))))-fcd_cc*(1-(1-MAX(0,MIN(1,IF($E280&lt;=cc_D,0.0035*($E280-J$15)/$E280,0.002*($E280-J$15)/($E280-3*cc_D/7))/0.002)))^2)</f>
        <v/>
      </c>
      <c r="K280">
        <f>MAX(-fyd_cc,MIN(fyd_cc,Es_cc*IF($E280&lt;=cc_D,0.0035*($E280-K$15)/$E280,0.002*($E280-K$15)/($E280-3*cc_D/7))))-fcd_cc*(1-(1-MAX(0,MIN(1,IF($E280&lt;=cc_D,0.0035*($E280-K$15)/$E280,0.002*($E280-K$15)/($E280-3*cc_D/7))/0.002)))^2)</f>
        <v/>
      </c>
      <c r="L280">
        <f>MAX(-fyd_cc,MIN(fyd_cc,Es_cc*IF($E280&lt;=cc_D,0.0035*($E280-L$15)/$E280,0.002*($E280-L$15)/($E280-3*cc_D/7))))-fcd_cc*(1-(1-MAX(0,MIN(1,IF($E280&lt;=cc_D,0.0035*($E280-L$15)/$E280,0.002*($E280-L$15)/($E280-3*cc_D/7))/0.002)))^2)</f>
        <v/>
      </c>
      <c r="M280">
        <f>MAX(-fyd_cc,MIN(fyd_cc,Es_cc*IF($E280&lt;=cc_D,0.0035*($E280-M$15)/$E280,0.002*($E280-M$15)/($E280-3*cc_D/7))))-fcd_cc*(1-(1-MAX(0,MIN(1,IF($E280&lt;=cc_D,0.0035*($E280-M$15)/$E280,0.002*($E280-M$15)/($E280-3*cc_D/7))/0.002)))^2)</f>
        <v/>
      </c>
      <c r="N280">
        <f>MAX(-fyd_cc,MIN(fyd_cc,Es_cc*IF($E280&lt;=cc_D,0.0035*($E280-N$15)/$E280,0.002*($E280-N$15)/($E280-3*cc_D/7))))-fcd_cc*(1-(1-MAX(0,MIN(1,IF($E280&lt;=cc_D,0.0035*($E280-N$15)/$E280,0.002*($E280-N$15)/($E280-3*cc_D/7))/0.002)))^2)</f>
        <v/>
      </c>
      <c r="O280">
        <f>MAX(-fyd_cc,MIN(fyd_cc,Es_cc*IF($E280&lt;=cc_D,0.0035*($E280-O$15)/$E280,0.002*($E280-O$15)/($E280-3*cc_D/7))))-fcd_cc*(1-(1-MAX(0,MIN(1,IF($E280&lt;=cc_D,0.0035*($E280-O$15)/$E280,0.002*($E280-O$15)/($E280-3*cc_D/7))/0.002)))^2)</f>
        <v/>
      </c>
      <c r="P280">
        <f>MAX(-fyd_cc,MIN(fyd_cc,Es_cc*IF($E280&lt;=cc_D,0.0035*($E280-P$15)/$E280,0.002*($E280-P$15)/($E280-3*cc_D/7))))-fcd_cc*(1-(1-MAX(0,MIN(1,IF($E280&lt;=cc_D,0.0035*($E280-P$15)/$E280,0.002*($E280-P$15)/($E280-3*cc_D/7))/0.002)))^2)</f>
        <v/>
      </c>
      <c r="Q280">
        <f>MAX(-fyd_cc,MIN(fyd_cc,Es_cc*IF($E280&lt;=cc_D,0.0035*($E280-Q$15)/$E280,0.002*($E280-Q$15)/($E280-3*cc_D/7))))-fcd_cc*(1-(1-MAX(0,MIN(1,IF($E280&lt;=cc_D,0.0035*($E280-Q$15)/$E280,0.002*($E280-Q$15)/($E280-3*cc_D/7))/0.002)))^2)</f>
        <v/>
      </c>
      <c r="R280">
        <f>MAX(-fyd_cc,MIN(fyd_cc,Es_cc*IF($E280&lt;=cc_D,0.0035*($E280-R$15)/$E280,0.002*($E280-R$15)/($E280-3*cc_D/7))))-fcd_cc*(1-(1-MAX(0,MIN(1,IF($E280&lt;=cc_D,0.0035*($E280-R$15)/$E280,0.002*($E280-R$15)/($E280-3*cc_D/7))/0.002)))^2)</f>
        <v/>
      </c>
      <c r="S280">
        <f>MAX(-fyd_cc,MIN(fyd_cc,Es_cc*IF($E280&lt;=cc_D,0.0035*($E280-S$15)/$E280,0.002*($E280-S$15)/($E280-3*cc_D/7))))-fcd_cc*(1-(1-MAX(0,MIN(1,IF($E280&lt;=cc_D,0.0035*($E280-S$15)/$E280,0.002*($E280-S$15)/($E280-3*cc_D/7))/0.002)))^2)</f>
        <v/>
      </c>
      <c r="T280">
        <f>MAX(-fyd_cc,MIN(fyd_cc,Es_cc*IF($E280&lt;=cc_D,0.0035*($E280-T$15)/$E280,0.002*($E280-T$15)/($E280-3*cc_D/7))))-fcd_cc*(1-(1-MAX(0,MIN(1,IF($E280&lt;=cc_D,0.0035*($E280-T$15)/$E280,0.002*($E280-T$15)/($E280-3*cc_D/7))/0.002)))^2)</f>
        <v/>
      </c>
      <c r="U280">
        <f>MAX(-fyd_cc,MIN(fyd_cc,Es_cc*IF($E280&lt;=cc_D,0.0035*($E280-U$15)/$E280,0.002*($E280-U$15)/($E280-3*cc_D/7))))-fcd_cc*(1-(1-MAX(0,MIN(1,IF($E280&lt;=cc_D,0.0035*($E280-U$15)/$E280,0.002*($E280-U$15)/($E280-3*cc_D/7))/0.002)))^2)</f>
        <v/>
      </c>
      <c r="V280">
        <f>MAX(-fyd_cc,MIN(fyd_cc,Es_cc*IF($E280&lt;=cc_D,0.0035*($E280-V$15)/$E280,0.002*($E280-V$15)/($E280-3*cc_D/7))))-fcd_cc*(1-(1-MAX(0,MIN(1,IF($E280&lt;=cc_D,0.0035*($E280-V$15)/$E280,0.002*($E280-V$15)/($E280-3*cc_D/7))/0.002)))^2)</f>
        <v/>
      </c>
      <c r="W280">
        <f>MAX(-fyd_cc,MIN(fyd_cc,Es_cc*IF($E280&lt;=cc_D,0.0035*($E280-W$15)/$E280,0.002*($E280-W$15)/($E280-3*cc_D/7))))-fcd_cc*(1-(1-MAX(0,MIN(1,IF($E280&lt;=cc_D,0.0035*($E280-W$15)/$E280,0.002*($E280-W$15)/($E280-3*cc_D/7))/0.002)))^2)</f>
        <v/>
      </c>
      <c r="X280">
        <f>MAX(-fyd_cc,MIN(fyd_cc,Es_cc*IF($E280&lt;=cc_D,0.0035*($E280-X$15)/$E280,0.002*($E280-X$15)/($E280-3*cc_D/7))))-fcd_cc*(1-(1-MAX(0,MIN(1,IF($E280&lt;=cc_D,0.0035*($E280-X$15)/$E280,0.002*($E280-X$15)/($E280-3*cc_D/7))/0.002)))^2)</f>
        <v/>
      </c>
      <c r="Y280">
        <f>MAX(-fyd_cc,MIN(fyd_cc,Es_cc*IF($E280&lt;=cc_D,0.0035*($E280-Y$15)/$E280,0.002*($E280-Y$15)/($E280-3*cc_D/7))))-fcd_cc*(1-(1-MAX(0,MIN(1,IF($E280&lt;=cc_D,0.0035*($E280-Y$15)/$E280,0.002*($E280-Y$15)/($E280-3*cc_D/7))/0.002)))^2)</f>
        <v/>
      </c>
      <c r="Z280">
        <f>MAX(-fyd_cc,MIN(fyd_cc,Es_cc*IF($E280&lt;=cc_D,0.0035*($E280-Z$15)/$E280,0.002*($E280-Z$15)/($E280-3*cc_D/7))))-fcd_cc*(1-(1-MAX(0,MIN(1,IF($E280&lt;=cc_D,0.0035*($E280-Z$15)/$E280,0.002*($E280-Z$15)/($E280-3*cc_D/7))/0.002)))^2)</f>
        <v/>
      </c>
      <c r="AA280">
        <f>MAX(-fyd_cc,MIN(fyd_cc,Es_cc*IF($E280&lt;=cc_D,0.0035*($E280-AA$15)/$E280,0.002*($E280-AA$15)/($E280-3*cc_D/7))))-fcd_cc*(1-(1-MAX(0,MIN(1,IF($E280&lt;=cc_D,0.0035*($E280-AA$15)/$E280,0.002*($E280-AA$15)/($E280-3*cc_D/7))/0.002)))^2)</f>
        <v/>
      </c>
      <c r="AB280">
        <f>MAX(-fyd_cc,MIN(fyd_cc,Es_cc*IF($E280&lt;=cc_D,0.0035*($E280-AB$15)/$E280,0.002*($E280-AB$15)/($E280-3*cc_D/7))))-fcd_cc*(1-(1-MAX(0,MIN(1,IF($E280&lt;=cc_D,0.0035*($E280-AB$15)/$E280,0.002*($E280-AB$15)/($E280-3*cc_D/7))/0.002)))^2)</f>
        <v/>
      </c>
      <c r="AC280">
        <f>MAX(-fyd_cc,MIN(fyd_cc,Es_cc*IF($E280&lt;=cc_D,0.0035*($E280-AC$15)/$E280,0.002*($E280-AC$15)/($E280-3*cc_D/7))))-fcd_cc*(1-(1-MAX(0,MIN(1,IF($E280&lt;=cc_D,0.0035*($E280-AC$15)/$E280,0.002*($E280-AC$15)/($E280-3*cc_D/7))/0.002)))^2)</f>
        <v/>
      </c>
      <c r="AD280">
        <f>MAX(-fyd_cc,MIN(fyd_cc,Es_cc*IF($E280&lt;=cc_D,0.0035*($E280-AD$15)/$E280,0.002*($E280-AD$15)/($E280-3*cc_D/7))))-fcd_cc*(1-(1-MAX(0,MIN(1,IF($E280&lt;=cc_D,0.0035*($E280-AD$15)/$E280,0.002*($E280-AD$15)/($E280-3*cc_D/7))/0.002)))^2)</f>
        <v/>
      </c>
      <c r="AE280">
        <f>MAX(-fyd_cc,MIN(fyd_cc,Es_cc*IF($E280&lt;=cc_D,0.0035*($E280-AE$15)/$E280,0.002*($E280-AE$15)/($E280-3*cc_D/7))))-fcd_cc*(1-(1-MAX(0,MIN(1,IF($E280&lt;=cc_D,0.0035*($E280-AE$15)/$E280,0.002*($E280-AE$15)/($E280-3*cc_D/7))/0.002)))^2)</f>
        <v/>
      </c>
      <c r="AF280">
        <f>MAX(-fyd_cc,MIN(fyd_cc,Es_cc*IF($E280&lt;=cc_D,0.0035*($E280-AF$15)/$E280,0.002*($E280-AF$15)/($E280-3*cc_D/7))))-fcd_cc*(1-(1-MAX(0,MIN(1,IF($E280&lt;=cc_D,0.0035*($E280-AF$15)/$E280,0.002*($E280-AF$15)/($E280-3*cc_D/7))/0.002)))^2)</f>
        <v/>
      </c>
      <c r="AG280">
        <f>MAX(-fyd_cc,MIN(fyd_cc,Es_cc*IF($E280&lt;=cc_D,0.0035*($E280-AG$15)/$E280,0.002*($E280-AG$15)/($E280-3*cc_D/7))))-fcd_cc*(1-(1-MAX(0,MIN(1,IF($E280&lt;=cc_D,0.0035*($E280-AG$15)/$E280,0.002*($E280-AG$15)/($E280-3*cc_D/7))/0.002)))^2)</f>
        <v/>
      </c>
      <c r="BF280">
        <f>3*MIN($E280,cc_D)/7</f>
        <v/>
      </c>
      <c r="BG280">
        <f>$E280-$BF280</f>
        <v/>
      </c>
      <c r="BH280">
        <f>ACOS(MAX(-1,MIN(1,1-$BF280/(cc_D/2))))</f>
        <v/>
      </c>
      <c r="BI280">
        <f>ACOS(MAX(-1,MIN(1,1-MIN($E280,cc_D)/(cc_D/2))))</f>
        <v/>
      </c>
      <c r="BJ280">
        <f>((cc_D/2*(1-COS(($BH280+0*($BI280-$BH280)/12)))-$BF280)/$BG280)^2*SIN(($BH280+0*($BI280-$BH280)/12))^2</f>
        <v/>
      </c>
      <c r="BK280">
        <f>((cc_D/2*(1-COS(($BH280+1*($BI280-$BH280)/12)))-$BF280)/$BG280)^2*SIN(($BH280+1*($BI280-$BH280)/12))^2</f>
        <v/>
      </c>
      <c r="BL280">
        <f>((cc_D/2*(1-COS(($BH280+2*($BI280-$BH280)/12)))-$BF280)/$BG280)^2*SIN(($BH280+2*($BI280-$BH280)/12))^2</f>
        <v/>
      </c>
      <c r="BM280">
        <f>((cc_D/2*(1-COS(($BH280+3*($BI280-$BH280)/12)))-$BF280)/$BG280)^2*SIN(($BH280+3*($BI280-$BH280)/12))^2</f>
        <v/>
      </c>
      <c r="BN280">
        <f>((cc_D/2*(1-COS(($BH280+4*($BI280-$BH280)/12)))-$BF280)/$BG280)^2*SIN(($BH280+4*($BI280-$BH280)/12))^2</f>
        <v/>
      </c>
      <c r="BO280">
        <f>((cc_D/2*(1-COS(($BH280+5*($BI280-$BH280)/12)))-$BF280)/$BG280)^2*SIN(($BH280+5*($BI280-$BH280)/12))^2</f>
        <v/>
      </c>
      <c r="BP280">
        <f>((cc_D/2*(1-COS(($BH280+6*($BI280-$BH280)/12)))-$BF280)/$BG280)^2*SIN(($BH280+6*($BI280-$BH280)/12))^2</f>
        <v/>
      </c>
      <c r="BQ280">
        <f>((cc_D/2*(1-COS(($BH280+7*($BI280-$BH280)/12)))-$BF280)/$BG280)^2*SIN(($BH280+7*($BI280-$BH280)/12))^2</f>
        <v/>
      </c>
      <c r="BR280">
        <f>((cc_D/2*(1-COS(($BH280+8*($BI280-$BH280)/12)))-$BF280)/$BG280)^2*SIN(($BH280+8*($BI280-$BH280)/12))^2</f>
        <v/>
      </c>
      <c r="BS280">
        <f>((cc_D/2*(1-COS(($BH280+9*($BI280-$BH280)/12)))-$BF280)/$BG280)^2*SIN(($BH280+9*($BI280-$BH280)/12))^2</f>
        <v/>
      </c>
      <c r="BT280">
        <f>((cc_D/2*(1-COS(($BH280+10*($BI280-$BH280)/12)))-$BF280)/$BG280)^2*SIN(($BH280+10*($BI280-$BH280)/12))^2</f>
        <v/>
      </c>
      <c r="BU280">
        <f>((cc_D/2*(1-COS(($BH280+11*($BI280-$BH280)/12)))-$BF280)/$BG280)^2*SIN(($BH280+11*($BI280-$BH280)/12))^2</f>
        <v/>
      </c>
      <c r="BV280">
        <f>((cc_D/2*(1-COS(($BH280+12*($BI280-$BH280)/12)))-$BF280)/$BG280)^2*SIN(($BH280+12*($BI280-$BH280)/12))^2</f>
        <v/>
      </c>
      <c r="BW280">
        <f>BJ280*COS(($BH280+0*($BI280-$BH280)/12))</f>
        <v/>
      </c>
      <c r="BX280">
        <f>BK280*COS(($BH280+1*($BI280-$BH280)/12))</f>
        <v/>
      </c>
      <c r="BY280">
        <f>BL280*COS(($BH280+2*($BI280-$BH280)/12))</f>
        <v/>
      </c>
      <c r="BZ280">
        <f>BM280*COS(($BH280+3*($BI280-$BH280)/12))</f>
        <v/>
      </c>
      <c r="CA280">
        <f>BN280*COS(($BH280+4*($BI280-$BH280)/12))</f>
        <v/>
      </c>
      <c r="CB280">
        <f>BO280*COS(($BH280+5*($BI280-$BH280)/12))</f>
        <v/>
      </c>
      <c r="CC280">
        <f>BP280*COS(($BH280+6*($BI280-$BH280)/12))</f>
        <v/>
      </c>
      <c r="CD280">
        <f>BQ280*COS(($BH280+7*($BI280-$BH280)/12))</f>
        <v/>
      </c>
      <c r="CE280">
        <f>BR280*COS(($BH280+8*($BI280-$BH280)/12))</f>
        <v/>
      </c>
      <c r="CF280">
        <f>BS280*COS(($BH280+9*($BI280-$BH280)/12))</f>
        <v/>
      </c>
      <c r="CG280">
        <f>BT280*COS(($BH280+10*($BI280-$BH280)/12))</f>
        <v/>
      </c>
      <c r="CH280">
        <f>BU280*COS(($BH280+11*($BI280-$BH280)/12))</f>
        <v/>
      </c>
      <c r="CI280">
        <f>BV280*COS(($BH280+12*($BI280-$BH280)/12))</f>
        <v/>
      </c>
    </row>
    <row r="281">
      <c r="B281" s="65" t="n">
        <v>3</v>
      </c>
      <c r="C281" s="66">
        <f>IF($G280&lt;cc_NEd-1E-9*ABS(cc_NEd),($C280+$D280)/2,$C280)</f>
        <v/>
      </c>
      <c r="D281" s="66">
        <f>IF($G280&lt;cc_NEd-1E-9*ABS(cc_NEd),$D280,($C280+$D280)/2)</f>
        <v/>
      </c>
      <c r="E281" s="67">
        <f>cc_D*(($C281+$D281)/2)/(1-(($C281+$D281)/2))</f>
        <v/>
      </c>
      <c r="F281" s="68">
        <f>IF($E281&lt;=cc_D,3.5,2*$E281/($E281-3*cc_D/7))</f>
        <v/>
      </c>
      <c r="G281" s="67">
        <f>(fcd_cc*((cc_D/2)^2*($BI281-COS($BI281)*SIN($BI281))-2*(cc_D/2)^2*($BI281-$BH281)/12/3*SUMPRODUCT($BJ$4:$BV$4,$BJ281:$BV281))+SUMPRODUCT($J$5:$AG$5,$J281:$AG281))/1000</f>
        <v/>
      </c>
      <c r="H281" s="67">
        <f>(fcd_cc*(2/3*(cc_D/2)^3*SIN($BI281)^3-2*(cc_D/2)^3*($BI281-$BH281)/12/3*SUMPRODUCT($BW$4:$CI$4,$BW281:$CI281))+SUMPRODUCT($J$5:$AG$5,$J281:$AG281,$J$16:$AG$16))/1E6</f>
        <v/>
      </c>
      <c r="I281" s="67">
        <f>SUMPRODUCT($J$5:$AG$5,$J281:$AG281,$J$17:$AG$17)/1E6</f>
        <v/>
      </c>
      <c r="J281">
        <f>MAX(-fyd_cc,MIN(fyd_cc,Es_cc*IF($E281&lt;=cc_D,0.0035*($E281-J$15)/$E281,0.002*($E281-J$15)/($E281-3*cc_D/7))))-fcd_cc*(1-(1-MAX(0,MIN(1,IF($E281&lt;=cc_D,0.0035*($E281-J$15)/$E281,0.002*($E281-J$15)/($E281-3*cc_D/7))/0.002)))^2)</f>
        <v/>
      </c>
      <c r="K281">
        <f>MAX(-fyd_cc,MIN(fyd_cc,Es_cc*IF($E281&lt;=cc_D,0.0035*($E281-K$15)/$E281,0.002*($E281-K$15)/($E281-3*cc_D/7))))-fcd_cc*(1-(1-MAX(0,MIN(1,IF($E281&lt;=cc_D,0.0035*($E281-K$15)/$E281,0.002*($E281-K$15)/($E281-3*cc_D/7))/0.002)))^2)</f>
        <v/>
      </c>
      <c r="L281">
        <f>MAX(-fyd_cc,MIN(fyd_cc,Es_cc*IF($E281&lt;=cc_D,0.0035*($E281-L$15)/$E281,0.002*($E281-L$15)/($E281-3*cc_D/7))))-fcd_cc*(1-(1-MAX(0,MIN(1,IF($E281&lt;=cc_D,0.0035*($E281-L$15)/$E281,0.002*($E281-L$15)/($E281-3*cc_D/7))/0.002)))^2)</f>
        <v/>
      </c>
      <c r="M281">
        <f>MAX(-fyd_cc,MIN(fyd_cc,Es_cc*IF($E281&lt;=cc_D,0.0035*($E281-M$15)/$E281,0.002*($E281-M$15)/($E281-3*cc_D/7))))-fcd_cc*(1-(1-MAX(0,MIN(1,IF($E281&lt;=cc_D,0.0035*($E281-M$15)/$E281,0.002*($E281-M$15)/($E281-3*cc_D/7))/0.002)))^2)</f>
        <v/>
      </c>
      <c r="N281">
        <f>MAX(-fyd_cc,MIN(fyd_cc,Es_cc*IF($E281&lt;=cc_D,0.0035*($E281-N$15)/$E281,0.002*($E281-N$15)/($E281-3*cc_D/7))))-fcd_cc*(1-(1-MAX(0,MIN(1,IF($E281&lt;=cc_D,0.0035*($E281-N$15)/$E281,0.002*($E281-N$15)/($E281-3*cc_D/7))/0.002)))^2)</f>
        <v/>
      </c>
      <c r="O281">
        <f>MAX(-fyd_cc,MIN(fyd_cc,Es_cc*IF($E281&lt;=cc_D,0.0035*($E281-O$15)/$E281,0.002*($E281-O$15)/($E281-3*cc_D/7))))-fcd_cc*(1-(1-MAX(0,MIN(1,IF($E281&lt;=cc_D,0.0035*($E281-O$15)/$E281,0.002*($E281-O$15)/($E281-3*cc_D/7))/0.002)))^2)</f>
        <v/>
      </c>
      <c r="P281">
        <f>MAX(-fyd_cc,MIN(fyd_cc,Es_cc*IF($E281&lt;=cc_D,0.0035*($E281-P$15)/$E281,0.002*($E281-P$15)/($E281-3*cc_D/7))))-fcd_cc*(1-(1-MAX(0,MIN(1,IF($E281&lt;=cc_D,0.0035*($E281-P$15)/$E281,0.002*($E281-P$15)/($E281-3*cc_D/7))/0.002)))^2)</f>
        <v/>
      </c>
      <c r="Q281">
        <f>MAX(-fyd_cc,MIN(fyd_cc,Es_cc*IF($E281&lt;=cc_D,0.0035*($E281-Q$15)/$E281,0.002*($E281-Q$15)/($E281-3*cc_D/7))))-fcd_cc*(1-(1-MAX(0,MIN(1,IF($E281&lt;=cc_D,0.0035*($E281-Q$15)/$E281,0.002*($E281-Q$15)/($E281-3*cc_D/7))/0.002)))^2)</f>
        <v/>
      </c>
      <c r="R281">
        <f>MAX(-fyd_cc,MIN(fyd_cc,Es_cc*IF($E281&lt;=cc_D,0.0035*($E281-R$15)/$E281,0.002*($E281-R$15)/($E281-3*cc_D/7))))-fcd_cc*(1-(1-MAX(0,MIN(1,IF($E281&lt;=cc_D,0.0035*($E281-R$15)/$E281,0.002*($E281-R$15)/($E281-3*cc_D/7))/0.002)))^2)</f>
        <v/>
      </c>
      <c r="S281">
        <f>MAX(-fyd_cc,MIN(fyd_cc,Es_cc*IF($E281&lt;=cc_D,0.0035*($E281-S$15)/$E281,0.002*($E281-S$15)/($E281-3*cc_D/7))))-fcd_cc*(1-(1-MAX(0,MIN(1,IF($E281&lt;=cc_D,0.0035*($E281-S$15)/$E281,0.002*($E281-S$15)/($E281-3*cc_D/7))/0.002)))^2)</f>
        <v/>
      </c>
      <c r="T281">
        <f>MAX(-fyd_cc,MIN(fyd_cc,Es_cc*IF($E281&lt;=cc_D,0.0035*($E281-T$15)/$E281,0.002*($E281-T$15)/($E281-3*cc_D/7))))-fcd_cc*(1-(1-MAX(0,MIN(1,IF($E281&lt;=cc_D,0.0035*($E281-T$15)/$E281,0.002*($E281-T$15)/($E281-3*cc_D/7))/0.002)))^2)</f>
        <v/>
      </c>
      <c r="U281">
        <f>MAX(-fyd_cc,MIN(fyd_cc,Es_cc*IF($E281&lt;=cc_D,0.0035*($E281-U$15)/$E281,0.002*($E281-U$15)/($E281-3*cc_D/7))))-fcd_cc*(1-(1-MAX(0,MIN(1,IF($E281&lt;=cc_D,0.0035*($E281-U$15)/$E281,0.002*($E281-U$15)/($E281-3*cc_D/7))/0.002)))^2)</f>
        <v/>
      </c>
      <c r="V281">
        <f>MAX(-fyd_cc,MIN(fyd_cc,Es_cc*IF($E281&lt;=cc_D,0.0035*($E281-V$15)/$E281,0.002*($E281-V$15)/($E281-3*cc_D/7))))-fcd_cc*(1-(1-MAX(0,MIN(1,IF($E281&lt;=cc_D,0.0035*($E281-V$15)/$E281,0.002*($E281-V$15)/($E281-3*cc_D/7))/0.002)))^2)</f>
        <v/>
      </c>
      <c r="W281">
        <f>MAX(-fyd_cc,MIN(fyd_cc,Es_cc*IF($E281&lt;=cc_D,0.0035*($E281-W$15)/$E281,0.002*($E281-W$15)/($E281-3*cc_D/7))))-fcd_cc*(1-(1-MAX(0,MIN(1,IF($E281&lt;=cc_D,0.0035*($E281-W$15)/$E281,0.002*($E281-W$15)/($E281-3*cc_D/7))/0.002)))^2)</f>
        <v/>
      </c>
      <c r="X281">
        <f>MAX(-fyd_cc,MIN(fyd_cc,Es_cc*IF($E281&lt;=cc_D,0.0035*($E281-X$15)/$E281,0.002*($E281-X$15)/($E281-3*cc_D/7))))-fcd_cc*(1-(1-MAX(0,MIN(1,IF($E281&lt;=cc_D,0.0035*($E281-X$15)/$E281,0.002*($E281-X$15)/($E281-3*cc_D/7))/0.002)))^2)</f>
        <v/>
      </c>
      <c r="Y281">
        <f>MAX(-fyd_cc,MIN(fyd_cc,Es_cc*IF($E281&lt;=cc_D,0.0035*($E281-Y$15)/$E281,0.002*($E281-Y$15)/($E281-3*cc_D/7))))-fcd_cc*(1-(1-MAX(0,MIN(1,IF($E281&lt;=cc_D,0.0035*($E281-Y$15)/$E281,0.002*($E281-Y$15)/($E281-3*cc_D/7))/0.002)))^2)</f>
        <v/>
      </c>
      <c r="Z281">
        <f>MAX(-fyd_cc,MIN(fyd_cc,Es_cc*IF($E281&lt;=cc_D,0.0035*($E281-Z$15)/$E281,0.002*($E281-Z$15)/($E281-3*cc_D/7))))-fcd_cc*(1-(1-MAX(0,MIN(1,IF($E281&lt;=cc_D,0.0035*($E281-Z$15)/$E281,0.002*($E281-Z$15)/($E281-3*cc_D/7))/0.002)))^2)</f>
        <v/>
      </c>
      <c r="AA281">
        <f>MAX(-fyd_cc,MIN(fyd_cc,Es_cc*IF($E281&lt;=cc_D,0.0035*($E281-AA$15)/$E281,0.002*($E281-AA$15)/($E281-3*cc_D/7))))-fcd_cc*(1-(1-MAX(0,MIN(1,IF($E281&lt;=cc_D,0.0035*($E281-AA$15)/$E281,0.002*($E281-AA$15)/($E281-3*cc_D/7))/0.002)))^2)</f>
        <v/>
      </c>
      <c r="AB281">
        <f>MAX(-fyd_cc,MIN(fyd_cc,Es_cc*IF($E281&lt;=cc_D,0.0035*($E281-AB$15)/$E281,0.002*($E281-AB$15)/($E281-3*cc_D/7))))-fcd_cc*(1-(1-MAX(0,MIN(1,IF($E281&lt;=cc_D,0.0035*($E281-AB$15)/$E281,0.002*($E281-AB$15)/($E281-3*cc_D/7))/0.002)))^2)</f>
        <v/>
      </c>
      <c r="AC281">
        <f>MAX(-fyd_cc,MIN(fyd_cc,Es_cc*IF($E281&lt;=cc_D,0.0035*($E281-AC$15)/$E281,0.002*($E281-AC$15)/($E281-3*cc_D/7))))-fcd_cc*(1-(1-MAX(0,MIN(1,IF($E281&lt;=cc_D,0.0035*($E281-AC$15)/$E281,0.002*($E281-AC$15)/($E281-3*cc_D/7))/0.002)))^2)</f>
        <v/>
      </c>
      <c r="AD281">
        <f>MAX(-fyd_cc,MIN(fyd_cc,Es_cc*IF($E281&lt;=cc_D,0.0035*($E281-AD$15)/$E281,0.002*($E281-AD$15)/($E281-3*cc_D/7))))-fcd_cc*(1-(1-MAX(0,MIN(1,IF($E281&lt;=cc_D,0.0035*($E281-AD$15)/$E281,0.002*($E281-AD$15)/($E281-3*cc_D/7))/0.002)))^2)</f>
        <v/>
      </c>
      <c r="AE281">
        <f>MAX(-fyd_cc,MIN(fyd_cc,Es_cc*IF($E281&lt;=cc_D,0.0035*($E281-AE$15)/$E281,0.002*($E281-AE$15)/($E281-3*cc_D/7))))-fcd_cc*(1-(1-MAX(0,MIN(1,IF($E281&lt;=cc_D,0.0035*($E281-AE$15)/$E281,0.002*($E281-AE$15)/($E281-3*cc_D/7))/0.002)))^2)</f>
        <v/>
      </c>
      <c r="AF281">
        <f>MAX(-fyd_cc,MIN(fyd_cc,Es_cc*IF($E281&lt;=cc_D,0.0035*($E281-AF$15)/$E281,0.002*($E281-AF$15)/($E281-3*cc_D/7))))-fcd_cc*(1-(1-MAX(0,MIN(1,IF($E281&lt;=cc_D,0.0035*($E281-AF$15)/$E281,0.002*($E281-AF$15)/($E281-3*cc_D/7))/0.002)))^2)</f>
        <v/>
      </c>
      <c r="AG281">
        <f>MAX(-fyd_cc,MIN(fyd_cc,Es_cc*IF($E281&lt;=cc_D,0.0035*($E281-AG$15)/$E281,0.002*($E281-AG$15)/($E281-3*cc_D/7))))-fcd_cc*(1-(1-MAX(0,MIN(1,IF($E281&lt;=cc_D,0.0035*($E281-AG$15)/$E281,0.002*($E281-AG$15)/($E281-3*cc_D/7))/0.002)))^2)</f>
        <v/>
      </c>
      <c r="BF281">
        <f>3*MIN($E281,cc_D)/7</f>
        <v/>
      </c>
      <c r="BG281">
        <f>$E281-$BF281</f>
        <v/>
      </c>
      <c r="BH281">
        <f>ACOS(MAX(-1,MIN(1,1-$BF281/(cc_D/2))))</f>
        <v/>
      </c>
      <c r="BI281">
        <f>ACOS(MAX(-1,MIN(1,1-MIN($E281,cc_D)/(cc_D/2))))</f>
        <v/>
      </c>
      <c r="BJ281">
        <f>((cc_D/2*(1-COS(($BH281+0*($BI281-$BH281)/12)))-$BF281)/$BG281)^2*SIN(($BH281+0*($BI281-$BH281)/12))^2</f>
        <v/>
      </c>
      <c r="BK281">
        <f>((cc_D/2*(1-COS(($BH281+1*($BI281-$BH281)/12)))-$BF281)/$BG281)^2*SIN(($BH281+1*($BI281-$BH281)/12))^2</f>
        <v/>
      </c>
      <c r="BL281">
        <f>((cc_D/2*(1-COS(($BH281+2*($BI281-$BH281)/12)))-$BF281)/$BG281)^2*SIN(($BH281+2*($BI281-$BH281)/12))^2</f>
        <v/>
      </c>
      <c r="BM281">
        <f>((cc_D/2*(1-COS(($BH281+3*($BI281-$BH281)/12)))-$BF281)/$BG281)^2*SIN(($BH281+3*($BI281-$BH281)/12))^2</f>
        <v/>
      </c>
      <c r="BN281">
        <f>((cc_D/2*(1-COS(($BH281+4*($BI281-$BH281)/12)))-$BF281)/$BG281)^2*SIN(($BH281+4*($BI281-$BH281)/12))^2</f>
        <v/>
      </c>
      <c r="BO281">
        <f>((cc_D/2*(1-COS(($BH281+5*($BI281-$BH281)/12)))-$BF281)/$BG281)^2*SIN(($BH281+5*($BI281-$BH281)/12))^2</f>
        <v/>
      </c>
      <c r="BP281">
        <f>((cc_D/2*(1-COS(($BH281+6*($BI281-$BH281)/12)))-$BF281)/$BG281)^2*SIN(($BH281+6*($BI281-$BH281)/12))^2</f>
        <v/>
      </c>
      <c r="BQ281">
        <f>((cc_D/2*(1-COS(($BH281+7*($BI281-$BH281)/12)))-$BF281)/$BG281)^2*SIN(($BH281+7*($BI281-$BH281)/12))^2</f>
        <v/>
      </c>
      <c r="BR281">
        <f>((cc_D/2*(1-COS(($BH281+8*($BI281-$BH281)/12)))-$BF281)/$BG281)^2*SIN(($BH281+8*($BI281-$BH281)/12))^2</f>
        <v/>
      </c>
      <c r="BS281">
        <f>((cc_D/2*(1-COS(($BH281+9*($BI281-$BH281)/12)))-$BF281)/$BG281)^2*SIN(($BH281+9*($BI281-$BH281)/12))^2</f>
        <v/>
      </c>
      <c r="BT281">
        <f>((cc_D/2*(1-COS(($BH281+10*($BI281-$BH281)/12)))-$BF281)/$BG281)^2*SIN(($BH281+10*($BI281-$BH281)/12))^2</f>
        <v/>
      </c>
      <c r="BU281">
        <f>((cc_D/2*(1-COS(($BH281+11*($BI281-$BH281)/12)))-$BF281)/$BG281)^2*SIN(($BH281+11*($BI281-$BH281)/12))^2</f>
        <v/>
      </c>
      <c r="BV281">
        <f>((cc_D/2*(1-COS(($BH281+12*($BI281-$BH281)/12)))-$BF281)/$BG281)^2*SIN(($BH281+12*($BI281-$BH281)/12))^2</f>
        <v/>
      </c>
      <c r="BW281">
        <f>BJ281*COS(($BH281+0*($BI281-$BH281)/12))</f>
        <v/>
      </c>
      <c r="BX281">
        <f>BK281*COS(($BH281+1*($BI281-$BH281)/12))</f>
        <v/>
      </c>
      <c r="BY281">
        <f>BL281*COS(($BH281+2*($BI281-$BH281)/12))</f>
        <v/>
      </c>
      <c r="BZ281">
        <f>BM281*COS(($BH281+3*($BI281-$BH281)/12))</f>
        <v/>
      </c>
      <c r="CA281">
        <f>BN281*COS(($BH281+4*($BI281-$BH281)/12))</f>
        <v/>
      </c>
      <c r="CB281">
        <f>BO281*COS(($BH281+5*($BI281-$BH281)/12))</f>
        <v/>
      </c>
      <c r="CC281">
        <f>BP281*COS(($BH281+6*($BI281-$BH281)/12))</f>
        <v/>
      </c>
      <c r="CD281">
        <f>BQ281*COS(($BH281+7*($BI281-$BH281)/12))</f>
        <v/>
      </c>
      <c r="CE281">
        <f>BR281*COS(($BH281+8*($BI281-$BH281)/12))</f>
        <v/>
      </c>
      <c r="CF281">
        <f>BS281*COS(($BH281+9*($BI281-$BH281)/12))</f>
        <v/>
      </c>
      <c r="CG281">
        <f>BT281*COS(($BH281+10*($BI281-$BH281)/12))</f>
        <v/>
      </c>
      <c r="CH281">
        <f>BU281*COS(($BH281+11*($BI281-$BH281)/12))</f>
        <v/>
      </c>
      <c r="CI281">
        <f>BV281*COS(($BH281+12*($BI281-$BH281)/12))</f>
        <v/>
      </c>
    </row>
    <row r="282">
      <c r="B282" s="65" t="n">
        <v>4</v>
      </c>
      <c r="C282" s="66">
        <f>IF($G281&lt;cc_NEd-1E-9*ABS(cc_NEd),($C281+$D281)/2,$C281)</f>
        <v/>
      </c>
      <c r="D282" s="66">
        <f>IF($G281&lt;cc_NEd-1E-9*ABS(cc_NEd),$D281,($C281+$D281)/2)</f>
        <v/>
      </c>
      <c r="E282" s="67">
        <f>cc_D*(($C282+$D282)/2)/(1-(($C282+$D282)/2))</f>
        <v/>
      </c>
      <c r="F282" s="68">
        <f>IF($E282&lt;=cc_D,3.5,2*$E282/($E282-3*cc_D/7))</f>
        <v/>
      </c>
      <c r="G282" s="67">
        <f>(fcd_cc*((cc_D/2)^2*($BI282-COS($BI282)*SIN($BI282))-2*(cc_D/2)^2*($BI282-$BH282)/12/3*SUMPRODUCT($BJ$4:$BV$4,$BJ282:$BV282))+SUMPRODUCT($J$5:$AG$5,$J282:$AG282))/1000</f>
        <v/>
      </c>
      <c r="H282" s="67">
        <f>(fcd_cc*(2/3*(cc_D/2)^3*SIN($BI282)^3-2*(cc_D/2)^3*($BI282-$BH282)/12/3*SUMPRODUCT($BW$4:$CI$4,$BW282:$CI282))+SUMPRODUCT($J$5:$AG$5,$J282:$AG282,$J$16:$AG$16))/1E6</f>
        <v/>
      </c>
      <c r="I282" s="67">
        <f>SUMPRODUCT($J$5:$AG$5,$J282:$AG282,$J$17:$AG$17)/1E6</f>
        <v/>
      </c>
      <c r="J282">
        <f>MAX(-fyd_cc,MIN(fyd_cc,Es_cc*IF($E282&lt;=cc_D,0.0035*($E282-J$15)/$E282,0.002*($E282-J$15)/($E282-3*cc_D/7))))-fcd_cc*(1-(1-MAX(0,MIN(1,IF($E282&lt;=cc_D,0.0035*($E282-J$15)/$E282,0.002*($E282-J$15)/($E282-3*cc_D/7))/0.002)))^2)</f>
        <v/>
      </c>
      <c r="K282">
        <f>MAX(-fyd_cc,MIN(fyd_cc,Es_cc*IF($E282&lt;=cc_D,0.0035*($E282-K$15)/$E282,0.002*($E282-K$15)/($E282-3*cc_D/7))))-fcd_cc*(1-(1-MAX(0,MIN(1,IF($E282&lt;=cc_D,0.0035*($E282-K$15)/$E282,0.002*($E282-K$15)/($E282-3*cc_D/7))/0.002)))^2)</f>
        <v/>
      </c>
      <c r="L282">
        <f>MAX(-fyd_cc,MIN(fyd_cc,Es_cc*IF($E282&lt;=cc_D,0.0035*($E282-L$15)/$E282,0.002*($E282-L$15)/($E282-3*cc_D/7))))-fcd_cc*(1-(1-MAX(0,MIN(1,IF($E282&lt;=cc_D,0.0035*($E282-L$15)/$E282,0.002*($E282-L$15)/($E282-3*cc_D/7))/0.002)))^2)</f>
        <v/>
      </c>
      <c r="M282">
        <f>MAX(-fyd_cc,MIN(fyd_cc,Es_cc*IF($E282&lt;=cc_D,0.0035*($E282-M$15)/$E282,0.002*($E282-M$15)/($E282-3*cc_D/7))))-fcd_cc*(1-(1-MAX(0,MIN(1,IF($E282&lt;=cc_D,0.0035*($E282-M$15)/$E282,0.002*($E282-M$15)/($E282-3*cc_D/7))/0.002)))^2)</f>
        <v/>
      </c>
      <c r="N282">
        <f>MAX(-fyd_cc,MIN(fyd_cc,Es_cc*IF($E282&lt;=cc_D,0.0035*($E282-N$15)/$E282,0.002*($E282-N$15)/($E282-3*cc_D/7))))-fcd_cc*(1-(1-MAX(0,MIN(1,IF($E282&lt;=cc_D,0.0035*($E282-N$15)/$E282,0.002*($E282-N$15)/($E282-3*cc_D/7))/0.002)))^2)</f>
        <v/>
      </c>
      <c r="O282">
        <f>MAX(-fyd_cc,MIN(fyd_cc,Es_cc*IF($E282&lt;=cc_D,0.0035*($E282-O$15)/$E282,0.002*($E282-O$15)/($E282-3*cc_D/7))))-fcd_cc*(1-(1-MAX(0,MIN(1,IF($E282&lt;=cc_D,0.0035*($E282-O$15)/$E282,0.002*($E282-O$15)/($E282-3*cc_D/7))/0.002)))^2)</f>
        <v/>
      </c>
      <c r="P282">
        <f>MAX(-fyd_cc,MIN(fyd_cc,Es_cc*IF($E282&lt;=cc_D,0.0035*($E282-P$15)/$E282,0.002*($E282-P$15)/($E282-3*cc_D/7))))-fcd_cc*(1-(1-MAX(0,MIN(1,IF($E282&lt;=cc_D,0.0035*($E282-P$15)/$E282,0.002*($E282-P$15)/($E282-3*cc_D/7))/0.002)))^2)</f>
        <v/>
      </c>
      <c r="Q282">
        <f>MAX(-fyd_cc,MIN(fyd_cc,Es_cc*IF($E282&lt;=cc_D,0.0035*($E282-Q$15)/$E282,0.002*($E282-Q$15)/($E282-3*cc_D/7))))-fcd_cc*(1-(1-MAX(0,MIN(1,IF($E282&lt;=cc_D,0.0035*($E282-Q$15)/$E282,0.002*($E282-Q$15)/($E282-3*cc_D/7))/0.002)))^2)</f>
        <v/>
      </c>
      <c r="R282">
        <f>MAX(-fyd_cc,MIN(fyd_cc,Es_cc*IF($E282&lt;=cc_D,0.0035*($E282-R$15)/$E282,0.002*($E282-R$15)/($E282-3*cc_D/7))))-fcd_cc*(1-(1-MAX(0,MIN(1,IF($E282&lt;=cc_D,0.0035*($E282-R$15)/$E282,0.002*($E282-R$15)/($E282-3*cc_D/7))/0.002)))^2)</f>
        <v/>
      </c>
      <c r="S282">
        <f>MAX(-fyd_cc,MIN(fyd_cc,Es_cc*IF($E282&lt;=cc_D,0.0035*($E282-S$15)/$E282,0.002*($E282-S$15)/($E282-3*cc_D/7))))-fcd_cc*(1-(1-MAX(0,MIN(1,IF($E282&lt;=cc_D,0.0035*($E282-S$15)/$E282,0.002*($E282-S$15)/($E282-3*cc_D/7))/0.002)))^2)</f>
        <v/>
      </c>
      <c r="T282">
        <f>MAX(-fyd_cc,MIN(fyd_cc,Es_cc*IF($E282&lt;=cc_D,0.0035*($E282-T$15)/$E282,0.002*($E282-T$15)/($E282-3*cc_D/7))))-fcd_cc*(1-(1-MAX(0,MIN(1,IF($E282&lt;=cc_D,0.0035*($E282-T$15)/$E282,0.002*($E282-T$15)/($E282-3*cc_D/7))/0.002)))^2)</f>
        <v/>
      </c>
      <c r="U282">
        <f>MAX(-fyd_cc,MIN(fyd_cc,Es_cc*IF($E282&lt;=cc_D,0.0035*($E282-U$15)/$E282,0.002*($E282-U$15)/($E282-3*cc_D/7))))-fcd_cc*(1-(1-MAX(0,MIN(1,IF($E282&lt;=cc_D,0.0035*($E282-U$15)/$E282,0.002*($E282-U$15)/($E282-3*cc_D/7))/0.002)))^2)</f>
        <v/>
      </c>
      <c r="V282">
        <f>MAX(-fyd_cc,MIN(fyd_cc,Es_cc*IF($E282&lt;=cc_D,0.0035*($E282-V$15)/$E282,0.002*($E282-V$15)/($E282-3*cc_D/7))))-fcd_cc*(1-(1-MAX(0,MIN(1,IF($E282&lt;=cc_D,0.0035*($E282-V$15)/$E282,0.002*($E282-V$15)/($E282-3*cc_D/7))/0.002)))^2)</f>
        <v/>
      </c>
      <c r="W282">
        <f>MAX(-fyd_cc,MIN(fyd_cc,Es_cc*IF($E282&lt;=cc_D,0.0035*($E282-W$15)/$E282,0.002*($E282-W$15)/($E282-3*cc_D/7))))-fcd_cc*(1-(1-MAX(0,MIN(1,IF($E282&lt;=cc_D,0.0035*($E282-W$15)/$E282,0.002*($E282-W$15)/($E282-3*cc_D/7))/0.002)))^2)</f>
        <v/>
      </c>
      <c r="X282">
        <f>MAX(-fyd_cc,MIN(fyd_cc,Es_cc*IF($E282&lt;=cc_D,0.0035*($E282-X$15)/$E282,0.002*($E282-X$15)/($E282-3*cc_D/7))))-fcd_cc*(1-(1-MAX(0,MIN(1,IF($E282&lt;=cc_D,0.0035*($E282-X$15)/$E282,0.002*($E282-X$15)/($E282-3*cc_D/7))/0.002)))^2)</f>
        <v/>
      </c>
      <c r="Y282">
        <f>MAX(-fyd_cc,MIN(fyd_cc,Es_cc*IF($E282&lt;=cc_D,0.0035*($E282-Y$15)/$E282,0.002*($E282-Y$15)/($E282-3*cc_D/7))))-fcd_cc*(1-(1-MAX(0,MIN(1,IF($E282&lt;=cc_D,0.0035*($E282-Y$15)/$E282,0.002*($E282-Y$15)/($E282-3*cc_D/7))/0.002)))^2)</f>
        <v/>
      </c>
      <c r="Z282">
        <f>MAX(-fyd_cc,MIN(fyd_cc,Es_cc*IF($E282&lt;=cc_D,0.0035*($E282-Z$15)/$E282,0.002*($E282-Z$15)/($E282-3*cc_D/7))))-fcd_cc*(1-(1-MAX(0,MIN(1,IF($E282&lt;=cc_D,0.0035*($E282-Z$15)/$E282,0.002*($E282-Z$15)/($E282-3*cc_D/7))/0.002)))^2)</f>
        <v/>
      </c>
      <c r="AA282">
        <f>MAX(-fyd_cc,MIN(fyd_cc,Es_cc*IF($E282&lt;=cc_D,0.0035*($E282-AA$15)/$E282,0.002*($E282-AA$15)/($E282-3*cc_D/7))))-fcd_cc*(1-(1-MAX(0,MIN(1,IF($E282&lt;=cc_D,0.0035*($E282-AA$15)/$E282,0.002*($E282-AA$15)/($E282-3*cc_D/7))/0.002)))^2)</f>
        <v/>
      </c>
      <c r="AB282">
        <f>MAX(-fyd_cc,MIN(fyd_cc,Es_cc*IF($E282&lt;=cc_D,0.0035*($E282-AB$15)/$E282,0.002*($E282-AB$15)/($E282-3*cc_D/7))))-fcd_cc*(1-(1-MAX(0,MIN(1,IF($E282&lt;=cc_D,0.0035*($E282-AB$15)/$E282,0.002*($E282-AB$15)/($E282-3*cc_D/7))/0.002)))^2)</f>
        <v/>
      </c>
      <c r="AC282">
        <f>MAX(-fyd_cc,MIN(fyd_cc,Es_cc*IF($E282&lt;=cc_D,0.0035*($E282-AC$15)/$E282,0.002*($E282-AC$15)/($E282-3*cc_D/7))))-fcd_cc*(1-(1-MAX(0,MIN(1,IF($E282&lt;=cc_D,0.0035*($E282-AC$15)/$E282,0.002*($E282-AC$15)/($E282-3*cc_D/7))/0.002)))^2)</f>
        <v/>
      </c>
      <c r="AD282">
        <f>MAX(-fyd_cc,MIN(fyd_cc,Es_cc*IF($E282&lt;=cc_D,0.0035*($E282-AD$15)/$E282,0.002*($E282-AD$15)/($E282-3*cc_D/7))))-fcd_cc*(1-(1-MAX(0,MIN(1,IF($E282&lt;=cc_D,0.0035*($E282-AD$15)/$E282,0.002*($E282-AD$15)/($E282-3*cc_D/7))/0.002)))^2)</f>
        <v/>
      </c>
      <c r="AE282">
        <f>MAX(-fyd_cc,MIN(fyd_cc,Es_cc*IF($E282&lt;=cc_D,0.0035*($E282-AE$15)/$E282,0.002*($E282-AE$15)/($E282-3*cc_D/7))))-fcd_cc*(1-(1-MAX(0,MIN(1,IF($E282&lt;=cc_D,0.0035*($E282-AE$15)/$E282,0.002*($E282-AE$15)/($E282-3*cc_D/7))/0.002)))^2)</f>
        <v/>
      </c>
      <c r="AF282">
        <f>MAX(-fyd_cc,MIN(fyd_cc,Es_cc*IF($E282&lt;=cc_D,0.0035*($E282-AF$15)/$E282,0.002*($E282-AF$15)/($E282-3*cc_D/7))))-fcd_cc*(1-(1-MAX(0,MIN(1,IF($E282&lt;=cc_D,0.0035*($E282-AF$15)/$E282,0.002*($E282-AF$15)/($E282-3*cc_D/7))/0.002)))^2)</f>
        <v/>
      </c>
      <c r="AG282">
        <f>MAX(-fyd_cc,MIN(fyd_cc,Es_cc*IF($E282&lt;=cc_D,0.0035*($E282-AG$15)/$E282,0.002*($E282-AG$15)/($E282-3*cc_D/7))))-fcd_cc*(1-(1-MAX(0,MIN(1,IF($E282&lt;=cc_D,0.0035*($E282-AG$15)/$E282,0.002*($E282-AG$15)/($E282-3*cc_D/7))/0.002)))^2)</f>
        <v/>
      </c>
      <c r="BF282">
        <f>3*MIN($E282,cc_D)/7</f>
        <v/>
      </c>
      <c r="BG282">
        <f>$E282-$BF282</f>
        <v/>
      </c>
      <c r="BH282">
        <f>ACOS(MAX(-1,MIN(1,1-$BF282/(cc_D/2))))</f>
        <v/>
      </c>
      <c r="BI282">
        <f>ACOS(MAX(-1,MIN(1,1-MIN($E282,cc_D)/(cc_D/2))))</f>
        <v/>
      </c>
      <c r="BJ282">
        <f>((cc_D/2*(1-COS(($BH282+0*($BI282-$BH282)/12)))-$BF282)/$BG282)^2*SIN(($BH282+0*($BI282-$BH282)/12))^2</f>
        <v/>
      </c>
      <c r="BK282">
        <f>((cc_D/2*(1-COS(($BH282+1*($BI282-$BH282)/12)))-$BF282)/$BG282)^2*SIN(($BH282+1*($BI282-$BH282)/12))^2</f>
        <v/>
      </c>
      <c r="BL282">
        <f>((cc_D/2*(1-COS(($BH282+2*($BI282-$BH282)/12)))-$BF282)/$BG282)^2*SIN(($BH282+2*($BI282-$BH282)/12))^2</f>
        <v/>
      </c>
      <c r="BM282">
        <f>((cc_D/2*(1-COS(($BH282+3*($BI282-$BH282)/12)))-$BF282)/$BG282)^2*SIN(($BH282+3*($BI282-$BH282)/12))^2</f>
        <v/>
      </c>
      <c r="BN282">
        <f>((cc_D/2*(1-COS(($BH282+4*($BI282-$BH282)/12)))-$BF282)/$BG282)^2*SIN(($BH282+4*($BI282-$BH282)/12))^2</f>
        <v/>
      </c>
      <c r="BO282">
        <f>((cc_D/2*(1-COS(($BH282+5*($BI282-$BH282)/12)))-$BF282)/$BG282)^2*SIN(($BH282+5*($BI282-$BH282)/12))^2</f>
        <v/>
      </c>
      <c r="BP282">
        <f>((cc_D/2*(1-COS(($BH282+6*($BI282-$BH282)/12)))-$BF282)/$BG282)^2*SIN(($BH282+6*($BI282-$BH282)/12))^2</f>
        <v/>
      </c>
      <c r="BQ282">
        <f>((cc_D/2*(1-COS(($BH282+7*($BI282-$BH282)/12)))-$BF282)/$BG282)^2*SIN(($BH282+7*($BI282-$BH282)/12))^2</f>
        <v/>
      </c>
      <c r="BR282">
        <f>((cc_D/2*(1-COS(($BH282+8*($BI282-$BH282)/12)))-$BF282)/$BG282)^2*SIN(($BH282+8*($BI282-$BH282)/12))^2</f>
        <v/>
      </c>
      <c r="BS282">
        <f>((cc_D/2*(1-COS(($BH282+9*($BI282-$BH282)/12)))-$BF282)/$BG282)^2*SIN(($BH282+9*($BI282-$BH282)/12))^2</f>
        <v/>
      </c>
      <c r="BT282">
        <f>((cc_D/2*(1-COS(($BH282+10*($BI282-$BH282)/12)))-$BF282)/$BG282)^2*SIN(($BH282+10*($BI282-$BH282)/12))^2</f>
        <v/>
      </c>
      <c r="BU282">
        <f>((cc_D/2*(1-COS(($BH282+11*($BI282-$BH282)/12)))-$BF282)/$BG282)^2*SIN(($BH282+11*($BI282-$BH282)/12))^2</f>
        <v/>
      </c>
      <c r="BV282">
        <f>((cc_D/2*(1-COS(($BH282+12*($BI282-$BH282)/12)))-$BF282)/$BG282)^2*SIN(($BH282+12*($BI282-$BH282)/12))^2</f>
        <v/>
      </c>
      <c r="BW282">
        <f>BJ282*COS(($BH282+0*($BI282-$BH282)/12))</f>
        <v/>
      </c>
      <c r="BX282">
        <f>BK282*COS(($BH282+1*($BI282-$BH282)/12))</f>
        <v/>
      </c>
      <c r="BY282">
        <f>BL282*COS(($BH282+2*($BI282-$BH282)/12))</f>
        <v/>
      </c>
      <c r="BZ282">
        <f>BM282*COS(($BH282+3*($BI282-$BH282)/12))</f>
        <v/>
      </c>
      <c r="CA282">
        <f>BN282*COS(($BH282+4*($BI282-$BH282)/12))</f>
        <v/>
      </c>
      <c r="CB282">
        <f>BO282*COS(($BH282+5*($BI282-$BH282)/12))</f>
        <v/>
      </c>
      <c r="CC282">
        <f>BP282*COS(($BH282+6*($BI282-$BH282)/12))</f>
        <v/>
      </c>
      <c r="CD282">
        <f>BQ282*COS(($BH282+7*($BI282-$BH282)/12))</f>
        <v/>
      </c>
      <c r="CE282">
        <f>BR282*COS(($BH282+8*($BI282-$BH282)/12))</f>
        <v/>
      </c>
      <c r="CF282">
        <f>BS282*COS(($BH282+9*($BI282-$BH282)/12))</f>
        <v/>
      </c>
      <c r="CG282">
        <f>BT282*COS(($BH282+10*($BI282-$BH282)/12))</f>
        <v/>
      </c>
      <c r="CH282">
        <f>BU282*COS(($BH282+11*($BI282-$BH282)/12))</f>
        <v/>
      </c>
      <c r="CI282">
        <f>BV282*COS(($BH282+12*($BI282-$BH282)/12))</f>
        <v/>
      </c>
    </row>
    <row r="283">
      <c r="B283" s="65" t="n">
        <v>5</v>
      </c>
      <c r="C283" s="66">
        <f>IF($G282&lt;cc_NEd-1E-9*ABS(cc_NEd),($C282+$D282)/2,$C282)</f>
        <v/>
      </c>
      <c r="D283" s="66">
        <f>IF($G282&lt;cc_NEd-1E-9*ABS(cc_NEd),$D282,($C282+$D282)/2)</f>
        <v/>
      </c>
      <c r="E283" s="67">
        <f>cc_D*(($C283+$D283)/2)/(1-(($C283+$D283)/2))</f>
        <v/>
      </c>
      <c r="F283" s="68">
        <f>IF($E283&lt;=cc_D,3.5,2*$E283/($E283-3*cc_D/7))</f>
        <v/>
      </c>
      <c r="G283" s="67">
        <f>(fcd_cc*((cc_D/2)^2*($BI283-COS($BI283)*SIN($BI283))-2*(cc_D/2)^2*($BI283-$BH283)/12/3*SUMPRODUCT($BJ$4:$BV$4,$BJ283:$BV283))+SUMPRODUCT($J$5:$AG$5,$J283:$AG283))/1000</f>
        <v/>
      </c>
      <c r="H283" s="67">
        <f>(fcd_cc*(2/3*(cc_D/2)^3*SIN($BI283)^3-2*(cc_D/2)^3*($BI283-$BH283)/12/3*SUMPRODUCT($BW$4:$CI$4,$BW283:$CI283))+SUMPRODUCT($J$5:$AG$5,$J283:$AG283,$J$16:$AG$16))/1E6</f>
        <v/>
      </c>
      <c r="I283" s="67">
        <f>SUMPRODUCT($J$5:$AG$5,$J283:$AG283,$J$17:$AG$17)/1E6</f>
        <v/>
      </c>
      <c r="J283">
        <f>MAX(-fyd_cc,MIN(fyd_cc,Es_cc*IF($E283&lt;=cc_D,0.0035*($E283-J$15)/$E283,0.002*($E283-J$15)/($E283-3*cc_D/7))))-fcd_cc*(1-(1-MAX(0,MIN(1,IF($E283&lt;=cc_D,0.0035*($E283-J$15)/$E283,0.002*($E283-J$15)/($E283-3*cc_D/7))/0.002)))^2)</f>
        <v/>
      </c>
      <c r="K283">
        <f>MAX(-fyd_cc,MIN(fyd_cc,Es_cc*IF($E283&lt;=cc_D,0.0035*($E283-K$15)/$E283,0.002*($E283-K$15)/($E283-3*cc_D/7))))-fcd_cc*(1-(1-MAX(0,MIN(1,IF($E283&lt;=cc_D,0.0035*($E283-K$15)/$E283,0.002*($E283-K$15)/($E283-3*cc_D/7))/0.002)))^2)</f>
        <v/>
      </c>
      <c r="L283">
        <f>MAX(-fyd_cc,MIN(fyd_cc,Es_cc*IF($E283&lt;=cc_D,0.0035*($E283-L$15)/$E283,0.002*($E283-L$15)/($E283-3*cc_D/7))))-fcd_cc*(1-(1-MAX(0,MIN(1,IF($E283&lt;=cc_D,0.0035*($E283-L$15)/$E283,0.002*($E283-L$15)/($E283-3*cc_D/7))/0.002)))^2)</f>
        <v/>
      </c>
      <c r="M283">
        <f>MAX(-fyd_cc,MIN(fyd_cc,Es_cc*IF($E283&lt;=cc_D,0.0035*($E283-M$15)/$E283,0.002*($E283-M$15)/($E283-3*cc_D/7))))-fcd_cc*(1-(1-MAX(0,MIN(1,IF($E283&lt;=cc_D,0.0035*($E283-M$15)/$E283,0.002*($E283-M$15)/($E283-3*cc_D/7))/0.002)))^2)</f>
        <v/>
      </c>
      <c r="N283">
        <f>MAX(-fyd_cc,MIN(fyd_cc,Es_cc*IF($E283&lt;=cc_D,0.0035*($E283-N$15)/$E283,0.002*($E283-N$15)/($E283-3*cc_D/7))))-fcd_cc*(1-(1-MAX(0,MIN(1,IF($E283&lt;=cc_D,0.0035*($E283-N$15)/$E283,0.002*($E283-N$15)/($E283-3*cc_D/7))/0.002)))^2)</f>
        <v/>
      </c>
      <c r="O283">
        <f>MAX(-fyd_cc,MIN(fyd_cc,Es_cc*IF($E283&lt;=cc_D,0.0035*($E283-O$15)/$E283,0.002*($E283-O$15)/($E283-3*cc_D/7))))-fcd_cc*(1-(1-MAX(0,MIN(1,IF($E283&lt;=cc_D,0.0035*($E283-O$15)/$E283,0.002*($E283-O$15)/($E283-3*cc_D/7))/0.002)))^2)</f>
        <v/>
      </c>
      <c r="P283">
        <f>MAX(-fyd_cc,MIN(fyd_cc,Es_cc*IF($E283&lt;=cc_D,0.0035*($E283-P$15)/$E283,0.002*($E283-P$15)/($E283-3*cc_D/7))))-fcd_cc*(1-(1-MAX(0,MIN(1,IF($E283&lt;=cc_D,0.0035*($E283-P$15)/$E283,0.002*($E283-P$15)/($E283-3*cc_D/7))/0.002)))^2)</f>
        <v/>
      </c>
      <c r="Q283">
        <f>MAX(-fyd_cc,MIN(fyd_cc,Es_cc*IF($E283&lt;=cc_D,0.0035*($E283-Q$15)/$E283,0.002*($E283-Q$15)/($E283-3*cc_D/7))))-fcd_cc*(1-(1-MAX(0,MIN(1,IF($E283&lt;=cc_D,0.0035*($E283-Q$15)/$E283,0.002*($E283-Q$15)/($E283-3*cc_D/7))/0.002)))^2)</f>
        <v/>
      </c>
      <c r="R283">
        <f>MAX(-fyd_cc,MIN(fyd_cc,Es_cc*IF($E283&lt;=cc_D,0.0035*($E283-R$15)/$E283,0.002*($E283-R$15)/($E283-3*cc_D/7))))-fcd_cc*(1-(1-MAX(0,MIN(1,IF($E283&lt;=cc_D,0.0035*($E283-R$15)/$E283,0.002*($E283-R$15)/($E283-3*cc_D/7))/0.002)))^2)</f>
        <v/>
      </c>
      <c r="S283">
        <f>MAX(-fyd_cc,MIN(fyd_cc,Es_cc*IF($E283&lt;=cc_D,0.0035*($E283-S$15)/$E283,0.002*($E283-S$15)/($E283-3*cc_D/7))))-fcd_cc*(1-(1-MAX(0,MIN(1,IF($E283&lt;=cc_D,0.0035*($E283-S$15)/$E283,0.002*($E283-S$15)/($E283-3*cc_D/7))/0.002)))^2)</f>
        <v/>
      </c>
      <c r="T283">
        <f>MAX(-fyd_cc,MIN(fyd_cc,Es_cc*IF($E283&lt;=cc_D,0.0035*($E283-T$15)/$E283,0.002*($E283-T$15)/($E283-3*cc_D/7))))-fcd_cc*(1-(1-MAX(0,MIN(1,IF($E283&lt;=cc_D,0.0035*($E283-T$15)/$E283,0.002*($E283-T$15)/($E283-3*cc_D/7))/0.002)))^2)</f>
        <v/>
      </c>
      <c r="U283">
        <f>MAX(-fyd_cc,MIN(fyd_cc,Es_cc*IF($E283&lt;=cc_D,0.0035*($E283-U$15)/$E283,0.002*($E283-U$15)/($E283-3*cc_D/7))))-fcd_cc*(1-(1-MAX(0,MIN(1,IF($E283&lt;=cc_D,0.0035*($E283-U$15)/$E283,0.002*($E283-U$15)/($E283-3*cc_D/7))/0.002)))^2)</f>
        <v/>
      </c>
      <c r="V283">
        <f>MAX(-fyd_cc,MIN(fyd_cc,Es_cc*IF($E283&lt;=cc_D,0.0035*($E283-V$15)/$E283,0.002*($E283-V$15)/($E283-3*cc_D/7))))-fcd_cc*(1-(1-MAX(0,MIN(1,IF($E283&lt;=cc_D,0.0035*($E283-V$15)/$E283,0.002*($E283-V$15)/($E283-3*cc_D/7))/0.002)))^2)</f>
        <v/>
      </c>
      <c r="W283">
        <f>MAX(-fyd_cc,MIN(fyd_cc,Es_cc*IF($E283&lt;=cc_D,0.0035*($E283-W$15)/$E283,0.002*($E283-W$15)/($E283-3*cc_D/7))))-fcd_cc*(1-(1-MAX(0,MIN(1,IF($E283&lt;=cc_D,0.0035*($E283-W$15)/$E283,0.002*($E283-W$15)/($E283-3*cc_D/7))/0.002)))^2)</f>
        <v/>
      </c>
      <c r="X283">
        <f>MAX(-fyd_cc,MIN(fyd_cc,Es_cc*IF($E283&lt;=cc_D,0.0035*($E283-X$15)/$E283,0.002*($E283-X$15)/($E283-3*cc_D/7))))-fcd_cc*(1-(1-MAX(0,MIN(1,IF($E283&lt;=cc_D,0.0035*($E283-X$15)/$E283,0.002*($E283-X$15)/($E283-3*cc_D/7))/0.002)))^2)</f>
        <v/>
      </c>
      <c r="Y283">
        <f>MAX(-fyd_cc,MIN(fyd_cc,Es_cc*IF($E283&lt;=cc_D,0.0035*($E283-Y$15)/$E283,0.002*($E283-Y$15)/($E283-3*cc_D/7))))-fcd_cc*(1-(1-MAX(0,MIN(1,IF($E283&lt;=cc_D,0.0035*($E283-Y$15)/$E283,0.002*($E283-Y$15)/($E283-3*cc_D/7))/0.002)))^2)</f>
        <v/>
      </c>
      <c r="Z283">
        <f>MAX(-fyd_cc,MIN(fyd_cc,Es_cc*IF($E283&lt;=cc_D,0.0035*($E283-Z$15)/$E283,0.002*($E283-Z$15)/($E283-3*cc_D/7))))-fcd_cc*(1-(1-MAX(0,MIN(1,IF($E283&lt;=cc_D,0.0035*($E283-Z$15)/$E283,0.002*($E283-Z$15)/($E283-3*cc_D/7))/0.002)))^2)</f>
        <v/>
      </c>
      <c r="AA283">
        <f>MAX(-fyd_cc,MIN(fyd_cc,Es_cc*IF($E283&lt;=cc_D,0.0035*($E283-AA$15)/$E283,0.002*($E283-AA$15)/($E283-3*cc_D/7))))-fcd_cc*(1-(1-MAX(0,MIN(1,IF($E283&lt;=cc_D,0.0035*($E283-AA$15)/$E283,0.002*($E283-AA$15)/($E283-3*cc_D/7))/0.002)))^2)</f>
        <v/>
      </c>
      <c r="AB283">
        <f>MAX(-fyd_cc,MIN(fyd_cc,Es_cc*IF($E283&lt;=cc_D,0.0035*($E283-AB$15)/$E283,0.002*($E283-AB$15)/($E283-3*cc_D/7))))-fcd_cc*(1-(1-MAX(0,MIN(1,IF($E283&lt;=cc_D,0.0035*($E283-AB$15)/$E283,0.002*($E283-AB$15)/($E283-3*cc_D/7))/0.002)))^2)</f>
        <v/>
      </c>
      <c r="AC283">
        <f>MAX(-fyd_cc,MIN(fyd_cc,Es_cc*IF($E283&lt;=cc_D,0.0035*($E283-AC$15)/$E283,0.002*($E283-AC$15)/($E283-3*cc_D/7))))-fcd_cc*(1-(1-MAX(0,MIN(1,IF($E283&lt;=cc_D,0.0035*($E283-AC$15)/$E283,0.002*($E283-AC$15)/($E283-3*cc_D/7))/0.002)))^2)</f>
        <v/>
      </c>
      <c r="AD283">
        <f>MAX(-fyd_cc,MIN(fyd_cc,Es_cc*IF($E283&lt;=cc_D,0.0035*($E283-AD$15)/$E283,0.002*($E283-AD$15)/($E283-3*cc_D/7))))-fcd_cc*(1-(1-MAX(0,MIN(1,IF($E283&lt;=cc_D,0.0035*($E283-AD$15)/$E283,0.002*($E283-AD$15)/($E283-3*cc_D/7))/0.002)))^2)</f>
        <v/>
      </c>
      <c r="AE283">
        <f>MAX(-fyd_cc,MIN(fyd_cc,Es_cc*IF($E283&lt;=cc_D,0.0035*($E283-AE$15)/$E283,0.002*($E283-AE$15)/($E283-3*cc_D/7))))-fcd_cc*(1-(1-MAX(0,MIN(1,IF($E283&lt;=cc_D,0.0035*($E283-AE$15)/$E283,0.002*($E283-AE$15)/($E283-3*cc_D/7))/0.002)))^2)</f>
        <v/>
      </c>
      <c r="AF283">
        <f>MAX(-fyd_cc,MIN(fyd_cc,Es_cc*IF($E283&lt;=cc_D,0.0035*($E283-AF$15)/$E283,0.002*($E283-AF$15)/($E283-3*cc_D/7))))-fcd_cc*(1-(1-MAX(0,MIN(1,IF($E283&lt;=cc_D,0.0035*($E283-AF$15)/$E283,0.002*($E283-AF$15)/($E283-3*cc_D/7))/0.002)))^2)</f>
        <v/>
      </c>
      <c r="AG283">
        <f>MAX(-fyd_cc,MIN(fyd_cc,Es_cc*IF($E283&lt;=cc_D,0.0035*($E283-AG$15)/$E283,0.002*($E283-AG$15)/($E283-3*cc_D/7))))-fcd_cc*(1-(1-MAX(0,MIN(1,IF($E283&lt;=cc_D,0.0035*($E283-AG$15)/$E283,0.002*($E283-AG$15)/($E283-3*cc_D/7))/0.002)))^2)</f>
        <v/>
      </c>
      <c r="BF283">
        <f>3*MIN($E283,cc_D)/7</f>
        <v/>
      </c>
      <c r="BG283">
        <f>$E283-$BF283</f>
        <v/>
      </c>
      <c r="BH283">
        <f>ACOS(MAX(-1,MIN(1,1-$BF283/(cc_D/2))))</f>
        <v/>
      </c>
      <c r="BI283">
        <f>ACOS(MAX(-1,MIN(1,1-MIN($E283,cc_D)/(cc_D/2))))</f>
        <v/>
      </c>
      <c r="BJ283">
        <f>((cc_D/2*(1-COS(($BH283+0*($BI283-$BH283)/12)))-$BF283)/$BG283)^2*SIN(($BH283+0*($BI283-$BH283)/12))^2</f>
        <v/>
      </c>
      <c r="BK283">
        <f>((cc_D/2*(1-COS(($BH283+1*($BI283-$BH283)/12)))-$BF283)/$BG283)^2*SIN(($BH283+1*($BI283-$BH283)/12))^2</f>
        <v/>
      </c>
      <c r="BL283">
        <f>((cc_D/2*(1-COS(($BH283+2*($BI283-$BH283)/12)))-$BF283)/$BG283)^2*SIN(($BH283+2*($BI283-$BH283)/12))^2</f>
        <v/>
      </c>
      <c r="BM283">
        <f>((cc_D/2*(1-COS(($BH283+3*($BI283-$BH283)/12)))-$BF283)/$BG283)^2*SIN(($BH283+3*($BI283-$BH283)/12))^2</f>
        <v/>
      </c>
      <c r="BN283">
        <f>((cc_D/2*(1-COS(($BH283+4*($BI283-$BH283)/12)))-$BF283)/$BG283)^2*SIN(($BH283+4*($BI283-$BH283)/12))^2</f>
        <v/>
      </c>
      <c r="BO283">
        <f>((cc_D/2*(1-COS(($BH283+5*($BI283-$BH283)/12)))-$BF283)/$BG283)^2*SIN(($BH283+5*($BI283-$BH283)/12))^2</f>
        <v/>
      </c>
      <c r="BP283">
        <f>((cc_D/2*(1-COS(($BH283+6*($BI283-$BH283)/12)))-$BF283)/$BG283)^2*SIN(($BH283+6*($BI283-$BH283)/12))^2</f>
        <v/>
      </c>
      <c r="BQ283">
        <f>((cc_D/2*(1-COS(($BH283+7*($BI283-$BH283)/12)))-$BF283)/$BG283)^2*SIN(($BH283+7*($BI283-$BH283)/12))^2</f>
        <v/>
      </c>
      <c r="BR283">
        <f>((cc_D/2*(1-COS(($BH283+8*($BI283-$BH283)/12)))-$BF283)/$BG283)^2*SIN(($BH283+8*($BI283-$BH283)/12))^2</f>
        <v/>
      </c>
      <c r="BS283">
        <f>((cc_D/2*(1-COS(($BH283+9*($BI283-$BH283)/12)))-$BF283)/$BG283)^2*SIN(($BH283+9*($BI283-$BH283)/12))^2</f>
        <v/>
      </c>
      <c r="BT283">
        <f>((cc_D/2*(1-COS(($BH283+10*($BI283-$BH283)/12)))-$BF283)/$BG283)^2*SIN(($BH283+10*($BI283-$BH283)/12))^2</f>
        <v/>
      </c>
      <c r="BU283">
        <f>((cc_D/2*(1-COS(($BH283+11*($BI283-$BH283)/12)))-$BF283)/$BG283)^2*SIN(($BH283+11*($BI283-$BH283)/12))^2</f>
        <v/>
      </c>
      <c r="BV283">
        <f>((cc_D/2*(1-COS(($BH283+12*($BI283-$BH283)/12)))-$BF283)/$BG283)^2*SIN(($BH283+12*($BI283-$BH283)/12))^2</f>
        <v/>
      </c>
      <c r="BW283">
        <f>BJ283*COS(($BH283+0*($BI283-$BH283)/12))</f>
        <v/>
      </c>
      <c r="BX283">
        <f>BK283*COS(($BH283+1*($BI283-$BH283)/12))</f>
        <v/>
      </c>
      <c r="BY283">
        <f>BL283*COS(($BH283+2*($BI283-$BH283)/12))</f>
        <v/>
      </c>
      <c r="BZ283">
        <f>BM283*COS(($BH283+3*($BI283-$BH283)/12))</f>
        <v/>
      </c>
      <c r="CA283">
        <f>BN283*COS(($BH283+4*($BI283-$BH283)/12))</f>
        <v/>
      </c>
      <c r="CB283">
        <f>BO283*COS(($BH283+5*($BI283-$BH283)/12))</f>
        <v/>
      </c>
      <c r="CC283">
        <f>BP283*COS(($BH283+6*($BI283-$BH283)/12))</f>
        <v/>
      </c>
      <c r="CD283">
        <f>BQ283*COS(($BH283+7*($BI283-$BH283)/12))</f>
        <v/>
      </c>
      <c r="CE283">
        <f>BR283*COS(($BH283+8*($BI283-$BH283)/12))</f>
        <v/>
      </c>
      <c r="CF283">
        <f>BS283*COS(($BH283+9*($BI283-$BH283)/12))</f>
        <v/>
      </c>
      <c r="CG283">
        <f>BT283*COS(($BH283+10*($BI283-$BH283)/12))</f>
        <v/>
      </c>
      <c r="CH283">
        <f>BU283*COS(($BH283+11*($BI283-$BH283)/12))</f>
        <v/>
      </c>
      <c r="CI283">
        <f>BV283*COS(($BH283+12*($BI283-$BH283)/12))</f>
        <v/>
      </c>
    </row>
    <row r="284">
      <c r="B284" s="65" t="n">
        <v>6</v>
      </c>
      <c r="C284" s="66">
        <f>IF($G283&lt;cc_NEd-1E-9*ABS(cc_NEd),($C283+$D283)/2,$C283)</f>
        <v/>
      </c>
      <c r="D284" s="66">
        <f>IF($G283&lt;cc_NEd-1E-9*ABS(cc_NEd),$D283,($C283+$D283)/2)</f>
        <v/>
      </c>
      <c r="E284" s="67">
        <f>cc_D*(($C284+$D284)/2)/(1-(($C284+$D284)/2))</f>
        <v/>
      </c>
      <c r="F284" s="68">
        <f>IF($E284&lt;=cc_D,3.5,2*$E284/($E284-3*cc_D/7))</f>
        <v/>
      </c>
      <c r="G284" s="67">
        <f>(fcd_cc*((cc_D/2)^2*($BI284-COS($BI284)*SIN($BI284))-2*(cc_D/2)^2*($BI284-$BH284)/12/3*SUMPRODUCT($BJ$4:$BV$4,$BJ284:$BV284))+SUMPRODUCT($J$5:$AG$5,$J284:$AG284))/1000</f>
        <v/>
      </c>
      <c r="H284" s="67">
        <f>(fcd_cc*(2/3*(cc_D/2)^3*SIN($BI284)^3-2*(cc_D/2)^3*($BI284-$BH284)/12/3*SUMPRODUCT($BW$4:$CI$4,$BW284:$CI284))+SUMPRODUCT($J$5:$AG$5,$J284:$AG284,$J$16:$AG$16))/1E6</f>
        <v/>
      </c>
      <c r="I284" s="67">
        <f>SUMPRODUCT($J$5:$AG$5,$J284:$AG284,$J$17:$AG$17)/1E6</f>
        <v/>
      </c>
      <c r="J284">
        <f>MAX(-fyd_cc,MIN(fyd_cc,Es_cc*IF($E284&lt;=cc_D,0.0035*($E284-J$15)/$E284,0.002*($E284-J$15)/($E284-3*cc_D/7))))-fcd_cc*(1-(1-MAX(0,MIN(1,IF($E284&lt;=cc_D,0.0035*($E284-J$15)/$E284,0.002*($E284-J$15)/($E284-3*cc_D/7))/0.002)))^2)</f>
        <v/>
      </c>
      <c r="K284">
        <f>MAX(-fyd_cc,MIN(fyd_cc,Es_cc*IF($E284&lt;=cc_D,0.0035*($E284-K$15)/$E284,0.002*($E284-K$15)/($E284-3*cc_D/7))))-fcd_cc*(1-(1-MAX(0,MIN(1,IF($E284&lt;=cc_D,0.0035*($E284-K$15)/$E284,0.002*($E284-K$15)/($E284-3*cc_D/7))/0.002)))^2)</f>
        <v/>
      </c>
      <c r="L284">
        <f>MAX(-fyd_cc,MIN(fyd_cc,Es_cc*IF($E284&lt;=cc_D,0.0035*($E284-L$15)/$E284,0.002*($E284-L$15)/($E284-3*cc_D/7))))-fcd_cc*(1-(1-MAX(0,MIN(1,IF($E284&lt;=cc_D,0.0035*($E284-L$15)/$E284,0.002*($E284-L$15)/($E284-3*cc_D/7))/0.002)))^2)</f>
        <v/>
      </c>
      <c r="M284">
        <f>MAX(-fyd_cc,MIN(fyd_cc,Es_cc*IF($E284&lt;=cc_D,0.0035*($E284-M$15)/$E284,0.002*($E284-M$15)/($E284-3*cc_D/7))))-fcd_cc*(1-(1-MAX(0,MIN(1,IF($E284&lt;=cc_D,0.0035*($E284-M$15)/$E284,0.002*($E284-M$15)/($E284-3*cc_D/7))/0.002)))^2)</f>
        <v/>
      </c>
      <c r="N284">
        <f>MAX(-fyd_cc,MIN(fyd_cc,Es_cc*IF($E284&lt;=cc_D,0.0035*($E284-N$15)/$E284,0.002*($E284-N$15)/($E284-3*cc_D/7))))-fcd_cc*(1-(1-MAX(0,MIN(1,IF($E284&lt;=cc_D,0.0035*($E284-N$15)/$E284,0.002*($E284-N$15)/($E284-3*cc_D/7))/0.002)))^2)</f>
        <v/>
      </c>
      <c r="O284">
        <f>MAX(-fyd_cc,MIN(fyd_cc,Es_cc*IF($E284&lt;=cc_D,0.0035*($E284-O$15)/$E284,0.002*($E284-O$15)/($E284-3*cc_D/7))))-fcd_cc*(1-(1-MAX(0,MIN(1,IF($E284&lt;=cc_D,0.0035*($E284-O$15)/$E284,0.002*($E284-O$15)/($E284-3*cc_D/7))/0.002)))^2)</f>
        <v/>
      </c>
      <c r="P284">
        <f>MAX(-fyd_cc,MIN(fyd_cc,Es_cc*IF($E284&lt;=cc_D,0.0035*($E284-P$15)/$E284,0.002*($E284-P$15)/($E284-3*cc_D/7))))-fcd_cc*(1-(1-MAX(0,MIN(1,IF($E284&lt;=cc_D,0.0035*($E284-P$15)/$E284,0.002*($E284-P$15)/($E284-3*cc_D/7))/0.002)))^2)</f>
        <v/>
      </c>
      <c r="Q284">
        <f>MAX(-fyd_cc,MIN(fyd_cc,Es_cc*IF($E284&lt;=cc_D,0.0035*($E284-Q$15)/$E284,0.002*($E284-Q$15)/($E284-3*cc_D/7))))-fcd_cc*(1-(1-MAX(0,MIN(1,IF($E284&lt;=cc_D,0.0035*($E284-Q$15)/$E284,0.002*($E284-Q$15)/($E284-3*cc_D/7))/0.002)))^2)</f>
        <v/>
      </c>
      <c r="R284">
        <f>MAX(-fyd_cc,MIN(fyd_cc,Es_cc*IF($E284&lt;=cc_D,0.0035*($E284-R$15)/$E284,0.002*($E284-R$15)/($E284-3*cc_D/7))))-fcd_cc*(1-(1-MAX(0,MIN(1,IF($E284&lt;=cc_D,0.0035*($E284-R$15)/$E284,0.002*($E284-R$15)/($E284-3*cc_D/7))/0.002)))^2)</f>
        <v/>
      </c>
      <c r="S284">
        <f>MAX(-fyd_cc,MIN(fyd_cc,Es_cc*IF($E284&lt;=cc_D,0.0035*($E284-S$15)/$E284,0.002*($E284-S$15)/($E284-3*cc_D/7))))-fcd_cc*(1-(1-MAX(0,MIN(1,IF($E284&lt;=cc_D,0.0035*($E284-S$15)/$E284,0.002*($E284-S$15)/($E284-3*cc_D/7))/0.002)))^2)</f>
        <v/>
      </c>
      <c r="T284">
        <f>MAX(-fyd_cc,MIN(fyd_cc,Es_cc*IF($E284&lt;=cc_D,0.0035*($E284-T$15)/$E284,0.002*($E284-T$15)/($E284-3*cc_D/7))))-fcd_cc*(1-(1-MAX(0,MIN(1,IF($E284&lt;=cc_D,0.0035*($E284-T$15)/$E284,0.002*($E284-T$15)/($E284-3*cc_D/7))/0.002)))^2)</f>
        <v/>
      </c>
      <c r="U284">
        <f>MAX(-fyd_cc,MIN(fyd_cc,Es_cc*IF($E284&lt;=cc_D,0.0035*($E284-U$15)/$E284,0.002*($E284-U$15)/($E284-3*cc_D/7))))-fcd_cc*(1-(1-MAX(0,MIN(1,IF($E284&lt;=cc_D,0.0035*($E284-U$15)/$E284,0.002*($E284-U$15)/($E284-3*cc_D/7))/0.002)))^2)</f>
        <v/>
      </c>
      <c r="V284">
        <f>MAX(-fyd_cc,MIN(fyd_cc,Es_cc*IF($E284&lt;=cc_D,0.0035*($E284-V$15)/$E284,0.002*($E284-V$15)/($E284-3*cc_D/7))))-fcd_cc*(1-(1-MAX(0,MIN(1,IF($E284&lt;=cc_D,0.0035*($E284-V$15)/$E284,0.002*($E284-V$15)/($E284-3*cc_D/7))/0.002)))^2)</f>
        <v/>
      </c>
      <c r="W284">
        <f>MAX(-fyd_cc,MIN(fyd_cc,Es_cc*IF($E284&lt;=cc_D,0.0035*($E284-W$15)/$E284,0.002*($E284-W$15)/($E284-3*cc_D/7))))-fcd_cc*(1-(1-MAX(0,MIN(1,IF($E284&lt;=cc_D,0.0035*($E284-W$15)/$E284,0.002*($E284-W$15)/($E284-3*cc_D/7))/0.002)))^2)</f>
        <v/>
      </c>
      <c r="X284">
        <f>MAX(-fyd_cc,MIN(fyd_cc,Es_cc*IF($E284&lt;=cc_D,0.0035*($E284-X$15)/$E284,0.002*($E284-X$15)/($E284-3*cc_D/7))))-fcd_cc*(1-(1-MAX(0,MIN(1,IF($E284&lt;=cc_D,0.0035*($E284-X$15)/$E284,0.002*($E284-X$15)/($E284-3*cc_D/7))/0.002)))^2)</f>
        <v/>
      </c>
      <c r="Y284">
        <f>MAX(-fyd_cc,MIN(fyd_cc,Es_cc*IF($E284&lt;=cc_D,0.0035*($E284-Y$15)/$E284,0.002*($E284-Y$15)/($E284-3*cc_D/7))))-fcd_cc*(1-(1-MAX(0,MIN(1,IF($E284&lt;=cc_D,0.0035*($E284-Y$15)/$E284,0.002*($E284-Y$15)/($E284-3*cc_D/7))/0.002)))^2)</f>
        <v/>
      </c>
      <c r="Z284">
        <f>MAX(-fyd_cc,MIN(fyd_cc,Es_cc*IF($E284&lt;=cc_D,0.0035*($E284-Z$15)/$E284,0.002*($E284-Z$15)/($E284-3*cc_D/7))))-fcd_cc*(1-(1-MAX(0,MIN(1,IF($E284&lt;=cc_D,0.0035*($E284-Z$15)/$E284,0.002*($E284-Z$15)/($E284-3*cc_D/7))/0.002)))^2)</f>
        <v/>
      </c>
      <c r="AA284">
        <f>MAX(-fyd_cc,MIN(fyd_cc,Es_cc*IF($E284&lt;=cc_D,0.0035*($E284-AA$15)/$E284,0.002*($E284-AA$15)/($E284-3*cc_D/7))))-fcd_cc*(1-(1-MAX(0,MIN(1,IF($E284&lt;=cc_D,0.0035*($E284-AA$15)/$E284,0.002*($E284-AA$15)/($E284-3*cc_D/7))/0.002)))^2)</f>
        <v/>
      </c>
      <c r="AB284">
        <f>MAX(-fyd_cc,MIN(fyd_cc,Es_cc*IF($E284&lt;=cc_D,0.0035*($E284-AB$15)/$E284,0.002*($E284-AB$15)/($E284-3*cc_D/7))))-fcd_cc*(1-(1-MAX(0,MIN(1,IF($E284&lt;=cc_D,0.0035*($E284-AB$15)/$E284,0.002*($E284-AB$15)/($E284-3*cc_D/7))/0.002)))^2)</f>
        <v/>
      </c>
      <c r="AC284">
        <f>MAX(-fyd_cc,MIN(fyd_cc,Es_cc*IF($E284&lt;=cc_D,0.0035*($E284-AC$15)/$E284,0.002*($E284-AC$15)/($E284-3*cc_D/7))))-fcd_cc*(1-(1-MAX(0,MIN(1,IF($E284&lt;=cc_D,0.0035*($E284-AC$15)/$E284,0.002*($E284-AC$15)/($E284-3*cc_D/7))/0.002)))^2)</f>
        <v/>
      </c>
      <c r="AD284">
        <f>MAX(-fyd_cc,MIN(fyd_cc,Es_cc*IF($E284&lt;=cc_D,0.0035*($E284-AD$15)/$E284,0.002*($E284-AD$15)/($E284-3*cc_D/7))))-fcd_cc*(1-(1-MAX(0,MIN(1,IF($E284&lt;=cc_D,0.0035*($E284-AD$15)/$E284,0.002*($E284-AD$15)/($E284-3*cc_D/7))/0.002)))^2)</f>
        <v/>
      </c>
      <c r="AE284">
        <f>MAX(-fyd_cc,MIN(fyd_cc,Es_cc*IF($E284&lt;=cc_D,0.0035*($E284-AE$15)/$E284,0.002*($E284-AE$15)/($E284-3*cc_D/7))))-fcd_cc*(1-(1-MAX(0,MIN(1,IF($E284&lt;=cc_D,0.0035*($E284-AE$15)/$E284,0.002*($E284-AE$15)/($E284-3*cc_D/7))/0.002)))^2)</f>
        <v/>
      </c>
      <c r="AF284">
        <f>MAX(-fyd_cc,MIN(fyd_cc,Es_cc*IF($E284&lt;=cc_D,0.0035*($E284-AF$15)/$E284,0.002*($E284-AF$15)/($E284-3*cc_D/7))))-fcd_cc*(1-(1-MAX(0,MIN(1,IF($E284&lt;=cc_D,0.0035*($E284-AF$15)/$E284,0.002*($E284-AF$15)/($E284-3*cc_D/7))/0.002)))^2)</f>
        <v/>
      </c>
      <c r="AG284">
        <f>MAX(-fyd_cc,MIN(fyd_cc,Es_cc*IF($E284&lt;=cc_D,0.0035*($E284-AG$15)/$E284,0.002*($E284-AG$15)/($E284-3*cc_D/7))))-fcd_cc*(1-(1-MAX(0,MIN(1,IF($E284&lt;=cc_D,0.0035*($E284-AG$15)/$E284,0.002*($E284-AG$15)/($E284-3*cc_D/7))/0.002)))^2)</f>
        <v/>
      </c>
      <c r="BF284">
        <f>3*MIN($E284,cc_D)/7</f>
        <v/>
      </c>
      <c r="BG284">
        <f>$E284-$BF284</f>
        <v/>
      </c>
      <c r="BH284">
        <f>ACOS(MAX(-1,MIN(1,1-$BF284/(cc_D/2))))</f>
        <v/>
      </c>
      <c r="BI284">
        <f>ACOS(MAX(-1,MIN(1,1-MIN($E284,cc_D)/(cc_D/2))))</f>
        <v/>
      </c>
      <c r="BJ284">
        <f>((cc_D/2*(1-COS(($BH284+0*($BI284-$BH284)/12)))-$BF284)/$BG284)^2*SIN(($BH284+0*($BI284-$BH284)/12))^2</f>
        <v/>
      </c>
      <c r="BK284">
        <f>((cc_D/2*(1-COS(($BH284+1*($BI284-$BH284)/12)))-$BF284)/$BG284)^2*SIN(($BH284+1*($BI284-$BH284)/12))^2</f>
        <v/>
      </c>
      <c r="BL284">
        <f>((cc_D/2*(1-COS(($BH284+2*($BI284-$BH284)/12)))-$BF284)/$BG284)^2*SIN(($BH284+2*($BI284-$BH284)/12))^2</f>
        <v/>
      </c>
      <c r="BM284">
        <f>((cc_D/2*(1-COS(($BH284+3*($BI284-$BH284)/12)))-$BF284)/$BG284)^2*SIN(($BH284+3*($BI284-$BH284)/12))^2</f>
        <v/>
      </c>
      <c r="BN284">
        <f>((cc_D/2*(1-COS(($BH284+4*($BI284-$BH284)/12)))-$BF284)/$BG284)^2*SIN(($BH284+4*($BI284-$BH284)/12))^2</f>
        <v/>
      </c>
      <c r="BO284">
        <f>((cc_D/2*(1-COS(($BH284+5*($BI284-$BH284)/12)))-$BF284)/$BG284)^2*SIN(($BH284+5*($BI284-$BH284)/12))^2</f>
        <v/>
      </c>
      <c r="BP284">
        <f>((cc_D/2*(1-COS(($BH284+6*($BI284-$BH284)/12)))-$BF284)/$BG284)^2*SIN(($BH284+6*($BI284-$BH284)/12))^2</f>
        <v/>
      </c>
      <c r="BQ284">
        <f>((cc_D/2*(1-COS(($BH284+7*($BI284-$BH284)/12)))-$BF284)/$BG284)^2*SIN(($BH284+7*($BI284-$BH284)/12))^2</f>
        <v/>
      </c>
      <c r="BR284">
        <f>((cc_D/2*(1-COS(($BH284+8*($BI284-$BH284)/12)))-$BF284)/$BG284)^2*SIN(($BH284+8*($BI284-$BH284)/12))^2</f>
        <v/>
      </c>
      <c r="BS284">
        <f>((cc_D/2*(1-COS(($BH284+9*($BI284-$BH284)/12)))-$BF284)/$BG284)^2*SIN(($BH284+9*($BI284-$BH284)/12))^2</f>
        <v/>
      </c>
      <c r="BT284">
        <f>((cc_D/2*(1-COS(($BH284+10*($BI284-$BH284)/12)))-$BF284)/$BG284)^2*SIN(($BH284+10*($BI284-$BH284)/12))^2</f>
        <v/>
      </c>
      <c r="BU284">
        <f>((cc_D/2*(1-COS(($BH284+11*($BI284-$BH284)/12)))-$BF284)/$BG284)^2*SIN(($BH284+11*($BI284-$BH284)/12))^2</f>
        <v/>
      </c>
      <c r="BV284">
        <f>((cc_D/2*(1-COS(($BH284+12*($BI284-$BH284)/12)))-$BF284)/$BG284)^2*SIN(($BH284+12*($BI284-$BH284)/12))^2</f>
        <v/>
      </c>
      <c r="BW284">
        <f>BJ284*COS(($BH284+0*($BI284-$BH284)/12))</f>
        <v/>
      </c>
      <c r="BX284">
        <f>BK284*COS(($BH284+1*($BI284-$BH284)/12))</f>
        <v/>
      </c>
      <c r="BY284">
        <f>BL284*COS(($BH284+2*($BI284-$BH284)/12))</f>
        <v/>
      </c>
      <c r="BZ284">
        <f>BM284*COS(($BH284+3*($BI284-$BH284)/12))</f>
        <v/>
      </c>
      <c r="CA284">
        <f>BN284*COS(($BH284+4*($BI284-$BH284)/12))</f>
        <v/>
      </c>
      <c r="CB284">
        <f>BO284*COS(($BH284+5*($BI284-$BH284)/12))</f>
        <v/>
      </c>
      <c r="CC284">
        <f>BP284*COS(($BH284+6*($BI284-$BH284)/12))</f>
        <v/>
      </c>
      <c r="CD284">
        <f>BQ284*COS(($BH284+7*($BI284-$BH284)/12))</f>
        <v/>
      </c>
      <c r="CE284">
        <f>BR284*COS(($BH284+8*($BI284-$BH284)/12))</f>
        <v/>
      </c>
      <c r="CF284">
        <f>BS284*COS(($BH284+9*($BI284-$BH284)/12))</f>
        <v/>
      </c>
      <c r="CG284">
        <f>BT284*COS(($BH284+10*($BI284-$BH284)/12))</f>
        <v/>
      </c>
      <c r="CH284">
        <f>BU284*COS(($BH284+11*($BI284-$BH284)/12))</f>
        <v/>
      </c>
      <c r="CI284">
        <f>BV284*COS(($BH284+12*($BI284-$BH284)/12))</f>
        <v/>
      </c>
    </row>
    <row r="285">
      <c r="B285" s="65" t="n">
        <v>7</v>
      </c>
      <c r="C285" s="66">
        <f>IF($G284&lt;cc_NEd-1E-9*ABS(cc_NEd),($C284+$D284)/2,$C284)</f>
        <v/>
      </c>
      <c r="D285" s="66">
        <f>IF($G284&lt;cc_NEd-1E-9*ABS(cc_NEd),$D284,($C284+$D284)/2)</f>
        <v/>
      </c>
      <c r="E285" s="67">
        <f>cc_D*(($C285+$D285)/2)/(1-(($C285+$D285)/2))</f>
        <v/>
      </c>
      <c r="F285" s="68">
        <f>IF($E285&lt;=cc_D,3.5,2*$E285/($E285-3*cc_D/7))</f>
        <v/>
      </c>
      <c r="G285" s="67">
        <f>(fcd_cc*((cc_D/2)^2*($BI285-COS($BI285)*SIN($BI285))-2*(cc_D/2)^2*($BI285-$BH285)/12/3*SUMPRODUCT($BJ$4:$BV$4,$BJ285:$BV285))+SUMPRODUCT($J$5:$AG$5,$J285:$AG285))/1000</f>
        <v/>
      </c>
      <c r="H285" s="67">
        <f>(fcd_cc*(2/3*(cc_D/2)^3*SIN($BI285)^3-2*(cc_D/2)^3*($BI285-$BH285)/12/3*SUMPRODUCT($BW$4:$CI$4,$BW285:$CI285))+SUMPRODUCT($J$5:$AG$5,$J285:$AG285,$J$16:$AG$16))/1E6</f>
        <v/>
      </c>
      <c r="I285" s="67">
        <f>SUMPRODUCT($J$5:$AG$5,$J285:$AG285,$J$17:$AG$17)/1E6</f>
        <v/>
      </c>
      <c r="J285">
        <f>MAX(-fyd_cc,MIN(fyd_cc,Es_cc*IF($E285&lt;=cc_D,0.0035*($E285-J$15)/$E285,0.002*($E285-J$15)/($E285-3*cc_D/7))))-fcd_cc*(1-(1-MAX(0,MIN(1,IF($E285&lt;=cc_D,0.0035*($E285-J$15)/$E285,0.002*($E285-J$15)/($E285-3*cc_D/7))/0.002)))^2)</f>
        <v/>
      </c>
      <c r="K285">
        <f>MAX(-fyd_cc,MIN(fyd_cc,Es_cc*IF($E285&lt;=cc_D,0.0035*($E285-K$15)/$E285,0.002*($E285-K$15)/($E285-3*cc_D/7))))-fcd_cc*(1-(1-MAX(0,MIN(1,IF($E285&lt;=cc_D,0.0035*($E285-K$15)/$E285,0.002*($E285-K$15)/($E285-3*cc_D/7))/0.002)))^2)</f>
        <v/>
      </c>
      <c r="L285">
        <f>MAX(-fyd_cc,MIN(fyd_cc,Es_cc*IF($E285&lt;=cc_D,0.0035*($E285-L$15)/$E285,0.002*($E285-L$15)/($E285-3*cc_D/7))))-fcd_cc*(1-(1-MAX(0,MIN(1,IF($E285&lt;=cc_D,0.0035*($E285-L$15)/$E285,0.002*($E285-L$15)/($E285-3*cc_D/7))/0.002)))^2)</f>
        <v/>
      </c>
      <c r="M285">
        <f>MAX(-fyd_cc,MIN(fyd_cc,Es_cc*IF($E285&lt;=cc_D,0.0035*($E285-M$15)/$E285,0.002*($E285-M$15)/($E285-3*cc_D/7))))-fcd_cc*(1-(1-MAX(0,MIN(1,IF($E285&lt;=cc_D,0.0035*($E285-M$15)/$E285,0.002*($E285-M$15)/($E285-3*cc_D/7))/0.002)))^2)</f>
        <v/>
      </c>
      <c r="N285">
        <f>MAX(-fyd_cc,MIN(fyd_cc,Es_cc*IF($E285&lt;=cc_D,0.0035*($E285-N$15)/$E285,0.002*($E285-N$15)/($E285-3*cc_D/7))))-fcd_cc*(1-(1-MAX(0,MIN(1,IF($E285&lt;=cc_D,0.0035*($E285-N$15)/$E285,0.002*($E285-N$15)/($E285-3*cc_D/7))/0.002)))^2)</f>
        <v/>
      </c>
      <c r="O285">
        <f>MAX(-fyd_cc,MIN(fyd_cc,Es_cc*IF($E285&lt;=cc_D,0.0035*($E285-O$15)/$E285,0.002*($E285-O$15)/($E285-3*cc_D/7))))-fcd_cc*(1-(1-MAX(0,MIN(1,IF($E285&lt;=cc_D,0.0035*($E285-O$15)/$E285,0.002*($E285-O$15)/($E285-3*cc_D/7))/0.002)))^2)</f>
        <v/>
      </c>
      <c r="P285">
        <f>MAX(-fyd_cc,MIN(fyd_cc,Es_cc*IF($E285&lt;=cc_D,0.0035*($E285-P$15)/$E285,0.002*($E285-P$15)/($E285-3*cc_D/7))))-fcd_cc*(1-(1-MAX(0,MIN(1,IF($E285&lt;=cc_D,0.0035*($E285-P$15)/$E285,0.002*($E285-P$15)/($E285-3*cc_D/7))/0.002)))^2)</f>
        <v/>
      </c>
      <c r="Q285">
        <f>MAX(-fyd_cc,MIN(fyd_cc,Es_cc*IF($E285&lt;=cc_D,0.0035*($E285-Q$15)/$E285,0.002*($E285-Q$15)/($E285-3*cc_D/7))))-fcd_cc*(1-(1-MAX(0,MIN(1,IF($E285&lt;=cc_D,0.0035*($E285-Q$15)/$E285,0.002*($E285-Q$15)/($E285-3*cc_D/7))/0.002)))^2)</f>
        <v/>
      </c>
      <c r="R285">
        <f>MAX(-fyd_cc,MIN(fyd_cc,Es_cc*IF($E285&lt;=cc_D,0.0035*($E285-R$15)/$E285,0.002*($E285-R$15)/($E285-3*cc_D/7))))-fcd_cc*(1-(1-MAX(0,MIN(1,IF($E285&lt;=cc_D,0.0035*($E285-R$15)/$E285,0.002*($E285-R$15)/($E285-3*cc_D/7))/0.002)))^2)</f>
        <v/>
      </c>
      <c r="S285">
        <f>MAX(-fyd_cc,MIN(fyd_cc,Es_cc*IF($E285&lt;=cc_D,0.0035*($E285-S$15)/$E285,0.002*($E285-S$15)/($E285-3*cc_D/7))))-fcd_cc*(1-(1-MAX(0,MIN(1,IF($E285&lt;=cc_D,0.0035*($E285-S$15)/$E285,0.002*($E285-S$15)/($E285-3*cc_D/7))/0.002)))^2)</f>
        <v/>
      </c>
      <c r="T285">
        <f>MAX(-fyd_cc,MIN(fyd_cc,Es_cc*IF($E285&lt;=cc_D,0.0035*($E285-T$15)/$E285,0.002*($E285-T$15)/($E285-3*cc_D/7))))-fcd_cc*(1-(1-MAX(0,MIN(1,IF($E285&lt;=cc_D,0.0035*($E285-T$15)/$E285,0.002*($E285-T$15)/($E285-3*cc_D/7))/0.002)))^2)</f>
        <v/>
      </c>
      <c r="U285">
        <f>MAX(-fyd_cc,MIN(fyd_cc,Es_cc*IF($E285&lt;=cc_D,0.0035*($E285-U$15)/$E285,0.002*($E285-U$15)/($E285-3*cc_D/7))))-fcd_cc*(1-(1-MAX(0,MIN(1,IF($E285&lt;=cc_D,0.0035*($E285-U$15)/$E285,0.002*($E285-U$15)/($E285-3*cc_D/7))/0.002)))^2)</f>
        <v/>
      </c>
      <c r="V285">
        <f>MAX(-fyd_cc,MIN(fyd_cc,Es_cc*IF($E285&lt;=cc_D,0.0035*($E285-V$15)/$E285,0.002*($E285-V$15)/($E285-3*cc_D/7))))-fcd_cc*(1-(1-MAX(0,MIN(1,IF($E285&lt;=cc_D,0.0035*($E285-V$15)/$E285,0.002*($E285-V$15)/($E285-3*cc_D/7))/0.002)))^2)</f>
        <v/>
      </c>
      <c r="W285">
        <f>MAX(-fyd_cc,MIN(fyd_cc,Es_cc*IF($E285&lt;=cc_D,0.0035*($E285-W$15)/$E285,0.002*($E285-W$15)/($E285-3*cc_D/7))))-fcd_cc*(1-(1-MAX(0,MIN(1,IF($E285&lt;=cc_D,0.0035*($E285-W$15)/$E285,0.002*($E285-W$15)/($E285-3*cc_D/7))/0.002)))^2)</f>
        <v/>
      </c>
      <c r="X285">
        <f>MAX(-fyd_cc,MIN(fyd_cc,Es_cc*IF($E285&lt;=cc_D,0.0035*($E285-X$15)/$E285,0.002*($E285-X$15)/($E285-3*cc_D/7))))-fcd_cc*(1-(1-MAX(0,MIN(1,IF($E285&lt;=cc_D,0.0035*($E285-X$15)/$E285,0.002*($E285-X$15)/($E285-3*cc_D/7))/0.002)))^2)</f>
        <v/>
      </c>
      <c r="Y285">
        <f>MAX(-fyd_cc,MIN(fyd_cc,Es_cc*IF($E285&lt;=cc_D,0.0035*($E285-Y$15)/$E285,0.002*($E285-Y$15)/($E285-3*cc_D/7))))-fcd_cc*(1-(1-MAX(0,MIN(1,IF($E285&lt;=cc_D,0.0035*($E285-Y$15)/$E285,0.002*($E285-Y$15)/($E285-3*cc_D/7))/0.002)))^2)</f>
        <v/>
      </c>
      <c r="Z285">
        <f>MAX(-fyd_cc,MIN(fyd_cc,Es_cc*IF($E285&lt;=cc_D,0.0035*($E285-Z$15)/$E285,0.002*($E285-Z$15)/($E285-3*cc_D/7))))-fcd_cc*(1-(1-MAX(0,MIN(1,IF($E285&lt;=cc_D,0.0035*($E285-Z$15)/$E285,0.002*($E285-Z$15)/($E285-3*cc_D/7))/0.002)))^2)</f>
        <v/>
      </c>
      <c r="AA285">
        <f>MAX(-fyd_cc,MIN(fyd_cc,Es_cc*IF($E285&lt;=cc_D,0.0035*($E285-AA$15)/$E285,0.002*($E285-AA$15)/($E285-3*cc_D/7))))-fcd_cc*(1-(1-MAX(0,MIN(1,IF($E285&lt;=cc_D,0.0035*($E285-AA$15)/$E285,0.002*($E285-AA$15)/($E285-3*cc_D/7))/0.002)))^2)</f>
        <v/>
      </c>
      <c r="AB285">
        <f>MAX(-fyd_cc,MIN(fyd_cc,Es_cc*IF($E285&lt;=cc_D,0.0035*($E285-AB$15)/$E285,0.002*($E285-AB$15)/($E285-3*cc_D/7))))-fcd_cc*(1-(1-MAX(0,MIN(1,IF($E285&lt;=cc_D,0.0035*($E285-AB$15)/$E285,0.002*($E285-AB$15)/($E285-3*cc_D/7))/0.002)))^2)</f>
        <v/>
      </c>
      <c r="AC285">
        <f>MAX(-fyd_cc,MIN(fyd_cc,Es_cc*IF($E285&lt;=cc_D,0.0035*($E285-AC$15)/$E285,0.002*($E285-AC$15)/($E285-3*cc_D/7))))-fcd_cc*(1-(1-MAX(0,MIN(1,IF($E285&lt;=cc_D,0.0035*($E285-AC$15)/$E285,0.002*($E285-AC$15)/($E285-3*cc_D/7))/0.002)))^2)</f>
        <v/>
      </c>
      <c r="AD285">
        <f>MAX(-fyd_cc,MIN(fyd_cc,Es_cc*IF($E285&lt;=cc_D,0.0035*($E285-AD$15)/$E285,0.002*($E285-AD$15)/($E285-3*cc_D/7))))-fcd_cc*(1-(1-MAX(0,MIN(1,IF($E285&lt;=cc_D,0.0035*($E285-AD$15)/$E285,0.002*($E285-AD$15)/($E285-3*cc_D/7))/0.002)))^2)</f>
        <v/>
      </c>
      <c r="AE285">
        <f>MAX(-fyd_cc,MIN(fyd_cc,Es_cc*IF($E285&lt;=cc_D,0.0035*($E285-AE$15)/$E285,0.002*($E285-AE$15)/($E285-3*cc_D/7))))-fcd_cc*(1-(1-MAX(0,MIN(1,IF($E285&lt;=cc_D,0.0035*($E285-AE$15)/$E285,0.002*($E285-AE$15)/($E285-3*cc_D/7))/0.002)))^2)</f>
        <v/>
      </c>
      <c r="AF285">
        <f>MAX(-fyd_cc,MIN(fyd_cc,Es_cc*IF($E285&lt;=cc_D,0.0035*($E285-AF$15)/$E285,0.002*($E285-AF$15)/($E285-3*cc_D/7))))-fcd_cc*(1-(1-MAX(0,MIN(1,IF($E285&lt;=cc_D,0.0035*($E285-AF$15)/$E285,0.002*($E285-AF$15)/($E285-3*cc_D/7))/0.002)))^2)</f>
        <v/>
      </c>
      <c r="AG285">
        <f>MAX(-fyd_cc,MIN(fyd_cc,Es_cc*IF($E285&lt;=cc_D,0.0035*($E285-AG$15)/$E285,0.002*($E285-AG$15)/($E285-3*cc_D/7))))-fcd_cc*(1-(1-MAX(0,MIN(1,IF($E285&lt;=cc_D,0.0035*($E285-AG$15)/$E285,0.002*($E285-AG$15)/($E285-3*cc_D/7))/0.002)))^2)</f>
        <v/>
      </c>
      <c r="BF285">
        <f>3*MIN($E285,cc_D)/7</f>
        <v/>
      </c>
      <c r="BG285">
        <f>$E285-$BF285</f>
        <v/>
      </c>
      <c r="BH285">
        <f>ACOS(MAX(-1,MIN(1,1-$BF285/(cc_D/2))))</f>
        <v/>
      </c>
      <c r="BI285">
        <f>ACOS(MAX(-1,MIN(1,1-MIN($E285,cc_D)/(cc_D/2))))</f>
        <v/>
      </c>
      <c r="BJ285">
        <f>((cc_D/2*(1-COS(($BH285+0*($BI285-$BH285)/12)))-$BF285)/$BG285)^2*SIN(($BH285+0*($BI285-$BH285)/12))^2</f>
        <v/>
      </c>
      <c r="BK285">
        <f>((cc_D/2*(1-COS(($BH285+1*($BI285-$BH285)/12)))-$BF285)/$BG285)^2*SIN(($BH285+1*($BI285-$BH285)/12))^2</f>
        <v/>
      </c>
      <c r="BL285">
        <f>((cc_D/2*(1-COS(($BH285+2*($BI285-$BH285)/12)))-$BF285)/$BG285)^2*SIN(($BH285+2*($BI285-$BH285)/12))^2</f>
        <v/>
      </c>
      <c r="BM285">
        <f>((cc_D/2*(1-COS(($BH285+3*($BI285-$BH285)/12)))-$BF285)/$BG285)^2*SIN(($BH285+3*($BI285-$BH285)/12))^2</f>
        <v/>
      </c>
      <c r="BN285">
        <f>((cc_D/2*(1-COS(($BH285+4*($BI285-$BH285)/12)))-$BF285)/$BG285)^2*SIN(($BH285+4*($BI285-$BH285)/12))^2</f>
        <v/>
      </c>
      <c r="BO285">
        <f>((cc_D/2*(1-COS(($BH285+5*($BI285-$BH285)/12)))-$BF285)/$BG285)^2*SIN(($BH285+5*($BI285-$BH285)/12))^2</f>
        <v/>
      </c>
      <c r="BP285">
        <f>((cc_D/2*(1-COS(($BH285+6*($BI285-$BH285)/12)))-$BF285)/$BG285)^2*SIN(($BH285+6*($BI285-$BH285)/12))^2</f>
        <v/>
      </c>
      <c r="BQ285">
        <f>((cc_D/2*(1-COS(($BH285+7*($BI285-$BH285)/12)))-$BF285)/$BG285)^2*SIN(($BH285+7*($BI285-$BH285)/12))^2</f>
        <v/>
      </c>
      <c r="BR285">
        <f>((cc_D/2*(1-COS(($BH285+8*($BI285-$BH285)/12)))-$BF285)/$BG285)^2*SIN(($BH285+8*($BI285-$BH285)/12))^2</f>
        <v/>
      </c>
      <c r="BS285">
        <f>((cc_D/2*(1-COS(($BH285+9*($BI285-$BH285)/12)))-$BF285)/$BG285)^2*SIN(($BH285+9*($BI285-$BH285)/12))^2</f>
        <v/>
      </c>
      <c r="BT285">
        <f>((cc_D/2*(1-COS(($BH285+10*($BI285-$BH285)/12)))-$BF285)/$BG285)^2*SIN(($BH285+10*($BI285-$BH285)/12))^2</f>
        <v/>
      </c>
      <c r="BU285">
        <f>((cc_D/2*(1-COS(($BH285+11*($BI285-$BH285)/12)))-$BF285)/$BG285)^2*SIN(($BH285+11*($BI285-$BH285)/12))^2</f>
        <v/>
      </c>
      <c r="BV285">
        <f>((cc_D/2*(1-COS(($BH285+12*($BI285-$BH285)/12)))-$BF285)/$BG285)^2*SIN(($BH285+12*($BI285-$BH285)/12))^2</f>
        <v/>
      </c>
      <c r="BW285">
        <f>BJ285*COS(($BH285+0*($BI285-$BH285)/12))</f>
        <v/>
      </c>
      <c r="BX285">
        <f>BK285*COS(($BH285+1*($BI285-$BH285)/12))</f>
        <v/>
      </c>
      <c r="BY285">
        <f>BL285*COS(($BH285+2*($BI285-$BH285)/12))</f>
        <v/>
      </c>
      <c r="BZ285">
        <f>BM285*COS(($BH285+3*($BI285-$BH285)/12))</f>
        <v/>
      </c>
      <c r="CA285">
        <f>BN285*COS(($BH285+4*($BI285-$BH285)/12))</f>
        <v/>
      </c>
      <c r="CB285">
        <f>BO285*COS(($BH285+5*($BI285-$BH285)/12))</f>
        <v/>
      </c>
      <c r="CC285">
        <f>BP285*COS(($BH285+6*($BI285-$BH285)/12))</f>
        <v/>
      </c>
      <c r="CD285">
        <f>BQ285*COS(($BH285+7*($BI285-$BH285)/12))</f>
        <v/>
      </c>
      <c r="CE285">
        <f>BR285*COS(($BH285+8*($BI285-$BH285)/12))</f>
        <v/>
      </c>
      <c r="CF285">
        <f>BS285*COS(($BH285+9*($BI285-$BH285)/12))</f>
        <v/>
      </c>
      <c r="CG285">
        <f>BT285*COS(($BH285+10*($BI285-$BH285)/12))</f>
        <v/>
      </c>
      <c r="CH285">
        <f>BU285*COS(($BH285+11*($BI285-$BH285)/12))</f>
        <v/>
      </c>
      <c r="CI285">
        <f>BV285*COS(($BH285+12*($BI285-$BH285)/12))</f>
        <v/>
      </c>
    </row>
    <row r="286">
      <c r="B286" s="65" t="n">
        <v>8</v>
      </c>
      <c r="C286" s="66">
        <f>IF($G285&lt;cc_NEd-1E-9*ABS(cc_NEd),($C285+$D285)/2,$C285)</f>
        <v/>
      </c>
      <c r="D286" s="66">
        <f>IF($G285&lt;cc_NEd-1E-9*ABS(cc_NEd),$D285,($C285+$D285)/2)</f>
        <v/>
      </c>
      <c r="E286" s="67">
        <f>cc_D*(($C286+$D286)/2)/(1-(($C286+$D286)/2))</f>
        <v/>
      </c>
      <c r="F286" s="68">
        <f>IF($E286&lt;=cc_D,3.5,2*$E286/($E286-3*cc_D/7))</f>
        <v/>
      </c>
      <c r="G286" s="67">
        <f>(fcd_cc*((cc_D/2)^2*($BI286-COS($BI286)*SIN($BI286))-2*(cc_D/2)^2*($BI286-$BH286)/12/3*SUMPRODUCT($BJ$4:$BV$4,$BJ286:$BV286))+SUMPRODUCT($J$5:$AG$5,$J286:$AG286))/1000</f>
        <v/>
      </c>
      <c r="H286" s="67">
        <f>(fcd_cc*(2/3*(cc_D/2)^3*SIN($BI286)^3-2*(cc_D/2)^3*($BI286-$BH286)/12/3*SUMPRODUCT($BW$4:$CI$4,$BW286:$CI286))+SUMPRODUCT($J$5:$AG$5,$J286:$AG286,$J$16:$AG$16))/1E6</f>
        <v/>
      </c>
      <c r="I286" s="67">
        <f>SUMPRODUCT($J$5:$AG$5,$J286:$AG286,$J$17:$AG$17)/1E6</f>
        <v/>
      </c>
      <c r="J286">
        <f>MAX(-fyd_cc,MIN(fyd_cc,Es_cc*IF($E286&lt;=cc_D,0.0035*($E286-J$15)/$E286,0.002*($E286-J$15)/($E286-3*cc_D/7))))-fcd_cc*(1-(1-MAX(0,MIN(1,IF($E286&lt;=cc_D,0.0035*($E286-J$15)/$E286,0.002*($E286-J$15)/($E286-3*cc_D/7))/0.002)))^2)</f>
        <v/>
      </c>
      <c r="K286">
        <f>MAX(-fyd_cc,MIN(fyd_cc,Es_cc*IF($E286&lt;=cc_D,0.0035*($E286-K$15)/$E286,0.002*($E286-K$15)/($E286-3*cc_D/7))))-fcd_cc*(1-(1-MAX(0,MIN(1,IF($E286&lt;=cc_D,0.0035*($E286-K$15)/$E286,0.002*($E286-K$15)/($E286-3*cc_D/7))/0.002)))^2)</f>
        <v/>
      </c>
      <c r="L286">
        <f>MAX(-fyd_cc,MIN(fyd_cc,Es_cc*IF($E286&lt;=cc_D,0.0035*($E286-L$15)/$E286,0.002*($E286-L$15)/($E286-3*cc_D/7))))-fcd_cc*(1-(1-MAX(0,MIN(1,IF($E286&lt;=cc_D,0.0035*($E286-L$15)/$E286,0.002*($E286-L$15)/($E286-3*cc_D/7))/0.002)))^2)</f>
        <v/>
      </c>
      <c r="M286">
        <f>MAX(-fyd_cc,MIN(fyd_cc,Es_cc*IF($E286&lt;=cc_D,0.0035*($E286-M$15)/$E286,0.002*($E286-M$15)/($E286-3*cc_D/7))))-fcd_cc*(1-(1-MAX(0,MIN(1,IF($E286&lt;=cc_D,0.0035*($E286-M$15)/$E286,0.002*($E286-M$15)/($E286-3*cc_D/7))/0.002)))^2)</f>
        <v/>
      </c>
      <c r="N286">
        <f>MAX(-fyd_cc,MIN(fyd_cc,Es_cc*IF($E286&lt;=cc_D,0.0035*($E286-N$15)/$E286,0.002*($E286-N$15)/($E286-3*cc_D/7))))-fcd_cc*(1-(1-MAX(0,MIN(1,IF($E286&lt;=cc_D,0.0035*($E286-N$15)/$E286,0.002*($E286-N$15)/($E286-3*cc_D/7))/0.002)))^2)</f>
        <v/>
      </c>
      <c r="O286">
        <f>MAX(-fyd_cc,MIN(fyd_cc,Es_cc*IF($E286&lt;=cc_D,0.0035*($E286-O$15)/$E286,0.002*($E286-O$15)/($E286-3*cc_D/7))))-fcd_cc*(1-(1-MAX(0,MIN(1,IF($E286&lt;=cc_D,0.0035*($E286-O$15)/$E286,0.002*($E286-O$15)/($E286-3*cc_D/7))/0.002)))^2)</f>
        <v/>
      </c>
      <c r="P286">
        <f>MAX(-fyd_cc,MIN(fyd_cc,Es_cc*IF($E286&lt;=cc_D,0.0035*($E286-P$15)/$E286,0.002*($E286-P$15)/($E286-3*cc_D/7))))-fcd_cc*(1-(1-MAX(0,MIN(1,IF($E286&lt;=cc_D,0.0035*($E286-P$15)/$E286,0.002*($E286-P$15)/($E286-3*cc_D/7))/0.002)))^2)</f>
        <v/>
      </c>
      <c r="Q286">
        <f>MAX(-fyd_cc,MIN(fyd_cc,Es_cc*IF($E286&lt;=cc_D,0.0035*($E286-Q$15)/$E286,0.002*($E286-Q$15)/($E286-3*cc_D/7))))-fcd_cc*(1-(1-MAX(0,MIN(1,IF($E286&lt;=cc_D,0.0035*($E286-Q$15)/$E286,0.002*($E286-Q$15)/($E286-3*cc_D/7))/0.002)))^2)</f>
        <v/>
      </c>
      <c r="R286">
        <f>MAX(-fyd_cc,MIN(fyd_cc,Es_cc*IF($E286&lt;=cc_D,0.0035*($E286-R$15)/$E286,0.002*($E286-R$15)/($E286-3*cc_D/7))))-fcd_cc*(1-(1-MAX(0,MIN(1,IF($E286&lt;=cc_D,0.0035*($E286-R$15)/$E286,0.002*($E286-R$15)/($E286-3*cc_D/7))/0.002)))^2)</f>
        <v/>
      </c>
      <c r="S286">
        <f>MAX(-fyd_cc,MIN(fyd_cc,Es_cc*IF($E286&lt;=cc_D,0.0035*($E286-S$15)/$E286,0.002*($E286-S$15)/($E286-3*cc_D/7))))-fcd_cc*(1-(1-MAX(0,MIN(1,IF($E286&lt;=cc_D,0.0035*($E286-S$15)/$E286,0.002*($E286-S$15)/($E286-3*cc_D/7))/0.002)))^2)</f>
        <v/>
      </c>
      <c r="T286">
        <f>MAX(-fyd_cc,MIN(fyd_cc,Es_cc*IF($E286&lt;=cc_D,0.0035*($E286-T$15)/$E286,0.002*($E286-T$15)/($E286-3*cc_D/7))))-fcd_cc*(1-(1-MAX(0,MIN(1,IF($E286&lt;=cc_D,0.0035*($E286-T$15)/$E286,0.002*($E286-T$15)/($E286-3*cc_D/7))/0.002)))^2)</f>
        <v/>
      </c>
      <c r="U286">
        <f>MAX(-fyd_cc,MIN(fyd_cc,Es_cc*IF($E286&lt;=cc_D,0.0035*($E286-U$15)/$E286,0.002*($E286-U$15)/($E286-3*cc_D/7))))-fcd_cc*(1-(1-MAX(0,MIN(1,IF($E286&lt;=cc_D,0.0035*($E286-U$15)/$E286,0.002*($E286-U$15)/($E286-3*cc_D/7))/0.002)))^2)</f>
        <v/>
      </c>
      <c r="V286">
        <f>MAX(-fyd_cc,MIN(fyd_cc,Es_cc*IF($E286&lt;=cc_D,0.0035*($E286-V$15)/$E286,0.002*($E286-V$15)/($E286-3*cc_D/7))))-fcd_cc*(1-(1-MAX(0,MIN(1,IF($E286&lt;=cc_D,0.0035*($E286-V$15)/$E286,0.002*($E286-V$15)/($E286-3*cc_D/7))/0.002)))^2)</f>
        <v/>
      </c>
      <c r="W286">
        <f>MAX(-fyd_cc,MIN(fyd_cc,Es_cc*IF($E286&lt;=cc_D,0.0035*($E286-W$15)/$E286,0.002*($E286-W$15)/($E286-3*cc_D/7))))-fcd_cc*(1-(1-MAX(0,MIN(1,IF($E286&lt;=cc_D,0.0035*($E286-W$15)/$E286,0.002*($E286-W$15)/($E286-3*cc_D/7))/0.002)))^2)</f>
        <v/>
      </c>
      <c r="X286">
        <f>MAX(-fyd_cc,MIN(fyd_cc,Es_cc*IF($E286&lt;=cc_D,0.0035*($E286-X$15)/$E286,0.002*($E286-X$15)/($E286-3*cc_D/7))))-fcd_cc*(1-(1-MAX(0,MIN(1,IF($E286&lt;=cc_D,0.0035*($E286-X$15)/$E286,0.002*($E286-X$15)/($E286-3*cc_D/7))/0.002)))^2)</f>
        <v/>
      </c>
      <c r="Y286">
        <f>MAX(-fyd_cc,MIN(fyd_cc,Es_cc*IF($E286&lt;=cc_D,0.0035*($E286-Y$15)/$E286,0.002*($E286-Y$15)/($E286-3*cc_D/7))))-fcd_cc*(1-(1-MAX(0,MIN(1,IF($E286&lt;=cc_D,0.0035*($E286-Y$15)/$E286,0.002*($E286-Y$15)/($E286-3*cc_D/7))/0.002)))^2)</f>
        <v/>
      </c>
      <c r="Z286">
        <f>MAX(-fyd_cc,MIN(fyd_cc,Es_cc*IF($E286&lt;=cc_D,0.0035*($E286-Z$15)/$E286,0.002*($E286-Z$15)/($E286-3*cc_D/7))))-fcd_cc*(1-(1-MAX(0,MIN(1,IF($E286&lt;=cc_D,0.0035*($E286-Z$15)/$E286,0.002*($E286-Z$15)/($E286-3*cc_D/7))/0.002)))^2)</f>
        <v/>
      </c>
      <c r="AA286">
        <f>MAX(-fyd_cc,MIN(fyd_cc,Es_cc*IF($E286&lt;=cc_D,0.0035*($E286-AA$15)/$E286,0.002*($E286-AA$15)/($E286-3*cc_D/7))))-fcd_cc*(1-(1-MAX(0,MIN(1,IF($E286&lt;=cc_D,0.0035*($E286-AA$15)/$E286,0.002*($E286-AA$15)/($E286-3*cc_D/7))/0.002)))^2)</f>
        <v/>
      </c>
      <c r="AB286">
        <f>MAX(-fyd_cc,MIN(fyd_cc,Es_cc*IF($E286&lt;=cc_D,0.0035*($E286-AB$15)/$E286,0.002*($E286-AB$15)/($E286-3*cc_D/7))))-fcd_cc*(1-(1-MAX(0,MIN(1,IF($E286&lt;=cc_D,0.0035*($E286-AB$15)/$E286,0.002*($E286-AB$15)/($E286-3*cc_D/7))/0.002)))^2)</f>
        <v/>
      </c>
      <c r="AC286">
        <f>MAX(-fyd_cc,MIN(fyd_cc,Es_cc*IF($E286&lt;=cc_D,0.0035*($E286-AC$15)/$E286,0.002*($E286-AC$15)/($E286-3*cc_D/7))))-fcd_cc*(1-(1-MAX(0,MIN(1,IF($E286&lt;=cc_D,0.0035*($E286-AC$15)/$E286,0.002*($E286-AC$15)/($E286-3*cc_D/7))/0.002)))^2)</f>
        <v/>
      </c>
      <c r="AD286">
        <f>MAX(-fyd_cc,MIN(fyd_cc,Es_cc*IF($E286&lt;=cc_D,0.0035*($E286-AD$15)/$E286,0.002*($E286-AD$15)/($E286-3*cc_D/7))))-fcd_cc*(1-(1-MAX(0,MIN(1,IF($E286&lt;=cc_D,0.0035*($E286-AD$15)/$E286,0.002*($E286-AD$15)/($E286-3*cc_D/7))/0.002)))^2)</f>
        <v/>
      </c>
      <c r="AE286">
        <f>MAX(-fyd_cc,MIN(fyd_cc,Es_cc*IF($E286&lt;=cc_D,0.0035*($E286-AE$15)/$E286,0.002*($E286-AE$15)/($E286-3*cc_D/7))))-fcd_cc*(1-(1-MAX(0,MIN(1,IF($E286&lt;=cc_D,0.0035*($E286-AE$15)/$E286,0.002*($E286-AE$15)/($E286-3*cc_D/7))/0.002)))^2)</f>
        <v/>
      </c>
      <c r="AF286">
        <f>MAX(-fyd_cc,MIN(fyd_cc,Es_cc*IF($E286&lt;=cc_D,0.0035*($E286-AF$15)/$E286,0.002*($E286-AF$15)/($E286-3*cc_D/7))))-fcd_cc*(1-(1-MAX(0,MIN(1,IF($E286&lt;=cc_D,0.0035*($E286-AF$15)/$E286,0.002*($E286-AF$15)/($E286-3*cc_D/7))/0.002)))^2)</f>
        <v/>
      </c>
      <c r="AG286">
        <f>MAX(-fyd_cc,MIN(fyd_cc,Es_cc*IF($E286&lt;=cc_D,0.0035*($E286-AG$15)/$E286,0.002*($E286-AG$15)/($E286-3*cc_D/7))))-fcd_cc*(1-(1-MAX(0,MIN(1,IF($E286&lt;=cc_D,0.0035*($E286-AG$15)/$E286,0.002*($E286-AG$15)/($E286-3*cc_D/7))/0.002)))^2)</f>
        <v/>
      </c>
      <c r="BF286">
        <f>3*MIN($E286,cc_D)/7</f>
        <v/>
      </c>
      <c r="BG286">
        <f>$E286-$BF286</f>
        <v/>
      </c>
      <c r="BH286">
        <f>ACOS(MAX(-1,MIN(1,1-$BF286/(cc_D/2))))</f>
        <v/>
      </c>
      <c r="BI286">
        <f>ACOS(MAX(-1,MIN(1,1-MIN($E286,cc_D)/(cc_D/2))))</f>
        <v/>
      </c>
      <c r="BJ286">
        <f>((cc_D/2*(1-COS(($BH286+0*($BI286-$BH286)/12)))-$BF286)/$BG286)^2*SIN(($BH286+0*($BI286-$BH286)/12))^2</f>
        <v/>
      </c>
      <c r="BK286">
        <f>((cc_D/2*(1-COS(($BH286+1*($BI286-$BH286)/12)))-$BF286)/$BG286)^2*SIN(($BH286+1*($BI286-$BH286)/12))^2</f>
        <v/>
      </c>
      <c r="BL286">
        <f>((cc_D/2*(1-COS(($BH286+2*($BI286-$BH286)/12)))-$BF286)/$BG286)^2*SIN(($BH286+2*($BI286-$BH286)/12))^2</f>
        <v/>
      </c>
      <c r="BM286">
        <f>((cc_D/2*(1-COS(($BH286+3*($BI286-$BH286)/12)))-$BF286)/$BG286)^2*SIN(($BH286+3*($BI286-$BH286)/12))^2</f>
        <v/>
      </c>
      <c r="BN286">
        <f>((cc_D/2*(1-COS(($BH286+4*($BI286-$BH286)/12)))-$BF286)/$BG286)^2*SIN(($BH286+4*($BI286-$BH286)/12))^2</f>
        <v/>
      </c>
      <c r="BO286">
        <f>((cc_D/2*(1-COS(($BH286+5*($BI286-$BH286)/12)))-$BF286)/$BG286)^2*SIN(($BH286+5*($BI286-$BH286)/12))^2</f>
        <v/>
      </c>
      <c r="BP286">
        <f>((cc_D/2*(1-COS(($BH286+6*($BI286-$BH286)/12)))-$BF286)/$BG286)^2*SIN(($BH286+6*($BI286-$BH286)/12))^2</f>
        <v/>
      </c>
      <c r="BQ286">
        <f>((cc_D/2*(1-COS(($BH286+7*($BI286-$BH286)/12)))-$BF286)/$BG286)^2*SIN(($BH286+7*($BI286-$BH286)/12))^2</f>
        <v/>
      </c>
      <c r="BR286">
        <f>((cc_D/2*(1-COS(($BH286+8*($BI286-$BH286)/12)))-$BF286)/$BG286)^2*SIN(($BH286+8*($BI286-$BH286)/12))^2</f>
        <v/>
      </c>
      <c r="BS286">
        <f>((cc_D/2*(1-COS(($BH286+9*($BI286-$BH286)/12)))-$BF286)/$BG286)^2*SIN(($BH286+9*($BI286-$BH286)/12))^2</f>
        <v/>
      </c>
      <c r="BT286">
        <f>((cc_D/2*(1-COS(($BH286+10*($BI286-$BH286)/12)))-$BF286)/$BG286)^2*SIN(($BH286+10*($BI286-$BH286)/12))^2</f>
        <v/>
      </c>
      <c r="BU286">
        <f>((cc_D/2*(1-COS(($BH286+11*($BI286-$BH286)/12)))-$BF286)/$BG286)^2*SIN(($BH286+11*($BI286-$BH286)/12))^2</f>
        <v/>
      </c>
      <c r="BV286">
        <f>((cc_D/2*(1-COS(($BH286+12*($BI286-$BH286)/12)))-$BF286)/$BG286)^2*SIN(($BH286+12*($BI286-$BH286)/12))^2</f>
        <v/>
      </c>
      <c r="BW286">
        <f>BJ286*COS(($BH286+0*($BI286-$BH286)/12))</f>
        <v/>
      </c>
      <c r="BX286">
        <f>BK286*COS(($BH286+1*($BI286-$BH286)/12))</f>
        <v/>
      </c>
      <c r="BY286">
        <f>BL286*COS(($BH286+2*($BI286-$BH286)/12))</f>
        <v/>
      </c>
      <c r="BZ286">
        <f>BM286*COS(($BH286+3*($BI286-$BH286)/12))</f>
        <v/>
      </c>
      <c r="CA286">
        <f>BN286*COS(($BH286+4*($BI286-$BH286)/12))</f>
        <v/>
      </c>
      <c r="CB286">
        <f>BO286*COS(($BH286+5*($BI286-$BH286)/12))</f>
        <v/>
      </c>
      <c r="CC286">
        <f>BP286*COS(($BH286+6*($BI286-$BH286)/12))</f>
        <v/>
      </c>
      <c r="CD286">
        <f>BQ286*COS(($BH286+7*($BI286-$BH286)/12))</f>
        <v/>
      </c>
      <c r="CE286">
        <f>BR286*COS(($BH286+8*($BI286-$BH286)/12))</f>
        <v/>
      </c>
      <c r="CF286">
        <f>BS286*COS(($BH286+9*($BI286-$BH286)/12))</f>
        <v/>
      </c>
      <c r="CG286">
        <f>BT286*COS(($BH286+10*($BI286-$BH286)/12))</f>
        <v/>
      </c>
      <c r="CH286">
        <f>BU286*COS(($BH286+11*($BI286-$BH286)/12))</f>
        <v/>
      </c>
      <c r="CI286">
        <f>BV286*COS(($BH286+12*($BI286-$BH286)/12))</f>
        <v/>
      </c>
    </row>
    <row r="287">
      <c r="B287" s="65" t="n">
        <v>9</v>
      </c>
      <c r="C287" s="66">
        <f>IF($G286&lt;cc_NEd-1E-9*ABS(cc_NEd),($C286+$D286)/2,$C286)</f>
        <v/>
      </c>
      <c r="D287" s="66">
        <f>IF($G286&lt;cc_NEd-1E-9*ABS(cc_NEd),$D286,($C286+$D286)/2)</f>
        <v/>
      </c>
      <c r="E287" s="67">
        <f>cc_D*(($C287+$D287)/2)/(1-(($C287+$D287)/2))</f>
        <v/>
      </c>
      <c r="F287" s="68">
        <f>IF($E287&lt;=cc_D,3.5,2*$E287/($E287-3*cc_D/7))</f>
        <v/>
      </c>
      <c r="G287" s="67">
        <f>(fcd_cc*((cc_D/2)^2*($BI287-COS($BI287)*SIN($BI287))-2*(cc_D/2)^2*($BI287-$BH287)/12/3*SUMPRODUCT($BJ$4:$BV$4,$BJ287:$BV287))+SUMPRODUCT($J$5:$AG$5,$J287:$AG287))/1000</f>
        <v/>
      </c>
      <c r="H287" s="67">
        <f>(fcd_cc*(2/3*(cc_D/2)^3*SIN($BI287)^3-2*(cc_D/2)^3*($BI287-$BH287)/12/3*SUMPRODUCT($BW$4:$CI$4,$BW287:$CI287))+SUMPRODUCT($J$5:$AG$5,$J287:$AG287,$J$16:$AG$16))/1E6</f>
        <v/>
      </c>
      <c r="I287" s="67">
        <f>SUMPRODUCT($J$5:$AG$5,$J287:$AG287,$J$17:$AG$17)/1E6</f>
        <v/>
      </c>
      <c r="J287">
        <f>MAX(-fyd_cc,MIN(fyd_cc,Es_cc*IF($E287&lt;=cc_D,0.0035*($E287-J$15)/$E287,0.002*($E287-J$15)/($E287-3*cc_D/7))))-fcd_cc*(1-(1-MAX(0,MIN(1,IF($E287&lt;=cc_D,0.0035*($E287-J$15)/$E287,0.002*($E287-J$15)/($E287-3*cc_D/7))/0.002)))^2)</f>
        <v/>
      </c>
      <c r="K287">
        <f>MAX(-fyd_cc,MIN(fyd_cc,Es_cc*IF($E287&lt;=cc_D,0.0035*($E287-K$15)/$E287,0.002*($E287-K$15)/($E287-3*cc_D/7))))-fcd_cc*(1-(1-MAX(0,MIN(1,IF($E287&lt;=cc_D,0.0035*($E287-K$15)/$E287,0.002*($E287-K$15)/($E287-3*cc_D/7))/0.002)))^2)</f>
        <v/>
      </c>
      <c r="L287">
        <f>MAX(-fyd_cc,MIN(fyd_cc,Es_cc*IF($E287&lt;=cc_D,0.0035*($E287-L$15)/$E287,0.002*($E287-L$15)/($E287-3*cc_D/7))))-fcd_cc*(1-(1-MAX(0,MIN(1,IF($E287&lt;=cc_D,0.0035*($E287-L$15)/$E287,0.002*($E287-L$15)/($E287-3*cc_D/7))/0.002)))^2)</f>
        <v/>
      </c>
      <c r="M287">
        <f>MAX(-fyd_cc,MIN(fyd_cc,Es_cc*IF($E287&lt;=cc_D,0.0035*($E287-M$15)/$E287,0.002*($E287-M$15)/($E287-3*cc_D/7))))-fcd_cc*(1-(1-MAX(0,MIN(1,IF($E287&lt;=cc_D,0.0035*($E287-M$15)/$E287,0.002*($E287-M$15)/($E287-3*cc_D/7))/0.002)))^2)</f>
        <v/>
      </c>
      <c r="N287">
        <f>MAX(-fyd_cc,MIN(fyd_cc,Es_cc*IF($E287&lt;=cc_D,0.0035*($E287-N$15)/$E287,0.002*($E287-N$15)/($E287-3*cc_D/7))))-fcd_cc*(1-(1-MAX(0,MIN(1,IF($E287&lt;=cc_D,0.0035*($E287-N$15)/$E287,0.002*($E287-N$15)/($E287-3*cc_D/7))/0.002)))^2)</f>
        <v/>
      </c>
      <c r="O287">
        <f>MAX(-fyd_cc,MIN(fyd_cc,Es_cc*IF($E287&lt;=cc_D,0.0035*($E287-O$15)/$E287,0.002*($E287-O$15)/($E287-3*cc_D/7))))-fcd_cc*(1-(1-MAX(0,MIN(1,IF($E287&lt;=cc_D,0.0035*($E287-O$15)/$E287,0.002*($E287-O$15)/($E287-3*cc_D/7))/0.002)))^2)</f>
        <v/>
      </c>
      <c r="P287">
        <f>MAX(-fyd_cc,MIN(fyd_cc,Es_cc*IF($E287&lt;=cc_D,0.0035*($E287-P$15)/$E287,0.002*($E287-P$15)/($E287-3*cc_D/7))))-fcd_cc*(1-(1-MAX(0,MIN(1,IF($E287&lt;=cc_D,0.0035*($E287-P$15)/$E287,0.002*($E287-P$15)/($E287-3*cc_D/7))/0.002)))^2)</f>
        <v/>
      </c>
      <c r="Q287">
        <f>MAX(-fyd_cc,MIN(fyd_cc,Es_cc*IF($E287&lt;=cc_D,0.0035*($E287-Q$15)/$E287,0.002*($E287-Q$15)/($E287-3*cc_D/7))))-fcd_cc*(1-(1-MAX(0,MIN(1,IF($E287&lt;=cc_D,0.0035*($E287-Q$15)/$E287,0.002*($E287-Q$15)/($E287-3*cc_D/7))/0.002)))^2)</f>
        <v/>
      </c>
      <c r="R287">
        <f>MAX(-fyd_cc,MIN(fyd_cc,Es_cc*IF($E287&lt;=cc_D,0.0035*($E287-R$15)/$E287,0.002*($E287-R$15)/($E287-3*cc_D/7))))-fcd_cc*(1-(1-MAX(0,MIN(1,IF($E287&lt;=cc_D,0.0035*($E287-R$15)/$E287,0.002*($E287-R$15)/($E287-3*cc_D/7))/0.002)))^2)</f>
        <v/>
      </c>
      <c r="S287">
        <f>MAX(-fyd_cc,MIN(fyd_cc,Es_cc*IF($E287&lt;=cc_D,0.0035*($E287-S$15)/$E287,0.002*($E287-S$15)/($E287-3*cc_D/7))))-fcd_cc*(1-(1-MAX(0,MIN(1,IF($E287&lt;=cc_D,0.0035*($E287-S$15)/$E287,0.002*($E287-S$15)/($E287-3*cc_D/7))/0.002)))^2)</f>
        <v/>
      </c>
      <c r="T287">
        <f>MAX(-fyd_cc,MIN(fyd_cc,Es_cc*IF($E287&lt;=cc_D,0.0035*($E287-T$15)/$E287,0.002*($E287-T$15)/($E287-3*cc_D/7))))-fcd_cc*(1-(1-MAX(0,MIN(1,IF($E287&lt;=cc_D,0.0035*($E287-T$15)/$E287,0.002*($E287-T$15)/($E287-3*cc_D/7))/0.002)))^2)</f>
        <v/>
      </c>
      <c r="U287">
        <f>MAX(-fyd_cc,MIN(fyd_cc,Es_cc*IF($E287&lt;=cc_D,0.0035*($E287-U$15)/$E287,0.002*($E287-U$15)/($E287-3*cc_D/7))))-fcd_cc*(1-(1-MAX(0,MIN(1,IF($E287&lt;=cc_D,0.0035*($E287-U$15)/$E287,0.002*($E287-U$15)/($E287-3*cc_D/7))/0.002)))^2)</f>
        <v/>
      </c>
      <c r="V287">
        <f>MAX(-fyd_cc,MIN(fyd_cc,Es_cc*IF($E287&lt;=cc_D,0.0035*($E287-V$15)/$E287,0.002*($E287-V$15)/($E287-3*cc_D/7))))-fcd_cc*(1-(1-MAX(0,MIN(1,IF($E287&lt;=cc_D,0.0035*($E287-V$15)/$E287,0.002*($E287-V$15)/($E287-3*cc_D/7))/0.002)))^2)</f>
        <v/>
      </c>
      <c r="W287">
        <f>MAX(-fyd_cc,MIN(fyd_cc,Es_cc*IF($E287&lt;=cc_D,0.0035*($E287-W$15)/$E287,0.002*($E287-W$15)/($E287-3*cc_D/7))))-fcd_cc*(1-(1-MAX(0,MIN(1,IF($E287&lt;=cc_D,0.0035*($E287-W$15)/$E287,0.002*($E287-W$15)/($E287-3*cc_D/7))/0.002)))^2)</f>
        <v/>
      </c>
      <c r="X287">
        <f>MAX(-fyd_cc,MIN(fyd_cc,Es_cc*IF($E287&lt;=cc_D,0.0035*($E287-X$15)/$E287,0.002*($E287-X$15)/($E287-3*cc_D/7))))-fcd_cc*(1-(1-MAX(0,MIN(1,IF($E287&lt;=cc_D,0.0035*($E287-X$15)/$E287,0.002*($E287-X$15)/($E287-3*cc_D/7))/0.002)))^2)</f>
        <v/>
      </c>
      <c r="Y287">
        <f>MAX(-fyd_cc,MIN(fyd_cc,Es_cc*IF($E287&lt;=cc_D,0.0035*($E287-Y$15)/$E287,0.002*($E287-Y$15)/($E287-3*cc_D/7))))-fcd_cc*(1-(1-MAX(0,MIN(1,IF($E287&lt;=cc_D,0.0035*($E287-Y$15)/$E287,0.002*($E287-Y$15)/($E287-3*cc_D/7))/0.002)))^2)</f>
        <v/>
      </c>
      <c r="Z287">
        <f>MAX(-fyd_cc,MIN(fyd_cc,Es_cc*IF($E287&lt;=cc_D,0.0035*($E287-Z$15)/$E287,0.002*($E287-Z$15)/($E287-3*cc_D/7))))-fcd_cc*(1-(1-MAX(0,MIN(1,IF($E287&lt;=cc_D,0.0035*($E287-Z$15)/$E287,0.002*($E287-Z$15)/($E287-3*cc_D/7))/0.002)))^2)</f>
        <v/>
      </c>
      <c r="AA287">
        <f>MAX(-fyd_cc,MIN(fyd_cc,Es_cc*IF($E287&lt;=cc_D,0.0035*($E287-AA$15)/$E287,0.002*($E287-AA$15)/($E287-3*cc_D/7))))-fcd_cc*(1-(1-MAX(0,MIN(1,IF($E287&lt;=cc_D,0.0035*($E287-AA$15)/$E287,0.002*($E287-AA$15)/($E287-3*cc_D/7))/0.002)))^2)</f>
        <v/>
      </c>
      <c r="AB287">
        <f>MAX(-fyd_cc,MIN(fyd_cc,Es_cc*IF($E287&lt;=cc_D,0.0035*($E287-AB$15)/$E287,0.002*($E287-AB$15)/($E287-3*cc_D/7))))-fcd_cc*(1-(1-MAX(0,MIN(1,IF($E287&lt;=cc_D,0.0035*($E287-AB$15)/$E287,0.002*($E287-AB$15)/($E287-3*cc_D/7))/0.002)))^2)</f>
        <v/>
      </c>
      <c r="AC287">
        <f>MAX(-fyd_cc,MIN(fyd_cc,Es_cc*IF($E287&lt;=cc_D,0.0035*($E287-AC$15)/$E287,0.002*($E287-AC$15)/($E287-3*cc_D/7))))-fcd_cc*(1-(1-MAX(0,MIN(1,IF($E287&lt;=cc_D,0.0035*($E287-AC$15)/$E287,0.002*($E287-AC$15)/($E287-3*cc_D/7))/0.002)))^2)</f>
        <v/>
      </c>
      <c r="AD287">
        <f>MAX(-fyd_cc,MIN(fyd_cc,Es_cc*IF($E287&lt;=cc_D,0.0035*($E287-AD$15)/$E287,0.002*($E287-AD$15)/($E287-3*cc_D/7))))-fcd_cc*(1-(1-MAX(0,MIN(1,IF($E287&lt;=cc_D,0.0035*($E287-AD$15)/$E287,0.002*($E287-AD$15)/($E287-3*cc_D/7))/0.002)))^2)</f>
        <v/>
      </c>
      <c r="AE287">
        <f>MAX(-fyd_cc,MIN(fyd_cc,Es_cc*IF($E287&lt;=cc_D,0.0035*($E287-AE$15)/$E287,0.002*($E287-AE$15)/($E287-3*cc_D/7))))-fcd_cc*(1-(1-MAX(0,MIN(1,IF($E287&lt;=cc_D,0.0035*($E287-AE$15)/$E287,0.002*($E287-AE$15)/($E287-3*cc_D/7))/0.002)))^2)</f>
        <v/>
      </c>
      <c r="AF287">
        <f>MAX(-fyd_cc,MIN(fyd_cc,Es_cc*IF($E287&lt;=cc_D,0.0035*($E287-AF$15)/$E287,0.002*($E287-AF$15)/($E287-3*cc_D/7))))-fcd_cc*(1-(1-MAX(0,MIN(1,IF($E287&lt;=cc_D,0.0035*($E287-AF$15)/$E287,0.002*($E287-AF$15)/($E287-3*cc_D/7))/0.002)))^2)</f>
        <v/>
      </c>
      <c r="AG287">
        <f>MAX(-fyd_cc,MIN(fyd_cc,Es_cc*IF($E287&lt;=cc_D,0.0035*($E287-AG$15)/$E287,0.002*($E287-AG$15)/($E287-3*cc_D/7))))-fcd_cc*(1-(1-MAX(0,MIN(1,IF($E287&lt;=cc_D,0.0035*($E287-AG$15)/$E287,0.002*($E287-AG$15)/($E287-3*cc_D/7))/0.002)))^2)</f>
        <v/>
      </c>
      <c r="BF287">
        <f>3*MIN($E287,cc_D)/7</f>
        <v/>
      </c>
      <c r="BG287">
        <f>$E287-$BF287</f>
        <v/>
      </c>
      <c r="BH287">
        <f>ACOS(MAX(-1,MIN(1,1-$BF287/(cc_D/2))))</f>
        <v/>
      </c>
      <c r="BI287">
        <f>ACOS(MAX(-1,MIN(1,1-MIN($E287,cc_D)/(cc_D/2))))</f>
        <v/>
      </c>
      <c r="BJ287">
        <f>((cc_D/2*(1-COS(($BH287+0*($BI287-$BH287)/12)))-$BF287)/$BG287)^2*SIN(($BH287+0*($BI287-$BH287)/12))^2</f>
        <v/>
      </c>
      <c r="BK287">
        <f>((cc_D/2*(1-COS(($BH287+1*($BI287-$BH287)/12)))-$BF287)/$BG287)^2*SIN(($BH287+1*($BI287-$BH287)/12))^2</f>
        <v/>
      </c>
      <c r="BL287">
        <f>((cc_D/2*(1-COS(($BH287+2*($BI287-$BH287)/12)))-$BF287)/$BG287)^2*SIN(($BH287+2*($BI287-$BH287)/12))^2</f>
        <v/>
      </c>
      <c r="BM287">
        <f>((cc_D/2*(1-COS(($BH287+3*($BI287-$BH287)/12)))-$BF287)/$BG287)^2*SIN(($BH287+3*($BI287-$BH287)/12))^2</f>
        <v/>
      </c>
      <c r="BN287">
        <f>((cc_D/2*(1-COS(($BH287+4*($BI287-$BH287)/12)))-$BF287)/$BG287)^2*SIN(($BH287+4*($BI287-$BH287)/12))^2</f>
        <v/>
      </c>
      <c r="BO287">
        <f>((cc_D/2*(1-COS(($BH287+5*($BI287-$BH287)/12)))-$BF287)/$BG287)^2*SIN(($BH287+5*($BI287-$BH287)/12))^2</f>
        <v/>
      </c>
      <c r="BP287">
        <f>((cc_D/2*(1-COS(($BH287+6*($BI287-$BH287)/12)))-$BF287)/$BG287)^2*SIN(($BH287+6*($BI287-$BH287)/12))^2</f>
        <v/>
      </c>
      <c r="BQ287">
        <f>((cc_D/2*(1-COS(($BH287+7*($BI287-$BH287)/12)))-$BF287)/$BG287)^2*SIN(($BH287+7*($BI287-$BH287)/12))^2</f>
        <v/>
      </c>
      <c r="BR287">
        <f>((cc_D/2*(1-COS(($BH287+8*($BI287-$BH287)/12)))-$BF287)/$BG287)^2*SIN(($BH287+8*($BI287-$BH287)/12))^2</f>
        <v/>
      </c>
      <c r="BS287">
        <f>((cc_D/2*(1-COS(($BH287+9*($BI287-$BH287)/12)))-$BF287)/$BG287)^2*SIN(($BH287+9*($BI287-$BH287)/12))^2</f>
        <v/>
      </c>
      <c r="BT287">
        <f>((cc_D/2*(1-COS(($BH287+10*($BI287-$BH287)/12)))-$BF287)/$BG287)^2*SIN(($BH287+10*($BI287-$BH287)/12))^2</f>
        <v/>
      </c>
      <c r="BU287">
        <f>((cc_D/2*(1-COS(($BH287+11*($BI287-$BH287)/12)))-$BF287)/$BG287)^2*SIN(($BH287+11*($BI287-$BH287)/12))^2</f>
        <v/>
      </c>
      <c r="BV287">
        <f>((cc_D/2*(1-COS(($BH287+12*($BI287-$BH287)/12)))-$BF287)/$BG287)^2*SIN(($BH287+12*($BI287-$BH287)/12))^2</f>
        <v/>
      </c>
      <c r="BW287">
        <f>BJ287*COS(($BH287+0*($BI287-$BH287)/12))</f>
        <v/>
      </c>
      <c r="BX287">
        <f>BK287*COS(($BH287+1*($BI287-$BH287)/12))</f>
        <v/>
      </c>
      <c r="BY287">
        <f>BL287*COS(($BH287+2*($BI287-$BH287)/12))</f>
        <v/>
      </c>
      <c r="BZ287">
        <f>BM287*COS(($BH287+3*($BI287-$BH287)/12))</f>
        <v/>
      </c>
      <c r="CA287">
        <f>BN287*COS(($BH287+4*($BI287-$BH287)/12))</f>
        <v/>
      </c>
      <c r="CB287">
        <f>BO287*COS(($BH287+5*($BI287-$BH287)/12))</f>
        <v/>
      </c>
      <c r="CC287">
        <f>BP287*COS(($BH287+6*($BI287-$BH287)/12))</f>
        <v/>
      </c>
      <c r="CD287">
        <f>BQ287*COS(($BH287+7*($BI287-$BH287)/12))</f>
        <v/>
      </c>
      <c r="CE287">
        <f>BR287*COS(($BH287+8*($BI287-$BH287)/12))</f>
        <v/>
      </c>
      <c r="CF287">
        <f>BS287*COS(($BH287+9*($BI287-$BH287)/12))</f>
        <v/>
      </c>
      <c r="CG287">
        <f>BT287*COS(($BH287+10*($BI287-$BH287)/12))</f>
        <v/>
      </c>
      <c r="CH287">
        <f>BU287*COS(($BH287+11*($BI287-$BH287)/12))</f>
        <v/>
      </c>
      <c r="CI287">
        <f>BV287*COS(($BH287+12*($BI287-$BH287)/12))</f>
        <v/>
      </c>
    </row>
    <row r="288">
      <c r="B288" s="65" t="n">
        <v>10</v>
      </c>
      <c r="C288" s="66">
        <f>IF($G287&lt;cc_NEd-1E-9*ABS(cc_NEd),($C287+$D287)/2,$C287)</f>
        <v/>
      </c>
      <c r="D288" s="66">
        <f>IF($G287&lt;cc_NEd-1E-9*ABS(cc_NEd),$D287,($C287+$D287)/2)</f>
        <v/>
      </c>
      <c r="E288" s="67">
        <f>cc_D*(($C288+$D288)/2)/(1-(($C288+$D288)/2))</f>
        <v/>
      </c>
      <c r="F288" s="68">
        <f>IF($E288&lt;=cc_D,3.5,2*$E288/($E288-3*cc_D/7))</f>
        <v/>
      </c>
      <c r="G288" s="67">
        <f>(fcd_cc*((cc_D/2)^2*($BI288-COS($BI288)*SIN($BI288))-2*(cc_D/2)^2*($BI288-$BH288)/12/3*SUMPRODUCT($BJ$4:$BV$4,$BJ288:$BV288))+SUMPRODUCT($J$5:$AG$5,$J288:$AG288))/1000</f>
        <v/>
      </c>
      <c r="H288" s="67">
        <f>(fcd_cc*(2/3*(cc_D/2)^3*SIN($BI288)^3-2*(cc_D/2)^3*($BI288-$BH288)/12/3*SUMPRODUCT($BW$4:$CI$4,$BW288:$CI288))+SUMPRODUCT($J$5:$AG$5,$J288:$AG288,$J$16:$AG$16))/1E6</f>
        <v/>
      </c>
      <c r="I288" s="67">
        <f>SUMPRODUCT($J$5:$AG$5,$J288:$AG288,$J$17:$AG$17)/1E6</f>
        <v/>
      </c>
      <c r="J288">
        <f>MAX(-fyd_cc,MIN(fyd_cc,Es_cc*IF($E288&lt;=cc_D,0.0035*($E288-J$15)/$E288,0.002*($E288-J$15)/($E288-3*cc_D/7))))-fcd_cc*(1-(1-MAX(0,MIN(1,IF($E288&lt;=cc_D,0.0035*($E288-J$15)/$E288,0.002*($E288-J$15)/($E288-3*cc_D/7))/0.002)))^2)</f>
        <v/>
      </c>
      <c r="K288">
        <f>MAX(-fyd_cc,MIN(fyd_cc,Es_cc*IF($E288&lt;=cc_D,0.0035*($E288-K$15)/$E288,0.002*($E288-K$15)/($E288-3*cc_D/7))))-fcd_cc*(1-(1-MAX(0,MIN(1,IF($E288&lt;=cc_D,0.0035*($E288-K$15)/$E288,0.002*($E288-K$15)/($E288-3*cc_D/7))/0.002)))^2)</f>
        <v/>
      </c>
      <c r="L288">
        <f>MAX(-fyd_cc,MIN(fyd_cc,Es_cc*IF($E288&lt;=cc_D,0.0035*($E288-L$15)/$E288,0.002*($E288-L$15)/($E288-3*cc_D/7))))-fcd_cc*(1-(1-MAX(0,MIN(1,IF($E288&lt;=cc_D,0.0035*($E288-L$15)/$E288,0.002*($E288-L$15)/($E288-3*cc_D/7))/0.002)))^2)</f>
        <v/>
      </c>
      <c r="M288">
        <f>MAX(-fyd_cc,MIN(fyd_cc,Es_cc*IF($E288&lt;=cc_D,0.0035*($E288-M$15)/$E288,0.002*($E288-M$15)/($E288-3*cc_D/7))))-fcd_cc*(1-(1-MAX(0,MIN(1,IF($E288&lt;=cc_D,0.0035*($E288-M$15)/$E288,0.002*($E288-M$15)/($E288-3*cc_D/7))/0.002)))^2)</f>
        <v/>
      </c>
      <c r="N288">
        <f>MAX(-fyd_cc,MIN(fyd_cc,Es_cc*IF($E288&lt;=cc_D,0.0035*($E288-N$15)/$E288,0.002*($E288-N$15)/($E288-3*cc_D/7))))-fcd_cc*(1-(1-MAX(0,MIN(1,IF($E288&lt;=cc_D,0.0035*($E288-N$15)/$E288,0.002*($E288-N$15)/($E288-3*cc_D/7))/0.002)))^2)</f>
        <v/>
      </c>
      <c r="O288">
        <f>MAX(-fyd_cc,MIN(fyd_cc,Es_cc*IF($E288&lt;=cc_D,0.0035*($E288-O$15)/$E288,0.002*($E288-O$15)/($E288-3*cc_D/7))))-fcd_cc*(1-(1-MAX(0,MIN(1,IF($E288&lt;=cc_D,0.0035*($E288-O$15)/$E288,0.002*($E288-O$15)/($E288-3*cc_D/7))/0.002)))^2)</f>
        <v/>
      </c>
      <c r="P288">
        <f>MAX(-fyd_cc,MIN(fyd_cc,Es_cc*IF($E288&lt;=cc_D,0.0035*($E288-P$15)/$E288,0.002*($E288-P$15)/($E288-3*cc_D/7))))-fcd_cc*(1-(1-MAX(0,MIN(1,IF($E288&lt;=cc_D,0.0035*($E288-P$15)/$E288,0.002*($E288-P$15)/($E288-3*cc_D/7))/0.002)))^2)</f>
        <v/>
      </c>
      <c r="Q288">
        <f>MAX(-fyd_cc,MIN(fyd_cc,Es_cc*IF($E288&lt;=cc_D,0.0035*($E288-Q$15)/$E288,0.002*($E288-Q$15)/($E288-3*cc_D/7))))-fcd_cc*(1-(1-MAX(0,MIN(1,IF($E288&lt;=cc_D,0.0035*($E288-Q$15)/$E288,0.002*($E288-Q$15)/($E288-3*cc_D/7))/0.002)))^2)</f>
        <v/>
      </c>
      <c r="R288">
        <f>MAX(-fyd_cc,MIN(fyd_cc,Es_cc*IF($E288&lt;=cc_D,0.0035*($E288-R$15)/$E288,0.002*($E288-R$15)/($E288-3*cc_D/7))))-fcd_cc*(1-(1-MAX(0,MIN(1,IF($E288&lt;=cc_D,0.0035*($E288-R$15)/$E288,0.002*($E288-R$15)/($E288-3*cc_D/7))/0.002)))^2)</f>
        <v/>
      </c>
      <c r="S288">
        <f>MAX(-fyd_cc,MIN(fyd_cc,Es_cc*IF($E288&lt;=cc_D,0.0035*($E288-S$15)/$E288,0.002*($E288-S$15)/($E288-3*cc_D/7))))-fcd_cc*(1-(1-MAX(0,MIN(1,IF($E288&lt;=cc_D,0.0035*($E288-S$15)/$E288,0.002*($E288-S$15)/($E288-3*cc_D/7))/0.002)))^2)</f>
        <v/>
      </c>
      <c r="T288">
        <f>MAX(-fyd_cc,MIN(fyd_cc,Es_cc*IF($E288&lt;=cc_D,0.0035*($E288-T$15)/$E288,0.002*($E288-T$15)/($E288-3*cc_D/7))))-fcd_cc*(1-(1-MAX(0,MIN(1,IF($E288&lt;=cc_D,0.0035*($E288-T$15)/$E288,0.002*($E288-T$15)/($E288-3*cc_D/7))/0.002)))^2)</f>
        <v/>
      </c>
      <c r="U288">
        <f>MAX(-fyd_cc,MIN(fyd_cc,Es_cc*IF($E288&lt;=cc_D,0.0035*($E288-U$15)/$E288,0.002*($E288-U$15)/($E288-3*cc_D/7))))-fcd_cc*(1-(1-MAX(0,MIN(1,IF($E288&lt;=cc_D,0.0035*($E288-U$15)/$E288,0.002*($E288-U$15)/($E288-3*cc_D/7))/0.002)))^2)</f>
        <v/>
      </c>
      <c r="V288">
        <f>MAX(-fyd_cc,MIN(fyd_cc,Es_cc*IF($E288&lt;=cc_D,0.0035*($E288-V$15)/$E288,0.002*($E288-V$15)/($E288-3*cc_D/7))))-fcd_cc*(1-(1-MAX(0,MIN(1,IF($E288&lt;=cc_D,0.0035*($E288-V$15)/$E288,0.002*($E288-V$15)/($E288-3*cc_D/7))/0.002)))^2)</f>
        <v/>
      </c>
      <c r="W288">
        <f>MAX(-fyd_cc,MIN(fyd_cc,Es_cc*IF($E288&lt;=cc_D,0.0035*($E288-W$15)/$E288,0.002*($E288-W$15)/($E288-3*cc_D/7))))-fcd_cc*(1-(1-MAX(0,MIN(1,IF($E288&lt;=cc_D,0.0035*($E288-W$15)/$E288,0.002*($E288-W$15)/($E288-3*cc_D/7))/0.002)))^2)</f>
        <v/>
      </c>
      <c r="X288">
        <f>MAX(-fyd_cc,MIN(fyd_cc,Es_cc*IF($E288&lt;=cc_D,0.0035*($E288-X$15)/$E288,0.002*($E288-X$15)/($E288-3*cc_D/7))))-fcd_cc*(1-(1-MAX(0,MIN(1,IF($E288&lt;=cc_D,0.0035*($E288-X$15)/$E288,0.002*($E288-X$15)/($E288-3*cc_D/7))/0.002)))^2)</f>
        <v/>
      </c>
      <c r="Y288">
        <f>MAX(-fyd_cc,MIN(fyd_cc,Es_cc*IF($E288&lt;=cc_D,0.0035*($E288-Y$15)/$E288,0.002*($E288-Y$15)/($E288-3*cc_D/7))))-fcd_cc*(1-(1-MAX(0,MIN(1,IF($E288&lt;=cc_D,0.0035*($E288-Y$15)/$E288,0.002*($E288-Y$15)/($E288-3*cc_D/7))/0.002)))^2)</f>
        <v/>
      </c>
      <c r="Z288">
        <f>MAX(-fyd_cc,MIN(fyd_cc,Es_cc*IF($E288&lt;=cc_D,0.0035*($E288-Z$15)/$E288,0.002*($E288-Z$15)/($E288-3*cc_D/7))))-fcd_cc*(1-(1-MAX(0,MIN(1,IF($E288&lt;=cc_D,0.0035*($E288-Z$15)/$E288,0.002*($E288-Z$15)/($E288-3*cc_D/7))/0.002)))^2)</f>
        <v/>
      </c>
      <c r="AA288">
        <f>MAX(-fyd_cc,MIN(fyd_cc,Es_cc*IF($E288&lt;=cc_D,0.0035*($E288-AA$15)/$E288,0.002*($E288-AA$15)/($E288-3*cc_D/7))))-fcd_cc*(1-(1-MAX(0,MIN(1,IF($E288&lt;=cc_D,0.0035*($E288-AA$15)/$E288,0.002*($E288-AA$15)/($E288-3*cc_D/7))/0.002)))^2)</f>
        <v/>
      </c>
      <c r="AB288">
        <f>MAX(-fyd_cc,MIN(fyd_cc,Es_cc*IF($E288&lt;=cc_D,0.0035*($E288-AB$15)/$E288,0.002*($E288-AB$15)/($E288-3*cc_D/7))))-fcd_cc*(1-(1-MAX(0,MIN(1,IF($E288&lt;=cc_D,0.0035*($E288-AB$15)/$E288,0.002*($E288-AB$15)/($E288-3*cc_D/7))/0.002)))^2)</f>
        <v/>
      </c>
      <c r="AC288">
        <f>MAX(-fyd_cc,MIN(fyd_cc,Es_cc*IF($E288&lt;=cc_D,0.0035*($E288-AC$15)/$E288,0.002*($E288-AC$15)/($E288-3*cc_D/7))))-fcd_cc*(1-(1-MAX(0,MIN(1,IF($E288&lt;=cc_D,0.0035*($E288-AC$15)/$E288,0.002*($E288-AC$15)/($E288-3*cc_D/7))/0.002)))^2)</f>
        <v/>
      </c>
      <c r="AD288">
        <f>MAX(-fyd_cc,MIN(fyd_cc,Es_cc*IF($E288&lt;=cc_D,0.0035*($E288-AD$15)/$E288,0.002*($E288-AD$15)/($E288-3*cc_D/7))))-fcd_cc*(1-(1-MAX(0,MIN(1,IF($E288&lt;=cc_D,0.0035*($E288-AD$15)/$E288,0.002*($E288-AD$15)/($E288-3*cc_D/7))/0.002)))^2)</f>
        <v/>
      </c>
      <c r="AE288">
        <f>MAX(-fyd_cc,MIN(fyd_cc,Es_cc*IF($E288&lt;=cc_D,0.0035*($E288-AE$15)/$E288,0.002*($E288-AE$15)/($E288-3*cc_D/7))))-fcd_cc*(1-(1-MAX(0,MIN(1,IF($E288&lt;=cc_D,0.0035*($E288-AE$15)/$E288,0.002*($E288-AE$15)/($E288-3*cc_D/7))/0.002)))^2)</f>
        <v/>
      </c>
      <c r="AF288">
        <f>MAX(-fyd_cc,MIN(fyd_cc,Es_cc*IF($E288&lt;=cc_D,0.0035*($E288-AF$15)/$E288,0.002*($E288-AF$15)/($E288-3*cc_D/7))))-fcd_cc*(1-(1-MAX(0,MIN(1,IF($E288&lt;=cc_D,0.0035*($E288-AF$15)/$E288,0.002*($E288-AF$15)/($E288-3*cc_D/7))/0.002)))^2)</f>
        <v/>
      </c>
      <c r="AG288">
        <f>MAX(-fyd_cc,MIN(fyd_cc,Es_cc*IF($E288&lt;=cc_D,0.0035*($E288-AG$15)/$E288,0.002*($E288-AG$15)/($E288-3*cc_D/7))))-fcd_cc*(1-(1-MAX(0,MIN(1,IF($E288&lt;=cc_D,0.0035*($E288-AG$15)/$E288,0.002*($E288-AG$15)/($E288-3*cc_D/7))/0.002)))^2)</f>
        <v/>
      </c>
      <c r="BF288">
        <f>3*MIN($E288,cc_D)/7</f>
        <v/>
      </c>
      <c r="BG288">
        <f>$E288-$BF288</f>
        <v/>
      </c>
      <c r="BH288">
        <f>ACOS(MAX(-1,MIN(1,1-$BF288/(cc_D/2))))</f>
        <v/>
      </c>
      <c r="BI288">
        <f>ACOS(MAX(-1,MIN(1,1-MIN($E288,cc_D)/(cc_D/2))))</f>
        <v/>
      </c>
      <c r="BJ288">
        <f>((cc_D/2*(1-COS(($BH288+0*($BI288-$BH288)/12)))-$BF288)/$BG288)^2*SIN(($BH288+0*($BI288-$BH288)/12))^2</f>
        <v/>
      </c>
      <c r="BK288">
        <f>((cc_D/2*(1-COS(($BH288+1*($BI288-$BH288)/12)))-$BF288)/$BG288)^2*SIN(($BH288+1*($BI288-$BH288)/12))^2</f>
        <v/>
      </c>
      <c r="BL288">
        <f>((cc_D/2*(1-COS(($BH288+2*($BI288-$BH288)/12)))-$BF288)/$BG288)^2*SIN(($BH288+2*($BI288-$BH288)/12))^2</f>
        <v/>
      </c>
      <c r="BM288">
        <f>((cc_D/2*(1-COS(($BH288+3*($BI288-$BH288)/12)))-$BF288)/$BG288)^2*SIN(($BH288+3*($BI288-$BH288)/12))^2</f>
        <v/>
      </c>
      <c r="BN288">
        <f>((cc_D/2*(1-COS(($BH288+4*($BI288-$BH288)/12)))-$BF288)/$BG288)^2*SIN(($BH288+4*($BI288-$BH288)/12))^2</f>
        <v/>
      </c>
      <c r="BO288">
        <f>((cc_D/2*(1-COS(($BH288+5*($BI288-$BH288)/12)))-$BF288)/$BG288)^2*SIN(($BH288+5*($BI288-$BH288)/12))^2</f>
        <v/>
      </c>
      <c r="BP288">
        <f>((cc_D/2*(1-COS(($BH288+6*($BI288-$BH288)/12)))-$BF288)/$BG288)^2*SIN(($BH288+6*($BI288-$BH288)/12))^2</f>
        <v/>
      </c>
      <c r="BQ288">
        <f>((cc_D/2*(1-COS(($BH288+7*($BI288-$BH288)/12)))-$BF288)/$BG288)^2*SIN(($BH288+7*($BI288-$BH288)/12))^2</f>
        <v/>
      </c>
      <c r="BR288">
        <f>((cc_D/2*(1-COS(($BH288+8*($BI288-$BH288)/12)))-$BF288)/$BG288)^2*SIN(($BH288+8*($BI288-$BH288)/12))^2</f>
        <v/>
      </c>
      <c r="BS288">
        <f>((cc_D/2*(1-COS(($BH288+9*($BI288-$BH288)/12)))-$BF288)/$BG288)^2*SIN(($BH288+9*($BI288-$BH288)/12))^2</f>
        <v/>
      </c>
      <c r="BT288">
        <f>((cc_D/2*(1-COS(($BH288+10*($BI288-$BH288)/12)))-$BF288)/$BG288)^2*SIN(($BH288+10*($BI288-$BH288)/12))^2</f>
        <v/>
      </c>
      <c r="BU288">
        <f>((cc_D/2*(1-COS(($BH288+11*($BI288-$BH288)/12)))-$BF288)/$BG288)^2*SIN(($BH288+11*($BI288-$BH288)/12))^2</f>
        <v/>
      </c>
      <c r="BV288">
        <f>((cc_D/2*(1-COS(($BH288+12*($BI288-$BH288)/12)))-$BF288)/$BG288)^2*SIN(($BH288+12*($BI288-$BH288)/12))^2</f>
        <v/>
      </c>
      <c r="BW288">
        <f>BJ288*COS(($BH288+0*($BI288-$BH288)/12))</f>
        <v/>
      </c>
      <c r="BX288">
        <f>BK288*COS(($BH288+1*($BI288-$BH288)/12))</f>
        <v/>
      </c>
      <c r="BY288">
        <f>BL288*COS(($BH288+2*($BI288-$BH288)/12))</f>
        <v/>
      </c>
      <c r="BZ288">
        <f>BM288*COS(($BH288+3*($BI288-$BH288)/12))</f>
        <v/>
      </c>
      <c r="CA288">
        <f>BN288*COS(($BH288+4*($BI288-$BH288)/12))</f>
        <v/>
      </c>
      <c r="CB288">
        <f>BO288*COS(($BH288+5*($BI288-$BH288)/12))</f>
        <v/>
      </c>
      <c r="CC288">
        <f>BP288*COS(($BH288+6*($BI288-$BH288)/12))</f>
        <v/>
      </c>
      <c r="CD288">
        <f>BQ288*COS(($BH288+7*($BI288-$BH288)/12))</f>
        <v/>
      </c>
      <c r="CE288">
        <f>BR288*COS(($BH288+8*($BI288-$BH288)/12))</f>
        <v/>
      </c>
      <c r="CF288">
        <f>BS288*COS(($BH288+9*($BI288-$BH288)/12))</f>
        <v/>
      </c>
      <c r="CG288">
        <f>BT288*COS(($BH288+10*($BI288-$BH288)/12))</f>
        <v/>
      </c>
      <c r="CH288">
        <f>BU288*COS(($BH288+11*($BI288-$BH288)/12))</f>
        <v/>
      </c>
      <c r="CI288">
        <f>BV288*COS(($BH288+12*($BI288-$BH288)/12))</f>
        <v/>
      </c>
    </row>
    <row r="289">
      <c r="B289" s="65" t="n">
        <v>11</v>
      </c>
      <c r="C289" s="66">
        <f>IF($G288&lt;cc_NEd-1E-9*ABS(cc_NEd),($C288+$D288)/2,$C288)</f>
        <v/>
      </c>
      <c r="D289" s="66">
        <f>IF($G288&lt;cc_NEd-1E-9*ABS(cc_NEd),$D288,($C288+$D288)/2)</f>
        <v/>
      </c>
      <c r="E289" s="67">
        <f>cc_D*(($C289+$D289)/2)/(1-(($C289+$D289)/2))</f>
        <v/>
      </c>
      <c r="F289" s="68">
        <f>IF($E289&lt;=cc_D,3.5,2*$E289/($E289-3*cc_D/7))</f>
        <v/>
      </c>
      <c r="G289" s="67">
        <f>(fcd_cc*((cc_D/2)^2*($BI289-COS($BI289)*SIN($BI289))-2*(cc_D/2)^2*($BI289-$BH289)/12/3*SUMPRODUCT($BJ$4:$BV$4,$BJ289:$BV289))+SUMPRODUCT($J$5:$AG$5,$J289:$AG289))/1000</f>
        <v/>
      </c>
      <c r="H289" s="67">
        <f>(fcd_cc*(2/3*(cc_D/2)^3*SIN($BI289)^3-2*(cc_D/2)^3*($BI289-$BH289)/12/3*SUMPRODUCT($BW$4:$CI$4,$BW289:$CI289))+SUMPRODUCT($J$5:$AG$5,$J289:$AG289,$J$16:$AG$16))/1E6</f>
        <v/>
      </c>
      <c r="I289" s="67">
        <f>SUMPRODUCT($J$5:$AG$5,$J289:$AG289,$J$17:$AG$17)/1E6</f>
        <v/>
      </c>
      <c r="J289">
        <f>MAX(-fyd_cc,MIN(fyd_cc,Es_cc*IF($E289&lt;=cc_D,0.0035*($E289-J$15)/$E289,0.002*($E289-J$15)/($E289-3*cc_D/7))))-fcd_cc*(1-(1-MAX(0,MIN(1,IF($E289&lt;=cc_D,0.0035*($E289-J$15)/$E289,0.002*($E289-J$15)/($E289-3*cc_D/7))/0.002)))^2)</f>
        <v/>
      </c>
      <c r="K289">
        <f>MAX(-fyd_cc,MIN(fyd_cc,Es_cc*IF($E289&lt;=cc_D,0.0035*($E289-K$15)/$E289,0.002*($E289-K$15)/($E289-3*cc_D/7))))-fcd_cc*(1-(1-MAX(0,MIN(1,IF($E289&lt;=cc_D,0.0035*($E289-K$15)/$E289,0.002*($E289-K$15)/($E289-3*cc_D/7))/0.002)))^2)</f>
        <v/>
      </c>
      <c r="L289">
        <f>MAX(-fyd_cc,MIN(fyd_cc,Es_cc*IF($E289&lt;=cc_D,0.0035*($E289-L$15)/$E289,0.002*($E289-L$15)/($E289-3*cc_D/7))))-fcd_cc*(1-(1-MAX(0,MIN(1,IF($E289&lt;=cc_D,0.0035*($E289-L$15)/$E289,0.002*($E289-L$15)/($E289-3*cc_D/7))/0.002)))^2)</f>
        <v/>
      </c>
      <c r="M289">
        <f>MAX(-fyd_cc,MIN(fyd_cc,Es_cc*IF($E289&lt;=cc_D,0.0035*($E289-M$15)/$E289,0.002*($E289-M$15)/($E289-3*cc_D/7))))-fcd_cc*(1-(1-MAX(0,MIN(1,IF($E289&lt;=cc_D,0.0035*($E289-M$15)/$E289,0.002*($E289-M$15)/($E289-3*cc_D/7))/0.002)))^2)</f>
        <v/>
      </c>
      <c r="N289">
        <f>MAX(-fyd_cc,MIN(fyd_cc,Es_cc*IF($E289&lt;=cc_D,0.0035*($E289-N$15)/$E289,0.002*($E289-N$15)/($E289-3*cc_D/7))))-fcd_cc*(1-(1-MAX(0,MIN(1,IF($E289&lt;=cc_D,0.0035*($E289-N$15)/$E289,0.002*($E289-N$15)/($E289-3*cc_D/7))/0.002)))^2)</f>
        <v/>
      </c>
      <c r="O289">
        <f>MAX(-fyd_cc,MIN(fyd_cc,Es_cc*IF($E289&lt;=cc_D,0.0035*($E289-O$15)/$E289,0.002*($E289-O$15)/($E289-3*cc_D/7))))-fcd_cc*(1-(1-MAX(0,MIN(1,IF($E289&lt;=cc_D,0.0035*($E289-O$15)/$E289,0.002*($E289-O$15)/($E289-3*cc_D/7))/0.002)))^2)</f>
        <v/>
      </c>
      <c r="P289">
        <f>MAX(-fyd_cc,MIN(fyd_cc,Es_cc*IF($E289&lt;=cc_D,0.0035*($E289-P$15)/$E289,0.002*($E289-P$15)/($E289-3*cc_D/7))))-fcd_cc*(1-(1-MAX(0,MIN(1,IF($E289&lt;=cc_D,0.0035*($E289-P$15)/$E289,0.002*($E289-P$15)/($E289-3*cc_D/7))/0.002)))^2)</f>
        <v/>
      </c>
      <c r="Q289">
        <f>MAX(-fyd_cc,MIN(fyd_cc,Es_cc*IF($E289&lt;=cc_D,0.0035*($E289-Q$15)/$E289,0.002*($E289-Q$15)/($E289-3*cc_D/7))))-fcd_cc*(1-(1-MAX(0,MIN(1,IF($E289&lt;=cc_D,0.0035*($E289-Q$15)/$E289,0.002*($E289-Q$15)/($E289-3*cc_D/7))/0.002)))^2)</f>
        <v/>
      </c>
      <c r="R289">
        <f>MAX(-fyd_cc,MIN(fyd_cc,Es_cc*IF($E289&lt;=cc_D,0.0035*($E289-R$15)/$E289,0.002*($E289-R$15)/($E289-3*cc_D/7))))-fcd_cc*(1-(1-MAX(0,MIN(1,IF($E289&lt;=cc_D,0.0035*($E289-R$15)/$E289,0.002*($E289-R$15)/($E289-3*cc_D/7))/0.002)))^2)</f>
        <v/>
      </c>
      <c r="S289">
        <f>MAX(-fyd_cc,MIN(fyd_cc,Es_cc*IF($E289&lt;=cc_D,0.0035*($E289-S$15)/$E289,0.002*($E289-S$15)/($E289-3*cc_D/7))))-fcd_cc*(1-(1-MAX(0,MIN(1,IF($E289&lt;=cc_D,0.0035*($E289-S$15)/$E289,0.002*($E289-S$15)/($E289-3*cc_D/7))/0.002)))^2)</f>
        <v/>
      </c>
      <c r="T289">
        <f>MAX(-fyd_cc,MIN(fyd_cc,Es_cc*IF($E289&lt;=cc_D,0.0035*($E289-T$15)/$E289,0.002*($E289-T$15)/($E289-3*cc_D/7))))-fcd_cc*(1-(1-MAX(0,MIN(1,IF($E289&lt;=cc_D,0.0035*($E289-T$15)/$E289,0.002*($E289-T$15)/($E289-3*cc_D/7))/0.002)))^2)</f>
        <v/>
      </c>
      <c r="U289">
        <f>MAX(-fyd_cc,MIN(fyd_cc,Es_cc*IF($E289&lt;=cc_D,0.0035*($E289-U$15)/$E289,0.002*($E289-U$15)/($E289-3*cc_D/7))))-fcd_cc*(1-(1-MAX(0,MIN(1,IF($E289&lt;=cc_D,0.0035*($E289-U$15)/$E289,0.002*($E289-U$15)/($E289-3*cc_D/7))/0.002)))^2)</f>
        <v/>
      </c>
      <c r="V289">
        <f>MAX(-fyd_cc,MIN(fyd_cc,Es_cc*IF($E289&lt;=cc_D,0.0035*($E289-V$15)/$E289,0.002*($E289-V$15)/($E289-3*cc_D/7))))-fcd_cc*(1-(1-MAX(0,MIN(1,IF($E289&lt;=cc_D,0.0035*($E289-V$15)/$E289,0.002*($E289-V$15)/($E289-3*cc_D/7))/0.002)))^2)</f>
        <v/>
      </c>
      <c r="W289">
        <f>MAX(-fyd_cc,MIN(fyd_cc,Es_cc*IF($E289&lt;=cc_D,0.0035*($E289-W$15)/$E289,0.002*($E289-W$15)/($E289-3*cc_D/7))))-fcd_cc*(1-(1-MAX(0,MIN(1,IF($E289&lt;=cc_D,0.0035*($E289-W$15)/$E289,0.002*($E289-W$15)/($E289-3*cc_D/7))/0.002)))^2)</f>
        <v/>
      </c>
      <c r="X289">
        <f>MAX(-fyd_cc,MIN(fyd_cc,Es_cc*IF($E289&lt;=cc_D,0.0035*($E289-X$15)/$E289,0.002*($E289-X$15)/($E289-3*cc_D/7))))-fcd_cc*(1-(1-MAX(0,MIN(1,IF($E289&lt;=cc_D,0.0035*($E289-X$15)/$E289,0.002*($E289-X$15)/($E289-3*cc_D/7))/0.002)))^2)</f>
        <v/>
      </c>
      <c r="Y289">
        <f>MAX(-fyd_cc,MIN(fyd_cc,Es_cc*IF($E289&lt;=cc_D,0.0035*($E289-Y$15)/$E289,0.002*($E289-Y$15)/($E289-3*cc_D/7))))-fcd_cc*(1-(1-MAX(0,MIN(1,IF($E289&lt;=cc_D,0.0035*($E289-Y$15)/$E289,0.002*($E289-Y$15)/($E289-3*cc_D/7))/0.002)))^2)</f>
        <v/>
      </c>
      <c r="Z289">
        <f>MAX(-fyd_cc,MIN(fyd_cc,Es_cc*IF($E289&lt;=cc_D,0.0035*($E289-Z$15)/$E289,0.002*($E289-Z$15)/($E289-3*cc_D/7))))-fcd_cc*(1-(1-MAX(0,MIN(1,IF($E289&lt;=cc_D,0.0035*($E289-Z$15)/$E289,0.002*($E289-Z$15)/($E289-3*cc_D/7))/0.002)))^2)</f>
        <v/>
      </c>
      <c r="AA289">
        <f>MAX(-fyd_cc,MIN(fyd_cc,Es_cc*IF($E289&lt;=cc_D,0.0035*($E289-AA$15)/$E289,0.002*($E289-AA$15)/($E289-3*cc_D/7))))-fcd_cc*(1-(1-MAX(0,MIN(1,IF($E289&lt;=cc_D,0.0035*($E289-AA$15)/$E289,0.002*($E289-AA$15)/($E289-3*cc_D/7))/0.002)))^2)</f>
        <v/>
      </c>
      <c r="AB289">
        <f>MAX(-fyd_cc,MIN(fyd_cc,Es_cc*IF($E289&lt;=cc_D,0.0035*($E289-AB$15)/$E289,0.002*($E289-AB$15)/($E289-3*cc_D/7))))-fcd_cc*(1-(1-MAX(0,MIN(1,IF($E289&lt;=cc_D,0.0035*($E289-AB$15)/$E289,0.002*($E289-AB$15)/($E289-3*cc_D/7))/0.002)))^2)</f>
        <v/>
      </c>
      <c r="AC289">
        <f>MAX(-fyd_cc,MIN(fyd_cc,Es_cc*IF($E289&lt;=cc_D,0.0035*($E289-AC$15)/$E289,0.002*($E289-AC$15)/($E289-3*cc_D/7))))-fcd_cc*(1-(1-MAX(0,MIN(1,IF($E289&lt;=cc_D,0.0035*($E289-AC$15)/$E289,0.002*($E289-AC$15)/($E289-3*cc_D/7))/0.002)))^2)</f>
        <v/>
      </c>
      <c r="AD289">
        <f>MAX(-fyd_cc,MIN(fyd_cc,Es_cc*IF($E289&lt;=cc_D,0.0035*($E289-AD$15)/$E289,0.002*($E289-AD$15)/($E289-3*cc_D/7))))-fcd_cc*(1-(1-MAX(0,MIN(1,IF($E289&lt;=cc_D,0.0035*($E289-AD$15)/$E289,0.002*($E289-AD$15)/($E289-3*cc_D/7))/0.002)))^2)</f>
        <v/>
      </c>
      <c r="AE289">
        <f>MAX(-fyd_cc,MIN(fyd_cc,Es_cc*IF($E289&lt;=cc_D,0.0035*($E289-AE$15)/$E289,0.002*($E289-AE$15)/($E289-3*cc_D/7))))-fcd_cc*(1-(1-MAX(0,MIN(1,IF($E289&lt;=cc_D,0.0035*($E289-AE$15)/$E289,0.002*($E289-AE$15)/($E289-3*cc_D/7))/0.002)))^2)</f>
        <v/>
      </c>
      <c r="AF289">
        <f>MAX(-fyd_cc,MIN(fyd_cc,Es_cc*IF($E289&lt;=cc_D,0.0035*($E289-AF$15)/$E289,0.002*($E289-AF$15)/($E289-3*cc_D/7))))-fcd_cc*(1-(1-MAX(0,MIN(1,IF($E289&lt;=cc_D,0.0035*($E289-AF$15)/$E289,0.002*($E289-AF$15)/($E289-3*cc_D/7))/0.002)))^2)</f>
        <v/>
      </c>
      <c r="AG289">
        <f>MAX(-fyd_cc,MIN(fyd_cc,Es_cc*IF($E289&lt;=cc_D,0.0035*($E289-AG$15)/$E289,0.002*($E289-AG$15)/($E289-3*cc_D/7))))-fcd_cc*(1-(1-MAX(0,MIN(1,IF($E289&lt;=cc_D,0.0035*($E289-AG$15)/$E289,0.002*($E289-AG$15)/($E289-3*cc_D/7))/0.002)))^2)</f>
        <v/>
      </c>
      <c r="BF289">
        <f>3*MIN($E289,cc_D)/7</f>
        <v/>
      </c>
      <c r="BG289">
        <f>$E289-$BF289</f>
        <v/>
      </c>
      <c r="BH289">
        <f>ACOS(MAX(-1,MIN(1,1-$BF289/(cc_D/2))))</f>
        <v/>
      </c>
      <c r="BI289">
        <f>ACOS(MAX(-1,MIN(1,1-MIN($E289,cc_D)/(cc_D/2))))</f>
        <v/>
      </c>
      <c r="BJ289">
        <f>((cc_D/2*(1-COS(($BH289+0*($BI289-$BH289)/12)))-$BF289)/$BG289)^2*SIN(($BH289+0*($BI289-$BH289)/12))^2</f>
        <v/>
      </c>
      <c r="BK289">
        <f>((cc_D/2*(1-COS(($BH289+1*($BI289-$BH289)/12)))-$BF289)/$BG289)^2*SIN(($BH289+1*($BI289-$BH289)/12))^2</f>
        <v/>
      </c>
      <c r="BL289">
        <f>((cc_D/2*(1-COS(($BH289+2*($BI289-$BH289)/12)))-$BF289)/$BG289)^2*SIN(($BH289+2*($BI289-$BH289)/12))^2</f>
        <v/>
      </c>
      <c r="BM289">
        <f>((cc_D/2*(1-COS(($BH289+3*($BI289-$BH289)/12)))-$BF289)/$BG289)^2*SIN(($BH289+3*($BI289-$BH289)/12))^2</f>
        <v/>
      </c>
      <c r="BN289">
        <f>((cc_D/2*(1-COS(($BH289+4*($BI289-$BH289)/12)))-$BF289)/$BG289)^2*SIN(($BH289+4*($BI289-$BH289)/12))^2</f>
        <v/>
      </c>
      <c r="BO289">
        <f>((cc_D/2*(1-COS(($BH289+5*($BI289-$BH289)/12)))-$BF289)/$BG289)^2*SIN(($BH289+5*($BI289-$BH289)/12))^2</f>
        <v/>
      </c>
      <c r="BP289">
        <f>((cc_D/2*(1-COS(($BH289+6*($BI289-$BH289)/12)))-$BF289)/$BG289)^2*SIN(($BH289+6*($BI289-$BH289)/12))^2</f>
        <v/>
      </c>
      <c r="BQ289">
        <f>((cc_D/2*(1-COS(($BH289+7*($BI289-$BH289)/12)))-$BF289)/$BG289)^2*SIN(($BH289+7*($BI289-$BH289)/12))^2</f>
        <v/>
      </c>
      <c r="BR289">
        <f>((cc_D/2*(1-COS(($BH289+8*($BI289-$BH289)/12)))-$BF289)/$BG289)^2*SIN(($BH289+8*($BI289-$BH289)/12))^2</f>
        <v/>
      </c>
      <c r="BS289">
        <f>((cc_D/2*(1-COS(($BH289+9*($BI289-$BH289)/12)))-$BF289)/$BG289)^2*SIN(($BH289+9*($BI289-$BH289)/12))^2</f>
        <v/>
      </c>
      <c r="BT289">
        <f>((cc_D/2*(1-COS(($BH289+10*($BI289-$BH289)/12)))-$BF289)/$BG289)^2*SIN(($BH289+10*($BI289-$BH289)/12))^2</f>
        <v/>
      </c>
      <c r="BU289">
        <f>((cc_D/2*(1-COS(($BH289+11*($BI289-$BH289)/12)))-$BF289)/$BG289)^2*SIN(($BH289+11*($BI289-$BH289)/12))^2</f>
        <v/>
      </c>
      <c r="BV289">
        <f>((cc_D/2*(1-COS(($BH289+12*($BI289-$BH289)/12)))-$BF289)/$BG289)^2*SIN(($BH289+12*($BI289-$BH289)/12))^2</f>
        <v/>
      </c>
      <c r="BW289">
        <f>BJ289*COS(($BH289+0*($BI289-$BH289)/12))</f>
        <v/>
      </c>
      <c r="BX289">
        <f>BK289*COS(($BH289+1*($BI289-$BH289)/12))</f>
        <v/>
      </c>
      <c r="BY289">
        <f>BL289*COS(($BH289+2*($BI289-$BH289)/12))</f>
        <v/>
      </c>
      <c r="BZ289">
        <f>BM289*COS(($BH289+3*($BI289-$BH289)/12))</f>
        <v/>
      </c>
      <c r="CA289">
        <f>BN289*COS(($BH289+4*($BI289-$BH289)/12))</f>
        <v/>
      </c>
      <c r="CB289">
        <f>BO289*COS(($BH289+5*($BI289-$BH289)/12))</f>
        <v/>
      </c>
      <c r="CC289">
        <f>BP289*COS(($BH289+6*($BI289-$BH289)/12))</f>
        <v/>
      </c>
      <c r="CD289">
        <f>BQ289*COS(($BH289+7*($BI289-$BH289)/12))</f>
        <v/>
      </c>
      <c r="CE289">
        <f>BR289*COS(($BH289+8*($BI289-$BH289)/12))</f>
        <v/>
      </c>
      <c r="CF289">
        <f>BS289*COS(($BH289+9*($BI289-$BH289)/12))</f>
        <v/>
      </c>
      <c r="CG289">
        <f>BT289*COS(($BH289+10*($BI289-$BH289)/12))</f>
        <v/>
      </c>
      <c r="CH289">
        <f>BU289*COS(($BH289+11*($BI289-$BH289)/12))</f>
        <v/>
      </c>
      <c r="CI289">
        <f>BV289*COS(($BH289+12*($BI289-$BH289)/12))</f>
        <v/>
      </c>
    </row>
    <row r="290">
      <c r="B290" s="65" t="n">
        <v>12</v>
      </c>
      <c r="C290" s="66">
        <f>IF($G289&lt;cc_NEd-1E-9*ABS(cc_NEd),($C289+$D289)/2,$C289)</f>
        <v/>
      </c>
      <c r="D290" s="66">
        <f>IF($G289&lt;cc_NEd-1E-9*ABS(cc_NEd),$D289,($C289+$D289)/2)</f>
        <v/>
      </c>
      <c r="E290" s="67">
        <f>cc_D*(($C290+$D290)/2)/(1-(($C290+$D290)/2))</f>
        <v/>
      </c>
      <c r="F290" s="68">
        <f>IF($E290&lt;=cc_D,3.5,2*$E290/($E290-3*cc_D/7))</f>
        <v/>
      </c>
      <c r="G290" s="67">
        <f>(fcd_cc*((cc_D/2)^2*($BI290-COS($BI290)*SIN($BI290))-2*(cc_D/2)^2*($BI290-$BH290)/12/3*SUMPRODUCT($BJ$4:$BV$4,$BJ290:$BV290))+SUMPRODUCT($J$5:$AG$5,$J290:$AG290))/1000</f>
        <v/>
      </c>
      <c r="H290" s="67">
        <f>(fcd_cc*(2/3*(cc_D/2)^3*SIN($BI290)^3-2*(cc_D/2)^3*($BI290-$BH290)/12/3*SUMPRODUCT($BW$4:$CI$4,$BW290:$CI290))+SUMPRODUCT($J$5:$AG$5,$J290:$AG290,$J$16:$AG$16))/1E6</f>
        <v/>
      </c>
      <c r="I290" s="67">
        <f>SUMPRODUCT($J$5:$AG$5,$J290:$AG290,$J$17:$AG$17)/1E6</f>
        <v/>
      </c>
      <c r="J290">
        <f>MAX(-fyd_cc,MIN(fyd_cc,Es_cc*IF($E290&lt;=cc_D,0.0035*($E290-J$15)/$E290,0.002*($E290-J$15)/($E290-3*cc_D/7))))-fcd_cc*(1-(1-MAX(0,MIN(1,IF($E290&lt;=cc_D,0.0035*($E290-J$15)/$E290,0.002*($E290-J$15)/($E290-3*cc_D/7))/0.002)))^2)</f>
        <v/>
      </c>
      <c r="K290">
        <f>MAX(-fyd_cc,MIN(fyd_cc,Es_cc*IF($E290&lt;=cc_D,0.0035*($E290-K$15)/$E290,0.002*($E290-K$15)/($E290-3*cc_D/7))))-fcd_cc*(1-(1-MAX(0,MIN(1,IF($E290&lt;=cc_D,0.0035*($E290-K$15)/$E290,0.002*($E290-K$15)/($E290-3*cc_D/7))/0.002)))^2)</f>
        <v/>
      </c>
      <c r="L290">
        <f>MAX(-fyd_cc,MIN(fyd_cc,Es_cc*IF($E290&lt;=cc_D,0.0035*($E290-L$15)/$E290,0.002*($E290-L$15)/($E290-3*cc_D/7))))-fcd_cc*(1-(1-MAX(0,MIN(1,IF($E290&lt;=cc_D,0.0035*($E290-L$15)/$E290,0.002*($E290-L$15)/($E290-3*cc_D/7))/0.002)))^2)</f>
        <v/>
      </c>
      <c r="M290">
        <f>MAX(-fyd_cc,MIN(fyd_cc,Es_cc*IF($E290&lt;=cc_D,0.0035*($E290-M$15)/$E290,0.002*($E290-M$15)/($E290-3*cc_D/7))))-fcd_cc*(1-(1-MAX(0,MIN(1,IF($E290&lt;=cc_D,0.0035*($E290-M$15)/$E290,0.002*($E290-M$15)/($E290-3*cc_D/7))/0.002)))^2)</f>
        <v/>
      </c>
      <c r="N290">
        <f>MAX(-fyd_cc,MIN(fyd_cc,Es_cc*IF($E290&lt;=cc_D,0.0035*($E290-N$15)/$E290,0.002*($E290-N$15)/($E290-3*cc_D/7))))-fcd_cc*(1-(1-MAX(0,MIN(1,IF($E290&lt;=cc_D,0.0035*($E290-N$15)/$E290,0.002*($E290-N$15)/($E290-3*cc_D/7))/0.002)))^2)</f>
        <v/>
      </c>
      <c r="O290">
        <f>MAX(-fyd_cc,MIN(fyd_cc,Es_cc*IF($E290&lt;=cc_D,0.0035*($E290-O$15)/$E290,0.002*($E290-O$15)/($E290-3*cc_D/7))))-fcd_cc*(1-(1-MAX(0,MIN(1,IF($E290&lt;=cc_D,0.0035*($E290-O$15)/$E290,0.002*($E290-O$15)/($E290-3*cc_D/7))/0.002)))^2)</f>
        <v/>
      </c>
      <c r="P290">
        <f>MAX(-fyd_cc,MIN(fyd_cc,Es_cc*IF($E290&lt;=cc_D,0.0035*($E290-P$15)/$E290,0.002*($E290-P$15)/($E290-3*cc_D/7))))-fcd_cc*(1-(1-MAX(0,MIN(1,IF($E290&lt;=cc_D,0.0035*($E290-P$15)/$E290,0.002*($E290-P$15)/($E290-3*cc_D/7))/0.002)))^2)</f>
        <v/>
      </c>
      <c r="Q290">
        <f>MAX(-fyd_cc,MIN(fyd_cc,Es_cc*IF($E290&lt;=cc_D,0.0035*($E290-Q$15)/$E290,0.002*($E290-Q$15)/($E290-3*cc_D/7))))-fcd_cc*(1-(1-MAX(0,MIN(1,IF($E290&lt;=cc_D,0.0035*($E290-Q$15)/$E290,0.002*($E290-Q$15)/($E290-3*cc_D/7))/0.002)))^2)</f>
        <v/>
      </c>
      <c r="R290">
        <f>MAX(-fyd_cc,MIN(fyd_cc,Es_cc*IF($E290&lt;=cc_D,0.0035*($E290-R$15)/$E290,0.002*($E290-R$15)/($E290-3*cc_D/7))))-fcd_cc*(1-(1-MAX(0,MIN(1,IF($E290&lt;=cc_D,0.0035*($E290-R$15)/$E290,0.002*($E290-R$15)/($E290-3*cc_D/7))/0.002)))^2)</f>
        <v/>
      </c>
      <c r="S290">
        <f>MAX(-fyd_cc,MIN(fyd_cc,Es_cc*IF($E290&lt;=cc_D,0.0035*($E290-S$15)/$E290,0.002*($E290-S$15)/($E290-3*cc_D/7))))-fcd_cc*(1-(1-MAX(0,MIN(1,IF($E290&lt;=cc_D,0.0035*($E290-S$15)/$E290,0.002*($E290-S$15)/($E290-3*cc_D/7))/0.002)))^2)</f>
        <v/>
      </c>
      <c r="T290">
        <f>MAX(-fyd_cc,MIN(fyd_cc,Es_cc*IF($E290&lt;=cc_D,0.0035*($E290-T$15)/$E290,0.002*($E290-T$15)/($E290-3*cc_D/7))))-fcd_cc*(1-(1-MAX(0,MIN(1,IF($E290&lt;=cc_D,0.0035*($E290-T$15)/$E290,0.002*($E290-T$15)/($E290-3*cc_D/7))/0.002)))^2)</f>
        <v/>
      </c>
      <c r="U290">
        <f>MAX(-fyd_cc,MIN(fyd_cc,Es_cc*IF($E290&lt;=cc_D,0.0035*($E290-U$15)/$E290,0.002*($E290-U$15)/($E290-3*cc_D/7))))-fcd_cc*(1-(1-MAX(0,MIN(1,IF($E290&lt;=cc_D,0.0035*($E290-U$15)/$E290,0.002*($E290-U$15)/($E290-3*cc_D/7))/0.002)))^2)</f>
        <v/>
      </c>
      <c r="V290">
        <f>MAX(-fyd_cc,MIN(fyd_cc,Es_cc*IF($E290&lt;=cc_D,0.0035*($E290-V$15)/$E290,0.002*($E290-V$15)/($E290-3*cc_D/7))))-fcd_cc*(1-(1-MAX(0,MIN(1,IF($E290&lt;=cc_D,0.0035*($E290-V$15)/$E290,0.002*($E290-V$15)/($E290-3*cc_D/7))/0.002)))^2)</f>
        <v/>
      </c>
      <c r="W290">
        <f>MAX(-fyd_cc,MIN(fyd_cc,Es_cc*IF($E290&lt;=cc_D,0.0035*($E290-W$15)/$E290,0.002*($E290-W$15)/($E290-3*cc_D/7))))-fcd_cc*(1-(1-MAX(0,MIN(1,IF($E290&lt;=cc_D,0.0035*($E290-W$15)/$E290,0.002*($E290-W$15)/($E290-3*cc_D/7))/0.002)))^2)</f>
        <v/>
      </c>
      <c r="X290">
        <f>MAX(-fyd_cc,MIN(fyd_cc,Es_cc*IF($E290&lt;=cc_D,0.0035*($E290-X$15)/$E290,0.002*($E290-X$15)/($E290-3*cc_D/7))))-fcd_cc*(1-(1-MAX(0,MIN(1,IF($E290&lt;=cc_D,0.0035*($E290-X$15)/$E290,0.002*($E290-X$15)/($E290-3*cc_D/7))/0.002)))^2)</f>
        <v/>
      </c>
      <c r="Y290">
        <f>MAX(-fyd_cc,MIN(fyd_cc,Es_cc*IF($E290&lt;=cc_D,0.0035*($E290-Y$15)/$E290,0.002*($E290-Y$15)/($E290-3*cc_D/7))))-fcd_cc*(1-(1-MAX(0,MIN(1,IF($E290&lt;=cc_D,0.0035*($E290-Y$15)/$E290,0.002*($E290-Y$15)/($E290-3*cc_D/7))/0.002)))^2)</f>
        <v/>
      </c>
      <c r="Z290">
        <f>MAX(-fyd_cc,MIN(fyd_cc,Es_cc*IF($E290&lt;=cc_D,0.0035*($E290-Z$15)/$E290,0.002*($E290-Z$15)/($E290-3*cc_D/7))))-fcd_cc*(1-(1-MAX(0,MIN(1,IF($E290&lt;=cc_D,0.0035*($E290-Z$15)/$E290,0.002*($E290-Z$15)/($E290-3*cc_D/7))/0.002)))^2)</f>
        <v/>
      </c>
      <c r="AA290">
        <f>MAX(-fyd_cc,MIN(fyd_cc,Es_cc*IF($E290&lt;=cc_D,0.0035*($E290-AA$15)/$E290,0.002*($E290-AA$15)/($E290-3*cc_D/7))))-fcd_cc*(1-(1-MAX(0,MIN(1,IF($E290&lt;=cc_D,0.0035*($E290-AA$15)/$E290,0.002*($E290-AA$15)/($E290-3*cc_D/7))/0.002)))^2)</f>
        <v/>
      </c>
      <c r="AB290">
        <f>MAX(-fyd_cc,MIN(fyd_cc,Es_cc*IF($E290&lt;=cc_D,0.0035*($E290-AB$15)/$E290,0.002*($E290-AB$15)/($E290-3*cc_D/7))))-fcd_cc*(1-(1-MAX(0,MIN(1,IF($E290&lt;=cc_D,0.0035*($E290-AB$15)/$E290,0.002*($E290-AB$15)/($E290-3*cc_D/7))/0.002)))^2)</f>
        <v/>
      </c>
      <c r="AC290">
        <f>MAX(-fyd_cc,MIN(fyd_cc,Es_cc*IF($E290&lt;=cc_D,0.0035*($E290-AC$15)/$E290,0.002*($E290-AC$15)/($E290-3*cc_D/7))))-fcd_cc*(1-(1-MAX(0,MIN(1,IF($E290&lt;=cc_D,0.0035*($E290-AC$15)/$E290,0.002*($E290-AC$15)/($E290-3*cc_D/7))/0.002)))^2)</f>
        <v/>
      </c>
      <c r="AD290">
        <f>MAX(-fyd_cc,MIN(fyd_cc,Es_cc*IF($E290&lt;=cc_D,0.0035*($E290-AD$15)/$E290,0.002*($E290-AD$15)/($E290-3*cc_D/7))))-fcd_cc*(1-(1-MAX(0,MIN(1,IF($E290&lt;=cc_D,0.0035*($E290-AD$15)/$E290,0.002*($E290-AD$15)/($E290-3*cc_D/7))/0.002)))^2)</f>
        <v/>
      </c>
      <c r="AE290">
        <f>MAX(-fyd_cc,MIN(fyd_cc,Es_cc*IF($E290&lt;=cc_D,0.0035*($E290-AE$15)/$E290,0.002*($E290-AE$15)/($E290-3*cc_D/7))))-fcd_cc*(1-(1-MAX(0,MIN(1,IF($E290&lt;=cc_D,0.0035*($E290-AE$15)/$E290,0.002*($E290-AE$15)/($E290-3*cc_D/7))/0.002)))^2)</f>
        <v/>
      </c>
      <c r="AF290">
        <f>MAX(-fyd_cc,MIN(fyd_cc,Es_cc*IF($E290&lt;=cc_D,0.0035*($E290-AF$15)/$E290,0.002*($E290-AF$15)/($E290-3*cc_D/7))))-fcd_cc*(1-(1-MAX(0,MIN(1,IF($E290&lt;=cc_D,0.0035*($E290-AF$15)/$E290,0.002*($E290-AF$15)/($E290-3*cc_D/7))/0.002)))^2)</f>
        <v/>
      </c>
      <c r="AG290">
        <f>MAX(-fyd_cc,MIN(fyd_cc,Es_cc*IF($E290&lt;=cc_D,0.0035*($E290-AG$15)/$E290,0.002*($E290-AG$15)/($E290-3*cc_D/7))))-fcd_cc*(1-(1-MAX(0,MIN(1,IF($E290&lt;=cc_D,0.0035*($E290-AG$15)/$E290,0.002*($E290-AG$15)/($E290-3*cc_D/7))/0.002)))^2)</f>
        <v/>
      </c>
      <c r="BF290">
        <f>3*MIN($E290,cc_D)/7</f>
        <v/>
      </c>
      <c r="BG290">
        <f>$E290-$BF290</f>
        <v/>
      </c>
      <c r="BH290">
        <f>ACOS(MAX(-1,MIN(1,1-$BF290/(cc_D/2))))</f>
        <v/>
      </c>
      <c r="BI290">
        <f>ACOS(MAX(-1,MIN(1,1-MIN($E290,cc_D)/(cc_D/2))))</f>
        <v/>
      </c>
      <c r="BJ290">
        <f>((cc_D/2*(1-COS(($BH290+0*($BI290-$BH290)/12)))-$BF290)/$BG290)^2*SIN(($BH290+0*($BI290-$BH290)/12))^2</f>
        <v/>
      </c>
      <c r="BK290">
        <f>((cc_D/2*(1-COS(($BH290+1*($BI290-$BH290)/12)))-$BF290)/$BG290)^2*SIN(($BH290+1*($BI290-$BH290)/12))^2</f>
        <v/>
      </c>
      <c r="BL290">
        <f>((cc_D/2*(1-COS(($BH290+2*($BI290-$BH290)/12)))-$BF290)/$BG290)^2*SIN(($BH290+2*($BI290-$BH290)/12))^2</f>
        <v/>
      </c>
      <c r="BM290">
        <f>((cc_D/2*(1-COS(($BH290+3*($BI290-$BH290)/12)))-$BF290)/$BG290)^2*SIN(($BH290+3*($BI290-$BH290)/12))^2</f>
        <v/>
      </c>
      <c r="BN290">
        <f>((cc_D/2*(1-COS(($BH290+4*($BI290-$BH290)/12)))-$BF290)/$BG290)^2*SIN(($BH290+4*($BI290-$BH290)/12))^2</f>
        <v/>
      </c>
      <c r="BO290">
        <f>((cc_D/2*(1-COS(($BH290+5*($BI290-$BH290)/12)))-$BF290)/$BG290)^2*SIN(($BH290+5*($BI290-$BH290)/12))^2</f>
        <v/>
      </c>
      <c r="BP290">
        <f>((cc_D/2*(1-COS(($BH290+6*($BI290-$BH290)/12)))-$BF290)/$BG290)^2*SIN(($BH290+6*($BI290-$BH290)/12))^2</f>
        <v/>
      </c>
      <c r="BQ290">
        <f>((cc_D/2*(1-COS(($BH290+7*($BI290-$BH290)/12)))-$BF290)/$BG290)^2*SIN(($BH290+7*($BI290-$BH290)/12))^2</f>
        <v/>
      </c>
      <c r="BR290">
        <f>((cc_D/2*(1-COS(($BH290+8*($BI290-$BH290)/12)))-$BF290)/$BG290)^2*SIN(($BH290+8*($BI290-$BH290)/12))^2</f>
        <v/>
      </c>
      <c r="BS290">
        <f>((cc_D/2*(1-COS(($BH290+9*($BI290-$BH290)/12)))-$BF290)/$BG290)^2*SIN(($BH290+9*($BI290-$BH290)/12))^2</f>
        <v/>
      </c>
      <c r="BT290">
        <f>((cc_D/2*(1-COS(($BH290+10*($BI290-$BH290)/12)))-$BF290)/$BG290)^2*SIN(($BH290+10*($BI290-$BH290)/12))^2</f>
        <v/>
      </c>
      <c r="BU290">
        <f>((cc_D/2*(1-COS(($BH290+11*($BI290-$BH290)/12)))-$BF290)/$BG290)^2*SIN(($BH290+11*($BI290-$BH290)/12))^2</f>
        <v/>
      </c>
      <c r="BV290">
        <f>((cc_D/2*(1-COS(($BH290+12*($BI290-$BH290)/12)))-$BF290)/$BG290)^2*SIN(($BH290+12*($BI290-$BH290)/12))^2</f>
        <v/>
      </c>
      <c r="BW290">
        <f>BJ290*COS(($BH290+0*($BI290-$BH290)/12))</f>
        <v/>
      </c>
      <c r="BX290">
        <f>BK290*COS(($BH290+1*($BI290-$BH290)/12))</f>
        <v/>
      </c>
      <c r="BY290">
        <f>BL290*COS(($BH290+2*($BI290-$BH290)/12))</f>
        <v/>
      </c>
      <c r="BZ290">
        <f>BM290*COS(($BH290+3*($BI290-$BH290)/12))</f>
        <v/>
      </c>
      <c r="CA290">
        <f>BN290*COS(($BH290+4*($BI290-$BH290)/12))</f>
        <v/>
      </c>
      <c r="CB290">
        <f>BO290*COS(($BH290+5*($BI290-$BH290)/12))</f>
        <v/>
      </c>
      <c r="CC290">
        <f>BP290*COS(($BH290+6*($BI290-$BH290)/12))</f>
        <v/>
      </c>
      <c r="CD290">
        <f>BQ290*COS(($BH290+7*($BI290-$BH290)/12))</f>
        <v/>
      </c>
      <c r="CE290">
        <f>BR290*COS(($BH290+8*($BI290-$BH290)/12))</f>
        <v/>
      </c>
      <c r="CF290">
        <f>BS290*COS(($BH290+9*($BI290-$BH290)/12))</f>
        <v/>
      </c>
      <c r="CG290">
        <f>BT290*COS(($BH290+10*($BI290-$BH290)/12))</f>
        <v/>
      </c>
      <c r="CH290">
        <f>BU290*COS(($BH290+11*($BI290-$BH290)/12))</f>
        <v/>
      </c>
      <c r="CI290">
        <f>BV290*COS(($BH290+12*($BI290-$BH290)/12))</f>
        <v/>
      </c>
    </row>
    <row r="291">
      <c r="B291" s="65" t="n">
        <v>13</v>
      </c>
      <c r="C291" s="66">
        <f>IF($G290&lt;cc_NEd-1E-9*ABS(cc_NEd),($C290+$D290)/2,$C290)</f>
        <v/>
      </c>
      <c r="D291" s="66">
        <f>IF($G290&lt;cc_NEd-1E-9*ABS(cc_NEd),$D290,($C290+$D290)/2)</f>
        <v/>
      </c>
      <c r="E291" s="67">
        <f>cc_D*(($C291+$D291)/2)/(1-(($C291+$D291)/2))</f>
        <v/>
      </c>
      <c r="F291" s="68">
        <f>IF($E291&lt;=cc_D,3.5,2*$E291/($E291-3*cc_D/7))</f>
        <v/>
      </c>
      <c r="G291" s="67">
        <f>(fcd_cc*((cc_D/2)^2*($BI291-COS($BI291)*SIN($BI291))-2*(cc_D/2)^2*($BI291-$BH291)/12/3*SUMPRODUCT($BJ$4:$BV$4,$BJ291:$BV291))+SUMPRODUCT($J$5:$AG$5,$J291:$AG291))/1000</f>
        <v/>
      </c>
      <c r="H291" s="67">
        <f>(fcd_cc*(2/3*(cc_D/2)^3*SIN($BI291)^3-2*(cc_D/2)^3*($BI291-$BH291)/12/3*SUMPRODUCT($BW$4:$CI$4,$BW291:$CI291))+SUMPRODUCT($J$5:$AG$5,$J291:$AG291,$J$16:$AG$16))/1E6</f>
        <v/>
      </c>
      <c r="I291" s="67">
        <f>SUMPRODUCT($J$5:$AG$5,$J291:$AG291,$J$17:$AG$17)/1E6</f>
        <v/>
      </c>
      <c r="J291">
        <f>MAX(-fyd_cc,MIN(fyd_cc,Es_cc*IF($E291&lt;=cc_D,0.0035*($E291-J$15)/$E291,0.002*($E291-J$15)/($E291-3*cc_D/7))))-fcd_cc*(1-(1-MAX(0,MIN(1,IF($E291&lt;=cc_D,0.0035*($E291-J$15)/$E291,0.002*($E291-J$15)/($E291-3*cc_D/7))/0.002)))^2)</f>
        <v/>
      </c>
      <c r="K291">
        <f>MAX(-fyd_cc,MIN(fyd_cc,Es_cc*IF($E291&lt;=cc_D,0.0035*($E291-K$15)/$E291,0.002*($E291-K$15)/($E291-3*cc_D/7))))-fcd_cc*(1-(1-MAX(0,MIN(1,IF($E291&lt;=cc_D,0.0035*($E291-K$15)/$E291,0.002*($E291-K$15)/($E291-3*cc_D/7))/0.002)))^2)</f>
        <v/>
      </c>
      <c r="L291">
        <f>MAX(-fyd_cc,MIN(fyd_cc,Es_cc*IF($E291&lt;=cc_D,0.0035*($E291-L$15)/$E291,0.002*($E291-L$15)/($E291-3*cc_D/7))))-fcd_cc*(1-(1-MAX(0,MIN(1,IF($E291&lt;=cc_D,0.0035*($E291-L$15)/$E291,0.002*($E291-L$15)/($E291-3*cc_D/7))/0.002)))^2)</f>
        <v/>
      </c>
      <c r="M291">
        <f>MAX(-fyd_cc,MIN(fyd_cc,Es_cc*IF($E291&lt;=cc_D,0.0035*($E291-M$15)/$E291,0.002*($E291-M$15)/($E291-3*cc_D/7))))-fcd_cc*(1-(1-MAX(0,MIN(1,IF($E291&lt;=cc_D,0.0035*($E291-M$15)/$E291,0.002*($E291-M$15)/($E291-3*cc_D/7))/0.002)))^2)</f>
        <v/>
      </c>
      <c r="N291">
        <f>MAX(-fyd_cc,MIN(fyd_cc,Es_cc*IF($E291&lt;=cc_D,0.0035*($E291-N$15)/$E291,0.002*($E291-N$15)/($E291-3*cc_D/7))))-fcd_cc*(1-(1-MAX(0,MIN(1,IF($E291&lt;=cc_D,0.0035*($E291-N$15)/$E291,0.002*($E291-N$15)/($E291-3*cc_D/7))/0.002)))^2)</f>
        <v/>
      </c>
      <c r="O291">
        <f>MAX(-fyd_cc,MIN(fyd_cc,Es_cc*IF($E291&lt;=cc_D,0.0035*($E291-O$15)/$E291,0.002*($E291-O$15)/($E291-3*cc_D/7))))-fcd_cc*(1-(1-MAX(0,MIN(1,IF($E291&lt;=cc_D,0.0035*($E291-O$15)/$E291,0.002*($E291-O$15)/($E291-3*cc_D/7))/0.002)))^2)</f>
        <v/>
      </c>
      <c r="P291">
        <f>MAX(-fyd_cc,MIN(fyd_cc,Es_cc*IF($E291&lt;=cc_D,0.0035*($E291-P$15)/$E291,0.002*($E291-P$15)/($E291-3*cc_D/7))))-fcd_cc*(1-(1-MAX(0,MIN(1,IF($E291&lt;=cc_D,0.0035*($E291-P$15)/$E291,0.002*($E291-P$15)/($E291-3*cc_D/7))/0.002)))^2)</f>
        <v/>
      </c>
      <c r="Q291">
        <f>MAX(-fyd_cc,MIN(fyd_cc,Es_cc*IF($E291&lt;=cc_D,0.0035*($E291-Q$15)/$E291,0.002*($E291-Q$15)/($E291-3*cc_D/7))))-fcd_cc*(1-(1-MAX(0,MIN(1,IF($E291&lt;=cc_D,0.0035*($E291-Q$15)/$E291,0.002*($E291-Q$15)/($E291-3*cc_D/7))/0.002)))^2)</f>
        <v/>
      </c>
      <c r="R291">
        <f>MAX(-fyd_cc,MIN(fyd_cc,Es_cc*IF($E291&lt;=cc_D,0.0035*($E291-R$15)/$E291,0.002*($E291-R$15)/($E291-3*cc_D/7))))-fcd_cc*(1-(1-MAX(0,MIN(1,IF($E291&lt;=cc_D,0.0035*($E291-R$15)/$E291,0.002*($E291-R$15)/($E291-3*cc_D/7))/0.002)))^2)</f>
        <v/>
      </c>
      <c r="S291">
        <f>MAX(-fyd_cc,MIN(fyd_cc,Es_cc*IF($E291&lt;=cc_D,0.0035*($E291-S$15)/$E291,0.002*($E291-S$15)/($E291-3*cc_D/7))))-fcd_cc*(1-(1-MAX(0,MIN(1,IF($E291&lt;=cc_D,0.0035*($E291-S$15)/$E291,0.002*($E291-S$15)/($E291-3*cc_D/7))/0.002)))^2)</f>
        <v/>
      </c>
      <c r="T291">
        <f>MAX(-fyd_cc,MIN(fyd_cc,Es_cc*IF($E291&lt;=cc_D,0.0035*($E291-T$15)/$E291,0.002*($E291-T$15)/($E291-3*cc_D/7))))-fcd_cc*(1-(1-MAX(0,MIN(1,IF($E291&lt;=cc_D,0.0035*($E291-T$15)/$E291,0.002*($E291-T$15)/($E291-3*cc_D/7))/0.002)))^2)</f>
        <v/>
      </c>
      <c r="U291">
        <f>MAX(-fyd_cc,MIN(fyd_cc,Es_cc*IF($E291&lt;=cc_D,0.0035*($E291-U$15)/$E291,0.002*($E291-U$15)/($E291-3*cc_D/7))))-fcd_cc*(1-(1-MAX(0,MIN(1,IF($E291&lt;=cc_D,0.0035*($E291-U$15)/$E291,0.002*($E291-U$15)/($E291-3*cc_D/7))/0.002)))^2)</f>
        <v/>
      </c>
      <c r="V291">
        <f>MAX(-fyd_cc,MIN(fyd_cc,Es_cc*IF($E291&lt;=cc_D,0.0035*($E291-V$15)/$E291,0.002*($E291-V$15)/($E291-3*cc_D/7))))-fcd_cc*(1-(1-MAX(0,MIN(1,IF($E291&lt;=cc_D,0.0035*($E291-V$15)/$E291,0.002*($E291-V$15)/($E291-3*cc_D/7))/0.002)))^2)</f>
        <v/>
      </c>
      <c r="W291">
        <f>MAX(-fyd_cc,MIN(fyd_cc,Es_cc*IF($E291&lt;=cc_D,0.0035*($E291-W$15)/$E291,0.002*($E291-W$15)/($E291-3*cc_D/7))))-fcd_cc*(1-(1-MAX(0,MIN(1,IF($E291&lt;=cc_D,0.0035*($E291-W$15)/$E291,0.002*($E291-W$15)/($E291-3*cc_D/7))/0.002)))^2)</f>
        <v/>
      </c>
      <c r="X291">
        <f>MAX(-fyd_cc,MIN(fyd_cc,Es_cc*IF($E291&lt;=cc_D,0.0035*($E291-X$15)/$E291,0.002*($E291-X$15)/($E291-3*cc_D/7))))-fcd_cc*(1-(1-MAX(0,MIN(1,IF($E291&lt;=cc_D,0.0035*($E291-X$15)/$E291,0.002*($E291-X$15)/($E291-3*cc_D/7))/0.002)))^2)</f>
        <v/>
      </c>
      <c r="Y291">
        <f>MAX(-fyd_cc,MIN(fyd_cc,Es_cc*IF($E291&lt;=cc_D,0.0035*($E291-Y$15)/$E291,0.002*($E291-Y$15)/($E291-3*cc_D/7))))-fcd_cc*(1-(1-MAX(0,MIN(1,IF($E291&lt;=cc_D,0.0035*($E291-Y$15)/$E291,0.002*($E291-Y$15)/($E291-3*cc_D/7))/0.002)))^2)</f>
        <v/>
      </c>
      <c r="Z291">
        <f>MAX(-fyd_cc,MIN(fyd_cc,Es_cc*IF($E291&lt;=cc_D,0.0035*($E291-Z$15)/$E291,0.002*($E291-Z$15)/($E291-3*cc_D/7))))-fcd_cc*(1-(1-MAX(0,MIN(1,IF($E291&lt;=cc_D,0.0035*($E291-Z$15)/$E291,0.002*($E291-Z$15)/($E291-3*cc_D/7))/0.002)))^2)</f>
        <v/>
      </c>
      <c r="AA291">
        <f>MAX(-fyd_cc,MIN(fyd_cc,Es_cc*IF($E291&lt;=cc_D,0.0035*($E291-AA$15)/$E291,0.002*($E291-AA$15)/($E291-3*cc_D/7))))-fcd_cc*(1-(1-MAX(0,MIN(1,IF($E291&lt;=cc_D,0.0035*($E291-AA$15)/$E291,0.002*($E291-AA$15)/($E291-3*cc_D/7))/0.002)))^2)</f>
        <v/>
      </c>
      <c r="AB291">
        <f>MAX(-fyd_cc,MIN(fyd_cc,Es_cc*IF($E291&lt;=cc_D,0.0035*($E291-AB$15)/$E291,0.002*($E291-AB$15)/($E291-3*cc_D/7))))-fcd_cc*(1-(1-MAX(0,MIN(1,IF($E291&lt;=cc_D,0.0035*($E291-AB$15)/$E291,0.002*($E291-AB$15)/($E291-3*cc_D/7))/0.002)))^2)</f>
        <v/>
      </c>
      <c r="AC291">
        <f>MAX(-fyd_cc,MIN(fyd_cc,Es_cc*IF($E291&lt;=cc_D,0.0035*($E291-AC$15)/$E291,0.002*($E291-AC$15)/($E291-3*cc_D/7))))-fcd_cc*(1-(1-MAX(0,MIN(1,IF($E291&lt;=cc_D,0.0035*($E291-AC$15)/$E291,0.002*($E291-AC$15)/($E291-3*cc_D/7))/0.002)))^2)</f>
        <v/>
      </c>
      <c r="AD291">
        <f>MAX(-fyd_cc,MIN(fyd_cc,Es_cc*IF($E291&lt;=cc_D,0.0035*($E291-AD$15)/$E291,0.002*($E291-AD$15)/($E291-3*cc_D/7))))-fcd_cc*(1-(1-MAX(0,MIN(1,IF($E291&lt;=cc_D,0.0035*($E291-AD$15)/$E291,0.002*($E291-AD$15)/($E291-3*cc_D/7))/0.002)))^2)</f>
        <v/>
      </c>
      <c r="AE291">
        <f>MAX(-fyd_cc,MIN(fyd_cc,Es_cc*IF($E291&lt;=cc_D,0.0035*($E291-AE$15)/$E291,0.002*($E291-AE$15)/($E291-3*cc_D/7))))-fcd_cc*(1-(1-MAX(0,MIN(1,IF($E291&lt;=cc_D,0.0035*($E291-AE$15)/$E291,0.002*($E291-AE$15)/($E291-3*cc_D/7))/0.002)))^2)</f>
        <v/>
      </c>
      <c r="AF291">
        <f>MAX(-fyd_cc,MIN(fyd_cc,Es_cc*IF($E291&lt;=cc_D,0.0035*($E291-AF$15)/$E291,0.002*($E291-AF$15)/($E291-3*cc_D/7))))-fcd_cc*(1-(1-MAX(0,MIN(1,IF($E291&lt;=cc_D,0.0035*($E291-AF$15)/$E291,0.002*($E291-AF$15)/($E291-3*cc_D/7))/0.002)))^2)</f>
        <v/>
      </c>
      <c r="AG291">
        <f>MAX(-fyd_cc,MIN(fyd_cc,Es_cc*IF($E291&lt;=cc_D,0.0035*($E291-AG$15)/$E291,0.002*($E291-AG$15)/($E291-3*cc_D/7))))-fcd_cc*(1-(1-MAX(0,MIN(1,IF($E291&lt;=cc_D,0.0035*($E291-AG$15)/$E291,0.002*($E291-AG$15)/($E291-3*cc_D/7))/0.002)))^2)</f>
        <v/>
      </c>
      <c r="BF291">
        <f>3*MIN($E291,cc_D)/7</f>
        <v/>
      </c>
      <c r="BG291">
        <f>$E291-$BF291</f>
        <v/>
      </c>
      <c r="BH291">
        <f>ACOS(MAX(-1,MIN(1,1-$BF291/(cc_D/2))))</f>
        <v/>
      </c>
      <c r="BI291">
        <f>ACOS(MAX(-1,MIN(1,1-MIN($E291,cc_D)/(cc_D/2))))</f>
        <v/>
      </c>
      <c r="BJ291">
        <f>((cc_D/2*(1-COS(($BH291+0*($BI291-$BH291)/12)))-$BF291)/$BG291)^2*SIN(($BH291+0*($BI291-$BH291)/12))^2</f>
        <v/>
      </c>
      <c r="BK291">
        <f>((cc_D/2*(1-COS(($BH291+1*($BI291-$BH291)/12)))-$BF291)/$BG291)^2*SIN(($BH291+1*($BI291-$BH291)/12))^2</f>
        <v/>
      </c>
      <c r="BL291">
        <f>((cc_D/2*(1-COS(($BH291+2*($BI291-$BH291)/12)))-$BF291)/$BG291)^2*SIN(($BH291+2*($BI291-$BH291)/12))^2</f>
        <v/>
      </c>
      <c r="BM291">
        <f>((cc_D/2*(1-COS(($BH291+3*($BI291-$BH291)/12)))-$BF291)/$BG291)^2*SIN(($BH291+3*($BI291-$BH291)/12))^2</f>
        <v/>
      </c>
      <c r="BN291">
        <f>((cc_D/2*(1-COS(($BH291+4*($BI291-$BH291)/12)))-$BF291)/$BG291)^2*SIN(($BH291+4*($BI291-$BH291)/12))^2</f>
        <v/>
      </c>
      <c r="BO291">
        <f>((cc_D/2*(1-COS(($BH291+5*($BI291-$BH291)/12)))-$BF291)/$BG291)^2*SIN(($BH291+5*($BI291-$BH291)/12))^2</f>
        <v/>
      </c>
      <c r="BP291">
        <f>((cc_D/2*(1-COS(($BH291+6*($BI291-$BH291)/12)))-$BF291)/$BG291)^2*SIN(($BH291+6*($BI291-$BH291)/12))^2</f>
        <v/>
      </c>
      <c r="BQ291">
        <f>((cc_D/2*(1-COS(($BH291+7*($BI291-$BH291)/12)))-$BF291)/$BG291)^2*SIN(($BH291+7*($BI291-$BH291)/12))^2</f>
        <v/>
      </c>
      <c r="BR291">
        <f>((cc_D/2*(1-COS(($BH291+8*($BI291-$BH291)/12)))-$BF291)/$BG291)^2*SIN(($BH291+8*($BI291-$BH291)/12))^2</f>
        <v/>
      </c>
      <c r="BS291">
        <f>((cc_D/2*(1-COS(($BH291+9*($BI291-$BH291)/12)))-$BF291)/$BG291)^2*SIN(($BH291+9*($BI291-$BH291)/12))^2</f>
        <v/>
      </c>
      <c r="BT291">
        <f>((cc_D/2*(1-COS(($BH291+10*($BI291-$BH291)/12)))-$BF291)/$BG291)^2*SIN(($BH291+10*($BI291-$BH291)/12))^2</f>
        <v/>
      </c>
      <c r="BU291">
        <f>((cc_D/2*(1-COS(($BH291+11*($BI291-$BH291)/12)))-$BF291)/$BG291)^2*SIN(($BH291+11*($BI291-$BH291)/12))^2</f>
        <v/>
      </c>
      <c r="BV291">
        <f>((cc_D/2*(1-COS(($BH291+12*($BI291-$BH291)/12)))-$BF291)/$BG291)^2*SIN(($BH291+12*($BI291-$BH291)/12))^2</f>
        <v/>
      </c>
      <c r="BW291">
        <f>BJ291*COS(($BH291+0*($BI291-$BH291)/12))</f>
        <v/>
      </c>
      <c r="BX291">
        <f>BK291*COS(($BH291+1*($BI291-$BH291)/12))</f>
        <v/>
      </c>
      <c r="BY291">
        <f>BL291*COS(($BH291+2*($BI291-$BH291)/12))</f>
        <v/>
      </c>
      <c r="BZ291">
        <f>BM291*COS(($BH291+3*($BI291-$BH291)/12))</f>
        <v/>
      </c>
      <c r="CA291">
        <f>BN291*COS(($BH291+4*($BI291-$BH291)/12))</f>
        <v/>
      </c>
      <c r="CB291">
        <f>BO291*COS(($BH291+5*($BI291-$BH291)/12))</f>
        <v/>
      </c>
      <c r="CC291">
        <f>BP291*COS(($BH291+6*($BI291-$BH291)/12))</f>
        <v/>
      </c>
      <c r="CD291">
        <f>BQ291*COS(($BH291+7*($BI291-$BH291)/12))</f>
        <v/>
      </c>
      <c r="CE291">
        <f>BR291*COS(($BH291+8*($BI291-$BH291)/12))</f>
        <v/>
      </c>
      <c r="CF291">
        <f>BS291*COS(($BH291+9*($BI291-$BH291)/12))</f>
        <v/>
      </c>
      <c r="CG291">
        <f>BT291*COS(($BH291+10*($BI291-$BH291)/12))</f>
        <v/>
      </c>
      <c r="CH291">
        <f>BU291*COS(($BH291+11*($BI291-$BH291)/12))</f>
        <v/>
      </c>
      <c r="CI291">
        <f>BV291*COS(($BH291+12*($BI291-$BH291)/12))</f>
        <v/>
      </c>
    </row>
    <row r="292">
      <c r="B292" s="65" t="n">
        <v>14</v>
      </c>
      <c r="C292" s="66">
        <f>IF($G291&lt;cc_NEd-1E-9*ABS(cc_NEd),($C291+$D291)/2,$C291)</f>
        <v/>
      </c>
      <c r="D292" s="66">
        <f>IF($G291&lt;cc_NEd-1E-9*ABS(cc_NEd),$D291,($C291+$D291)/2)</f>
        <v/>
      </c>
      <c r="E292" s="67">
        <f>cc_D*(($C292+$D292)/2)/(1-(($C292+$D292)/2))</f>
        <v/>
      </c>
      <c r="F292" s="68">
        <f>IF($E292&lt;=cc_D,3.5,2*$E292/($E292-3*cc_D/7))</f>
        <v/>
      </c>
      <c r="G292" s="67">
        <f>(fcd_cc*((cc_D/2)^2*($BI292-COS($BI292)*SIN($BI292))-2*(cc_D/2)^2*($BI292-$BH292)/12/3*SUMPRODUCT($BJ$4:$BV$4,$BJ292:$BV292))+SUMPRODUCT($J$5:$AG$5,$J292:$AG292))/1000</f>
        <v/>
      </c>
      <c r="H292" s="67">
        <f>(fcd_cc*(2/3*(cc_D/2)^3*SIN($BI292)^3-2*(cc_D/2)^3*($BI292-$BH292)/12/3*SUMPRODUCT($BW$4:$CI$4,$BW292:$CI292))+SUMPRODUCT($J$5:$AG$5,$J292:$AG292,$J$16:$AG$16))/1E6</f>
        <v/>
      </c>
      <c r="I292" s="67">
        <f>SUMPRODUCT($J$5:$AG$5,$J292:$AG292,$J$17:$AG$17)/1E6</f>
        <v/>
      </c>
      <c r="J292">
        <f>MAX(-fyd_cc,MIN(fyd_cc,Es_cc*IF($E292&lt;=cc_D,0.0035*($E292-J$15)/$E292,0.002*($E292-J$15)/($E292-3*cc_D/7))))-fcd_cc*(1-(1-MAX(0,MIN(1,IF($E292&lt;=cc_D,0.0035*($E292-J$15)/$E292,0.002*($E292-J$15)/($E292-3*cc_D/7))/0.002)))^2)</f>
        <v/>
      </c>
      <c r="K292">
        <f>MAX(-fyd_cc,MIN(fyd_cc,Es_cc*IF($E292&lt;=cc_D,0.0035*($E292-K$15)/$E292,0.002*($E292-K$15)/($E292-3*cc_D/7))))-fcd_cc*(1-(1-MAX(0,MIN(1,IF($E292&lt;=cc_D,0.0035*($E292-K$15)/$E292,0.002*($E292-K$15)/($E292-3*cc_D/7))/0.002)))^2)</f>
        <v/>
      </c>
      <c r="L292">
        <f>MAX(-fyd_cc,MIN(fyd_cc,Es_cc*IF($E292&lt;=cc_D,0.0035*($E292-L$15)/$E292,0.002*($E292-L$15)/($E292-3*cc_D/7))))-fcd_cc*(1-(1-MAX(0,MIN(1,IF($E292&lt;=cc_D,0.0035*($E292-L$15)/$E292,0.002*($E292-L$15)/($E292-3*cc_D/7))/0.002)))^2)</f>
        <v/>
      </c>
      <c r="M292">
        <f>MAX(-fyd_cc,MIN(fyd_cc,Es_cc*IF($E292&lt;=cc_D,0.0035*($E292-M$15)/$E292,0.002*($E292-M$15)/($E292-3*cc_D/7))))-fcd_cc*(1-(1-MAX(0,MIN(1,IF($E292&lt;=cc_D,0.0035*($E292-M$15)/$E292,0.002*($E292-M$15)/($E292-3*cc_D/7))/0.002)))^2)</f>
        <v/>
      </c>
      <c r="N292">
        <f>MAX(-fyd_cc,MIN(fyd_cc,Es_cc*IF($E292&lt;=cc_D,0.0035*($E292-N$15)/$E292,0.002*($E292-N$15)/($E292-3*cc_D/7))))-fcd_cc*(1-(1-MAX(0,MIN(1,IF($E292&lt;=cc_D,0.0035*($E292-N$15)/$E292,0.002*($E292-N$15)/($E292-3*cc_D/7))/0.002)))^2)</f>
        <v/>
      </c>
      <c r="O292">
        <f>MAX(-fyd_cc,MIN(fyd_cc,Es_cc*IF($E292&lt;=cc_D,0.0035*($E292-O$15)/$E292,0.002*($E292-O$15)/($E292-3*cc_D/7))))-fcd_cc*(1-(1-MAX(0,MIN(1,IF($E292&lt;=cc_D,0.0035*($E292-O$15)/$E292,0.002*($E292-O$15)/($E292-3*cc_D/7))/0.002)))^2)</f>
        <v/>
      </c>
      <c r="P292">
        <f>MAX(-fyd_cc,MIN(fyd_cc,Es_cc*IF($E292&lt;=cc_D,0.0035*($E292-P$15)/$E292,0.002*($E292-P$15)/($E292-3*cc_D/7))))-fcd_cc*(1-(1-MAX(0,MIN(1,IF($E292&lt;=cc_D,0.0035*($E292-P$15)/$E292,0.002*($E292-P$15)/($E292-3*cc_D/7))/0.002)))^2)</f>
        <v/>
      </c>
      <c r="Q292">
        <f>MAX(-fyd_cc,MIN(fyd_cc,Es_cc*IF($E292&lt;=cc_D,0.0035*($E292-Q$15)/$E292,0.002*($E292-Q$15)/($E292-3*cc_D/7))))-fcd_cc*(1-(1-MAX(0,MIN(1,IF($E292&lt;=cc_D,0.0035*($E292-Q$15)/$E292,0.002*($E292-Q$15)/($E292-3*cc_D/7))/0.002)))^2)</f>
        <v/>
      </c>
      <c r="R292">
        <f>MAX(-fyd_cc,MIN(fyd_cc,Es_cc*IF($E292&lt;=cc_D,0.0035*($E292-R$15)/$E292,0.002*($E292-R$15)/($E292-3*cc_D/7))))-fcd_cc*(1-(1-MAX(0,MIN(1,IF($E292&lt;=cc_D,0.0035*($E292-R$15)/$E292,0.002*($E292-R$15)/($E292-3*cc_D/7))/0.002)))^2)</f>
        <v/>
      </c>
      <c r="S292">
        <f>MAX(-fyd_cc,MIN(fyd_cc,Es_cc*IF($E292&lt;=cc_D,0.0035*($E292-S$15)/$E292,0.002*($E292-S$15)/($E292-3*cc_D/7))))-fcd_cc*(1-(1-MAX(0,MIN(1,IF($E292&lt;=cc_D,0.0035*($E292-S$15)/$E292,0.002*($E292-S$15)/($E292-3*cc_D/7))/0.002)))^2)</f>
        <v/>
      </c>
      <c r="T292">
        <f>MAX(-fyd_cc,MIN(fyd_cc,Es_cc*IF($E292&lt;=cc_D,0.0035*($E292-T$15)/$E292,0.002*($E292-T$15)/($E292-3*cc_D/7))))-fcd_cc*(1-(1-MAX(0,MIN(1,IF($E292&lt;=cc_D,0.0035*($E292-T$15)/$E292,0.002*($E292-T$15)/($E292-3*cc_D/7))/0.002)))^2)</f>
        <v/>
      </c>
      <c r="U292">
        <f>MAX(-fyd_cc,MIN(fyd_cc,Es_cc*IF($E292&lt;=cc_D,0.0035*($E292-U$15)/$E292,0.002*($E292-U$15)/($E292-3*cc_D/7))))-fcd_cc*(1-(1-MAX(0,MIN(1,IF($E292&lt;=cc_D,0.0035*($E292-U$15)/$E292,0.002*($E292-U$15)/($E292-3*cc_D/7))/0.002)))^2)</f>
        <v/>
      </c>
      <c r="V292">
        <f>MAX(-fyd_cc,MIN(fyd_cc,Es_cc*IF($E292&lt;=cc_D,0.0035*($E292-V$15)/$E292,0.002*($E292-V$15)/($E292-3*cc_D/7))))-fcd_cc*(1-(1-MAX(0,MIN(1,IF($E292&lt;=cc_D,0.0035*($E292-V$15)/$E292,0.002*($E292-V$15)/($E292-3*cc_D/7))/0.002)))^2)</f>
        <v/>
      </c>
      <c r="W292">
        <f>MAX(-fyd_cc,MIN(fyd_cc,Es_cc*IF($E292&lt;=cc_D,0.0035*($E292-W$15)/$E292,0.002*($E292-W$15)/($E292-3*cc_D/7))))-fcd_cc*(1-(1-MAX(0,MIN(1,IF($E292&lt;=cc_D,0.0035*($E292-W$15)/$E292,0.002*($E292-W$15)/($E292-3*cc_D/7))/0.002)))^2)</f>
        <v/>
      </c>
      <c r="X292">
        <f>MAX(-fyd_cc,MIN(fyd_cc,Es_cc*IF($E292&lt;=cc_D,0.0035*($E292-X$15)/$E292,0.002*($E292-X$15)/($E292-3*cc_D/7))))-fcd_cc*(1-(1-MAX(0,MIN(1,IF($E292&lt;=cc_D,0.0035*($E292-X$15)/$E292,0.002*($E292-X$15)/($E292-3*cc_D/7))/0.002)))^2)</f>
        <v/>
      </c>
      <c r="Y292">
        <f>MAX(-fyd_cc,MIN(fyd_cc,Es_cc*IF($E292&lt;=cc_D,0.0035*($E292-Y$15)/$E292,0.002*($E292-Y$15)/($E292-3*cc_D/7))))-fcd_cc*(1-(1-MAX(0,MIN(1,IF($E292&lt;=cc_D,0.0035*($E292-Y$15)/$E292,0.002*($E292-Y$15)/($E292-3*cc_D/7))/0.002)))^2)</f>
        <v/>
      </c>
      <c r="Z292">
        <f>MAX(-fyd_cc,MIN(fyd_cc,Es_cc*IF($E292&lt;=cc_D,0.0035*($E292-Z$15)/$E292,0.002*($E292-Z$15)/($E292-3*cc_D/7))))-fcd_cc*(1-(1-MAX(0,MIN(1,IF($E292&lt;=cc_D,0.0035*($E292-Z$15)/$E292,0.002*($E292-Z$15)/($E292-3*cc_D/7))/0.002)))^2)</f>
        <v/>
      </c>
      <c r="AA292">
        <f>MAX(-fyd_cc,MIN(fyd_cc,Es_cc*IF($E292&lt;=cc_D,0.0035*($E292-AA$15)/$E292,0.002*($E292-AA$15)/($E292-3*cc_D/7))))-fcd_cc*(1-(1-MAX(0,MIN(1,IF($E292&lt;=cc_D,0.0035*($E292-AA$15)/$E292,0.002*($E292-AA$15)/($E292-3*cc_D/7))/0.002)))^2)</f>
        <v/>
      </c>
      <c r="AB292">
        <f>MAX(-fyd_cc,MIN(fyd_cc,Es_cc*IF($E292&lt;=cc_D,0.0035*($E292-AB$15)/$E292,0.002*($E292-AB$15)/($E292-3*cc_D/7))))-fcd_cc*(1-(1-MAX(0,MIN(1,IF($E292&lt;=cc_D,0.0035*($E292-AB$15)/$E292,0.002*($E292-AB$15)/($E292-3*cc_D/7))/0.002)))^2)</f>
        <v/>
      </c>
      <c r="AC292">
        <f>MAX(-fyd_cc,MIN(fyd_cc,Es_cc*IF($E292&lt;=cc_D,0.0035*($E292-AC$15)/$E292,0.002*($E292-AC$15)/($E292-3*cc_D/7))))-fcd_cc*(1-(1-MAX(0,MIN(1,IF($E292&lt;=cc_D,0.0035*($E292-AC$15)/$E292,0.002*($E292-AC$15)/($E292-3*cc_D/7))/0.002)))^2)</f>
        <v/>
      </c>
      <c r="AD292">
        <f>MAX(-fyd_cc,MIN(fyd_cc,Es_cc*IF($E292&lt;=cc_D,0.0035*($E292-AD$15)/$E292,0.002*($E292-AD$15)/($E292-3*cc_D/7))))-fcd_cc*(1-(1-MAX(0,MIN(1,IF($E292&lt;=cc_D,0.0035*($E292-AD$15)/$E292,0.002*($E292-AD$15)/($E292-3*cc_D/7))/0.002)))^2)</f>
        <v/>
      </c>
      <c r="AE292">
        <f>MAX(-fyd_cc,MIN(fyd_cc,Es_cc*IF($E292&lt;=cc_D,0.0035*($E292-AE$15)/$E292,0.002*($E292-AE$15)/($E292-3*cc_D/7))))-fcd_cc*(1-(1-MAX(0,MIN(1,IF($E292&lt;=cc_D,0.0035*($E292-AE$15)/$E292,0.002*($E292-AE$15)/($E292-3*cc_D/7))/0.002)))^2)</f>
        <v/>
      </c>
      <c r="AF292">
        <f>MAX(-fyd_cc,MIN(fyd_cc,Es_cc*IF($E292&lt;=cc_D,0.0035*($E292-AF$15)/$E292,0.002*($E292-AF$15)/($E292-3*cc_D/7))))-fcd_cc*(1-(1-MAX(0,MIN(1,IF($E292&lt;=cc_D,0.0035*($E292-AF$15)/$E292,0.002*($E292-AF$15)/($E292-3*cc_D/7))/0.002)))^2)</f>
        <v/>
      </c>
      <c r="AG292">
        <f>MAX(-fyd_cc,MIN(fyd_cc,Es_cc*IF($E292&lt;=cc_D,0.0035*($E292-AG$15)/$E292,0.002*($E292-AG$15)/($E292-3*cc_D/7))))-fcd_cc*(1-(1-MAX(0,MIN(1,IF($E292&lt;=cc_D,0.0035*($E292-AG$15)/$E292,0.002*($E292-AG$15)/($E292-3*cc_D/7))/0.002)))^2)</f>
        <v/>
      </c>
      <c r="BF292">
        <f>3*MIN($E292,cc_D)/7</f>
        <v/>
      </c>
      <c r="BG292">
        <f>$E292-$BF292</f>
        <v/>
      </c>
      <c r="BH292">
        <f>ACOS(MAX(-1,MIN(1,1-$BF292/(cc_D/2))))</f>
        <v/>
      </c>
      <c r="BI292">
        <f>ACOS(MAX(-1,MIN(1,1-MIN($E292,cc_D)/(cc_D/2))))</f>
        <v/>
      </c>
      <c r="BJ292">
        <f>((cc_D/2*(1-COS(($BH292+0*($BI292-$BH292)/12)))-$BF292)/$BG292)^2*SIN(($BH292+0*($BI292-$BH292)/12))^2</f>
        <v/>
      </c>
      <c r="BK292">
        <f>((cc_D/2*(1-COS(($BH292+1*($BI292-$BH292)/12)))-$BF292)/$BG292)^2*SIN(($BH292+1*($BI292-$BH292)/12))^2</f>
        <v/>
      </c>
      <c r="BL292">
        <f>((cc_D/2*(1-COS(($BH292+2*($BI292-$BH292)/12)))-$BF292)/$BG292)^2*SIN(($BH292+2*($BI292-$BH292)/12))^2</f>
        <v/>
      </c>
      <c r="BM292">
        <f>((cc_D/2*(1-COS(($BH292+3*($BI292-$BH292)/12)))-$BF292)/$BG292)^2*SIN(($BH292+3*($BI292-$BH292)/12))^2</f>
        <v/>
      </c>
      <c r="BN292">
        <f>((cc_D/2*(1-COS(($BH292+4*($BI292-$BH292)/12)))-$BF292)/$BG292)^2*SIN(($BH292+4*($BI292-$BH292)/12))^2</f>
        <v/>
      </c>
      <c r="BO292">
        <f>((cc_D/2*(1-COS(($BH292+5*($BI292-$BH292)/12)))-$BF292)/$BG292)^2*SIN(($BH292+5*($BI292-$BH292)/12))^2</f>
        <v/>
      </c>
      <c r="BP292">
        <f>((cc_D/2*(1-COS(($BH292+6*($BI292-$BH292)/12)))-$BF292)/$BG292)^2*SIN(($BH292+6*($BI292-$BH292)/12))^2</f>
        <v/>
      </c>
      <c r="BQ292">
        <f>((cc_D/2*(1-COS(($BH292+7*($BI292-$BH292)/12)))-$BF292)/$BG292)^2*SIN(($BH292+7*($BI292-$BH292)/12))^2</f>
        <v/>
      </c>
      <c r="BR292">
        <f>((cc_D/2*(1-COS(($BH292+8*($BI292-$BH292)/12)))-$BF292)/$BG292)^2*SIN(($BH292+8*($BI292-$BH292)/12))^2</f>
        <v/>
      </c>
      <c r="BS292">
        <f>((cc_D/2*(1-COS(($BH292+9*($BI292-$BH292)/12)))-$BF292)/$BG292)^2*SIN(($BH292+9*($BI292-$BH292)/12))^2</f>
        <v/>
      </c>
      <c r="BT292">
        <f>((cc_D/2*(1-COS(($BH292+10*($BI292-$BH292)/12)))-$BF292)/$BG292)^2*SIN(($BH292+10*($BI292-$BH292)/12))^2</f>
        <v/>
      </c>
      <c r="BU292">
        <f>((cc_D/2*(1-COS(($BH292+11*($BI292-$BH292)/12)))-$BF292)/$BG292)^2*SIN(($BH292+11*($BI292-$BH292)/12))^2</f>
        <v/>
      </c>
      <c r="BV292">
        <f>((cc_D/2*(1-COS(($BH292+12*($BI292-$BH292)/12)))-$BF292)/$BG292)^2*SIN(($BH292+12*($BI292-$BH292)/12))^2</f>
        <v/>
      </c>
      <c r="BW292">
        <f>BJ292*COS(($BH292+0*($BI292-$BH292)/12))</f>
        <v/>
      </c>
      <c r="BX292">
        <f>BK292*COS(($BH292+1*($BI292-$BH292)/12))</f>
        <v/>
      </c>
      <c r="BY292">
        <f>BL292*COS(($BH292+2*($BI292-$BH292)/12))</f>
        <v/>
      </c>
      <c r="BZ292">
        <f>BM292*COS(($BH292+3*($BI292-$BH292)/12))</f>
        <v/>
      </c>
      <c r="CA292">
        <f>BN292*COS(($BH292+4*($BI292-$BH292)/12))</f>
        <v/>
      </c>
      <c r="CB292">
        <f>BO292*COS(($BH292+5*($BI292-$BH292)/12))</f>
        <v/>
      </c>
      <c r="CC292">
        <f>BP292*COS(($BH292+6*($BI292-$BH292)/12))</f>
        <v/>
      </c>
      <c r="CD292">
        <f>BQ292*COS(($BH292+7*($BI292-$BH292)/12))</f>
        <v/>
      </c>
      <c r="CE292">
        <f>BR292*COS(($BH292+8*($BI292-$BH292)/12))</f>
        <v/>
      </c>
      <c r="CF292">
        <f>BS292*COS(($BH292+9*($BI292-$BH292)/12))</f>
        <v/>
      </c>
      <c r="CG292">
        <f>BT292*COS(($BH292+10*($BI292-$BH292)/12))</f>
        <v/>
      </c>
      <c r="CH292">
        <f>BU292*COS(($BH292+11*($BI292-$BH292)/12))</f>
        <v/>
      </c>
      <c r="CI292">
        <f>BV292*COS(($BH292+12*($BI292-$BH292)/12))</f>
        <v/>
      </c>
    </row>
    <row r="293">
      <c r="B293" s="65" t="n">
        <v>15</v>
      </c>
      <c r="C293" s="66">
        <f>IF($G292&lt;cc_NEd-1E-9*ABS(cc_NEd),($C292+$D292)/2,$C292)</f>
        <v/>
      </c>
      <c r="D293" s="66">
        <f>IF($G292&lt;cc_NEd-1E-9*ABS(cc_NEd),$D292,($C292+$D292)/2)</f>
        <v/>
      </c>
      <c r="E293" s="67">
        <f>cc_D*(($C293+$D293)/2)/(1-(($C293+$D293)/2))</f>
        <v/>
      </c>
      <c r="F293" s="68">
        <f>IF($E293&lt;=cc_D,3.5,2*$E293/($E293-3*cc_D/7))</f>
        <v/>
      </c>
      <c r="G293" s="67">
        <f>(fcd_cc*((cc_D/2)^2*($BI293-COS($BI293)*SIN($BI293))-2*(cc_D/2)^2*($BI293-$BH293)/12/3*SUMPRODUCT($BJ$4:$BV$4,$BJ293:$BV293))+SUMPRODUCT($J$5:$AG$5,$J293:$AG293))/1000</f>
        <v/>
      </c>
      <c r="H293" s="67">
        <f>(fcd_cc*(2/3*(cc_D/2)^3*SIN($BI293)^3-2*(cc_D/2)^3*($BI293-$BH293)/12/3*SUMPRODUCT($BW$4:$CI$4,$BW293:$CI293))+SUMPRODUCT($J$5:$AG$5,$J293:$AG293,$J$16:$AG$16))/1E6</f>
        <v/>
      </c>
      <c r="I293" s="67">
        <f>SUMPRODUCT($J$5:$AG$5,$J293:$AG293,$J$17:$AG$17)/1E6</f>
        <v/>
      </c>
      <c r="J293">
        <f>MAX(-fyd_cc,MIN(fyd_cc,Es_cc*IF($E293&lt;=cc_D,0.0035*($E293-J$15)/$E293,0.002*($E293-J$15)/($E293-3*cc_D/7))))-fcd_cc*(1-(1-MAX(0,MIN(1,IF($E293&lt;=cc_D,0.0035*($E293-J$15)/$E293,0.002*($E293-J$15)/($E293-3*cc_D/7))/0.002)))^2)</f>
        <v/>
      </c>
      <c r="K293">
        <f>MAX(-fyd_cc,MIN(fyd_cc,Es_cc*IF($E293&lt;=cc_D,0.0035*($E293-K$15)/$E293,0.002*($E293-K$15)/($E293-3*cc_D/7))))-fcd_cc*(1-(1-MAX(0,MIN(1,IF($E293&lt;=cc_D,0.0035*($E293-K$15)/$E293,0.002*($E293-K$15)/($E293-3*cc_D/7))/0.002)))^2)</f>
        <v/>
      </c>
      <c r="L293">
        <f>MAX(-fyd_cc,MIN(fyd_cc,Es_cc*IF($E293&lt;=cc_D,0.0035*($E293-L$15)/$E293,0.002*($E293-L$15)/($E293-3*cc_D/7))))-fcd_cc*(1-(1-MAX(0,MIN(1,IF($E293&lt;=cc_D,0.0035*($E293-L$15)/$E293,0.002*($E293-L$15)/($E293-3*cc_D/7))/0.002)))^2)</f>
        <v/>
      </c>
      <c r="M293">
        <f>MAX(-fyd_cc,MIN(fyd_cc,Es_cc*IF($E293&lt;=cc_D,0.0035*($E293-M$15)/$E293,0.002*($E293-M$15)/($E293-3*cc_D/7))))-fcd_cc*(1-(1-MAX(0,MIN(1,IF($E293&lt;=cc_D,0.0035*($E293-M$15)/$E293,0.002*($E293-M$15)/($E293-3*cc_D/7))/0.002)))^2)</f>
        <v/>
      </c>
      <c r="N293">
        <f>MAX(-fyd_cc,MIN(fyd_cc,Es_cc*IF($E293&lt;=cc_D,0.0035*($E293-N$15)/$E293,0.002*($E293-N$15)/($E293-3*cc_D/7))))-fcd_cc*(1-(1-MAX(0,MIN(1,IF($E293&lt;=cc_D,0.0035*($E293-N$15)/$E293,0.002*($E293-N$15)/($E293-3*cc_D/7))/0.002)))^2)</f>
        <v/>
      </c>
      <c r="O293">
        <f>MAX(-fyd_cc,MIN(fyd_cc,Es_cc*IF($E293&lt;=cc_D,0.0035*($E293-O$15)/$E293,0.002*($E293-O$15)/($E293-3*cc_D/7))))-fcd_cc*(1-(1-MAX(0,MIN(1,IF($E293&lt;=cc_D,0.0035*($E293-O$15)/$E293,0.002*($E293-O$15)/($E293-3*cc_D/7))/0.002)))^2)</f>
        <v/>
      </c>
      <c r="P293">
        <f>MAX(-fyd_cc,MIN(fyd_cc,Es_cc*IF($E293&lt;=cc_D,0.0035*($E293-P$15)/$E293,0.002*($E293-P$15)/($E293-3*cc_D/7))))-fcd_cc*(1-(1-MAX(0,MIN(1,IF($E293&lt;=cc_D,0.0035*($E293-P$15)/$E293,0.002*($E293-P$15)/($E293-3*cc_D/7))/0.002)))^2)</f>
        <v/>
      </c>
      <c r="Q293">
        <f>MAX(-fyd_cc,MIN(fyd_cc,Es_cc*IF($E293&lt;=cc_D,0.0035*($E293-Q$15)/$E293,0.002*($E293-Q$15)/($E293-3*cc_D/7))))-fcd_cc*(1-(1-MAX(0,MIN(1,IF($E293&lt;=cc_D,0.0035*($E293-Q$15)/$E293,0.002*($E293-Q$15)/($E293-3*cc_D/7))/0.002)))^2)</f>
        <v/>
      </c>
      <c r="R293">
        <f>MAX(-fyd_cc,MIN(fyd_cc,Es_cc*IF($E293&lt;=cc_D,0.0035*($E293-R$15)/$E293,0.002*($E293-R$15)/($E293-3*cc_D/7))))-fcd_cc*(1-(1-MAX(0,MIN(1,IF($E293&lt;=cc_D,0.0035*($E293-R$15)/$E293,0.002*($E293-R$15)/($E293-3*cc_D/7))/0.002)))^2)</f>
        <v/>
      </c>
      <c r="S293">
        <f>MAX(-fyd_cc,MIN(fyd_cc,Es_cc*IF($E293&lt;=cc_D,0.0035*($E293-S$15)/$E293,0.002*($E293-S$15)/($E293-3*cc_D/7))))-fcd_cc*(1-(1-MAX(0,MIN(1,IF($E293&lt;=cc_D,0.0035*($E293-S$15)/$E293,0.002*($E293-S$15)/($E293-3*cc_D/7))/0.002)))^2)</f>
        <v/>
      </c>
      <c r="T293">
        <f>MAX(-fyd_cc,MIN(fyd_cc,Es_cc*IF($E293&lt;=cc_D,0.0035*($E293-T$15)/$E293,0.002*($E293-T$15)/($E293-3*cc_D/7))))-fcd_cc*(1-(1-MAX(0,MIN(1,IF($E293&lt;=cc_D,0.0035*($E293-T$15)/$E293,0.002*($E293-T$15)/($E293-3*cc_D/7))/0.002)))^2)</f>
        <v/>
      </c>
      <c r="U293">
        <f>MAX(-fyd_cc,MIN(fyd_cc,Es_cc*IF($E293&lt;=cc_D,0.0035*($E293-U$15)/$E293,0.002*($E293-U$15)/($E293-3*cc_D/7))))-fcd_cc*(1-(1-MAX(0,MIN(1,IF($E293&lt;=cc_D,0.0035*($E293-U$15)/$E293,0.002*($E293-U$15)/($E293-3*cc_D/7))/0.002)))^2)</f>
        <v/>
      </c>
      <c r="V293">
        <f>MAX(-fyd_cc,MIN(fyd_cc,Es_cc*IF($E293&lt;=cc_D,0.0035*($E293-V$15)/$E293,0.002*($E293-V$15)/($E293-3*cc_D/7))))-fcd_cc*(1-(1-MAX(0,MIN(1,IF($E293&lt;=cc_D,0.0035*($E293-V$15)/$E293,0.002*($E293-V$15)/($E293-3*cc_D/7))/0.002)))^2)</f>
        <v/>
      </c>
      <c r="W293">
        <f>MAX(-fyd_cc,MIN(fyd_cc,Es_cc*IF($E293&lt;=cc_D,0.0035*($E293-W$15)/$E293,0.002*($E293-W$15)/($E293-3*cc_D/7))))-fcd_cc*(1-(1-MAX(0,MIN(1,IF($E293&lt;=cc_D,0.0035*($E293-W$15)/$E293,0.002*($E293-W$15)/($E293-3*cc_D/7))/0.002)))^2)</f>
        <v/>
      </c>
      <c r="X293">
        <f>MAX(-fyd_cc,MIN(fyd_cc,Es_cc*IF($E293&lt;=cc_D,0.0035*($E293-X$15)/$E293,0.002*($E293-X$15)/($E293-3*cc_D/7))))-fcd_cc*(1-(1-MAX(0,MIN(1,IF($E293&lt;=cc_D,0.0035*($E293-X$15)/$E293,0.002*($E293-X$15)/($E293-3*cc_D/7))/0.002)))^2)</f>
        <v/>
      </c>
      <c r="Y293">
        <f>MAX(-fyd_cc,MIN(fyd_cc,Es_cc*IF($E293&lt;=cc_D,0.0035*($E293-Y$15)/$E293,0.002*($E293-Y$15)/($E293-3*cc_D/7))))-fcd_cc*(1-(1-MAX(0,MIN(1,IF($E293&lt;=cc_D,0.0035*($E293-Y$15)/$E293,0.002*($E293-Y$15)/($E293-3*cc_D/7))/0.002)))^2)</f>
        <v/>
      </c>
      <c r="Z293">
        <f>MAX(-fyd_cc,MIN(fyd_cc,Es_cc*IF($E293&lt;=cc_D,0.0035*($E293-Z$15)/$E293,0.002*($E293-Z$15)/($E293-3*cc_D/7))))-fcd_cc*(1-(1-MAX(0,MIN(1,IF($E293&lt;=cc_D,0.0035*($E293-Z$15)/$E293,0.002*($E293-Z$15)/($E293-3*cc_D/7))/0.002)))^2)</f>
        <v/>
      </c>
      <c r="AA293">
        <f>MAX(-fyd_cc,MIN(fyd_cc,Es_cc*IF($E293&lt;=cc_D,0.0035*($E293-AA$15)/$E293,0.002*($E293-AA$15)/($E293-3*cc_D/7))))-fcd_cc*(1-(1-MAX(0,MIN(1,IF($E293&lt;=cc_D,0.0035*($E293-AA$15)/$E293,0.002*($E293-AA$15)/($E293-3*cc_D/7))/0.002)))^2)</f>
        <v/>
      </c>
      <c r="AB293">
        <f>MAX(-fyd_cc,MIN(fyd_cc,Es_cc*IF($E293&lt;=cc_D,0.0035*($E293-AB$15)/$E293,0.002*($E293-AB$15)/($E293-3*cc_D/7))))-fcd_cc*(1-(1-MAX(0,MIN(1,IF($E293&lt;=cc_D,0.0035*($E293-AB$15)/$E293,0.002*($E293-AB$15)/($E293-3*cc_D/7))/0.002)))^2)</f>
        <v/>
      </c>
      <c r="AC293">
        <f>MAX(-fyd_cc,MIN(fyd_cc,Es_cc*IF($E293&lt;=cc_D,0.0035*($E293-AC$15)/$E293,0.002*($E293-AC$15)/($E293-3*cc_D/7))))-fcd_cc*(1-(1-MAX(0,MIN(1,IF($E293&lt;=cc_D,0.0035*($E293-AC$15)/$E293,0.002*($E293-AC$15)/($E293-3*cc_D/7))/0.002)))^2)</f>
        <v/>
      </c>
      <c r="AD293">
        <f>MAX(-fyd_cc,MIN(fyd_cc,Es_cc*IF($E293&lt;=cc_D,0.0035*($E293-AD$15)/$E293,0.002*($E293-AD$15)/($E293-3*cc_D/7))))-fcd_cc*(1-(1-MAX(0,MIN(1,IF($E293&lt;=cc_D,0.0035*($E293-AD$15)/$E293,0.002*($E293-AD$15)/($E293-3*cc_D/7))/0.002)))^2)</f>
        <v/>
      </c>
      <c r="AE293">
        <f>MAX(-fyd_cc,MIN(fyd_cc,Es_cc*IF($E293&lt;=cc_D,0.0035*($E293-AE$15)/$E293,0.002*($E293-AE$15)/($E293-3*cc_D/7))))-fcd_cc*(1-(1-MAX(0,MIN(1,IF($E293&lt;=cc_D,0.0035*($E293-AE$15)/$E293,0.002*($E293-AE$15)/($E293-3*cc_D/7))/0.002)))^2)</f>
        <v/>
      </c>
      <c r="AF293">
        <f>MAX(-fyd_cc,MIN(fyd_cc,Es_cc*IF($E293&lt;=cc_D,0.0035*($E293-AF$15)/$E293,0.002*($E293-AF$15)/($E293-3*cc_D/7))))-fcd_cc*(1-(1-MAX(0,MIN(1,IF($E293&lt;=cc_D,0.0035*($E293-AF$15)/$E293,0.002*($E293-AF$15)/($E293-3*cc_D/7))/0.002)))^2)</f>
        <v/>
      </c>
      <c r="AG293">
        <f>MAX(-fyd_cc,MIN(fyd_cc,Es_cc*IF($E293&lt;=cc_D,0.0035*($E293-AG$15)/$E293,0.002*($E293-AG$15)/($E293-3*cc_D/7))))-fcd_cc*(1-(1-MAX(0,MIN(1,IF($E293&lt;=cc_D,0.0035*($E293-AG$15)/$E293,0.002*($E293-AG$15)/($E293-3*cc_D/7))/0.002)))^2)</f>
        <v/>
      </c>
      <c r="BF293">
        <f>3*MIN($E293,cc_D)/7</f>
        <v/>
      </c>
      <c r="BG293">
        <f>$E293-$BF293</f>
        <v/>
      </c>
      <c r="BH293">
        <f>ACOS(MAX(-1,MIN(1,1-$BF293/(cc_D/2))))</f>
        <v/>
      </c>
      <c r="BI293">
        <f>ACOS(MAX(-1,MIN(1,1-MIN($E293,cc_D)/(cc_D/2))))</f>
        <v/>
      </c>
      <c r="BJ293">
        <f>((cc_D/2*(1-COS(($BH293+0*($BI293-$BH293)/12)))-$BF293)/$BG293)^2*SIN(($BH293+0*($BI293-$BH293)/12))^2</f>
        <v/>
      </c>
      <c r="BK293">
        <f>((cc_D/2*(1-COS(($BH293+1*($BI293-$BH293)/12)))-$BF293)/$BG293)^2*SIN(($BH293+1*($BI293-$BH293)/12))^2</f>
        <v/>
      </c>
      <c r="BL293">
        <f>((cc_D/2*(1-COS(($BH293+2*($BI293-$BH293)/12)))-$BF293)/$BG293)^2*SIN(($BH293+2*($BI293-$BH293)/12))^2</f>
        <v/>
      </c>
      <c r="BM293">
        <f>((cc_D/2*(1-COS(($BH293+3*($BI293-$BH293)/12)))-$BF293)/$BG293)^2*SIN(($BH293+3*($BI293-$BH293)/12))^2</f>
        <v/>
      </c>
      <c r="BN293">
        <f>((cc_D/2*(1-COS(($BH293+4*($BI293-$BH293)/12)))-$BF293)/$BG293)^2*SIN(($BH293+4*($BI293-$BH293)/12))^2</f>
        <v/>
      </c>
      <c r="BO293">
        <f>((cc_D/2*(1-COS(($BH293+5*($BI293-$BH293)/12)))-$BF293)/$BG293)^2*SIN(($BH293+5*($BI293-$BH293)/12))^2</f>
        <v/>
      </c>
      <c r="BP293">
        <f>((cc_D/2*(1-COS(($BH293+6*($BI293-$BH293)/12)))-$BF293)/$BG293)^2*SIN(($BH293+6*($BI293-$BH293)/12))^2</f>
        <v/>
      </c>
      <c r="BQ293">
        <f>((cc_D/2*(1-COS(($BH293+7*($BI293-$BH293)/12)))-$BF293)/$BG293)^2*SIN(($BH293+7*($BI293-$BH293)/12))^2</f>
        <v/>
      </c>
      <c r="BR293">
        <f>((cc_D/2*(1-COS(($BH293+8*($BI293-$BH293)/12)))-$BF293)/$BG293)^2*SIN(($BH293+8*($BI293-$BH293)/12))^2</f>
        <v/>
      </c>
      <c r="BS293">
        <f>((cc_D/2*(1-COS(($BH293+9*($BI293-$BH293)/12)))-$BF293)/$BG293)^2*SIN(($BH293+9*($BI293-$BH293)/12))^2</f>
        <v/>
      </c>
      <c r="BT293">
        <f>((cc_D/2*(1-COS(($BH293+10*($BI293-$BH293)/12)))-$BF293)/$BG293)^2*SIN(($BH293+10*($BI293-$BH293)/12))^2</f>
        <v/>
      </c>
      <c r="BU293">
        <f>((cc_D/2*(1-COS(($BH293+11*($BI293-$BH293)/12)))-$BF293)/$BG293)^2*SIN(($BH293+11*($BI293-$BH293)/12))^2</f>
        <v/>
      </c>
      <c r="BV293">
        <f>((cc_D/2*(1-COS(($BH293+12*($BI293-$BH293)/12)))-$BF293)/$BG293)^2*SIN(($BH293+12*($BI293-$BH293)/12))^2</f>
        <v/>
      </c>
      <c r="BW293">
        <f>BJ293*COS(($BH293+0*($BI293-$BH293)/12))</f>
        <v/>
      </c>
      <c r="BX293">
        <f>BK293*COS(($BH293+1*($BI293-$BH293)/12))</f>
        <v/>
      </c>
      <c r="BY293">
        <f>BL293*COS(($BH293+2*($BI293-$BH293)/12))</f>
        <v/>
      </c>
      <c r="BZ293">
        <f>BM293*COS(($BH293+3*($BI293-$BH293)/12))</f>
        <v/>
      </c>
      <c r="CA293">
        <f>BN293*COS(($BH293+4*($BI293-$BH293)/12))</f>
        <v/>
      </c>
      <c r="CB293">
        <f>BO293*COS(($BH293+5*($BI293-$BH293)/12))</f>
        <v/>
      </c>
      <c r="CC293">
        <f>BP293*COS(($BH293+6*($BI293-$BH293)/12))</f>
        <v/>
      </c>
      <c r="CD293">
        <f>BQ293*COS(($BH293+7*($BI293-$BH293)/12))</f>
        <v/>
      </c>
      <c r="CE293">
        <f>BR293*COS(($BH293+8*($BI293-$BH293)/12))</f>
        <v/>
      </c>
      <c r="CF293">
        <f>BS293*COS(($BH293+9*($BI293-$BH293)/12))</f>
        <v/>
      </c>
      <c r="CG293">
        <f>BT293*COS(($BH293+10*($BI293-$BH293)/12))</f>
        <v/>
      </c>
      <c r="CH293">
        <f>BU293*COS(($BH293+11*($BI293-$BH293)/12))</f>
        <v/>
      </c>
      <c r="CI293">
        <f>BV293*COS(($BH293+12*($BI293-$BH293)/12))</f>
        <v/>
      </c>
    </row>
    <row r="294">
      <c r="B294" s="65" t="n">
        <v>16</v>
      </c>
      <c r="C294" s="66">
        <f>IF($G293&lt;cc_NEd-1E-9*ABS(cc_NEd),($C293+$D293)/2,$C293)</f>
        <v/>
      </c>
      <c r="D294" s="66">
        <f>IF($G293&lt;cc_NEd-1E-9*ABS(cc_NEd),$D293,($C293+$D293)/2)</f>
        <v/>
      </c>
      <c r="E294" s="67">
        <f>cc_D*(($C294+$D294)/2)/(1-(($C294+$D294)/2))</f>
        <v/>
      </c>
      <c r="F294" s="68">
        <f>IF($E294&lt;=cc_D,3.5,2*$E294/($E294-3*cc_D/7))</f>
        <v/>
      </c>
      <c r="G294" s="67">
        <f>(fcd_cc*((cc_D/2)^2*($BI294-COS($BI294)*SIN($BI294))-2*(cc_D/2)^2*($BI294-$BH294)/12/3*SUMPRODUCT($BJ$4:$BV$4,$BJ294:$BV294))+SUMPRODUCT($J$5:$AG$5,$J294:$AG294))/1000</f>
        <v/>
      </c>
      <c r="H294" s="67">
        <f>(fcd_cc*(2/3*(cc_D/2)^3*SIN($BI294)^3-2*(cc_D/2)^3*($BI294-$BH294)/12/3*SUMPRODUCT($BW$4:$CI$4,$BW294:$CI294))+SUMPRODUCT($J$5:$AG$5,$J294:$AG294,$J$16:$AG$16))/1E6</f>
        <v/>
      </c>
      <c r="I294" s="67">
        <f>SUMPRODUCT($J$5:$AG$5,$J294:$AG294,$J$17:$AG$17)/1E6</f>
        <v/>
      </c>
      <c r="J294">
        <f>MAX(-fyd_cc,MIN(fyd_cc,Es_cc*IF($E294&lt;=cc_D,0.0035*($E294-J$15)/$E294,0.002*($E294-J$15)/($E294-3*cc_D/7))))-fcd_cc*(1-(1-MAX(0,MIN(1,IF($E294&lt;=cc_D,0.0035*($E294-J$15)/$E294,0.002*($E294-J$15)/($E294-3*cc_D/7))/0.002)))^2)</f>
        <v/>
      </c>
      <c r="K294">
        <f>MAX(-fyd_cc,MIN(fyd_cc,Es_cc*IF($E294&lt;=cc_D,0.0035*($E294-K$15)/$E294,0.002*($E294-K$15)/($E294-3*cc_D/7))))-fcd_cc*(1-(1-MAX(0,MIN(1,IF($E294&lt;=cc_D,0.0035*($E294-K$15)/$E294,0.002*($E294-K$15)/($E294-3*cc_D/7))/0.002)))^2)</f>
        <v/>
      </c>
      <c r="L294">
        <f>MAX(-fyd_cc,MIN(fyd_cc,Es_cc*IF($E294&lt;=cc_D,0.0035*($E294-L$15)/$E294,0.002*($E294-L$15)/($E294-3*cc_D/7))))-fcd_cc*(1-(1-MAX(0,MIN(1,IF($E294&lt;=cc_D,0.0035*($E294-L$15)/$E294,0.002*($E294-L$15)/($E294-3*cc_D/7))/0.002)))^2)</f>
        <v/>
      </c>
      <c r="M294">
        <f>MAX(-fyd_cc,MIN(fyd_cc,Es_cc*IF($E294&lt;=cc_D,0.0035*($E294-M$15)/$E294,0.002*($E294-M$15)/($E294-3*cc_D/7))))-fcd_cc*(1-(1-MAX(0,MIN(1,IF($E294&lt;=cc_D,0.0035*($E294-M$15)/$E294,0.002*($E294-M$15)/($E294-3*cc_D/7))/0.002)))^2)</f>
        <v/>
      </c>
      <c r="N294">
        <f>MAX(-fyd_cc,MIN(fyd_cc,Es_cc*IF($E294&lt;=cc_D,0.0035*($E294-N$15)/$E294,0.002*($E294-N$15)/($E294-3*cc_D/7))))-fcd_cc*(1-(1-MAX(0,MIN(1,IF($E294&lt;=cc_D,0.0035*($E294-N$15)/$E294,0.002*($E294-N$15)/($E294-3*cc_D/7))/0.002)))^2)</f>
        <v/>
      </c>
      <c r="O294">
        <f>MAX(-fyd_cc,MIN(fyd_cc,Es_cc*IF($E294&lt;=cc_D,0.0035*($E294-O$15)/$E294,0.002*($E294-O$15)/($E294-3*cc_D/7))))-fcd_cc*(1-(1-MAX(0,MIN(1,IF($E294&lt;=cc_D,0.0035*($E294-O$15)/$E294,0.002*($E294-O$15)/($E294-3*cc_D/7))/0.002)))^2)</f>
        <v/>
      </c>
      <c r="P294">
        <f>MAX(-fyd_cc,MIN(fyd_cc,Es_cc*IF($E294&lt;=cc_D,0.0035*($E294-P$15)/$E294,0.002*($E294-P$15)/($E294-3*cc_D/7))))-fcd_cc*(1-(1-MAX(0,MIN(1,IF($E294&lt;=cc_D,0.0035*($E294-P$15)/$E294,0.002*($E294-P$15)/($E294-3*cc_D/7))/0.002)))^2)</f>
        <v/>
      </c>
      <c r="Q294">
        <f>MAX(-fyd_cc,MIN(fyd_cc,Es_cc*IF($E294&lt;=cc_D,0.0035*($E294-Q$15)/$E294,0.002*($E294-Q$15)/($E294-3*cc_D/7))))-fcd_cc*(1-(1-MAX(0,MIN(1,IF($E294&lt;=cc_D,0.0035*($E294-Q$15)/$E294,0.002*($E294-Q$15)/($E294-3*cc_D/7))/0.002)))^2)</f>
        <v/>
      </c>
      <c r="R294">
        <f>MAX(-fyd_cc,MIN(fyd_cc,Es_cc*IF($E294&lt;=cc_D,0.0035*($E294-R$15)/$E294,0.002*($E294-R$15)/($E294-3*cc_D/7))))-fcd_cc*(1-(1-MAX(0,MIN(1,IF($E294&lt;=cc_D,0.0035*($E294-R$15)/$E294,0.002*($E294-R$15)/($E294-3*cc_D/7))/0.002)))^2)</f>
        <v/>
      </c>
      <c r="S294">
        <f>MAX(-fyd_cc,MIN(fyd_cc,Es_cc*IF($E294&lt;=cc_D,0.0035*($E294-S$15)/$E294,0.002*($E294-S$15)/($E294-3*cc_D/7))))-fcd_cc*(1-(1-MAX(0,MIN(1,IF($E294&lt;=cc_D,0.0035*($E294-S$15)/$E294,0.002*($E294-S$15)/($E294-3*cc_D/7))/0.002)))^2)</f>
        <v/>
      </c>
      <c r="T294">
        <f>MAX(-fyd_cc,MIN(fyd_cc,Es_cc*IF($E294&lt;=cc_D,0.0035*($E294-T$15)/$E294,0.002*($E294-T$15)/($E294-3*cc_D/7))))-fcd_cc*(1-(1-MAX(0,MIN(1,IF($E294&lt;=cc_D,0.0035*($E294-T$15)/$E294,0.002*($E294-T$15)/($E294-3*cc_D/7))/0.002)))^2)</f>
        <v/>
      </c>
      <c r="U294">
        <f>MAX(-fyd_cc,MIN(fyd_cc,Es_cc*IF($E294&lt;=cc_D,0.0035*($E294-U$15)/$E294,0.002*($E294-U$15)/($E294-3*cc_D/7))))-fcd_cc*(1-(1-MAX(0,MIN(1,IF($E294&lt;=cc_D,0.0035*($E294-U$15)/$E294,0.002*($E294-U$15)/($E294-3*cc_D/7))/0.002)))^2)</f>
        <v/>
      </c>
      <c r="V294">
        <f>MAX(-fyd_cc,MIN(fyd_cc,Es_cc*IF($E294&lt;=cc_D,0.0035*($E294-V$15)/$E294,0.002*($E294-V$15)/($E294-3*cc_D/7))))-fcd_cc*(1-(1-MAX(0,MIN(1,IF($E294&lt;=cc_D,0.0035*($E294-V$15)/$E294,0.002*($E294-V$15)/($E294-3*cc_D/7))/0.002)))^2)</f>
        <v/>
      </c>
      <c r="W294">
        <f>MAX(-fyd_cc,MIN(fyd_cc,Es_cc*IF($E294&lt;=cc_D,0.0035*($E294-W$15)/$E294,0.002*($E294-W$15)/($E294-3*cc_D/7))))-fcd_cc*(1-(1-MAX(0,MIN(1,IF($E294&lt;=cc_D,0.0035*($E294-W$15)/$E294,0.002*($E294-W$15)/($E294-3*cc_D/7))/0.002)))^2)</f>
        <v/>
      </c>
      <c r="X294">
        <f>MAX(-fyd_cc,MIN(fyd_cc,Es_cc*IF($E294&lt;=cc_D,0.0035*($E294-X$15)/$E294,0.002*($E294-X$15)/($E294-3*cc_D/7))))-fcd_cc*(1-(1-MAX(0,MIN(1,IF($E294&lt;=cc_D,0.0035*($E294-X$15)/$E294,0.002*($E294-X$15)/($E294-3*cc_D/7))/0.002)))^2)</f>
        <v/>
      </c>
      <c r="Y294">
        <f>MAX(-fyd_cc,MIN(fyd_cc,Es_cc*IF($E294&lt;=cc_D,0.0035*($E294-Y$15)/$E294,0.002*($E294-Y$15)/($E294-3*cc_D/7))))-fcd_cc*(1-(1-MAX(0,MIN(1,IF($E294&lt;=cc_D,0.0035*($E294-Y$15)/$E294,0.002*($E294-Y$15)/($E294-3*cc_D/7))/0.002)))^2)</f>
        <v/>
      </c>
      <c r="Z294">
        <f>MAX(-fyd_cc,MIN(fyd_cc,Es_cc*IF($E294&lt;=cc_D,0.0035*($E294-Z$15)/$E294,0.002*($E294-Z$15)/($E294-3*cc_D/7))))-fcd_cc*(1-(1-MAX(0,MIN(1,IF($E294&lt;=cc_D,0.0035*($E294-Z$15)/$E294,0.002*($E294-Z$15)/($E294-3*cc_D/7))/0.002)))^2)</f>
        <v/>
      </c>
      <c r="AA294">
        <f>MAX(-fyd_cc,MIN(fyd_cc,Es_cc*IF($E294&lt;=cc_D,0.0035*($E294-AA$15)/$E294,0.002*($E294-AA$15)/($E294-3*cc_D/7))))-fcd_cc*(1-(1-MAX(0,MIN(1,IF($E294&lt;=cc_D,0.0035*($E294-AA$15)/$E294,0.002*($E294-AA$15)/($E294-3*cc_D/7))/0.002)))^2)</f>
        <v/>
      </c>
      <c r="AB294">
        <f>MAX(-fyd_cc,MIN(fyd_cc,Es_cc*IF($E294&lt;=cc_D,0.0035*($E294-AB$15)/$E294,0.002*($E294-AB$15)/($E294-3*cc_D/7))))-fcd_cc*(1-(1-MAX(0,MIN(1,IF($E294&lt;=cc_D,0.0035*($E294-AB$15)/$E294,0.002*($E294-AB$15)/($E294-3*cc_D/7))/0.002)))^2)</f>
        <v/>
      </c>
      <c r="AC294">
        <f>MAX(-fyd_cc,MIN(fyd_cc,Es_cc*IF($E294&lt;=cc_D,0.0035*($E294-AC$15)/$E294,0.002*($E294-AC$15)/($E294-3*cc_D/7))))-fcd_cc*(1-(1-MAX(0,MIN(1,IF($E294&lt;=cc_D,0.0035*($E294-AC$15)/$E294,0.002*($E294-AC$15)/($E294-3*cc_D/7))/0.002)))^2)</f>
        <v/>
      </c>
      <c r="AD294">
        <f>MAX(-fyd_cc,MIN(fyd_cc,Es_cc*IF($E294&lt;=cc_D,0.0035*($E294-AD$15)/$E294,0.002*($E294-AD$15)/($E294-3*cc_D/7))))-fcd_cc*(1-(1-MAX(0,MIN(1,IF($E294&lt;=cc_D,0.0035*($E294-AD$15)/$E294,0.002*($E294-AD$15)/($E294-3*cc_D/7))/0.002)))^2)</f>
        <v/>
      </c>
      <c r="AE294">
        <f>MAX(-fyd_cc,MIN(fyd_cc,Es_cc*IF($E294&lt;=cc_D,0.0035*($E294-AE$15)/$E294,0.002*($E294-AE$15)/($E294-3*cc_D/7))))-fcd_cc*(1-(1-MAX(0,MIN(1,IF($E294&lt;=cc_D,0.0035*($E294-AE$15)/$E294,0.002*($E294-AE$15)/($E294-3*cc_D/7))/0.002)))^2)</f>
        <v/>
      </c>
      <c r="AF294">
        <f>MAX(-fyd_cc,MIN(fyd_cc,Es_cc*IF($E294&lt;=cc_D,0.0035*($E294-AF$15)/$E294,0.002*($E294-AF$15)/($E294-3*cc_D/7))))-fcd_cc*(1-(1-MAX(0,MIN(1,IF($E294&lt;=cc_D,0.0035*($E294-AF$15)/$E294,0.002*($E294-AF$15)/($E294-3*cc_D/7))/0.002)))^2)</f>
        <v/>
      </c>
      <c r="AG294">
        <f>MAX(-fyd_cc,MIN(fyd_cc,Es_cc*IF($E294&lt;=cc_D,0.0035*($E294-AG$15)/$E294,0.002*($E294-AG$15)/($E294-3*cc_D/7))))-fcd_cc*(1-(1-MAX(0,MIN(1,IF($E294&lt;=cc_D,0.0035*($E294-AG$15)/$E294,0.002*($E294-AG$15)/($E294-3*cc_D/7))/0.002)))^2)</f>
        <v/>
      </c>
      <c r="BF294">
        <f>3*MIN($E294,cc_D)/7</f>
        <v/>
      </c>
      <c r="BG294">
        <f>$E294-$BF294</f>
        <v/>
      </c>
      <c r="BH294">
        <f>ACOS(MAX(-1,MIN(1,1-$BF294/(cc_D/2))))</f>
        <v/>
      </c>
      <c r="BI294">
        <f>ACOS(MAX(-1,MIN(1,1-MIN($E294,cc_D)/(cc_D/2))))</f>
        <v/>
      </c>
      <c r="BJ294">
        <f>((cc_D/2*(1-COS(($BH294+0*($BI294-$BH294)/12)))-$BF294)/$BG294)^2*SIN(($BH294+0*($BI294-$BH294)/12))^2</f>
        <v/>
      </c>
      <c r="BK294">
        <f>((cc_D/2*(1-COS(($BH294+1*($BI294-$BH294)/12)))-$BF294)/$BG294)^2*SIN(($BH294+1*($BI294-$BH294)/12))^2</f>
        <v/>
      </c>
      <c r="BL294">
        <f>((cc_D/2*(1-COS(($BH294+2*($BI294-$BH294)/12)))-$BF294)/$BG294)^2*SIN(($BH294+2*($BI294-$BH294)/12))^2</f>
        <v/>
      </c>
      <c r="BM294">
        <f>((cc_D/2*(1-COS(($BH294+3*($BI294-$BH294)/12)))-$BF294)/$BG294)^2*SIN(($BH294+3*($BI294-$BH294)/12))^2</f>
        <v/>
      </c>
      <c r="BN294">
        <f>((cc_D/2*(1-COS(($BH294+4*($BI294-$BH294)/12)))-$BF294)/$BG294)^2*SIN(($BH294+4*($BI294-$BH294)/12))^2</f>
        <v/>
      </c>
      <c r="BO294">
        <f>((cc_D/2*(1-COS(($BH294+5*($BI294-$BH294)/12)))-$BF294)/$BG294)^2*SIN(($BH294+5*($BI294-$BH294)/12))^2</f>
        <v/>
      </c>
      <c r="BP294">
        <f>((cc_D/2*(1-COS(($BH294+6*($BI294-$BH294)/12)))-$BF294)/$BG294)^2*SIN(($BH294+6*($BI294-$BH294)/12))^2</f>
        <v/>
      </c>
      <c r="BQ294">
        <f>((cc_D/2*(1-COS(($BH294+7*($BI294-$BH294)/12)))-$BF294)/$BG294)^2*SIN(($BH294+7*($BI294-$BH294)/12))^2</f>
        <v/>
      </c>
      <c r="BR294">
        <f>((cc_D/2*(1-COS(($BH294+8*($BI294-$BH294)/12)))-$BF294)/$BG294)^2*SIN(($BH294+8*($BI294-$BH294)/12))^2</f>
        <v/>
      </c>
      <c r="BS294">
        <f>((cc_D/2*(1-COS(($BH294+9*($BI294-$BH294)/12)))-$BF294)/$BG294)^2*SIN(($BH294+9*($BI294-$BH294)/12))^2</f>
        <v/>
      </c>
      <c r="BT294">
        <f>((cc_D/2*(1-COS(($BH294+10*($BI294-$BH294)/12)))-$BF294)/$BG294)^2*SIN(($BH294+10*($BI294-$BH294)/12))^2</f>
        <v/>
      </c>
      <c r="BU294">
        <f>((cc_D/2*(1-COS(($BH294+11*($BI294-$BH294)/12)))-$BF294)/$BG294)^2*SIN(($BH294+11*($BI294-$BH294)/12))^2</f>
        <v/>
      </c>
      <c r="BV294">
        <f>((cc_D/2*(1-COS(($BH294+12*($BI294-$BH294)/12)))-$BF294)/$BG294)^2*SIN(($BH294+12*($BI294-$BH294)/12))^2</f>
        <v/>
      </c>
      <c r="BW294">
        <f>BJ294*COS(($BH294+0*($BI294-$BH294)/12))</f>
        <v/>
      </c>
      <c r="BX294">
        <f>BK294*COS(($BH294+1*($BI294-$BH294)/12))</f>
        <v/>
      </c>
      <c r="BY294">
        <f>BL294*COS(($BH294+2*($BI294-$BH294)/12))</f>
        <v/>
      </c>
      <c r="BZ294">
        <f>BM294*COS(($BH294+3*($BI294-$BH294)/12))</f>
        <v/>
      </c>
      <c r="CA294">
        <f>BN294*COS(($BH294+4*($BI294-$BH294)/12))</f>
        <v/>
      </c>
      <c r="CB294">
        <f>BO294*COS(($BH294+5*($BI294-$BH294)/12))</f>
        <v/>
      </c>
      <c r="CC294">
        <f>BP294*COS(($BH294+6*($BI294-$BH294)/12))</f>
        <v/>
      </c>
      <c r="CD294">
        <f>BQ294*COS(($BH294+7*($BI294-$BH294)/12))</f>
        <v/>
      </c>
      <c r="CE294">
        <f>BR294*COS(($BH294+8*($BI294-$BH294)/12))</f>
        <v/>
      </c>
      <c r="CF294">
        <f>BS294*COS(($BH294+9*($BI294-$BH294)/12))</f>
        <v/>
      </c>
      <c r="CG294">
        <f>BT294*COS(($BH294+10*($BI294-$BH294)/12))</f>
        <v/>
      </c>
      <c r="CH294">
        <f>BU294*COS(($BH294+11*($BI294-$BH294)/12))</f>
        <v/>
      </c>
      <c r="CI294">
        <f>BV294*COS(($BH294+12*($BI294-$BH294)/12))</f>
        <v/>
      </c>
    </row>
    <row r="295">
      <c r="B295" s="65" t="n">
        <v>17</v>
      </c>
      <c r="C295" s="66">
        <f>IF($G294&lt;cc_NEd-1E-9*ABS(cc_NEd),($C294+$D294)/2,$C294)</f>
        <v/>
      </c>
      <c r="D295" s="66">
        <f>IF($G294&lt;cc_NEd-1E-9*ABS(cc_NEd),$D294,($C294+$D294)/2)</f>
        <v/>
      </c>
      <c r="E295" s="67">
        <f>cc_D*(($C295+$D295)/2)/(1-(($C295+$D295)/2))</f>
        <v/>
      </c>
      <c r="F295" s="68">
        <f>IF($E295&lt;=cc_D,3.5,2*$E295/($E295-3*cc_D/7))</f>
        <v/>
      </c>
      <c r="G295" s="67">
        <f>(fcd_cc*((cc_D/2)^2*($BI295-COS($BI295)*SIN($BI295))-2*(cc_D/2)^2*($BI295-$BH295)/12/3*SUMPRODUCT($BJ$4:$BV$4,$BJ295:$BV295))+SUMPRODUCT($J$5:$AG$5,$J295:$AG295))/1000</f>
        <v/>
      </c>
      <c r="H295" s="67">
        <f>(fcd_cc*(2/3*(cc_D/2)^3*SIN($BI295)^3-2*(cc_D/2)^3*($BI295-$BH295)/12/3*SUMPRODUCT($BW$4:$CI$4,$BW295:$CI295))+SUMPRODUCT($J$5:$AG$5,$J295:$AG295,$J$16:$AG$16))/1E6</f>
        <v/>
      </c>
      <c r="I295" s="67">
        <f>SUMPRODUCT($J$5:$AG$5,$J295:$AG295,$J$17:$AG$17)/1E6</f>
        <v/>
      </c>
      <c r="J295">
        <f>MAX(-fyd_cc,MIN(fyd_cc,Es_cc*IF($E295&lt;=cc_D,0.0035*($E295-J$15)/$E295,0.002*($E295-J$15)/($E295-3*cc_D/7))))-fcd_cc*(1-(1-MAX(0,MIN(1,IF($E295&lt;=cc_D,0.0035*($E295-J$15)/$E295,0.002*($E295-J$15)/($E295-3*cc_D/7))/0.002)))^2)</f>
        <v/>
      </c>
      <c r="K295">
        <f>MAX(-fyd_cc,MIN(fyd_cc,Es_cc*IF($E295&lt;=cc_D,0.0035*($E295-K$15)/$E295,0.002*($E295-K$15)/($E295-3*cc_D/7))))-fcd_cc*(1-(1-MAX(0,MIN(1,IF($E295&lt;=cc_D,0.0035*($E295-K$15)/$E295,0.002*($E295-K$15)/($E295-3*cc_D/7))/0.002)))^2)</f>
        <v/>
      </c>
      <c r="L295">
        <f>MAX(-fyd_cc,MIN(fyd_cc,Es_cc*IF($E295&lt;=cc_D,0.0035*($E295-L$15)/$E295,0.002*($E295-L$15)/($E295-3*cc_D/7))))-fcd_cc*(1-(1-MAX(0,MIN(1,IF($E295&lt;=cc_D,0.0035*($E295-L$15)/$E295,0.002*($E295-L$15)/($E295-3*cc_D/7))/0.002)))^2)</f>
        <v/>
      </c>
      <c r="M295">
        <f>MAX(-fyd_cc,MIN(fyd_cc,Es_cc*IF($E295&lt;=cc_D,0.0035*($E295-M$15)/$E295,0.002*($E295-M$15)/($E295-3*cc_D/7))))-fcd_cc*(1-(1-MAX(0,MIN(1,IF($E295&lt;=cc_D,0.0035*($E295-M$15)/$E295,0.002*($E295-M$15)/($E295-3*cc_D/7))/0.002)))^2)</f>
        <v/>
      </c>
      <c r="N295">
        <f>MAX(-fyd_cc,MIN(fyd_cc,Es_cc*IF($E295&lt;=cc_D,0.0035*($E295-N$15)/$E295,0.002*($E295-N$15)/($E295-3*cc_D/7))))-fcd_cc*(1-(1-MAX(0,MIN(1,IF($E295&lt;=cc_D,0.0035*($E295-N$15)/$E295,0.002*($E295-N$15)/($E295-3*cc_D/7))/0.002)))^2)</f>
        <v/>
      </c>
      <c r="O295">
        <f>MAX(-fyd_cc,MIN(fyd_cc,Es_cc*IF($E295&lt;=cc_D,0.0035*($E295-O$15)/$E295,0.002*($E295-O$15)/($E295-3*cc_D/7))))-fcd_cc*(1-(1-MAX(0,MIN(1,IF($E295&lt;=cc_D,0.0035*($E295-O$15)/$E295,0.002*($E295-O$15)/($E295-3*cc_D/7))/0.002)))^2)</f>
        <v/>
      </c>
      <c r="P295">
        <f>MAX(-fyd_cc,MIN(fyd_cc,Es_cc*IF($E295&lt;=cc_D,0.0035*($E295-P$15)/$E295,0.002*($E295-P$15)/($E295-3*cc_D/7))))-fcd_cc*(1-(1-MAX(0,MIN(1,IF($E295&lt;=cc_D,0.0035*($E295-P$15)/$E295,0.002*($E295-P$15)/($E295-3*cc_D/7))/0.002)))^2)</f>
        <v/>
      </c>
      <c r="Q295">
        <f>MAX(-fyd_cc,MIN(fyd_cc,Es_cc*IF($E295&lt;=cc_D,0.0035*($E295-Q$15)/$E295,0.002*($E295-Q$15)/($E295-3*cc_D/7))))-fcd_cc*(1-(1-MAX(0,MIN(1,IF($E295&lt;=cc_D,0.0035*($E295-Q$15)/$E295,0.002*($E295-Q$15)/($E295-3*cc_D/7))/0.002)))^2)</f>
        <v/>
      </c>
      <c r="R295">
        <f>MAX(-fyd_cc,MIN(fyd_cc,Es_cc*IF($E295&lt;=cc_D,0.0035*($E295-R$15)/$E295,0.002*($E295-R$15)/($E295-3*cc_D/7))))-fcd_cc*(1-(1-MAX(0,MIN(1,IF($E295&lt;=cc_D,0.0035*($E295-R$15)/$E295,0.002*($E295-R$15)/($E295-3*cc_D/7))/0.002)))^2)</f>
        <v/>
      </c>
      <c r="S295">
        <f>MAX(-fyd_cc,MIN(fyd_cc,Es_cc*IF($E295&lt;=cc_D,0.0035*($E295-S$15)/$E295,0.002*($E295-S$15)/($E295-3*cc_D/7))))-fcd_cc*(1-(1-MAX(0,MIN(1,IF($E295&lt;=cc_D,0.0035*($E295-S$15)/$E295,0.002*($E295-S$15)/($E295-3*cc_D/7))/0.002)))^2)</f>
        <v/>
      </c>
      <c r="T295">
        <f>MAX(-fyd_cc,MIN(fyd_cc,Es_cc*IF($E295&lt;=cc_D,0.0035*($E295-T$15)/$E295,0.002*($E295-T$15)/($E295-3*cc_D/7))))-fcd_cc*(1-(1-MAX(0,MIN(1,IF($E295&lt;=cc_D,0.0035*($E295-T$15)/$E295,0.002*($E295-T$15)/($E295-3*cc_D/7))/0.002)))^2)</f>
        <v/>
      </c>
      <c r="U295">
        <f>MAX(-fyd_cc,MIN(fyd_cc,Es_cc*IF($E295&lt;=cc_D,0.0035*($E295-U$15)/$E295,0.002*($E295-U$15)/($E295-3*cc_D/7))))-fcd_cc*(1-(1-MAX(0,MIN(1,IF($E295&lt;=cc_D,0.0035*($E295-U$15)/$E295,0.002*($E295-U$15)/($E295-3*cc_D/7))/0.002)))^2)</f>
        <v/>
      </c>
      <c r="V295">
        <f>MAX(-fyd_cc,MIN(fyd_cc,Es_cc*IF($E295&lt;=cc_D,0.0035*($E295-V$15)/$E295,0.002*($E295-V$15)/($E295-3*cc_D/7))))-fcd_cc*(1-(1-MAX(0,MIN(1,IF($E295&lt;=cc_D,0.0035*($E295-V$15)/$E295,0.002*($E295-V$15)/($E295-3*cc_D/7))/0.002)))^2)</f>
        <v/>
      </c>
      <c r="W295">
        <f>MAX(-fyd_cc,MIN(fyd_cc,Es_cc*IF($E295&lt;=cc_D,0.0035*($E295-W$15)/$E295,0.002*($E295-W$15)/($E295-3*cc_D/7))))-fcd_cc*(1-(1-MAX(0,MIN(1,IF($E295&lt;=cc_D,0.0035*($E295-W$15)/$E295,0.002*($E295-W$15)/($E295-3*cc_D/7))/0.002)))^2)</f>
        <v/>
      </c>
      <c r="X295">
        <f>MAX(-fyd_cc,MIN(fyd_cc,Es_cc*IF($E295&lt;=cc_D,0.0035*($E295-X$15)/$E295,0.002*($E295-X$15)/($E295-3*cc_D/7))))-fcd_cc*(1-(1-MAX(0,MIN(1,IF($E295&lt;=cc_D,0.0035*($E295-X$15)/$E295,0.002*($E295-X$15)/($E295-3*cc_D/7))/0.002)))^2)</f>
        <v/>
      </c>
      <c r="Y295">
        <f>MAX(-fyd_cc,MIN(fyd_cc,Es_cc*IF($E295&lt;=cc_D,0.0035*($E295-Y$15)/$E295,0.002*($E295-Y$15)/($E295-3*cc_D/7))))-fcd_cc*(1-(1-MAX(0,MIN(1,IF($E295&lt;=cc_D,0.0035*($E295-Y$15)/$E295,0.002*($E295-Y$15)/($E295-3*cc_D/7))/0.002)))^2)</f>
        <v/>
      </c>
      <c r="Z295">
        <f>MAX(-fyd_cc,MIN(fyd_cc,Es_cc*IF($E295&lt;=cc_D,0.0035*($E295-Z$15)/$E295,0.002*($E295-Z$15)/($E295-3*cc_D/7))))-fcd_cc*(1-(1-MAX(0,MIN(1,IF($E295&lt;=cc_D,0.0035*($E295-Z$15)/$E295,0.002*($E295-Z$15)/($E295-3*cc_D/7))/0.002)))^2)</f>
        <v/>
      </c>
      <c r="AA295">
        <f>MAX(-fyd_cc,MIN(fyd_cc,Es_cc*IF($E295&lt;=cc_D,0.0035*($E295-AA$15)/$E295,0.002*($E295-AA$15)/($E295-3*cc_D/7))))-fcd_cc*(1-(1-MAX(0,MIN(1,IF($E295&lt;=cc_D,0.0035*($E295-AA$15)/$E295,0.002*($E295-AA$15)/($E295-3*cc_D/7))/0.002)))^2)</f>
        <v/>
      </c>
      <c r="AB295">
        <f>MAX(-fyd_cc,MIN(fyd_cc,Es_cc*IF($E295&lt;=cc_D,0.0035*($E295-AB$15)/$E295,0.002*($E295-AB$15)/($E295-3*cc_D/7))))-fcd_cc*(1-(1-MAX(0,MIN(1,IF($E295&lt;=cc_D,0.0035*($E295-AB$15)/$E295,0.002*($E295-AB$15)/($E295-3*cc_D/7))/0.002)))^2)</f>
        <v/>
      </c>
      <c r="AC295">
        <f>MAX(-fyd_cc,MIN(fyd_cc,Es_cc*IF($E295&lt;=cc_D,0.0035*($E295-AC$15)/$E295,0.002*($E295-AC$15)/($E295-3*cc_D/7))))-fcd_cc*(1-(1-MAX(0,MIN(1,IF($E295&lt;=cc_D,0.0035*($E295-AC$15)/$E295,0.002*($E295-AC$15)/($E295-3*cc_D/7))/0.002)))^2)</f>
        <v/>
      </c>
      <c r="AD295">
        <f>MAX(-fyd_cc,MIN(fyd_cc,Es_cc*IF($E295&lt;=cc_D,0.0035*($E295-AD$15)/$E295,0.002*($E295-AD$15)/($E295-3*cc_D/7))))-fcd_cc*(1-(1-MAX(0,MIN(1,IF($E295&lt;=cc_D,0.0035*($E295-AD$15)/$E295,0.002*($E295-AD$15)/($E295-3*cc_D/7))/0.002)))^2)</f>
        <v/>
      </c>
      <c r="AE295">
        <f>MAX(-fyd_cc,MIN(fyd_cc,Es_cc*IF($E295&lt;=cc_D,0.0035*($E295-AE$15)/$E295,0.002*($E295-AE$15)/($E295-3*cc_D/7))))-fcd_cc*(1-(1-MAX(0,MIN(1,IF($E295&lt;=cc_D,0.0035*($E295-AE$15)/$E295,0.002*($E295-AE$15)/($E295-3*cc_D/7))/0.002)))^2)</f>
        <v/>
      </c>
      <c r="AF295">
        <f>MAX(-fyd_cc,MIN(fyd_cc,Es_cc*IF($E295&lt;=cc_D,0.0035*($E295-AF$15)/$E295,0.002*($E295-AF$15)/($E295-3*cc_D/7))))-fcd_cc*(1-(1-MAX(0,MIN(1,IF($E295&lt;=cc_D,0.0035*($E295-AF$15)/$E295,0.002*($E295-AF$15)/($E295-3*cc_D/7))/0.002)))^2)</f>
        <v/>
      </c>
      <c r="AG295">
        <f>MAX(-fyd_cc,MIN(fyd_cc,Es_cc*IF($E295&lt;=cc_D,0.0035*($E295-AG$15)/$E295,0.002*($E295-AG$15)/($E295-3*cc_D/7))))-fcd_cc*(1-(1-MAX(0,MIN(1,IF($E295&lt;=cc_D,0.0035*($E295-AG$15)/$E295,0.002*($E295-AG$15)/($E295-3*cc_D/7))/0.002)))^2)</f>
        <v/>
      </c>
      <c r="BF295">
        <f>3*MIN($E295,cc_D)/7</f>
        <v/>
      </c>
      <c r="BG295">
        <f>$E295-$BF295</f>
        <v/>
      </c>
      <c r="BH295">
        <f>ACOS(MAX(-1,MIN(1,1-$BF295/(cc_D/2))))</f>
        <v/>
      </c>
      <c r="BI295">
        <f>ACOS(MAX(-1,MIN(1,1-MIN($E295,cc_D)/(cc_D/2))))</f>
        <v/>
      </c>
      <c r="BJ295">
        <f>((cc_D/2*(1-COS(($BH295+0*($BI295-$BH295)/12)))-$BF295)/$BG295)^2*SIN(($BH295+0*($BI295-$BH295)/12))^2</f>
        <v/>
      </c>
      <c r="BK295">
        <f>((cc_D/2*(1-COS(($BH295+1*($BI295-$BH295)/12)))-$BF295)/$BG295)^2*SIN(($BH295+1*($BI295-$BH295)/12))^2</f>
        <v/>
      </c>
      <c r="BL295">
        <f>((cc_D/2*(1-COS(($BH295+2*($BI295-$BH295)/12)))-$BF295)/$BG295)^2*SIN(($BH295+2*($BI295-$BH295)/12))^2</f>
        <v/>
      </c>
      <c r="BM295">
        <f>((cc_D/2*(1-COS(($BH295+3*($BI295-$BH295)/12)))-$BF295)/$BG295)^2*SIN(($BH295+3*($BI295-$BH295)/12))^2</f>
        <v/>
      </c>
      <c r="BN295">
        <f>((cc_D/2*(1-COS(($BH295+4*($BI295-$BH295)/12)))-$BF295)/$BG295)^2*SIN(($BH295+4*($BI295-$BH295)/12))^2</f>
        <v/>
      </c>
      <c r="BO295">
        <f>((cc_D/2*(1-COS(($BH295+5*($BI295-$BH295)/12)))-$BF295)/$BG295)^2*SIN(($BH295+5*($BI295-$BH295)/12))^2</f>
        <v/>
      </c>
      <c r="BP295">
        <f>((cc_D/2*(1-COS(($BH295+6*($BI295-$BH295)/12)))-$BF295)/$BG295)^2*SIN(($BH295+6*($BI295-$BH295)/12))^2</f>
        <v/>
      </c>
      <c r="BQ295">
        <f>((cc_D/2*(1-COS(($BH295+7*($BI295-$BH295)/12)))-$BF295)/$BG295)^2*SIN(($BH295+7*($BI295-$BH295)/12))^2</f>
        <v/>
      </c>
      <c r="BR295">
        <f>((cc_D/2*(1-COS(($BH295+8*($BI295-$BH295)/12)))-$BF295)/$BG295)^2*SIN(($BH295+8*($BI295-$BH295)/12))^2</f>
        <v/>
      </c>
      <c r="BS295">
        <f>((cc_D/2*(1-COS(($BH295+9*($BI295-$BH295)/12)))-$BF295)/$BG295)^2*SIN(($BH295+9*($BI295-$BH295)/12))^2</f>
        <v/>
      </c>
      <c r="BT295">
        <f>((cc_D/2*(1-COS(($BH295+10*($BI295-$BH295)/12)))-$BF295)/$BG295)^2*SIN(($BH295+10*($BI295-$BH295)/12))^2</f>
        <v/>
      </c>
      <c r="BU295">
        <f>((cc_D/2*(1-COS(($BH295+11*($BI295-$BH295)/12)))-$BF295)/$BG295)^2*SIN(($BH295+11*($BI295-$BH295)/12))^2</f>
        <v/>
      </c>
      <c r="BV295">
        <f>((cc_D/2*(1-COS(($BH295+12*($BI295-$BH295)/12)))-$BF295)/$BG295)^2*SIN(($BH295+12*($BI295-$BH295)/12))^2</f>
        <v/>
      </c>
      <c r="BW295">
        <f>BJ295*COS(($BH295+0*($BI295-$BH295)/12))</f>
        <v/>
      </c>
      <c r="BX295">
        <f>BK295*COS(($BH295+1*($BI295-$BH295)/12))</f>
        <v/>
      </c>
      <c r="BY295">
        <f>BL295*COS(($BH295+2*($BI295-$BH295)/12))</f>
        <v/>
      </c>
      <c r="BZ295">
        <f>BM295*COS(($BH295+3*($BI295-$BH295)/12))</f>
        <v/>
      </c>
      <c r="CA295">
        <f>BN295*COS(($BH295+4*($BI295-$BH295)/12))</f>
        <v/>
      </c>
      <c r="CB295">
        <f>BO295*COS(($BH295+5*($BI295-$BH295)/12))</f>
        <v/>
      </c>
      <c r="CC295">
        <f>BP295*COS(($BH295+6*($BI295-$BH295)/12))</f>
        <v/>
      </c>
      <c r="CD295">
        <f>BQ295*COS(($BH295+7*($BI295-$BH295)/12))</f>
        <v/>
      </c>
      <c r="CE295">
        <f>BR295*COS(($BH295+8*($BI295-$BH295)/12))</f>
        <v/>
      </c>
      <c r="CF295">
        <f>BS295*COS(($BH295+9*($BI295-$BH295)/12))</f>
        <v/>
      </c>
      <c r="CG295">
        <f>BT295*COS(($BH295+10*($BI295-$BH295)/12))</f>
        <v/>
      </c>
      <c r="CH295">
        <f>BU295*COS(($BH295+11*($BI295-$BH295)/12))</f>
        <v/>
      </c>
      <c r="CI295">
        <f>BV295*COS(($BH295+12*($BI295-$BH295)/12))</f>
        <v/>
      </c>
    </row>
    <row r="296">
      <c r="B296" s="65" t="n">
        <v>18</v>
      </c>
      <c r="C296" s="66">
        <f>IF($G295&lt;cc_NEd-1E-9*ABS(cc_NEd),($C295+$D295)/2,$C295)</f>
        <v/>
      </c>
      <c r="D296" s="66">
        <f>IF($G295&lt;cc_NEd-1E-9*ABS(cc_NEd),$D295,($C295+$D295)/2)</f>
        <v/>
      </c>
      <c r="E296" s="67">
        <f>cc_D*(($C296+$D296)/2)/(1-(($C296+$D296)/2))</f>
        <v/>
      </c>
      <c r="F296" s="68">
        <f>IF($E296&lt;=cc_D,3.5,2*$E296/($E296-3*cc_D/7))</f>
        <v/>
      </c>
      <c r="G296" s="67">
        <f>(fcd_cc*((cc_D/2)^2*($BI296-COS($BI296)*SIN($BI296))-2*(cc_D/2)^2*($BI296-$BH296)/12/3*SUMPRODUCT($BJ$4:$BV$4,$BJ296:$BV296))+SUMPRODUCT($J$5:$AG$5,$J296:$AG296))/1000</f>
        <v/>
      </c>
      <c r="H296" s="67">
        <f>(fcd_cc*(2/3*(cc_D/2)^3*SIN($BI296)^3-2*(cc_D/2)^3*($BI296-$BH296)/12/3*SUMPRODUCT($BW$4:$CI$4,$BW296:$CI296))+SUMPRODUCT($J$5:$AG$5,$J296:$AG296,$J$16:$AG$16))/1E6</f>
        <v/>
      </c>
      <c r="I296" s="67">
        <f>SUMPRODUCT($J$5:$AG$5,$J296:$AG296,$J$17:$AG$17)/1E6</f>
        <v/>
      </c>
      <c r="J296">
        <f>MAX(-fyd_cc,MIN(fyd_cc,Es_cc*IF($E296&lt;=cc_D,0.0035*($E296-J$15)/$E296,0.002*($E296-J$15)/($E296-3*cc_D/7))))-fcd_cc*(1-(1-MAX(0,MIN(1,IF($E296&lt;=cc_D,0.0035*($E296-J$15)/$E296,0.002*($E296-J$15)/($E296-3*cc_D/7))/0.002)))^2)</f>
        <v/>
      </c>
      <c r="K296">
        <f>MAX(-fyd_cc,MIN(fyd_cc,Es_cc*IF($E296&lt;=cc_D,0.0035*($E296-K$15)/$E296,0.002*($E296-K$15)/($E296-3*cc_D/7))))-fcd_cc*(1-(1-MAX(0,MIN(1,IF($E296&lt;=cc_D,0.0035*($E296-K$15)/$E296,0.002*($E296-K$15)/($E296-3*cc_D/7))/0.002)))^2)</f>
        <v/>
      </c>
      <c r="L296">
        <f>MAX(-fyd_cc,MIN(fyd_cc,Es_cc*IF($E296&lt;=cc_D,0.0035*($E296-L$15)/$E296,0.002*($E296-L$15)/($E296-3*cc_D/7))))-fcd_cc*(1-(1-MAX(0,MIN(1,IF($E296&lt;=cc_D,0.0035*($E296-L$15)/$E296,0.002*($E296-L$15)/($E296-3*cc_D/7))/0.002)))^2)</f>
        <v/>
      </c>
      <c r="M296">
        <f>MAX(-fyd_cc,MIN(fyd_cc,Es_cc*IF($E296&lt;=cc_D,0.0035*($E296-M$15)/$E296,0.002*($E296-M$15)/($E296-3*cc_D/7))))-fcd_cc*(1-(1-MAX(0,MIN(1,IF($E296&lt;=cc_D,0.0035*($E296-M$15)/$E296,0.002*($E296-M$15)/($E296-3*cc_D/7))/0.002)))^2)</f>
        <v/>
      </c>
      <c r="N296">
        <f>MAX(-fyd_cc,MIN(fyd_cc,Es_cc*IF($E296&lt;=cc_D,0.0035*($E296-N$15)/$E296,0.002*($E296-N$15)/($E296-3*cc_D/7))))-fcd_cc*(1-(1-MAX(0,MIN(1,IF($E296&lt;=cc_D,0.0035*($E296-N$15)/$E296,0.002*($E296-N$15)/($E296-3*cc_D/7))/0.002)))^2)</f>
        <v/>
      </c>
      <c r="O296">
        <f>MAX(-fyd_cc,MIN(fyd_cc,Es_cc*IF($E296&lt;=cc_D,0.0035*($E296-O$15)/$E296,0.002*($E296-O$15)/($E296-3*cc_D/7))))-fcd_cc*(1-(1-MAX(0,MIN(1,IF($E296&lt;=cc_D,0.0035*($E296-O$15)/$E296,0.002*($E296-O$15)/($E296-3*cc_D/7))/0.002)))^2)</f>
        <v/>
      </c>
      <c r="P296">
        <f>MAX(-fyd_cc,MIN(fyd_cc,Es_cc*IF($E296&lt;=cc_D,0.0035*($E296-P$15)/$E296,0.002*($E296-P$15)/($E296-3*cc_D/7))))-fcd_cc*(1-(1-MAX(0,MIN(1,IF($E296&lt;=cc_D,0.0035*($E296-P$15)/$E296,0.002*($E296-P$15)/($E296-3*cc_D/7))/0.002)))^2)</f>
        <v/>
      </c>
      <c r="Q296">
        <f>MAX(-fyd_cc,MIN(fyd_cc,Es_cc*IF($E296&lt;=cc_D,0.0035*($E296-Q$15)/$E296,0.002*($E296-Q$15)/($E296-3*cc_D/7))))-fcd_cc*(1-(1-MAX(0,MIN(1,IF($E296&lt;=cc_D,0.0035*($E296-Q$15)/$E296,0.002*($E296-Q$15)/($E296-3*cc_D/7))/0.002)))^2)</f>
        <v/>
      </c>
      <c r="R296">
        <f>MAX(-fyd_cc,MIN(fyd_cc,Es_cc*IF($E296&lt;=cc_D,0.0035*($E296-R$15)/$E296,0.002*($E296-R$15)/($E296-3*cc_D/7))))-fcd_cc*(1-(1-MAX(0,MIN(1,IF($E296&lt;=cc_D,0.0035*($E296-R$15)/$E296,0.002*($E296-R$15)/($E296-3*cc_D/7))/0.002)))^2)</f>
        <v/>
      </c>
      <c r="S296">
        <f>MAX(-fyd_cc,MIN(fyd_cc,Es_cc*IF($E296&lt;=cc_D,0.0035*($E296-S$15)/$E296,0.002*($E296-S$15)/($E296-3*cc_D/7))))-fcd_cc*(1-(1-MAX(0,MIN(1,IF($E296&lt;=cc_D,0.0035*($E296-S$15)/$E296,0.002*($E296-S$15)/($E296-3*cc_D/7))/0.002)))^2)</f>
        <v/>
      </c>
      <c r="T296">
        <f>MAX(-fyd_cc,MIN(fyd_cc,Es_cc*IF($E296&lt;=cc_D,0.0035*($E296-T$15)/$E296,0.002*($E296-T$15)/($E296-3*cc_D/7))))-fcd_cc*(1-(1-MAX(0,MIN(1,IF($E296&lt;=cc_D,0.0035*($E296-T$15)/$E296,0.002*($E296-T$15)/($E296-3*cc_D/7))/0.002)))^2)</f>
        <v/>
      </c>
      <c r="U296">
        <f>MAX(-fyd_cc,MIN(fyd_cc,Es_cc*IF($E296&lt;=cc_D,0.0035*($E296-U$15)/$E296,0.002*($E296-U$15)/($E296-3*cc_D/7))))-fcd_cc*(1-(1-MAX(0,MIN(1,IF($E296&lt;=cc_D,0.0035*($E296-U$15)/$E296,0.002*($E296-U$15)/($E296-3*cc_D/7))/0.002)))^2)</f>
        <v/>
      </c>
      <c r="V296">
        <f>MAX(-fyd_cc,MIN(fyd_cc,Es_cc*IF($E296&lt;=cc_D,0.0035*($E296-V$15)/$E296,0.002*($E296-V$15)/($E296-3*cc_D/7))))-fcd_cc*(1-(1-MAX(0,MIN(1,IF($E296&lt;=cc_D,0.0035*($E296-V$15)/$E296,0.002*($E296-V$15)/($E296-3*cc_D/7))/0.002)))^2)</f>
        <v/>
      </c>
      <c r="W296">
        <f>MAX(-fyd_cc,MIN(fyd_cc,Es_cc*IF($E296&lt;=cc_D,0.0035*($E296-W$15)/$E296,0.002*($E296-W$15)/($E296-3*cc_D/7))))-fcd_cc*(1-(1-MAX(0,MIN(1,IF($E296&lt;=cc_D,0.0035*($E296-W$15)/$E296,0.002*($E296-W$15)/($E296-3*cc_D/7))/0.002)))^2)</f>
        <v/>
      </c>
      <c r="X296">
        <f>MAX(-fyd_cc,MIN(fyd_cc,Es_cc*IF($E296&lt;=cc_D,0.0035*($E296-X$15)/$E296,0.002*($E296-X$15)/($E296-3*cc_D/7))))-fcd_cc*(1-(1-MAX(0,MIN(1,IF($E296&lt;=cc_D,0.0035*($E296-X$15)/$E296,0.002*($E296-X$15)/($E296-3*cc_D/7))/0.002)))^2)</f>
        <v/>
      </c>
      <c r="Y296">
        <f>MAX(-fyd_cc,MIN(fyd_cc,Es_cc*IF($E296&lt;=cc_D,0.0035*($E296-Y$15)/$E296,0.002*($E296-Y$15)/($E296-3*cc_D/7))))-fcd_cc*(1-(1-MAX(0,MIN(1,IF($E296&lt;=cc_D,0.0035*($E296-Y$15)/$E296,0.002*($E296-Y$15)/($E296-3*cc_D/7))/0.002)))^2)</f>
        <v/>
      </c>
      <c r="Z296">
        <f>MAX(-fyd_cc,MIN(fyd_cc,Es_cc*IF($E296&lt;=cc_D,0.0035*($E296-Z$15)/$E296,0.002*($E296-Z$15)/($E296-3*cc_D/7))))-fcd_cc*(1-(1-MAX(0,MIN(1,IF($E296&lt;=cc_D,0.0035*($E296-Z$15)/$E296,0.002*($E296-Z$15)/($E296-3*cc_D/7))/0.002)))^2)</f>
        <v/>
      </c>
      <c r="AA296">
        <f>MAX(-fyd_cc,MIN(fyd_cc,Es_cc*IF($E296&lt;=cc_D,0.0035*($E296-AA$15)/$E296,0.002*($E296-AA$15)/($E296-3*cc_D/7))))-fcd_cc*(1-(1-MAX(0,MIN(1,IF($E296&lt;=cc_D,0.0035*($E296-AA$15)/$E296,0.002*($E296-AA$15)/($E296-3*cc_D/7))/0.002)))^2)</f>
        <v/>
      </c>
      <c r="AB296">
        <f>MAX(-fyd_cc,MIN(fyd_cc,Es_cc*IF($E296&lt;=cc_D,0.0035*($E296-AB$15)/$E296,0.002*($E296-AB$15)/($E296-3*cc_D/7))))-fcd_cc*(1-(1-MAX(0,MIN(1,IF($E296&lt;=cc_D,0.0035*($E296-AB$15)/$E296,0.002*($E296-AB$15)/($E296-3*cc_D/7))/0.002)))^2)</f>
        <v/>
      </c>
      <c r="AC296">
        <f>MAX(-fyd_cc,MIN(fyd_cc,Es_cc*IF($E296&lt;=cc_D,0.0035*($E296-AC$15)/$E296,0.002*($E296-AC$15)/($E296-3*cc_D/7))))-fcd_cc*(1-(1-MAX(0,MIN(1,IF($E296&lt;=cc_D,0.0035*($E296-AC$15)/$E296,0.002*($E296-AC$15)/($E296-3*cc_D/7))/0.002)))^2)</f>
        <v/>
      </c>
      <c r="AD296">
        <f>MAX(-fyd_cc,MIN(fyd_cc,Es_cc*IF($E296&lt;=cc_D,0.0035*($E296-AD$15)/$E296,0.002*($E296-AD$15)/($E296-3*cc_D/7))))-fcd_cc*(1-(1-MAX(0,MIN(1,IF($E296&lt;=cc_D,0.0035*($E296-AD$15)/$E296,0.002*($E296-AD$15)/($E296-3*cc_D/7))/0.002)))^2)</f>
        <v/>
      </c>
      <c r="AE296">
        <f>MAX(-fyd_cc,MIN(fyd_cc,Es_cc*IF($E296&lt;=cc_D,0.0035*($E296-AE$15)/$E296,0.002*($E296-AE$15)/($E296-3*cc_D/7))))-fcd_cc*(1-(1-MAX(0,MIN(1,IF($E296&lt;=cc_D,0.0035*($E296-AE$15)/$E296,0.002*($E296-AE$15)/($E296-3*cc_D/7))/0.002)))^2)</f>
        <v/>
      </c>
      <c r="AF296">
        <f>MAX(-fyd_cc,MIN(fyd_cc,Es_cc*IF($E296&lt;=cc_D,0.0035*($E296-AF$15)/$E296,0.002*($E296-AF$15)/($E296-3*cc_D/7))))-fcd_cc*(1-(1-MAX(0,MIN(1,IF($E296&lt;=cc_D,0.0035*($E296-AF$15)/$E296,0.002*($E296-AF$15)/($E296-3*cc_D/7))/0.002)))^2)</f>
        <v/>
      </c>
      <c r="AG296">
        <f>MAX(-fyd_cc,MIN(fyd_cc,Es_cc*IF($E296&lt;=cc_D,0.0035*($E296-AG$15)/$E296,0.002*($E296-AG$15)/($E296-3*cc_D/7))))-fcd_cc*(1-(1-MAX(0,MIN(1,IF($E296&lt;=cc_D,0.0035*($E296-AG$15)/$E296,0.002*($E296-AG$15)/($E296-3*cc_D/7))/0.002)))^2)</f>
        <v/>
      </c>
      <c r="BF296">
        <f>3*MIN($E296,cc_D)/7</f>
        <v/>
      </c>
      <c r="BG296">
        <f>$E296-$BF296</f>
        <v/>
      </c>
      <c r="BH296">
        <f>ACOS(MAX(-1,MIN(1,1-$BF296/(cc_D/2))))</f>
        <v/>
      </c>
      <c r="BI296">
        <f>ACOS(MAX(-1,MIN(1,1-MIN($E296,cc_D)/(cc_D/2))))</f>
        <v/>
      </c>
      <c r="BJ296">
        <f>((cc_D/2*(1-COS(($BH296+0*($BI296-$BH296)/12)))-$BF296)/$BG296)^2*SIN(($BH296+0*($BI296-$BH296)/12))^2</f>
        <v/>
      </c>
      <c r="BK296">
        <f>((cc_D/2*(1-COS(($BH296+1*($BI296-$BH296)/12)))-$BF296)/$BG296)^2*SIN(($BH296+1*($BI296-$BH296)/12))^2</f>
        <v/>
      </c>
      <c r="BL296">
        <f>((cc_D/2*(1-COS(($BH296+2*($BI296-$BH296)/12)))-$BF296)/$BG296)^2*SIN(($BH296+2*($BI296-$BH296)/12))^2</f>
        <v/>
      </c>
      <c r="BM296">
        <f>((cc_D/2*(1-COS(($BH296+3*($BI296-$BH296)/12)))-$BF296)/$BG296)^2*SIN(($BH296+3*($BI296-$BH296)/12))^2</f>
        <v/>
      </c>
      <c r="BN296">
        <f>((cc_D/2*(1-COS(($BH296+4*($BI296-$BH296)/12)))-$BF296)/$BG296)^2*SIN(($BH296+4*($BI296-$BH296)/12))^2</f>
        <v/>
      </c>
      <c r="BO296">
        <f>((cc_D/2*(1-COS(($BH296+5*($BI296-$BH296)/12)))-$BF296)/$BG296)^2*SIN(($BH296+5*($BI296-$BH296)/12))^2</f>
        <v/>
      </c>
      <c r="BP296">
        <f>((cc_D/2*(1-COS(($BH296+6*($BI296-$BH296)/12)))-$BF296)/$BG296)^2*SIN(($BH296+6*($BI296-$BH296)/12))^2</f>
        <v/>
      </c>
      <c r="BQ296">
        <f>((cc_D/2*(1-COS(($BH296+7*($BI296-$BH296)/12)))-$BF296)/$BG296)^2*SIN(($BH296+7*($BI296-$BH296)/12))^2</f>
        <v/>
      </c>
      <c r="BR296">
        <f>((cc_D/2*(1-COS(($BH296+8*($BI296-$BH296)/12)))-$BF296)/$BG296)^2*SIN(($BH296+8*($BI296-$BH296)/12))^2</f>
        <v/>
      </c>
      <c r="BS296">
        <f>((cc_D/2*(1-COS(($BH296+9*($BI296-$BH296)/12)))-$BF296)/$BG296)^2*SIN(($BH296+9*($BI296-$BH296)/12))^2</f>
        <v/>
      </c>
      <c r="BT296">
        <f>((cc_D/2*(1-COS(($BH296+10*($BI296-$BH296)/12)))-$BF296)/$BG296)^2*SIN(($BH296+10*($BI296-$BH296)/12))^2</f>
        <v/>
      </c>
      <c r="BU296">
        <f>((cc_D/2*(1-COS(($BH296+11*($BI296-$BH296)/12)))-$BF296)/$BG296)^2*SIN(($BH296+11*($BI296-$BH296)/12))^2</f>
        <v/>
      </c>
      <c r="BV296">
        <f>((cc_D/2*(1-COS(($BH296+12*($BI296-$BH296)/12)))-$BF296)/$BG296)^2*SIN(($BH296+12*($BI296-$BH296)/12))^2</f>
        <v/>
      </c>
      <c r="BW296">
        <f>BJ296*COS(($BH296+0*($BI296-$BH296)/12))</f>
        <v/>
      </c>
      <c r="BX296">
        <f>BK296*COS(($BH296+1*($BI296-$BH296)/12))</f>
        <v/>
      </c>
      <c r="BY296">
        <f>BL296*COS(($BH296+2*($BI296-$BH296)/12))</f>
        <v/>
      </c>
      <c r="BZ296">
        <f>BM296*COS(($BH296+3*($BI296-$BH296)/12))</f>
        <v/>
      </c>
      <c r="CA296">
        <f>BN296*COS(($BH296+4*($BI296-$BH296)/12))</f>
        <v/>
      </c>
      <c r="CB296">
        <f>BO296*COS(($BH296+5*($BI296-$BH296)/12))</f>
        <v/>
      </c>
      <c r="CC296">
        <f>BP296*COS(($BH296+6*($BI296-$BH296)/12))</f>
        <v/>
      </c>
      <c r="CD296">
        <f>BQ296*COS(($BH296+7*($BI296-$BH296)/12))</f>
        <v/>
      </c>
      <c r="CE296">
        <f>BR296*COS(($BH296+8*($BI296-$BH296)/12))</f>
        <v/>
      </c>
      <c r="CF296">
        <f>BS296*COS(($BH296+9*($BI296-$BH296)/12))</f>
        <v/>
      </c>
      <c r="CG296">
        <f>BT296*COS(($BH296+10*($BI296-$BH296)/12))</f>
        <v/>
      </c>
      <c r="CH296">
        <f>BU296*COS(($BH296+11*($BI296-$BH296)/12))</f>
        <v/>
      </c>
      <c r="CI296">
        <f>BV296*COS(($BH296+12*($BI296-$BH296)/12))</f>
        <v/>
      </c>
    </row>
    <row r="297">
      <c r="B297" s="65" t="n">
        <v>19</v>
      </c>
      <c r="C297" s="66">
        <f>IF($G296&lt;cc_NEd-1E-9*ABS(cc_NEd),($C296+$D296)/2,$C296)</f>
        <v/>
      </c>
      <c r="D297" s="66">
        <f>IF($G296&lt;cc_NEd-1E-9*ABS(cc_NEd),$D296,($C296+$D296)/2)</f>
        <v/>
      </c>
      <c r="E297" s="67">
        <f>cc_D*(($C297+$D297)/2)/(1-(($C297+$D297)/2))</f>
        <v/>
      </c>
      <c r="F297" s="68">
        <f>IF($E297&lt;=cc_D,3.5,2*$E297/($E297-3*cc_D/7))</f>
        <v/>
      </c>
      <c r="G297" s="67">
        <f>(fcd_cc*((cc_D/2)^2*($BI297-COS($BI297)*SIN($BI297))-2*(cc_D/2)^2*($BI297-$BH297)/12/3*SUMPRODUCT($BJ$4:$BV$4,$BJ297:$BV297))+SUMPRODUCT($J$5:$AG$5,$J297:$AG297))/1000</f>
        <v/>
      </c>
      <c r="H297" s="67">
        <f>(fcd_cc*(2/3*(cc_D/2)^3*SIN($BI297)^3-2*(cc_D/2)^3*($BI297-$BH297)/12/3*SUMPRODUCT($BW$4:$CI$4,$BW297:$CI297))+SUMPRODUCT($J$5:$AG$5,$J297:$AG297,$J$16:$AG$16))/1E6</f>
        <v/>
      </c>
      <c r="I297" s="67">
        <f>SUMPRODUCT($J$5:$AG$5,$J297:$AG297,$J$17:$AG$17)/1E6</f>
        <v/>
      </c>
      <c r="J297">
        <f>MAX(-fyd_cc,MIN(fyd_cc,Es_cc*IF($E297&lt;=cc_D,0.0035*($E297-J$15)/$E297,0.002*($E297-J$15)/($E297-3*cc_D/7))))-fcd_cc*(1-(1-MAX(0,MIN(1,IF($E297&lt;=cc_D,0.0035*($E297-J$15)/$E297,0.002*($E297-J$15)/($E297-3*cc_D/7))/0.002)))^2)</f>
        <v/>
      </c>
      <c r="K297">
        <f>MAX(-fyd_cc,MIN(fyd_cc,Es_cc*IF($E297&lt;=cc_D,0.0035*($E297-K$15)/$E297,0.002*($E297-K$15)/($E297-3*cc_D/7))))-fcd_cc*(1-(1-MAX(0,MIN(1,IF($E297&lt;=cc_D,0.0035*($E297-K$15)/$E297,0.002*($E297-K$15)/($E297-3*cc_D/7))/0.002)))^2)</f>
        <v/>
      </c>
      <c r="L297">
        <f>MAX(-fyd_cc,MIN(fyd_cc,Es_cc*IF($E297&lt;=cc_D,0.0035*($E297-L$15)/$E297,0.002*($E297-L$15)/($E297-3*cc_D/7))))-fcd_cc*(1-(1-MAX(0,MIN(1,IF($E297&lt;=cc_D,0.0035*($E297-L$15)/$E297,0.002*($E297-L$15)/($E297-3*cc_D/7))/0.002)))^2)</f>
        <v/>
      </c>
      <c r="M297">
        <f>MAX(-fyd_cc,MIN(fyd_cc,Es_cc*IF($E297&lt;=cc_D,0.0035*($E297-M$15)/$E297,0.002*($E297-M$15)/($E297-3*cc_D/7))))-fcd_cc*(1-(1-MAX(0,MIN(1,IF($E297&lt;=cc_D,0.0035*($E297-M$15)/$E297,0.002*($E297-M$15)/($E297-3*cc_D/7))/0.002)))^2)</f>
        <v/>
      </c>
      <c r="N297">
        <f>MAX(-fyd_cc,MIN(fyd_cc,Es_cc*IF($E297&lt;=cc_D,0.0035*($E297-N$15)/$E297,0.002*($E297-N$15)/($E297-3*cc_D/7))))-fcd_cc*(1-(1-MAX(0,MIN(1,IF($E297&lt;=cc_D,0.0035*($E297-N$15)/$E297,0.002*($E297-N$15)/($E297-3*cc_D/7))/0.002)))^2)</f>
        <v/>
      </c>
      <c r="O297">
        <f>MAX(-fyd_cc,MIN(fyd_cc,Es_cc*IF($E297&lt;=cc_D,0.0035*($E297-O$15)/$E297,0.002*($E297-O$15)/($E297-3*cc_D/7))))-fcd_cc*(1-(1-MAX(0,MIN(1,IF($E297&lt;=cc_D,0.0035*($E297-O$15)/$E297,0.002*($E297-O$15)/($E297-3*cc_D/7))/0.002)))^2)</f>
        <v/>
      </c>
      <c r="P297">
        <f>MAX(-fyd_cc,MIN(fyd_cc,Es_cc*IF($E297&lt;=cc_D,0.0035*($E297-P$15)/$E297,0.002*($E297-P$15)/($E297-3*cc_D/7))))-fcd_cc*(1-(1-MAX(0,MIN(1,IF($E297&lt;=cc_D,0.0035*($E297-P$15)/$E297,0.002*($E297-P$15)/($E297-3*cc_D/7))/0.002)))^2)</f>
        <v/>
      </c>
      <c r="Q297">
        <f>MAX(-fyd_cc,MIN(fyd_cc,Es_cc*IF($E297&lt;=cc_D,0.0035*($E297-Q$15)/$E297,0.002*($E297-Q$15)/($E297-3*cc_D/7))))-fcd_cc*(1-(1-MAX(0,MIN(1,IF($E297&lt;=cc_D,0.0035*($E297-Q$15)/$E297,0.002*($E297-Q$15)/($E297-3*cc_D/7))/0.002)))^2)</f>
        <v/>
      </c>
      <c r="R297">
        <f>MAX(-fyd_cc,MIN(fyd_cc,Es_cc*IF($E297&lt;=cc_D,0.0035*($E297-R$15)/$E297,0.002*($E297-R$15)/($E297-3*cc_D/7))))-fcd_cc*(1-(1-MAX(0,MIN(1,IF($E297&lt;=cc_D,0.0035*($E297-R$15)/$E297,0.002*($E297-R$15)/($E297-3*cc_D/7))/0.002)))^2)</f>
        <v/>
      </c>
      <c r="S297">
        <f>MAX(-fyd_cc,MIN(fyd_cc,Es_cc*IF($E297&lt;=cc_D,0.0035*($E297-S$15)/$E297,0.002*($E297-S$15)/($E297-3*cc_D/7))))-fcd_cc*(1-(1-MAX(0,MIN(1,IF($E297&lt;=cc_D,0.0035*($E297-S$15)/$E297,0.002*($E297-S$15)/($E297-3*cc_D/7))/0.002)))^2)</f>
        <v/>
      </c>
      <c r="T297">
        <f>MAX(-fyd_cc,MIN(fyd_cc,Es_cc*IF($E297&lt;=cc_D,0.0035*($E297-T$15)/$E297,0.002*($E297-T$15)/($E297-3*cc_D/7))))-fcd_cc*(1-(1-MAX(0,MIN(1,IF($E297&lt;=cc_D,0.0035*($E297-T$15)/$E297,0.002*($E297-T$15)/($E297-3*cc_D/7))/0.002)))^2)</f>
        <v/>
      </c>
      <c r="U297">
        <f>MAX(-fyd_cc,MIN(fyd_cc,Es_cc*IF($E297&lt;=cc_D,0.0035*($E297-U$15)/$E297,0.002*($E297-U$15)/($E297-3*cc_D/7))))-fcd_cc*(1-(1-MAX(0,MIN(1,IF($E297&lt;=cc_D,0.0035*($E297-U$15)/$E297,0.002*($E297-U$15)/($E297-3*cc_D/7))/0.002)))^2)</f>
        <v/>
      </c>
      <c r="V297">
        <f>MAX(-fyd_cc,MIN(fyd_cc,Es_cc*IF($E297&lt;=cc_D,0.0035*($E297-V$15)/$E297,0.002*($E297-V$15)/($E297-3*cc_D/7))))-fcd_cc*(1-(1-MAX(0,MIN(1,IF($E297&lt;=cc_D,0.0035*($E297-V$15)/$E297,0.002*($E297-V$15)/($E297-3*cc_D/7))/0.002)))^2)</f>
        <v/>
      </c>
      <c r="W297">
        <f>MAX(-fyd_cc,MIN(fyd_cc,Es_cc*IF($E297&lt;=cc_D,0.0035*($E297-W$15)/$E297,0.002*($E297-W$15)/($E297-3*cc_D/7))))-fcd_cc*(1-(1-MAX(0,MIN(1,IF($E297&lt;=cc_D,0.0035*($E297-W$15)/$E297,0.002*($E297-W$15)/($E297-3*cc_D/7))/0.002)))^2)</f>
        <v/>
      </c>
      <c r="X297">
        <f>MAX(-fyd_cc,MIN(fyd_cc,Es_cc*IF($E297&lt;=cc_D,0.0035*($E297-X$15)/$E297,0.002*($E297-X$15)/($E297-3*cc_D/7))))-fcd_cc*(1-(1-MAX(0,MIN(1,IF($E297&lt;=cc_D,0.0035*($E297-X$15)/$E297,0.002*($E297-X$15)/($E297-3*cc_D/7))/0.002)))^2)</f>
        <v/>
      </c>
      <c r="Y297">
        <f>MAX(-fyd_cc,MIN(fyd_cc,Es_cc*IF($E297&lt;=cc_D,0.0035*($E297-Y$15)/$E297,0.002*($E297-Y$15)/($E297-3*cc_D/7))))-fcd_cc*(1-(1-MAX(0,MIN(1,IF($E297&lt;=cc_D,0.0035*($E297-Y$15)/$E297,0.002*($E297-Y$15)/($E297-3*cc_D/7))/0.002)))^2)</f>
        <v/>
      </c>
      <c r="Z297">
        <f>MAX(-fyd_cc,MIN(fyd_cc,Es_cc*IF($E297&lt;=cc_D,0.0035*($E297-Z$15)/$E297,0.002*($E297-Z$15)/($E297-3*cc_D/7))))-fcd_cc*(1-(1-MAX(0,MIN(1,IF($E297&lt;=cc_D,0.0035*($E297-Z$15)/$E297,0.002*($E297-Z$15)/($E297-3*cc_D/7))/0.002)))^2)</f>
        <v/>
      </c>
      <c r="AA297">
        <f>MAX(-fyd_cc,MIN(fyd_cc,Es_cc*IF($E297&lt;=cc_D,0.0035*($E297-AA$15)/$E297,0.002*($E297-AA$15)/($E297-3*cc_D/7))))-fcd_cc*(1-(1-MAX(0,MIN(1,IF($E297&lt;=cc_D,0.0035*($E297-AA$15)/$E297,0.002*($E297-AA$15)/($E297-3*cc_D/7))/0.002)))^2)</f>
        <v/>
      </c>
      <c r="AB297">
        <f>MAX(-fyd_cc,MIN(fyd_cc,Es_cc*IF($E297&lt;=cc_D,0.0035*($E297-AB$15)/$E297,0.002*($E297-AB$15)/($E297-3*cc_D/7))))-fcd_cc*(1-(1-MAX(0,MIN(1,IF($E297&lt;=cc_D,0.0035*($E297-AB$15)/$E297,0.002*($E297-AB$15)/($E297-3*cc_D/7))/0.002)))^2)</f>
        <v/>
      </c>
      <c r="AC297">
        <f>MAX(-fyd_cc,MIN(fyd_cc,Es_cc*IF($E297&lt;=cc_D,0.0035*($E297-AC$15)/$E297,0.002*($E297-AC$15)/($E297-3*cc_D/7))))-fcd_cc*(1-(1-MAX(0,MIN(1,IF($E297&lt;=cc_D,0.0035*($E297-AC$15)/$E297,0.002*($E297-AC$15)/($E297-3*cc_D/7))/0.002)))^2)</f>
        <v/>
      </c>
      <c r="AD297">
        <f>MAX(-fyd_cc,MIN(fyd_cc,Es_cc*IF($E297&lt;=cc_D,0.0035*($E297-AD$15)/$E297,0.002*($E297-AD$15)/($E297-3*cc_D/7))))-fcd_cc*(1-(1-MAX(0,MIN(1,IF($E297&lt;=cc_D,0.0035*($E297-AD$15)/$E297,0.002*($E297-AD$15)/($E297-3*cc_D/7))/0.002)))^2)</f>
        <v/>
      </c>
      <c r="AE297">
        <f>MAX(-fyd_cc,MIN(fyd_cc,Es_cc*IF($E297&lt;=cc_D,0.0035*($E297-AE$15)/$E297,0.002*($E297-AE$15)/($E297-3*cc_D/7))))-fcd_cc*(1-(1-MAX(0,MIN(1,IF($E297&lt;=cc_D,0.0035*($E297-AE$15)/$E297,0.002*($E297-AE$15)/($E297-3*cc_D/7))/0.002)))^2)</f>
        <v/>
      </c>
      <c r="AF297">
        <f>MAX(-fyd_cc,MIN(fyd_cc,Es_cc*IF($E297&lt;=cc_D,0.0035*($E297-AF$15)/$E297,0.002*($E297-AF$15)/($E297-3*cc_D/7))))-fcd_cc*(1-(1-MAX(0,MIN(1,IF($E297&lt;=cc_D,0.0035*($E297-AF$15)/$E297,0.002*($E297-AF$15)/($E297-3*cc_D/7))/0.002)))^2)</f>
        <v/>
      </c>
      <c r="AG297">
        <f>MAX(-fyd_cc,MIN(fyd_cc,Es_cc*IF($E297&lt;=cc_D,0.0035*($E297-AG$15)/$E297,0.002*($E297-AG$15)/($E297-3*cc_D/7))))-fcd_cc*(1-(1-MAX(0,MIN(1,IF($E297&lt;=cc_D,0.0035*($E297-AG$15)/$E297,0.002*($E297-AG$15)/($E297-3*cc_D/7))/0.002)))^2)</f>
        <v/>
      </c>
      <c r="BF297">
        <f>3*MIN($E297,cc_D)/7</f>
        <v/>
      </c>
      <c r="BG297">
        <f>$E297-$BF297</f>
        <v/>
      </c>
      <c r="BH297">
        <f>ACOS(MAX(-1,MIN(1,1-$BF297/(cc_D/2))))</f>
        <v/>
      </c>
      <c r="BI297">
        <f>ACOS(MAX(-1,MIN(1,1-MIN($E297,cc_D)/(cc_D/2))))</f>
        <v/>
      </c>
      <c r="BJ297">
        <f>((cc_D/2*(1-COS(($BH297+0*($BI297-$BH297)/12)))-$BF297)/$BG297)^2*SIN(($BH297+0*($BI297-$BH297)/12))^2</f>
        <v/>
      </c>
      <c r="BK297">
        <f>((cc_D/2*(1-COS(($BH297+1*($BI297-$BH297)/12)))-$BF297)/$BG297)^2*SIN(($BH297+1*($BI297-$BH297)/12))^2</f>
        <v/>
      </c>
      <c r="BL297">
        <f>((cc_D/2*(1-COS(($BH297+2*($BI297-$BH297)/12)))-$BF297)/$BG297)^2*SIN(($BH297+2*($BI297-$BH297)/12))^2</f>
        <v/>
      </c>
      <c r="BM297">
        <f>((cc_D/2*(1-COS(($BH297+3*($BI297-$BH297)/12)))-$BF297)/$BG297)^2*SIN(($BH297+3*($BI297-$BH297)/12))^2</f>
        <v/>
      </c>
      <c r="BN297">
        <f>((cc_D/2*(1-COS(($BH297+4*($BI297-$BH297)/12)))-$BF297)/$BG297)^2*SIN(($BH297+4*($BI297-$BH297)/12))^2</f>
        <v/>
      </c>
      <c r="BO297">
        <f>((cc_D/2*(1-COS(($BH297+5*($BI297-$BH297)/12)))-$BF297)/$BG297)^2*SIN(($BH297+5*($BI297-$BH297)/12))^2</f>
        <v/>
      </c>
      <c r="BP297">
        <f>((cc_D/2*(1-COS(($BH297+6*($BI297-$BH297)/12)))-$BF297)/$BG297)^2*SIN(($BH297+6*($BI297-$BH297)/12))^2</f>
        <v/>
      </c>
      <c r="BQ297">
        <f>((cc_D/2*(1-COS(($BH297+7*($BI297-$BH297)/12)))-$BF297)/$BG297)^2*SIN(($BH297+7*($BI297-$BH297)/12))^2</f>
        <v/>
      </c>
      <c r="BR297">
        <f>((cc_D/2*(1-COS(($BH297+8*($BI297-$BH297)/12)))-$BF297)/$BG297)^2*SIN(($BH297+8*($BI297-$BH297)/12))^2</f>
        <v/>
      </c>
      <c r="BS297">
        <f>((cc_D/2*(1-COS(($BH297+9*($BI297-$BH297)/12)))-$BF297)/$BG297)^2*SIN(($BH297+9*($BI297-$BH297)/12))^2</f>
        <v/>
      </c>
      <c r="BT297">
        <f>((cc_D/2*(1-COS(($BH297+10*($BI297-$BH297)/12)))-$BF297)/$BG297)^2*SIN(($BH297+10*($BI297-$BH297)/12))^2</f>
        <v/>
      </c>
      <c r="BU297">
        <f>((cc_D/2*(1-COS(($BH297+11*($BI297-$BH297)/12)))-$BF297)/$BG297)^2*SIN(($BH297+11*($BI297-$BH297)/12))^2</f>
        <v/>
      </c>
      <c r="BV297">
        <f>((cc_D/2*(1-COS(($BH297+12*($BI297-$BH297)/12)))-$BF297)/$BG297)^2*SIN(($BH297+12*($BI297-$BH297)/12))^2</f>
        <v/>
      </c>
      <c r="BW297">
        <f>BJ297*COS(($BH297+0*($BI297-$BH297)/12))</f>
        <v/>
      </c>
      <c r="BX297">
        <f>BK297*COS(($BH297+1*($BI297-$BH297)/12))</f>
        <v/>
      </c>
      <c r="BY297">
        <f>BL297*COS(($BH297+2*($BI297-$BH297)/12))</f>
        <v/>
      </c>
      <c r="BZ297">
        <f>BM297*COS(($BH297+3*($BI297-$BH297)/12))</f>
        <v/>
      </c>
      <c r="CA297">
        <f>BN297*COS(($BH297+4*($BI297-$BH297)/12))</f>
        <v/>
      </c>
      <c r="CB297">
        <f>BO297*COS(($BH297+5*($BI297-$BH297)/12))</f>
        <v/>
      </c>
      <c r="CC297">
        <f>BP297*COS(($BH297+6*($BI297-$BH297)/12))</f>
        <v/>
      </c>
      <c r="CD297">
        <f>BQ297*COS(($BH297+7*($BI297-$BH297)/12))</f>
        <v/>
      </c>
      <c r="CE297">
        <f>BR297*COS(($BH297+8*($BI297-$BH297)/12))</f>
        <v/>
      </c>
      <c r="CF297">
        <f>BS297*COS(($BH297+9*($BI297-$BH297)/12))</f>
        <v/>
      </c>
      <c r="CG297">
        <f>BT297*COS(($BH297+10*($BI297-$BH297)/12))</f>
        <v/>
      </c>
      <c r="CH297">
        <f>BU297*COS(($BH297+11*($BI297-$BH297)/12))</f>
        <v/>
      </c>
      <c r="CI297">
        <f>BV297*COS(($BH297+12*($BI297-$BH297)/12))</f>
        <v/>
      </c>
    </row>
    <row r="298">
      <c r="B298" s="65" t="n">
        <v>20</v>
      </c>
      <c r="C298" s="66">
        <f>IF($G297&lt;cc_NEd-1E-9*ABS(cc_NEd),($C297+$D297)/2,$C297)</f>
        <v/>
      </c>
      <c r="D298" s="66">
        <f>IF($G297&lt;cc_NEd-1E-9*ABS(cc_NEd),$D297,($C297+$D297)/2)</f>
        <v/>
      </c>
      <c r="E298" s="67">
        <f>cc_D*(($C298+$D298)/2)/(1-(($C298+$D298)/2))</f>
        <v/>
      </c>
      <c r="F298" s="68">
        <f>IF($E298&lt;=cc_D,3.5,2*$E298/($E298-3*cc_D/7))</f>
        <v/>
      </c>
      <c r="G298" s="67">
        <f>(fcd_cc*((cc_D/2)^2*($BI298-COS($BI298)*SIN($BI298))-2*(cc_D/2)^2*($BI298-$BH298)/12/3*SUMPRODUCT($BJ$4:$BV$4,$BJ298:$BV298))+SUMPRODUCT($J$5:$AG$5,$J298:$AG298))/1000</f>
        <v/>
      </c>
      <c r="H298" s="67">
        <f>(fcd_cc*(2/3*(cc_D/2)^3*SIN($BI298)^3-2*(cc_D/2)^3*($BI298-$BH298)/12/3*SUMPRODUCT($BW$4:$CI$4,$BW298:$CI298))+SUMPRODUCT($J$5:$AG$5,$J298:$AG298,$J$16:$AG$16))/1E6</f>
        <v/>
      </c>
      <c r="I298" s="67">
        <f>SUMPRODUCT($J$5:$AG$5,$J298:$AG298,$J$17:$AG$17)/1E6</f>
        <v/>
      </c>
      <c r="J298">
        <f>MAX(-fyd_cc,MIN(fyd_cc,Es_cc*IF($E298&lt;=cc_D,0.0035*($E298-J$15)/$E298,0.002*($E298-J$15)/($E298-3*cc_D/7))))-fcd_cc*(1-(1-MAX(0,MIN(1,IF($E298&lt;=cc_D,0.0035*($E298-J$15)/$E298,0.002*($E298-J$15)/($E298-3*cc_D/7))/0.002)))^2)</f>
        <v/>
      </c>
      <c r="K298">
        <f>MAX(-fyd_cc,MIN(fyd_cc,Es_cc*IF($E298&lt;=cc_D,0.0035*($E298-K$15)/$E298,0.002*($E298-K$15)/($E298-3*cc_D/7))))-fcd_cc*(1-(1-MAX(0,MIN(1,IF($E298&lt;=cc_D,0.0035*($E298-K$15)/$E298,0.002*($E298-K$15)/($E298-3*cc_D/7))/0.002)))^2)</f>
        <v/>
      </c>
      <c r="L298">
        <f>MAX(-fyd_cc,MIN(fyd_cc,Es_cc*IF($E298&lt;=cc_D,0.0035*($E298-L$15)/$E298,0.002*($E298-L$15)/($E298-3*cc_D/7))))-fcd_cc*(1-(1-MAX(0,MIN(1,IF($E298&lt;=cc_D,0.0035*($E298-L$15)/$E298,0.002*($E298-L$15)/($E298-3*cc_D/7))/0.002)))^2)</f>
        <v/>
      </c>
      <c r="M298">
        <f>MAX(-fyd_cc,MIN(fyd_cc,Es_cc*IF($E298&lt;=cc_D,0.0035*($E298-M$15)/$E298,0.002*($E298-M$15)/($E298-3*cc_D/7))))-fcd_cc*(1-(1-MAX(0,MIN(1,IF($E298&lt;=cc_D,0.0035*($E298-M$15)/$E298,0.002*($E298-M$15)/($E298-3*cc_D/7))/0.002)))^2)</f>
        <v/>
      </c>
      <c r="N298">
        <f>MAX(-fyd_cc,MIN(fyd_cc,Es_cc*IF($E298&lt;=cc_D,0.0035*($E298-N$15)/$E298,0.002*($E298-N$15)/($E298-3*cc_D/7))))-fcd_cc*(1-(1-MAX(0,MIN(1,IF($E298&lt;=cc_D,0.0035*($E298-N$15)/$E298,0.002*($E298-N$15)/($E298-3*cc_D/7))/0.002)))^2)</f>
        <v/>
      </c>
      <c r="O298">
        <f>MAX(-fyd_cc,MIN(fyd_cc,Es_cc*IF($E298&lt;=cc_D,0.0035*($E298-O$15)/$E298,0.002*($E298-O$15)/($E298-3*cc_D/7))))-fcd_cc*(1-(1-MAX(0,MIN(1,IF($E298&lt;=cc_D,0.0035*($E298-O$15)/$E298,0.002*($E298-O$15)/($E298-3*cc_D/7))/0.002)))^2)</f>
        <v/>
      </c>
      <c r="P298">
        <f>MAX(-fyd_cc,MIN(fyd_cc,Es_cc*IF($E298&lt;=cc_D,0.0035*($E298-P$15)/$E298,0.002*($E298-P$15)/($E298-3*cc_D/7))))-fcd_cc*(1-(1-MAX(0,MIN(1,IF($E298&lt;=cc_D,0.0035*($E298-P$15)/$E298,0.002*($E298-P$15)/($E298-3*cc_D/7))/0.002)))^2)</f>
        <v/>
      </c>
      <c r="Q298">
        <f>MAX(-fyd_cc,MIN(fyd_cc,Es_cc*IF($E298&lt;=cc_D,0.0035*($E298-Q$15)/$E298,0.002*($E298-Q$15)/($E298-3*cc_D/7))))-fcd_cc*(1-(1-MAX(0,MIN(1,IF($E298&lt;=cc_D,0.0035*($E298-Q$15)/$E298,0.002*($E298-Q$15)/($E298-3*cc_D/7))/0.002)))^2)</f>
        <v/>
      </c>
      <c r="R298">
        <f>MAX(-fyd_cc,MIN(fyd_cc,Es_cc*IF($E298&lt;=cc_D,0.0035*($E298-R$15)/$E298,0.002*($E298-R$15)/($E298-3*cc_D/7))))-fcd_cc*(1-(1-MAX(0,MIN(1,IF($E298&lt;=cc_D,0.0035*($E298-R$15)/$E298,0.002*($E298-R$15)/($E298-3*cc_D/7))/0.002)))^2)</f>
        <v/>
      </c>
      <c r="S298">
        <f>MAX(-fyd_cc,MIN(fyd_cc,Es_cc*IF($E298&lt;=cc_D,0.0035*($E298-S$15)/$E298,0.002*($E298-S$15)/($E298-3*cc_D/7))))-fcd_cc*(1-(1-MAX(0,MIN(1,IF($E298&lt;=cc_D,0.0035*($E298-S$15)/$E298,0.002*($E298-S$15)/($E298-3*cc_D/7))/0.002)))^2)</f>
        <v/>
      </c>
      <c r="T298">
        <f>MAX(-fyd_cc,MIN(fyd_cc,Es_cc*IF($E298&lt;=cc_D,0.0035*($E298-T$15)/$E298,0.002*($E298-T$15)/($E298-3*cc_D/7))))-fcd_cc*(1-(1-MAX(0,MIN(1,IF($E298&lt;=cc_D,0.0035*($E298-T$15)/$E298,0.002*($E298-T$15)/($E298-3*cc_D/7))/0.002)))^2)</f>
        <v/>
      </c>
      <c r="U298">
        <f>MAX(-fyd_cc,MIN(fyd_cc,Es_cc*IF($E298&lt;=cc_D,0.0035*($E298-U$15)/$E298,0.002*($E298-U$15)/($E298-3*cc_D/7))))-fcd_cc*(1-(1-MAX(0,MIN(1,IF($E298&lt;=cc_D,0.0035*($E298-U$15)/$E298,0.002*($E298-U$15)/($E298-3*cc_D/7))/0.002)))^2)</f>
        <v/>
      </c>
      <c r="V298">
        <f>MAX(-fyd_cc,MIN(fyd_cc,Es_cc*IF($E298&lt;=cc_D,0.0035*($E298-V$15)/$E298,0.002*($E298-V$15)/($E298-3*cc_D/7))))-fcd_cc*(1-(1-MAX(0,MIN(1,IF($E298&lt;=cc_D,0.0035*($E298-V$15)/$E298,0.002*($E298-V$15)/($E298-3*cc_D/7))/0.002)))^2)</f>
        <v/>
      </c>
      <c r="W298">
        <f>MAX(-fyd_cc,MIN(fyd_cc,Es_cc*IF($E298&lt;=cc_D,0.0035*($E298-W$15)/$E298,0.002*($E298-W$15)/($E298-3*cc_D/7))))-fcd_cc*(1-(1-MAX(0,MIN(1,IF($E298&lt;=cc_D,0.0035*($E298-W$15)/$E298,0.002*($E298-W$15)/($E298-3*cc_D/7))/0.002)))^2)</f>
        <v/>
      </c>
      <c r="X298">
        <f>MAX(-fyd_cc,MIN(fyd_cc,Es_cc*IF($E298&lt;=cc_D,0.0035*($E298-X$15)/$E298,0.002*($E298-X$15)/($E298-3*cc_D/7))))-fcd_cc*(1-(1-MAX(0,MIN(1,IF($E298&lt;=cc_D,0.0035*($E298-X$15)/$E298,0.002*($E298-X$15)/($E298-3*cc_D/7))/0.002)))^2)</f>
        <v/>
      </c>
      <c r="Y298">
        <f>MAX(-fyd_cc,MIN(fyd_cc,Es_cc*IF($E298&lt;=cc_D,0.0035*($E298-Y$15)/$E298,0.002*($E298-Y$15)/($E298-3*cc_D/7))))-fcd_cc*(1-(1-MAX(0,MIN(1,IF($E298&lt;=cc_D,0.0035*($E298-Y$15)/$E298,0.002*($E298-Y$15)/($E298-3*cc_D/7))/0.002)))^2)</f>
        <v/>
      </c>
      <c r="Z298">
        <f>MAX(-fyd_cc,MIN(fyd_cc,Es_cc*IF($E298&lt;=cc_D,0.0035*($E298-Z$15)/$E298,0.002*($E298-Z$15)/($E298-3*cc_D/7))))-fcd_cc*(1-(1-MAX(0,MIN(1,IF($E298&lt;=cc_D,0.0035*($E298-Z$15)/$E298,0.002*($E298-Z$15)/($E298-3*cc_D/7))/0.002)))^2)</f>
        <v/>
      </c>
      <c r="AA298">
        <f>MAX(-fyd_cc,MIN(fyd_cc,Es_cc*IF($E298&lt;=cc_D,0.0035*($E298-AA$15)/$E298,0.002*($E298-AA$15)/($E298-3*cc_D/7))))-fcd_cc*(1-(1-MAX(0,MIN(1,IF($E298&lt;=cc_D,0.0035*($E298-AA$15)/$E298,0.002*($E298-AA$15)/($E298-3*cc_D/7))/0.002)))^2)</f>
        <v/>
      </c>
      <c r="AB298">
        <f>MAX(-fyd_cc,MIN(fyd_cc,Es_cc*IF($E298&lt;=cc_D,0.0035*($E298-AB$15)/$E298,0.002*($E298-AB$15)/($E298-3*cc_D/7))))-fcd_cc*(1-(1-MAX(0,MIN(1,IF($E298&lt;=cc_D,0.0035*($E298-AB$15)/$E298,0.002*($E298-AB$15)/($E298-3*cc_D/7))/0.002)))^2)</f>
        <v/>
      </c>
      <c r="AC298">
        <f>MAX(-fyd_cc,MIN(fyd_cc,Es_cc*IF($E298&lt;=cc_D,0.0035*($E298-AC$15)/$E298,0.002*($E298-AC$15)/($E298-3*cc_D/7))))-fcd_cc*(1-(1-MAX(0,MIN(1,IF($E298&lt;=cc_D,0.0035*($E298-AC$15)/$E298,0.002*($E298-AC$15)/($E298-3*cc_D/7))/0.002)))^2)</f>
        <v/>
      </c>
      <c r="AD298">
        <f>MAX(-fyd_cc,MIN(fyd_cc,Es_cc*IF($E298&lt;=cc_D,0.0035*($E298-AD$15)/$E298,0.002*($E298-AD$15)/($E298-3*cc_D/7))))-fcd_cc*(1-(1-MAX(0,MIN(1,IF($E298&lt;=cc_D,0.0035*($E298-AD$15)/$E298,0.002*($E298-AD$15)/($E298-3*cc_D/7))/0.002)))^2)</f>
        <v/>
      </c>
      <c r="AE298">
        <f>MAX(-fyd_cc,MIN(fyd_cc,Es_cc*IF($E298&lt;=cc_D,0.0035*($E298-AE$15)/$E298,0.002*($E298-AE$15)/($E298-3*cc_D/7))))-fcd_cc*(1-(1-MAX(0,MIN(1,IF($E298&lt;=cc_D,0.0035*($E298-AE$15)/$E298,0.002*($E298-AE$15)/($E298-3*cc_D/7))/0.002)))^2)</f>
        <v/>
      </c>
      <c r="AF298">
        <f>MAX(-fyd_cc,MIN(fyd_cc,Es_cc*IF($E298&lt;=cc_D,0.0035*($E298-AF$15)/$E298,0.002*($E298-AF$15)/($E298-3*cc_D/7))))-fcd_cc*(1-(1-MAX(0,MIN(1,IF($E298&lt;=cc_D,0.0035*($E298-AF$15)/$E298,0.002*($E298-AF$15)/($E298-3*cc_D/7))/0.002)))^2)</f>
        <v/>
      </c>
      <c r="AG298">
        <f>MAX(-fyd_cc,MIN(fyd_cc,Es_cc*IF($E298&lt;=cc_D,0.0035*($E298-AG$15)/$E298,0.002*($E298-AG$15)/($E298-3*cc_D/7))))-fcd_cc*(1-(1-MAX(0,MIN(1,IF($E298&lt;=cc_D,0.0035*($E298-AG$15)/$E298,0.002*($E298-AG$15)/($E298-3*cc_D/7))/0.002)))^2)</f>
        <v/>
      </c>
      <c r="BF298">
        <f>3*MIN($E298,cc_D)/7</f>
        <v/>
      </c>
      <c r="BG298">
        <f>$E298-$BF298</f>
        <v/>
      </c>
      <c r="BH298">
        <f>ACOS(MAX(-1,MIN(1,1-$BF298/(cc_D/2))))</f>
        <v/>
      </c>
      <c r="BI298">
        <f>ACOS(MAX(-1,MIN(1,1-MIN($E298,cc_D)/(cc_D/2))))</f>
        <v/>
      </c>
      <c r="BJ298">
        <f>((cc_D/2*(1-COS(($BH298+0*($BI298-$BH298)/12)))-$BF298)/$BG298)^2*SIN(($BH298+0*($BI298-$BH298)/12))^2</f>
        <v/>
      </c>
      <c r="BK298">
        <f>((cc_D/2*(1-COS(($BH298+1*($BI298-$BH298)/12)))-$BF298)/$BG298)^2*SIN(($BH298+1*($BI298-$BH298)/12))^2</f>
        <v/>
      </c>
      <c r="BL298">
        <f>((cc_D/2*(1-COS(($BH298+2*($BI298-$BH298)/12)))-$BF298)/$BG298)^2*SIN(($BH298+2*($BI298-$BH298)/12))^2</f>
        <v/>
      </c>
      <c r="BM298">
        <f>((cc_D/2*(1-COS(($BH298+3*($BI298-$BH298)/12)))-$BF298)/$BG298)^2*SIN(($BH298+3*($BI298-$BH298)/12))^2</f>
        <v/>
      </c>
      <c r="BN298">
        <f>((cc_D/2*(1-COS(($BH298+4*($BI298-$BH298)/12)))-$BF298)/$BG298)^2*SIN(($BH298+4*($BI298-$BH298)/12))^2</f>
        <v/>
      </c>
      <c r="BO298">
        <f>((cc_D/2*(1-COS(($BH298+5*($BI298-$BH298)/12)))-$BF298)/$BG298)^2*SIN(($BH298+5*($BI298-$BH298)/12))^2</f>
        <v/>
      </c>
      <c r="BP298">
        <f>((cc_D/2*(1-COS(($BH298+6*($BI298-$BH298)/12)))-$BF298)/$BG298)^2*SIN(($BH298+6*($BI298-$BH298)/12))^2</f>
        <v/>
      </c>
      <c r="BQ298">
        <f>((cc_D/2*(1-COS(($BH298+7*($BI298-$BH298)/12)))-$BF298)/$BG298)^2*SIN(($BH298+7*($BI298-$BH298)/12))^2</f>
        <v/>
      </c>
      <c r="BR298">
        <f>((cc_D/2*(1-COS(($BH298+8*($BI298-$BH298)/12)))-$BF298)/$BG298)^2*SIN(($BH298+8*($BI298-$BH298)/12))^2</f>
        <v/>
      </c>
      <c r="BS298">
        <f>((cc_D/2*(1-COS(($BH298+9*($BI298-$BH298)/12)))-$BF298)/$BG298)^2*SIN(($BH298+9*($BI298-$BH298)/12))^2</f>
        <v/>
      </c>
      <c r="BT298">
        <f>((cc_D/2*(1-COS(($BH298+10*($BI298-$BH298)/12)))-$BF298)/$BG298)^2*SIN(($BH298+10*($BI298-$BH298)/12))^2</f>
        <v/>
      </c>
      <c r="BU298">
        <f>((cc_D/2*(1-COS(($BH298+11*($BI298-$BH298)/12)))-$BF298)/$BG298)^2*SIN(($BH298+11*($BI298-$BH298)/12))^2</f>
        <v/>
      </c>
      <c r="BV298">
        <f>((cc_D/2*(1-COS(($BH298+12*($BI298-$BH298)/12)))-$BF298)/$BG298)^2*SIN(($BH298+12*($BI298-$BH298)/12))^2</f>
        <v/>
      </c>
      <c r="BW298">
        <f>BJ298*COS(($BH298+0*($BI298-$BH298)/12))</f>
        <v/>
      </c>
      <c r="BX298">
        <f>BK298*COS(($BH298+1*($BI298-$BH298)/12))</f>
        <v/>
      </c>
      <c r="BY298">
        <f>BL298*COS(($BH298+2*($BI298-$BH298)/12))</f>
        <v/>
      </c>
      <c r="BZ298">
        <f>BM298*COS(($BH298+3*($BI298-$BH298)/12))</f>
        <v/>
      </c>
      <c r="CA298">
        <f>BN298*COS(($BH298+4*($BI298-$BH298)/12))</f>
        <v/>
      </c>
      <c r="CB298">
        <f>BO298*COS(($BH298+5*($BI298-$BH298)/12))</f>
        <v/>
      </c>
      <c r="CC298">
        <f>BP298*COS(($BH298+6*($BI298-$BH298)/12))</f>
        <v/>
      </c>
      <c r="CD298">
        <f>BQ298*COS(($BH298+7*($BI298-$BH298)/12))</f>
        <v/>
      </c>
      <c r="CE298">
        <f>BR298*COS(($BH298+8*($BI298-$BH298)/12))</f>
        <v/>
      </c>
      <c r="CF298">
        <f>BS298*COS(($BH298+9*($BI298-$BH298)/12))</f>
        <v/>
      </c>
      <c r="CG298">
        <f>BT298*COS(($BH298+10*($BI298-$BH298)/12))</f>
        <v/>
      </c>
      <c r="CH298">
        <f>BU298*COS(($BH298+11*($BI298-$BH298)/12))</f>
        <v/>
      </c>
      <c r="CI298">
        <f>BV298*COS(($BH298+12*($BI298-$BH298)/12))</f>
        <v/>
      </c>
    </row>
    <row r="299">
      <c r="B299" s="65" t="n">
        <v>21</v>
      </c>
      <c r="C299" s="66">
        <f>IF($G298&lt;cc_NEd-1E-9*ABS(cc_NEd),($C298+$D298)/2,$C298)</f>
        <v/>
      </c>
      <c r="D299" s="66">
        <f>IF($G298&lt;cc_NEd-1E-9*ABS(cc_NEd),$D298,($C298+$D298)/2)</f>
        <v/>
      </c>
      <c r="E299" s="67">
        <f>cc_D*(($C299+$D299)/2)/(1-(($C299+$D299)/2))</f>
        <v/>
      </c>
      <c r="F299" s="68">
        <f>IF($E299&lt;=cc_D,3.5,2*$E299/($E299-3*cc_D/7))</f>
        <v/>
      </c>
      <c r="G299" s="67">
        <f>(fcd_cc*((cc_D/2)^2*($BI299-COS($BI299)*SIN($BI299))-2*(cc_D/2)^2*($BI299-$BH299)/12/3*SUMPRODUCT($BJ$4:$BV$4,$BJ299:$BV299))+SUMPRODUCT($J$5:$AG$5,$J299:$AG299))/1000</f>
        <v/>
      </c>
      <c r="H299" s="67">
        <f>(fcd_cc*(2/3*(cc_D/2)^3*SIN($BI299)^3-2*(cc_D/2)^3*($BI299-$BH299)/12/3*SUMPRODUCT($BW$4:$CI$4,$BW299:$CI299))+SUMPRODUCT($J$5:$AG$5,$J299:$AG299,$J$16:$AG$16))/1E6</f>
        <v/>
      </c>
      <c r="I299" s="67">
        <f>SUMPRODUCT($J$5:$AG$5,$J299:$AG299,$J$17:$AG$17)/1E6</f>
        <v/>
      </c>
      <c r="J299">
        <f>MAX(-fyd_cc,MIN(fyd_cc,Es_cc*IF($E299&lt;=cc_D,0.0035*($E299-J$15)/$E299,0.002*($E299-J$15)/($E299-3*cc_D/7))))-fcd_cc*(1-(1-MAX(0,MIN(1,IF($E299&lt;=cc_D,0.0035*($E299-J$15)/$E299,0.002*($E299-J$15)/($E299-3*cc_D/7))/0.002)))^2)</f>
        <v/>
      </c>
      <c r="K299">
        <f>MAX(-fyd_cc,MIN(fyd_cc,Es_cc*IF($E299&lt;=cc_D,0.0035*($E299-K$15)/$E299,0.002*($E299-K$15)/($E299-3*cc_D/7))))-fcd_cc*(1-(1-MAX(0,MIN(1,IF($E299&lt;=cc_D,0.0035*($E299-K$15)/$E299,0.002*($E299-K$15)/($E299-3*cc_D/7))/0.002)))^2)</f>
        <v/>
      </c>
      <c r="L299">
        <f>MAX(-fyd_cc,MIN(fyd_cc,Es_cc*IF($E299&lt;=cc_D,0.0035*($E299-L$15)/$E299,0.002*($E299-L$15)/($E299-3*cc_D/7))))-fcd_cc*(1-(1-MAX(0,MIN(1,IF($E299&lt;=cc_D,0.0035*($E299-L$15)/$E299,0.002*($E299-L$15)/($E299-3*cc_D/7))/0.002)))^2)</f>
        <v/>
      </c>
      <c r="M299">
        <f>MAX(-fyd_cc,MIN(fyd_cc,Es_cc*IF($E299&lt;=cc_D,0.0035*($E299-M$15)/$E299,0.002*($E299-M$15)/($E299-3*cc_D/7))))-fcd_cc*(1-(1-MAX(0,MIN(1,IF($E299&lt;=cc_D,0.0035*($E299-M$15)/$E299,0.002*($E299-M$15)/($E299-3*cc_D/7))/0.002)))^2)</f>
        <v/>
      </c>
      <c r="N299">
        <f>MAX(-fyd_cc,MIN(fyd_cc,Es_cc*IF($E299&lt;=cc_D,0.0035*($E299-N$15)/$E299,0.002*($E299-N$15)/($E299-3*cc_D/7))))-fcd_cc*(1-(1-MAX(0,MIN(1,IF($E299&lt;=cc_D,0.0035*($E299-N$15)/$E299,0.002*($E299-N$15)/($E299-3*cc_D/7))/0.002)))^2)</f>
        <v/>
      </c>
      <c r="O299">
        <f>MAX(-fyd_cc,MIN(fyd_cc,Es_cc*IF($E299&lt;=cc_D,0.0035*($E299-O$15)/$E299,0.002*($E299-O$15)/($E299-3*cc_D/7))))-fcd_cc*(1-(1-MAX(0,MIN(1,IF($E299&lt;=cc_D,0.0035*($E299-O$15)/$E299,0.002*($E299-O$15)/($E299-3*cc_D/7))/0.002)))^2)</f>
        <v/>
      </c>
      <c r="P299">
        <f>MAX(-fyd_cc,MIN(fyd_cc,Es_cc*IF($E299&lt;=cc_D,0.0035*($E299-P$15)/$E299,0.002*($E299-P$15)/($E299-3*cc_D/7))))-fcd_cc*(1-(1-MAX(0,MIN(1,IF($E299&lt;=cc_D,0.0035*($E299-P$15)/$E299,0.002*($E299-P$15)/($E299-3*cc_D/7))/0.002)))^2)</f>
        <v/>
      </c>
      <c r="Q299">
        <f>MAX(-fyd_cc,MIN(fyd_cc,Es_cc*IF($E299&lt;=cc_D,0.0035*($E299-Q$15)/$E299,0.002*($E299-Q$15)/($E299-3*cc_D/7))))-fcd_cc*(1-(1-MAX(0,MIN(1,IF($E299&lt;=cc_D,0.0035*($E299-Q$15)/$E299,0.002*($E299-Q$15)/($E299-3*cc_D/7))/0.002)))^2)</f>
        <v/>
      </c>
      <c r="R299">
        <f>MAX(-fyd_cc,MIN(fyd_cc,Es_cc*IF($E299&lt;=cc_D,0.0035*($E299-R$15)/$E299,0.002*($E299-R$15)/($E299-3*cc_D/7))))-fcd_cc*(1-(1-MAX(0,MIN(1,IF($E299&lt;=cc_D,0.0035*($E299-R$15)/$E299,0.002*($E299-R$15)/($E299-3*cc_D/7))/0.002)))^2)</f>
        <v/>
      </c>
      <c r="S299">
        <f>MAX(-fyd_cc,MIN(fyd_cc,Es_cc*IF($E299&lt;=cc_D,0.0035*($E299-S$15)/$E299,0.002*($E299-S$15)/($E299-3*cc_D/7))))-fcd_cc*(1-(1-MAX(0,MIN(1,IF($E299&lt;=cc_D,0.0035*($E299-S$15)/$E299,0.002*($E299-S$15)/($E299-3*cc_D/7))/0.002)))^2)</f>
        <v/>
      </c>
      <c r="T299">
        <f>MAX(-fyd_cc,MIN(fyd_cc,Es_cc*IF($E299&lt;=cc_D,0.0035*($E299-T$15)/$E299,0.002*($E299-T$15)/($E299-3*cc_D/7))))-fcd_cc*(1-(1-MAX(0,MIN(1,IF($E299&lt;=cc_D,0.0035*($E299-T$15)/$E299,0.002*($E299-T$15)/($E299-3*cc_D/7))/0.002)))^2)</f>
        <v/>
      </c>
      <c r="U299">
        <f>MAX(-fyd_cc,MIN(fyd_cc,Es_cc*IF($E299&lt;=cc_D,0.0035*($E299-U$15)/$E299,0.002*($E299-U$15)/($E299-3*cc_D/7))))-fcd_cc*(1-(1-MAX(0,MIN(1,IF($E299&lt;=cc_D,0.0035*($E299-U$15)/$E299,0.002*($E299-U$15)/($E299-3*cc_D/7))/0.002)))^2)</f>
        <v/>
      </c>
      <c r="V299">
        <f>MAX(-fyd_cc,MIN(fyd_cc,Es_cc*IF($E299&lt;=cc_D,0.0035*($E299-V$15)/$E299,0.002*($E299-V$15)/($E299-3*cc_D/7))))-fcd_cc*(1-(1-MAX(0,MIN(1,IF($E299&lt;=cc_D,0.0035*($E299-V$15)/$E299,0.002*($E299-V$15)/($E299-3*cc_D/7))/0.002)))^2)</f>
        <v/>
      </c>
      <c r="W299">
        <f>MAX(-fyd_cc,MIN(fyd_cc,Es_cc*IF($E299&lt;=cc_D,0.0035*($E299-W$15)/$E299,0.002*($E299-W$15)/($E299-3*cc_D/7))))-fcd_cc*(1-(1-MAX(0,MIN(1,IF($E299&lt;=cc_D,0.0035*($E299-W$15)/$E299,0.002*($E299-W$15)/($E299-3*cc_D/7))/0.002)))^2)</f>
        <v/>
      </c>
      <c r="X299">
        <f>MAX(-fyd_cc,MIN(fyd_cc,Es_cc*IF($E299&lt;=cc_D,0.0035*($E299-X$15)/$E299,0.002*($E299-X$15)/($E299-3*cc_D/7))))-fcd_cc*(1-(1-MAX(0,MIN(1,IF($E299&lt;=cc_D,0.0035*($E299-X$15)/$E299,0.002*($E299-X$15)/($E299-3*cc_D/7))/0.002)))^2)</f>
        <v/>
      </c>
      <c r="Y299">
        <f>MAX(-fyd_cc,MIN(fyd_cc,Es_cc*IF($E299&lt;=cc_D,0.0035*($E299-Y$15)/$E299,0.002*($E299-Y$15)/($E299-3*cc_D/7))))-fcd_cc*(1-(1-MAX(0,MIN(1,IF($E299&lt;=cc_D,0.0035*($E299-Y$15)/$E299,0.002*($E299-Y$15)/($E299-3*cc_D/7))/0.002)))^2)</f>
        <v/>
      </c>
      <c r="Z299">
        <f>MAX(-fyd_cc,MIN(fyd_cc,Es_cc*IF($E299&lt;=cc_D,0.0035*($E299-Z$15)/$E299,0.002*($E299-Z$15)/($E299-3*cc_D/7))))-fcd_cc*(1-(1-MAX(0,MIN(1,IF($E299&lt;=cc_D,0.0035*($E299-Z$15)/$E299,0.002*($E299-Z$15)/($E299-3*cc_D/7))/0.002)))^2)</f>
        <v/>
      </c>
      <c r="AA299">
        <f>MAX(-fyd_cc,MIN(fyd_cc,Es_cc*IF($E299&lt;=cc_D,0.0035*($E299-AA$15)/$E299,0.002*($E299-AA$15)/($E299-3*cc_D/7))))-fcd_cc*(1-(1-MAX(0,MIN(1,IF($E299&lt;=cc_D,0.0035*($E299-AA$15)/$E299,0.002*($E299-AA$15)/($E299-3*cc_D/7))/0.002)))^2)</f>
        <v/>
      </c>
      <c r="AB299">
        <f>MAX(-fyd_cc,MIN(fyd_cc,Es_cc*IF($E299&lt;=cc_D,0.0035*($E299-AB$15)/$E299,0.002*($E299-AB$15)/($E299-3*cc_D/7))))-fcd_cc*(1-(1-MAX(0,MIN(1,IF($E299&lt;=cc_D,0.0035*($E299-AB$15)/$E299,0.002*($E299-AB$15)/($E299-3*cc_D/7))/0.002)))^2)</f>
        <v/>
      </c>
      <c r="AC299">
        <f>MAX(-fyd_cc,MIN(fyd_cc,Es_cc*IF($E299&lt;=cc_D,0.0035*($E299-AC$15)/$E299,0.002*($E299-AC$15)/($E299-3*cc_D/7))))-fcd_cc*(1-(1-MAX(0,MIN(1,IF($E299&lt;=cc_D,0.0035*($E299-AC$15)/$E299,0.002*($E299-AC$15)/($E299-3*cc_D/7))/0.002)))^2)</f>
        <v/>
      </c>
      <c r="AD299">
        <f>MAX(-fyd_cc,MIN(fyd_cc,Es_cc*IF($E299&lt;=cc_D,0.0035*($E299-AD$15)/$E299,0.002*($E299-AD$15)/($E299-3*cc_D/7))))-fcd_cc*(1-(1-MAX(0,MIN(1,IF($E299&lt;=cc_D,0.0035*($E299-AD$15)/$E299,0.002*($E299-AD$15)/($E299-3*cc_D/7))/0.002)))^2)</f>
        <v/>
      </c>
      <c r="AE299">
        <f>MAX(-fyd_cc,MIN(fyd_cc,Es_cc*IF($E299&lt;=cc_D,0.0035*($E299-AE$15)/$E299,0.002*($E299-AE$15)/($E299-3*cc_D/7))))-fcd_cc*(1-(1-MAX(0,MIN(1,IF($E299&lt;=cc_D,0.0035*($E299-AE$15)/$E299,0.002*($E299-AE$15)/($E299-3*cc_D/7))/0.002)))^2)</f>
        <v/>
      </c>
      <c r="AF299">
        <f>MAX(-fyd_cc,MIN(fyd_cc,Es_cc*IF($E299&lt;=cc_D,0.0035*($E299-AF$15)/$E299,0.002*($E299-AF$15)/($E299-3*cc_D/7))))-fcd_cc*(1-(1-MAX(0,MIN(1,IF($E299&lt;=cc_D,0.0035*($E299-AF$15)/$E299,0.002*($E299-AF$15)/($E299-3*cc_D/7))/0.002)))^2)</f>
        <v/>
      </c>
      <c r="AG299">
        <f>MAX(-fyd_cc,MIN(fyd_cc,Es_cc*IF($E299&lt;=cc_D,0.0035*($E299-AG$15)/$E299,0.002*($E299-AG$15)/($E299-3*cc_D/7))))-fcd_cc*(1-(1-MAX(0,MIN(1,IF($E299&lt;=cc_D,0.0035*($E299-AG$15)/$E299,0.002*($E299-AG$15)/($E299-3*cc_D/7))/0.002)))^2)</f>
        <v/>
      </c>
      <c r="BF299">
        <f>3*MIN($E299,cc_D)/7</f>
        <v/>
      </c>
      <c r="BG299">
        <f>$E299-$BF299</f>
        <v/>
      </c>
      <c r="BH299">
        <f>ACOS(MAX(-1,MIN(1,1-$BF299/(cc_D/2))))</f>
        <v/>
      </c>
      <c r="BI299">
        <f>ACOS(MAX(-1,MIN(1,1-MIN($E299,cc_D)/(cc_D/2))))</f>
        <v/>
      </c>
      <c r="BJ299">
        <f>((cc_D/2*(1-COS(($BH299+0*($BI299-$BH299)/12)))-$BF299)/$BG299)^2*SIN(($BH299+0*($BI299-$BH299)/12))^2</f>
        <v/>
      </c>
      <c r="BK299">
        <f>((cc_D/2*(1-COS(($BH299+1*($BI299-$BH299)/12)))-$BF299)/$BG299)^2*SIN(($BH299+1*($BI299-$BH299)/12))^2</f>
        <v/>
      </c>
      <c r="BL299">
        <f>((cc_D/2*(1-COS(($BH299+2*($BI299-$BH299)/12)))-$BF299)/$BG299)^2*SIN(($BH299+2*($BI299-$BH299)/12))^2</f>
        <v/>
      </c>
      <c r="BM299">
        <f>((cc_D/2*(1-COS(($BH299+3*($BI299-$BH299)/12)))-$BF299)/$BG299)^2*SIN(($BH299+3*($BI299-$BH299)/12))^2</f>
        <v/>
      </c>
      <c r="BN299">
        <f>((cc_D/2*(1-COS(($BH299+4*($BI299-$BH299)/12)))-$BF299)/$BG299)^2*SIN(($BH299+4*($BI299-$BH299)/12))^2</f>
        <v/>
      </c>
      <c r="BO299">
        <f>((cc_D/2*(1-COS(($BH299+5*($BI299-$BH299)/12)))-$BF299)/$BG299)^2*SIN(($BH299+5*($BI299-$BH299)/12))^2</f>
        <v/>
      </c>
      <c r="BP299">
        <f>((cc_D/2*(1-COS(($BH299+6*($BI299-$BH299)/12)))-$BF299)/$BG299)^2*SIN(($BH299+6*($BI299-$BH299)/12))^2</f>
        <v/>
      </c>
      <c r="BQ299">
        <f>((cc_D/2*(1-COS(($BH299+7*($BI299-$BH299)/12)))-$BF299)/$BG299)^2*SIN(($BH299+7*($BI299-$BH299)/12))^2</f>
        <v/>
      </c>
      <c r="BR299">
        <f>((cc_D/2*(1-COS(($BH299+8*($BI299-$BH299)/12)))-$BF299)/$BG299)^2*SIN(($BH299+8*($BI299-$BH299)/12))^2</f>
        <v/>
      </c>
      <c r="BS299">
        <f>((cc_D/2*(1-COS(($BH299+9*($BI299-$BH299)/12)))-$BF299)/$BG299)^2*SIN(($BH299+9*($BI299-$BH299)/12))^2</f>
        <v/>
      </c>
      <c r="BT299">
        <f>((cc_D/2*(1-COS(($BH299+10*($BI299-$BH299)/12)))-$BF299)/$BG299)^2*SIN(($BH299+10*($BI299-$BH299)/12))^2</f>
        <v/>
      </c>
      <c r="BU299">
        <f>((cc_D/2*(1-COS(($BH299+11*($BI299-$BH299)/12)))-$BF299)/$BG299)^2*SIN(($BH299+11*($BI299-$BH299)/12))^2</f>
        <v/>
      </c>
      <c r="BV299">
        <f>((cc_D/2*(1-COS(($BH299+12*($BI299-$BH299)/12)))-$BF299)/$BG299)^2*SIN(($BH299+12*($BI299-$BH299)/12))^2</f>
        <v/>
      </c>
      <c r="BW299">
        <f>BJ299*COS(($BH299+0*($BI299-$BH299)/12))</f>
        <v/>
      </c>
      <c r="BX299">
        <f>BK299*COS(($BH299+1*($BI299-$BH299)/12))</f>
        <v/>
      </c>
      <c r="BY299">
        <f>BL299*COS(($BH299+2*($BI299-$BH299)/12))</f>
        <v/>
      </c>
      <c r="BZ299">
        <f>BM299*COS(($BH299+3*($BI299-$BH299)/12))</f>
        <v/>
      </c>
      <c r="CA299">
        <f>BN299*COS(($BH299+4*($BI299-$BH299)/12))</f>
        <v/>
      </c>
      <c r="CB299">
        <f>BO299*COS(($BH299+5*($BI299-$BH299)/12))</f>
        <v/>
      </c>
      <c r="CC299">
        <f>BP299*COS(($BH299+6*($BI299-$BH299)/12))</f>
        <v/>
      </c>
      <c r="CD299">
        <f>BQ299*COS(($BH299+7*($BI299-$BH299)/12))</f>
        <v/>
      </c>
      <c r="CE299">
        <f>BR299*COS(($BH299+8*($BI299-$BH299)/12))</f>
        <v/>
      </c>
      <c r="CF299">
        <f>BS299*COS(($BH299+9*($BI299-$BH299)/12))</f>
        <v/>
      </c>
      <c r="CG299">
        <f>BT299*COS(($BH299+10*($BI299-$BH299)/12))</f>
        <v/>
      </c>
      <c r="CH299">
        <f>BU299*COS(($BH299+11*($BI299-$BH299)/12))</f>
        <v/>
      </c>
      <c r="CI299">
        <f>BV299*COS(($BH299+12*($BI299-$BH299)/12))</f>
        <v/>
      </c>
    </row>
    <row r="300">
      <c r="B300" s="65" t="n">
        <v>22</v>
      </c>
      <c r="C300" s="66">
        <f>IF($G299&lt;cc_NEd-1E-9*ABS(cc_NEd),($C299+$D299)/2,$C299)</f>
        <v/>
      </c>
      <c r="D300" s="66">
        <f>IF($G299&lt;cc_NEd-1E-9*ABS(cc_NEd),$D299,($C299+$D299)/2)</f>
        <v/>
      </c>
      <c r="E300" s="67">
        <f>cc_D*(($C300+$D300)/2)/(1-(($C300+$D300)/2))</f>
        <v/>
      </c>
      <c r="F300" s="68">
        <f>IF($E300&lt;=cc_D,3.5,2*$E300/($E300-3*cc_D/7))</f>
        <v/>
      </c>
      <c r="G300" s="67">
        <f>(fcd_cc*((cc_D/2)^2*($BI300-COS($BI300)*SIN($BI300))-2*(cc_D/2)^2*($BI300-$BH300)/12/3*SUMPRODUCT($BJ$4:$BV$4,$BJ300:$BV300))+SUMPRODUCT($J$5:$AG$5,$J300:$AG300))/1000</f>
        <v/>
      </c>
      <c r="H300" s="67">
        <f>(fcd_cc*(2/3*(cc_D/2)^3*SIN($BI300)^3-2*(cc_D/2)^3*($BI300-$BH300)/12/3*SUMPRODUCT($BW$4:$CI$4,$BW300:$CI300))+SUMPRODUCT($J$5:$AG$5,$J300:$AG300,$J$16:$AG$16))/1E6</f>
        <v/>
      </c>
      <c r="I300" s="67">
        <f>SUMPRODUCT($J$5:$AG$5,$J300:$AG300,$J$17:$AG$17)/1E6</f>
        <v/>
      </c>
      <c r="J300">
        <f>MAX(-fyd_cc,MIN(fyd_cc,Es_cc*IF($E300&lt;=cc_D,0.0035*($E300-J$15)/$E300,0.002*($E300-J$15)/($E300-3*cc_D/7))))-fcd_cc*(1-(1-MAX(0,MIN(1,IF($E300&lt;=cc_D,0.0035*($E300-J$15)/$E300,0.002*($E300-J$15)/($E300-3*cc_D/7))/0.002)))^2)</f>
        <v/>
      </c>
      <c r="K300">
        <f>MAX(-fyd_cc,MIN(fyd_cc,Es_cc*IF($E300&lt;=cc_D,0.0035*($E300-K$15)/$E300,0.002*($E300-K$15)/($E300-3*cc_D/7))))-fcd_cc*(1-(1-MAX(0,MIN(1,IF($E300&lt;=cc_D,0.0035*($E300-K$15)/$E300,0.002*($E300-K$15)/($E300-3*cc_D/7))/0.002)))^2)</f>
        <v/>
      </c>
      <c r="L300">
        <f>MAX(-fyd_cc,MIN(fyd_cc,Es_cc*IF($E300&lt;=cc_D,0.0035*($E300-L$15)/$E300,0.002*($E300-L$15)/($E300-3*cc_D/7))))-fcd_cc*(1-(1-MAX(0,MIN(1,IF($E300&lt;=cc_D,0.0035*($E300-L$15)/$E300,0.002*($E300-L$15)/($E300-3*cc_D/7))/0.002)))^2)</f>
        <v/>
      </c>
      <c r="M300">
        <f>MAX(-fyd_cc,MIN(fyd_cc,Es_cc*IF($E300&lt;=cc_D,0.0035*($E300-M$15)/$E300,0.002*($E300-M$15)/($E300-3*cc_D/7))))-fcd_cc*(1-(1-MAX(0,MIN(1,IF($E300&lt;=cc_D,0.0035*($E300-M$15)/$E300,0.002*($E300-M$15)/($E300-3*cc_D/7))/0.002)))^2)</f>
        <v/>
      </c>
      <c r="N300">
        <f>MAX(-fyd_cc,MIN(fyd_cc,Es_cc*IF($E300&lt;=cc_D,0.0035*($E300-N$15)/$E300,0.002*($E300-N$15)/($E300-3*cc_D/7))))-fcd_cc*(1-(1-MAX(0,MIN(1,IF($E300&lt;=cc_D,0.0035*($E300-N$15)/$E300,0.002*($E300-N$15)/($E300-3*cc_D/7))/0.002)))^2)</f>
        <v/>
      </c>
      <c r="O300">
        <f>MAX(-fyd_cc,MIN(fyd_cc,Es_cc*IF($E300&lt;=cc_D,0.0035*($E300-O$15)/$E300,0.002*($E300-O$15)/($E300-3*cc_D/7))))-fcd_cc*(1-(1-MAX(0,MIN(1,IF($E300&lt;=cc_D,0.0035*($E300-O$15)/$E300,0.002*($E300-O$15)/($E300-3*cc_D/7))/0.002)))^2)</f>
        <v/>
      </c>
      <c r="P300">
        <f>MAX(-fyd_cc,MIN(fyd_cc,Es_cc*IF($E300&lt;=cc_D,0.0035*($E300-P$15)/$E300,0.002*($E300-P$15)/($E300-3*cc_D/7))))-fcd_cc*(1-(1-MAX(0,MIN(1,IF($E300&lt;=cc_D,0.0035*($E300-P$15)/$E300,0.002*($E300-P$15)/($E300-3*cc_D/7))/0.002)))^2)</f>
        <v/>
      </c>
      <c r="Q300">
        <f>MAX(-fyd_cc,MIN(fyd_cc,Es_cc*IF($E300&lt;=cc_D,0.0035*($E300-Q$15)/$E300,0.002*($E300-Q$15)/($E300-3*cc_D/7))))-fcd_cc*(1-(1-MAX(0,MIN(1,IF($E300&lt;=cc_D,0.0035*($E300-Q$15)/$E300,0.002*($E300-Q$15)/($E300-3*cc_D/7))/0.002)))^2)</f>
        <v/>
      </c>
      <c r="R300">
        <f>MAX(-fyd_cc,MIN(fyd_cc,Es_cc*IF($E300&lt;=cc_D,0.0035*($E300-R$15)/$E300,0.002*($E300-R$15)/($E300-3*cc_D/7))))-fcd_cc*(1-(1-MAX(0,MIN(1,IF($E300&lt;=cc_D,0.0035*($E300-R$15)/$E300,0.002*($E300-R$15)/($E300-3*cc_D/7))/0.002)))^2)</f>
        <v/>
      </c>
      <c r="S300">
        <f>MAX(-fyd_cc,MIN(fyd_cc,Es_cc*IF($E300&lt;=cc_D,0.0035*($E300-S$15)/$E300,0.002*($E300-S$15)/($E300-3*cc_D/7))))-fcd_cc*(1-(1-MAX(0,MIN(1,IF($E300&lt;=cc_D,0.0035*($E300-S$15)/$E300,0.002*($E300-S$15)/($E300-3*cc_D/7))/0.002)))^2)</f>
        <v/>
      </c>
      <c r="T300">
        <f>MAX(-fyd_cc,MIN(fyd_cc,Es_cc*IF($E300&lt;=cc_D,0.0035*($E300-T$15)/$E300,0.002*($E300-T$15)/($E300-3*cc_D/7))))-fcd_cc*(1-(1-MAX(0,MIN(1,IF($E300&lt;=cc_D,0.0035*($E300-T$15)/$E300,0.002*($E300-T$15)/($E300-3*cc_D/7))/0.002)))^2)</f>
        <v/>
      </c>
      <c r="U300">
        <f>MAX(-fyd_cc,MIN(fyd_cc,Es_cc*IF($E300&lt;=cc_D,0.0035*($E300-U$15)/$E300,0.002*($E300-U$15)/($E300-3*cc_D/7))))-fcd_cc*(1-(1-MAX(0,MIN(1,IF($E300&lt;=cc_D,0.0035*($E300-U$15)/$E300,0.002*($E300-U$15)/($E300-3*cc_D/7))/0.002)))^2)</f>
        <v/>
      </c>
      <c r="V300">
        <f>MAX(-fyd_cc,MIN(fyd_cc,Es_cc*IF($E300&lt;=cc_D,0.0035*($E300-V$15)/$E300,0.002*($E300-V$15)/($E300-3*cc_D/7))))-fcd_cc*(1-(1-MAX(0,MIN(1,IF($E300&lt;=cc_D,0.0035*($E300-V$15)/$E300,0.002*($E300-V$15)/($E300-3*cc_D/7))/0.002)))^2)</f>
        <v/>
      </c>
      <c r="W300">
        <f>MAX(-fyd_cc,MIN(fyd_cc,Es_cc*IF($E300&lt;=cc_D,0.0035*($E300-W$15)/$E300,0.002*($E300-W$15)/($E300-3*cc_D/7))))-fcd_cc*(1-(1-MAX(0,MIN(1,IF($E300&lt;=cc_D,0.0035*($E300-W$15)/$E300,0.002*($E300-W$15)/($E300-3*cc_D/7))/0.002)))^2)</f>
        <v/>
      </c>
      <c r="X300">
        <f>MAX(-fyd_cc,MIN(fyd_cc,Es_cc*IF($E300&lt;=cc_D,0.0035*($E300-X$15)/$E300,0.002*($E300-X$15)/($E300-3*cc_D/7))))-fcd_cc*(1-(1-MAX(0,MIN(1,IF($E300&lt;=cc_D,0.0035*($E300-X$15)/$E300,0.002*($E300-X$15)/($E300-3*cc_D/7))/0.002)))^2)</f>
        <v/>
      </c>
      <c r="Y300">
        <f>MAX(-fyd_cc,MIN(fyd_cc,Es_cc*IF($E300&lt;=cc_D,0.0035*($E300-Y$15)/$E300,0.002*($E300-Y$15)/($E300-3*cc_D/7))))-fcd_cc*(1-(1-MAX(0,MIN(1,IF($E300&lt;=cc_D,0.0035*($E300-Y$15)/$E300,0.002*($E300-Y$15)/($E300-3*cc_D/7))/0.002)))^2)</f>
        <v/>
      </c>
      <c r="Z300">
        <f>MAX(-fyd_cc,MIN(fyd_cc,Es_cc*IF($E300&lt;=cc_D,0.0035*($E300-Z$15)/$E300,0.002*($E300-Z$15)/($E300-3*cc_D/7))))-fcd_cc*(1-(1-MAX(0,MIN(1,IF($E300&lt;=cc_D,0.0035*($E300-Z$15)/$E300,0.002*($E300-Z$15)/($E300-3*cc_D/7))/0.002)))^2)</f>
        <v/>
      </c>
      <c r="AA300">
        <f>MAX(-fyd_cc,MIN(fyd_cc,Es_cc*IF($E300&lt;=cc_D,0.0035*($E300-AA$15)/$E300,0.002*($E300-AA$15)/($E300-3*cc_D/7))))-fcd_cc*(1-(1-MAX(0,MIN(1,IF($E300&lt;=cc_D,0.0035*($E300-AA$15)/$E300,0.002*($E300-AA$15)/($E300-3*cc_D/7))/0.002)))^2)</f>
        <v/>
      </c>
      <c r="AB300">
        <f>MAX(-fyd_cc,MIN(fyd_cc,Es_cc*IF($E300&lt;=cc_D,0.0035*($E300-AB$15)/$E300,0.002*($E300-AB$15)/($E300-3*cc_D/7))))-fcd_cc*(1-(1-MAX(0,MIN(1,IF($E300&lt;=cc_D,0.0035*($E300-AB$15)/$E300,0.002*($E300-AB$15)/($E300-3*cc_D/7))/0.002)))^2)</f>
        <v/>
      </c>
      <c r="AC300">
        <f>MAX(-fyd_cc,MIN(fyd_cc,Es_cc*IF($E300&lt;=cc_D,0.0035*($E300-AC$15)/$E300,0.002*($E300-AC$15)/($E300-3*cc_D/7))))-fcd_cc*(1-(1-MAX(0,MIN(1,IF($E300&lt;=cc_D,0.0035*($E300-AC$15)/$E300,0.002*($E300-AC$15)/($E300-3*cc_D/7))/0.002)))^2)</f>
        <v/>
      </c>
      <c r="AD300">
        <f>MAX(-fyd_cc,MIN(fyd_cc,Es_cc*IF($E300&lt;=cc_D,0.0035*($E300-AD$15)/$E300,0.002*($E300-AD$15)/($E300-3*cc_D/7))))-fcd_cc*(1-(1-MAX(0,MIN(1,IF($E300&lt;=cc_D,0.0035*($E300-AD$15)/$E300,0.002*($E300-AD$15)/($E300-3*cc_D/7))/0.002)))^2)</f>
        <v/>
      </c>
      <c r="AE300">
        <f>MAX(-fyd_cc,MIN(fyd_cc,Es_cc*IF($E300&lt;=cc_D,0.0035*($E300-AE$15)/$E300,0.002*($E300-AE$15)/($E300-3*cc_D/7))))-fcd_cc*(1-(1-MAX(0,MIN(1,IF($E300&lt;=cc_D,0.0035*($E300-AE$15)/$E300,0.002*($E300-AE$15)/($E300-3*cc_D/7))/0.002)))^2)</f>
        <v/>
      </c>
      <c r="AF300">
        <f>MAX(-fyd_cc,MIN(fyd_cc,Es_cc*IF($E300&lt;=cc_D,0.0035*($E300-AF$15)/$E300,0.002*($E300-AF$15)/($E300-3*cc_D/7))))-fcd_cc*(1-(1-MAX(0,MIN(1,IF($E300&lt;=cc_D,0.0035*($E300-AF$15)/$E300,0.002*($E300-AF$15)/($E300-3*cc_D/7))/0.002)))^2)</f>
        <v/>
      </c>
      <c r="AG300">
        <f>MAX(-fyd_cc,MIN(fyd_cc,Es_cc*IF($E300&lt;=cc_D,0.0035*($E300-AG$15)/$E300,0.002*($E300-AG$15)/($E300-3*cc_D/7))))-fcd_cc*(1-(1-MAX(0,MIN(1,IF($E300&lt;=cc_D,0.0035*($E300-AG$15)/$E300,0.002*($E300-AG$15)/($E300-3*cc_D/7))/0.002)))^2)</f>
        <v/>
      </c>
      <c r="BF300">
        <f>3*MIN($E300,cc_D)/7</f>
        <v/>
      </c>
      <c r="BG300">
        <f>$E300-$BF300</f>
        <v/>
      </c>
      <c r="BH300">
        <f>ACOS(MAX(-1,MIN(1,1-$BF300/(cc_D/2))))</f>
        <v/>
      </c>
      <c r="BI300">
        <f>ACOS(MAX(-1,MIN(1,1-MIN($E300,cc_D)/(cc_D/2))))</f>
        <v/>
      </c>
      <c r="BJ300">
        <f>((cc_D/2*(1-COS(($BH300+0*($BI300-$BH300)/12)))-$BF300)/$BG300)^2*SIN(($BH300+0*($BI300-$BH300)/12))^2</f>
        <v/>
      </c>
      <c r="BK300">
        <f>((cc_D/2*(1-COS(($BH300+1*($BI300-$BH300)/12)))-$BF300)/$BG300)^2*SIN(($BH300+1*($BI300-$BH300)/12))^2</f>
        <v/>
      </c>
      <c r="BL300">
        <f>((cc_D/2*(1-COS(($BH300+2*($BI300-$BH300)/12)))-$BF300)/$BG300)^2*SIN(($BH300+2*($BI300-$BH300)/12))^2</f>
        <v/>
      </c>
      <c r="BM300">
        <f>((cc_D/2*(1-COS(($BH300+3*($BI300-$BH300)/12)))-$BF300)/$BG300)^2*SIN(($BH300+3*($BI300-$BH300)/12))^2</f>
        <v/>
      </c>
      <c r="BN300">
        <f>((cc_D/2*(1-COS(($BH300+4*($BI300-$BH300)/12)))-$BF300)/$BG300)^2*SIN(($BH300+4*($BI300-$BH300)/12))^2</f>
        <v/>
      </c>
      <c r="BO300">
        <f>((cc_D/2*(1-COS(($BH300+5*($BI300-$BH300)/12)))-$BF300)/$BG300)^2*SIN(($BH300+5*($BI300-$BH300)/12))^2</f>
        <v/>
      </c>
      <c r="BP300">
        <f>((cc_D/2*(1-COS(($BH300+6*($BI300-$BH300)/12)))-$BF300)/$BG300)^2*SIN(($BH300+6*($BI300-$BH300)/12))^2</f>
        <v/>
      </c>
      <c r="BQ300">
        <f>((cc_D/2*(1-COS(($BH300+7*($BI300-$BH300)/12)))-$BF300)/$BG300)^2*SIN(($BH300+7*($BI300-$BH300)/12))^2</f>
        <v/>
      </c>
      <c r="BR300">
        <f>((cc_D/2*(1-COS(($BH300+8*($BI300-$BH300)/12)))-$BF300)/$BG300)^2*SIN(($BH300+8*($BI300-$BH300)/12))^2</f>
        <v/>
      </c>
      <c r="BS300">
        <f>((cc_D/2*(1-COS(($BH300+9*($BI300-$BH300)/12)))-$BF300)/$BG300)^2*SIN(($BH300+9*($BI300-$BH300)/12))^2</f>
        <v/>
      </c>
      <c r="BT300">
        <f>((cc_D/2*(1-COS(($BH300+10*($BI300-$BH300)/12)))-$BF300)/$BG300)^2*SIN(($BH300+10*($BI300-$BH300)/12))^2</f>
        <v/>
      </c>
      <c r="BU300">
        <f>((cc_D/2*(1-COS(($BH300+11*($BI300-$BH300)/12)))-$BF300)/$BG300)^2*SIN(($BH300+11*($BI300-$BH300)/12))^2</f>
        <v/>
      </c>
      <c r="BV300">
        <f>((cc_D/2*(1-COS(($BH300+12*($BI300-$BH300)/12)))-$BF300)/$BG300)^2*SIN(($BH300+12*($BI300-$BH300)/12))^2</f>
        <v/>
      </c>
      <c r="BW300">
        <f>BJ300*COS(($BH300+0*($BI300-$BH300)/12))</f>
        <v/>
      </c>
      <c r="BX300">
        <f>BK300*COS(($BH300+1*($BI300-$BH300)/12))</f>
        <v/>
      </c>
      <c r="BY300">
        <f>BL300*COS(($BH300+2*($BI300-$BH300)/12))</f>
        <v/>
      </c>
      <c r="BZ300">
        <f>BM300*COS(($BH300+3*($BI300-$BH300)/12))</f>
        <v/>
      </c>
      <c r="CA300">
        <f>BN300*COS(($BH300+4*($BI300-$BH300)/12))</f>
        <v/>
      </c>
      <c r="CB300">
        <f>BO300*COS(($BH300+5*($BI300-$BH300)/12))</f>
        <v/>
      </c>
      <c r="CC300">
        <f>BP300*COS(($BH300+6*($BI300-$BH300)/12))</f>
        <v/>
      </c>
      <c r="CD300">
        <f>BQ300*COS(($BH300+7*($BI300-$BH300)/12))</f>
        <v/>
      </c>
      <c r="CE300">
        <f>BR300*COS(($BH300+8*($BI300-$BH300)/12))</f>
        <v/>
      </c>
      <c r="CF300">
        <f>BS300*COS(($BH300+9*($BI300-$BH300)/12))</f>
        <v/>
      </c>
      <c r="CG300">
        <f>BT300*COS(($BH300+10*($BI300-$BH300)/12))</f>
        <v/>
      </c>
      <c r="CH300">
        <f>BU300*COS(($BH300+11*($BI300-$BH300)/12))</f>
        <v/>
      </c>
      <c r="CI300">
        <f>BV300*COS(($BH300+12*($BI300-$BH300)/12))</f>
        <v/>
      </c>
    </row>
    <row r="301">
      <c r="B301" s="65" t="n">
        <v>23</v>
      </c>
      <c r="C301" s="66">
        <f>IF($G300&lt;cc_NEd-1E-9*ABS(cc_NEd),($C300+$D300)/2,$C300)</f>
        <v/>
      </c>
      <c r="D301" s="66">
        <f>IF($G300&lt;cc_NEd-1E-9*ABS(cc_NEd),$D300,($C300+$D300)/2)</f>
        <v/>
      </c>
      <c r="E301" s="67">
        <f>cc_D*(($C301+$D301)/2)/(1-(($C301+$D301)/2))</f>
        <v/>
      </c>
      <c r="F301" s="68">
        <f>IF($E301&lt;=cc_D,3.5,2*$E301/($E301-3*cc_D/7))</f>
        <v/>
      </c>
      <c r="G301" s="67">
        <f>(fcd_cc*((cc_D/2)^2*($BI301-COS($BI301)*SIN($BI301))-2*(cc_D/2)^2*($BI301-$BH301)/12/3*SUMPRODUCT($BJ$4:$BV$4,$BJ301:$BV301))+SUMPRODUCT($J$5:$AG$5,$J301:$AG301))/1000</f>
        <v/>
      </c>
      <c r="H301" s="67">
        <f>(fcd_cc*(2/3*(cc_D/2)^3*SIN($BI301)^3-2*(cc_D/2)^3*($BI301-$BH301)/12/3*SUMPRODUCT($BW$4:$CI$4,$BW301:$CI301))+SUMPRODUCT($J$5:$AG$5,$J301:$AG301,$J$16:$AG$16))/1E6</f>
        <v/>
      </c>
      <c r="I301" s="67">
        <f>SUMPRODUCT($J$5:$AG$5,$J301:$AG301,$J$17:$AG$17)/1E6</f>
        <v/>
      </c>
      <c r="J301">
        <f>MAX(-fyd_cc,MIN(fyd_cc,Es_cc*IF($E301&lt;=cc_D,0.0035*($E301-J$15)/$E301,0.002*($E301-J$15)/($E301-3*cc_D/7))))-fcd_cc*(1-(1-MAX(0,MIN(1,IF($E301&lt;=cc_D,0.0035*($E301-J$15)/$E301,0.002*($E301-J$15)/($E301-3*cc_D/7))/0.002)))^2)</f>
        <v/>
      </c>
      <c r="K301">
        <f>MAX(-fyd_cc,MIN(fyd_cc,Es_cc*IF($E301&lt;=cc_D,0.0035*($E301-K$15)/$E301,0.002*($E301-K$15)/($E301-3*cc_D/7))))-fcd_cc*(1-(1-MAX(0,MIN(1,IF($E301&lt;=cc_D,0.0035*($E301-K$15)/$E301,0.002*($E301-K$15)/($E301-3*cc_D/7))/0.002)))^2)</f>
        <v/>
      </c>
      <c r="L301">
        <f>MAX(-fyd_cc,MIN(fyd_cc,Es_cc*IF($E301&lt;=cc_D,0.0035*($E301-L$15)/$E301,0.002*($E301-L$15)/($E301-3*cc_D/7))))-fcd_cc*(1-(1-MAX(0,MIN(1,IF($E301&lt;=cc_D,0.0035*($E301-L$15)/$E301,0.002*($E301-L$15)/($E301-3*cc_D/7))/0.002)))^2)</f>
        <v/>
      </c>
      <c r="M301">
        <f>MAX(-fyd_cc,MIN(fyd_cc,Es_cc*IF($E301&lt;=cc_D,0.0035*($E301-M$15)/$E301,0.002*($E301-M$15)/($E301-3*cc_D/7))))-fcd_cc*(1-(1-MAX(0,MIN(1,IF($E301&lt;=cc_D,0.0035*($E301-M$15)/$E301,0.002*($E301-M$15)/($E301-3*cc_D/7))/0.002)))^2)</f>
        <v/>
      </c>
      <c r="N301">
        <f>MAX(-fyd_cc,MIN(fyd_cc,Es_cc*IF($E301&lt;=cc_D,0.0035*($E301-N$15)/$E301,0.002*($E301-N$15)/($E301-3*cc_D/7))))-fcd_cc*(1-(1-MAX(0,MIN(1,IF($E301&lt;=cc_D,0.0035*($E301-N$15)/$E301,0.002*($E301-N$15)/($E301-3*cc_D/7))/0.002)))^2)</f>
        <v/>
      </c>
      <c r="O301">
        <f>MAX(-fyd_cc,MIN(fyd_cc,Es_cc*IF($E301&lt;=cc_D,0.0035*($E301-O$15)/$E301,0.002*($E301-O$15)/($E301-3*cc_D/7))))-fcd_cc*(1-(1-MAX(0,MIN(1,IF($E301&lt;=cc_D,0.0035*($E301-O$15)/$E301,0.002*($E301-O$15)/($E301-3*cc_D/7))/0.002)))^2)</f>
        <v/>
      </c>
      <c r="P301">
        <f>MAX(-fyd_cc,MIN(fyd_cc,Es_cc*IF($E301&lt;=cc_D,0.0035*($E301-P$15)/$E301,0.002*($E301-P$15)/($E301-3*cc_D/7))))-fcd_cc*(1-(1-MAX(0,MIN(1,IF($E301&lt;=cc_D,0.0035*($E301-P$15)/$E301,0.002*($E301-P$15)/($E301-3*cc_D/7))/0.002)))^2)</f>
        <v/>
      </c>
      <c r="Q301">
        <f>MAX(-fyd_cc,MIN(fyd_cc,Es_cc*IF($E301&lt;=cc_D,0.0035*($E301-Q$15)/$E301,0.002*($E301-Q$15)/($E301-3*cc_D/7))))-fcd_cc*(1-(1-MAX(0,MIN(1,IF($E301&lt;=cc_D,0.0035*($E301-Q$15)/$E301,0.002*($E301-Q$15)/($E301-3*cc_D/7))/0.002)))^2)</f>
        <v/>
      </c>
      <c r="R301">
        <f>MAX(-fyd_cc,MIN(fyd_cc,Es_cc*IF($E301&lt;=cc_D,0.0035*($E301-R$15)/$E301,0.002*($E301-R$15)/($E301-3*cc_D/7))))-fcd_cc*(1-(1-MAX(0,MIN(1,IF($E301&lt;=cc_D,0.0035*($E301-R$15)/$E301,0.002*($E301-R$15)/($E301-3*cc_D/7))/0.002)))^2)</f>
        <v/>
      </c>
      <c r="S301">
        <f>MAX(-fyd_cc,MIN(fyd_cc,Es_cc*IF($E301&lt;=cc_D,0.0035*($E301-S$15)/$E301,0.002*($E301-S$15)/($E301-3*cc_D/7))))-fcd_cc*(1-(1-MAX(0,MIN(1,IF($E301&lt;=cc_D,0.0035*($E301-S$15)/$E301,0.002*($E301-S$15)/($E301-3*cc_D/7))/0.002)))^2)</f>
        <v/>
      </c>
      <c r="T301">
        <f>MAX(-fyd_cc,MIN(fyd_cc,Es_cc*IF($E301&lt;=cc_D,0.0035*($E301-T$15)/$E301,0.002*($E301-T$15)/($E301-3*cc_D/7))))-fcd_cc*(1-(1-MAX(0,MIN(1,IF($E301&lt;=cc_D,0.0035*($E301-T$15)/$E301,0.002*($E301-T$15)/($E301-3*cc_D/7))/0.002)))^2)</f>
        <v/>
      </c>
      <c r="U301">
        <f>MAX(-fyd_cc,MIN(fyd_cc,Es_cc*IF($E301&lt;=cc_D,0.0035*($E301-U$15)/$E301,0.002*($E301-U$15)/($E301-3*cc_D/7))))-fcd_cc*(1-(1-MAX(0,MIN(1,IF($E301&lt;=cc_D,0.0035*($E301-U$15)/$E301,0.002*($E301-U$15)/($E301-3*cc_D/7))/0.002)))^2)</f>
        <v/>
      </c>
      <c r="V301">
        <f>MAX(-fyd_cc,MIN(fyd_cc,Es_cc*IF($E301&lt;=cc_D,0.0035*($E301-V$15)/$E301,0.002*($E301-V$15)/($E301-3*cc_D/7))))-fcd_cc*(1-(1-MAX(0,MIN(1,IF($E301&lt;=cc_D,0.0035*($E301-V$15)/$E301,0.002*($E301-V$15)/($E301-3*cc_D/7))/0.002)))^2)</f>
        <v/>
      </c>
      <c r="W301">
        <f>MAX(-fyd_cc,MIN(fyd_cc,Es_cc*IF($E301&lt;=cc_D,0.0035*($E301-W$15)/$E301,0.002*($E301-W$15)/($E301-3*cc_D/7))))-fcd_cc*(1-(1-MAX(0,MIN(1,IF($E301&lt;=cc_D,0.0035*($E301-W$15)/$E301,0.002*($E301-W$15)/($E301-3*cc_D/7))/0.002)))^2)</f>
        <v/>
      </c>
      <c r="X301">
        <f>MAX(-fyd_cc,MIN(fyd_cc,Es_cc*IF($E301&lt;=cc_D,0.0035*($E301-X$15)/$E301,0.002*($E301-X$15)/($E301-3*cc_D/7))))-fcd_cc*(1-(1-MAX(0,MIN(1,IF($E301&lt;=cc_D,0.0035*($E301-X$15)/$E301,0.002*($E301-X$15)/($E301-3*cc_D/7))/0.002)))^2)</f>
        <v/>
      </c>
      <c r="Y301">
        <f>MAX(-fyd_cc,MIN(fyd_cc,Es_cc*IF($E301&lt;=cc_D,0.0035*($E301-Y$15)/$E301,0.002*($E301-Y$15)/($E301-3*cc_D/7))))-fcd_cc*(1-(1-MAX(0,MIN(1,IF($E301&lt;=cc_D,0.0035*($E301-Y$15)/$E301,0.002*($E301-Y$15)/($E301-3*cc_D/7))/0.002)))^2)</f>
        <v/>
      </c>
      <c r="Z301">
        <f>MAX(-fyd_cc,MIN(fyd_cc,Es_cc*IF($E301&lt;=cc_D,0.0035*($E301-Z$15)/$E301,0.002*($E301-Z$15)/($E301-3*cc_D/7))))-fcd_cc*(1-(1-MAX(0,MIN(1,IF($E301&lt;=cc_D,0.0035*($E301-Z$15)/$E301,0.002*($E301-Z$15)/($E301-3*cc_D/7))/0.002)))^2)</f>
        <v/>
      </c>
      <c r="AA301">
        <f>MAX(-fyd_cc,MIN(fyd_cc,Es_cc*IF($E301&lt;=cc_D,0.0035*($E301-AA$15)/$E301,0.002*($E301-AA$15)/($E301-3*cc_D/7))))-fcd_cc*(1-(1-MAX(0,MIN(1,IF($E301&lt;=cc_D,0.0035*($E301-AA$15)/$E301,0.002*($E301-AA$15)/($E301-3*cc_D/7))/0.002)))^2)</f>
        <v/>
      </c>
      <c r="AB301">
        <f>MAX(-fyd_cc,MIN(fyd_cc,Es_cc*IF($E301&lt;=cc_D,0.0035*($E301-AB$15)/$E301,0.002*($E301-AB$15)/($E301-3*cc_D/7))))-fcd_cc*(1-(1-MAX(0,MIN(1,IF($E301&lt;=cc_D,0.0035*($E301-AB$15)/$E301,0.002*($E301-AB$15)/($E301-3*cc_D/7))/0.002)))^2)</f>
        <v/>
      </c>
      <c r="AC301">
        <f>MAX(-fyd_cc,MIN(fyd_cc,Es_cc*IF($E301&lt;=cc_D,0.0035*($E301-AC$15)/$E301,0.002*($E301-AC$15)/($E301-3*cc_D/7))))-fcd_cc*(1-(1-MAX(0,MIN(1,IF($E301&lt;=cc_D,0.0035*($E301-AC$15)/$E301,0.002*($E301-AC$15)/($E301-3*cc_D/7))/0.002)))^2)</f>
        <v/>
      </c>
      <c r="AD301">
        <f>MAX(-fyd_cc,MIN(fyd_cc,Es_cc*IF($E301&lt;=cc_D,0.0035*($E301-AD$15)/$E301,0.002*($E301-AD$15)/($E301-3*cc_D/7))))-fcd_cc*(1-(1-MAX(0,MIN(1,IF($E301&lt;=cc_D,0.0035*($E301-AD$15)/$E301,0.002*($E301-AD$15)/($E301-3*cc_D/7))/0.002)))^2)</f>
        <v/>
      </c>
      <c r="AE301">
        <f>MAX(-fyd_cc,MIN(fyd_cc,Es_cc*IF($E301&lt;=cc_D,0.0035*($E301-AE$15)/$E301,0.002*($E301-AE$15)/($E301-3*cc_D/7))))-fcd_cc*(1-(1-MAX(0,MIN(1,IF($E301&lt;=cc_D,0.0035*($E301-AE$15)/$E301,0.002*($E301-AE$15)/($E301-3*cc_D/7))/0.002)))^2)</f>
        <v/>
      </c>
      <c r="AF301">
        <f>MAX(-fyd_cc,MIN(fyd_cc,Es_cc*IF($E301&lt;=cc_D,0.0035*($E301-AF$15)/$E301,0.002*($E301-AF$15)/($E301-3*cc_D/7))))-fcd_cc*(1-(1-MAX(0,MIN(1,IF($E301&lt;=cc_D,0.0035*($E301-AF$15)/$E301,0.002*($E301-AF$15)/($E301-3*cc_D/7))/0.002)))^2)</f>
        <v/>
      </c>
      <c r="AG301">
        <f>MAX(-fyd_cc,MIN(fyd_cc,Es_cc*IF($E301&lt;=cc_D,0.0035*($E301-AG$15)/$E301,0.002*($E301-AG$15)/($E301-3*cc_D/7))))-fcd_cc*(1-(1-MAX(0,MIN(1,IF($E301&lt;=cc_D,0.0035*($E301-AG$15)/$E301,0.002*($E301-AG$15)/($E301-3*cc_D/7))/0.002)))^2)</f>
        <v/>
      </c>
      <c r="BF301">
        <f>3*MIN($E301,cc_D)/7</f>
        <v/>
      </c>
      <c r="BG301">
        <f>$E301-$BF301</f>
        <v/>
      </c>
      <c r="BH301">
        <f>ACOS(MAX(-1,MIN(1,1-$BF301/(cc_D/2))))</f>
        <v/>
      </c>
      <c r="BI301">
        <f>ACOS(MAX(-1,MIN(1,1-MIN($E301,cc_D)/(cc_D/2))))</f>
        <v/>
      </c>
      <c r="BJ301">
        <f>((cc_D/2*(1-COS(($BH301+0*($BI301-$BH301)/12)))-$BF301)/$BG301)^2*SIN(($BH301+0*($BI301-$BH301)/12))^2</f>
        <v/>
      </c>
      <c r="BK301">
        <f>((cc_D/2*(1-COS(($BH301+1*($BI301-$BH301)/12)))-$BF301)/$BG301)^2*SIN(($BH301+1*($BI301-$BH301)/12))^2</f>
        <v/>
      </c>
      <c r="BL301">
        <f>((cc_D/2*(1-COS(($BH301+2*($BI301-$BH301)/12)))-$BF301)/$BG301)^2*SIN(($BH301+2*($BI301-$BH301)/12))^2</f>
        <v/>
      </c>
      <c r="BM301">
        <f>((cc_D/2*(1-COS(($BH301+3*($BI301-$BH301)/12)))-$BF301)/$BG301)^2*SIN(($BH301+3*($BI301-$BH301)/12))^2</f>
        <v/>
      </c>
      <c r="BN301">
        <f>((cc_D/2*(1-COS(($BH301+4*($BI301-$BH301)/12)))-$BF301)/$BG301)^2*SIN(($BH301+4*($BI301-$BH301)/12))^2</f>
        <v/>
      </c>
      <c r="BO301">
        <f>((cc_D/2*(1-COS(($BH301+5*($BI301-$BH301)/12)))-$BF301)/$BG301)^2*SIN(($BH301+5*($BI301-$BH301)/12))^2</f>
        <v/>
      </c>
      <c r="BP301">
        <f>((cc_D/2*(1-COS(($BH301+6*($BI301-$BH301)/12)))-$BF301)/$BG301)^2*SIN(($BH301+6*($BI301-$BH301)/12))^2</f>
        <v/>
      </c>
      <c r="BQ301">
        <f>((cc_D/2*(1-COS(($BH301+7*($BI301-$BH301)/12)))-$BF301)/$BG301)^2*SIN(($BH301+7*($BI301-$BH301)/12))^2</f>
        <v/>
      </c>
      <c r="BR301">
        <f>((cc_D/2*(1-COS(($BH301+8*($BI301-$BH301)/12)))-$BF301)/$BG301)^2*SIN(($BH301+8*($BI301-$BH301)/12))^2</f>
        <v/>
      </c>
      <c r="BS301">
        <f>((cc_D/2*(1-COS(($BH301+9*($BI301-$BH301)/12)))-$BF301)/$BG301)^2*SIN(($BH301+9*($BI301-$BH301)/12))^2</f>
        <v/>
      </c>
      <c r="BT301">
        <f>((cc_D/2*(1-COS(($BH301+10*($BI301-$BH301)/12)))-$BF301)/$BG301)^2*SIN(($BH301+10*($BI301-$BH301)/12))^2</f>
        <v/>
      </c>
      <c r="BU301">
        <f>((cc_D/2*(1-COS(($BH301+11*($BI301-$BH301)/12)))-$BF301)/$BG301)^2*SIN(($BH301+11*($BI301-$BH301)/12))^2</f>
        <v/>
      </c>
      <c r="BV301">
        <f>((cc_D/2*(1-COS(($BH301+12*($BI301-$BH301)/12)))-$BF301)/$BG301)^2*SIN(($BH301+12*($BI301-$BH301)/12))^2</f>
        <v/>
      </c>
      <c r="BW301">
        <f>BJ301*COS(($BH301+0*($BI301-$BH301)/12))</f>
        <v/>
      </c>
      <c r="BX301">
        <f>BK301*COS(($BH301+1*($BI301-$BH301)/12))</f>
        <v/>
      </c>
      <c r="BY301">
        <f>BL301*COS(($BH301+2*($BI301-$BH301)/12))</f>
        <v/>
      </c>
      <c r="BZ301">
        <f>BM301*COS(($BH301+3*($BI301-$BH301)/12))</f>
        <v/>
      </c>
      <c r="CA301">
        <f>BN301*COS(($BH301+4*($BI301-$BH301)/12))</f>
        <v/>
      </c>
      <c r="CB301">
        <f>BO301*COS(($BH301+5*($BI301-$BH301)/12))</f>
        <v/>
      </c>
      <c r="CC301">
        <f>BP301*COS(($BH301+6*($BI301-$BH301)/12))</f>
        <v/>
      </c>
      <c r="CD301">
        <f>BQ301*COS(($BH301+7*($BI301-$BH301)/12))</f>
        <v/>
      </c>
      <c r="CE301">
        <f>BR301*COS(($BH301+8*($BI301-$BH301)/12))</f>
        <v/>
      </c>
      <c r="CF301">
        <f>BS301*COS(($BH301+9*($BI301-$BH301)/12))</f>
        <v/>
      </c>
      <c r="CG301">
        <f>BT301*COS(($BH301+10*($BI301-$BH301)/12))</f>
        <v/>
      </c>
      <c r="CH301">
        <f>BU301*COS(($BH301+11*($BI301-$BH301)/12))</f>
        <v/>
      </c>
      <c r="CI301">
        <f>BV301*COS(($BH301+12*($BI301-$BH301)/12))</f>
        <v/>
      </c>
    </row>
    <row r="302">
      <c r="B302" s="65" t="n">
        <v>24</v>
      </c>
      <c r="C302" s="66">
        <f>IF($G301&lt;cc_NEd-1E-9*ABS(cc_NEd),($C301+$D301)/2,$C301)</f>
        <v/>
      </c>
      <c r="D302" s="66">
        <f>IF($G301&lt;cc_NEd-1E-9*ABS(cc_NEd),$D301,($C301+$D301)/2)</f>
        <v/>
      </c>
      <c r="E302" s="67">
        <f>cc_D*(($C302+$D302)/2)/(1-(($C302+$D302)/2))</f>
        <v/>
      </c>
      <c r="F302" s="68">
        <f>IF($E302&lt;=cc_D,3.5,2*$E302/($E302-3*cc_D/7))</f>
        <v/>
      </c>
      <c r="G302" s="67">
        <f>(fcd_cc*((cc_D/2)^2*($BI302-COS($BI302)*SIN($BI302))-2*(cc_D/2)^2*($BI302-$BH302)/12/3*SUMPRODUCT($BJ$4:$BV$4,$BJ302:$BV302))+SUMPRODUCT($J$5:$AG$5,$J302:$AG302))/1000</f>
        <v/>
      </c>
      <c r="H302" s="67">
        <f>(fcd_cc*(2/3*(cc_D/2)^3*SIN($BI302)^3-2*(cc_D/2)^3*($BI302-$BH302)/12/3*SUMPRODUCT($BW$4:$CI$4,$BW302:$CI302))+SUMPRODUCT($J$5:$AG$5,$J302:$AG302,$J$16:$AG$16))/1E6</f>
        <v/>
      </c>
      <c r="I302" s="67">
        <f>SUMPRODUCT($J$5:$AG$5,$J302:$AG302,$J$17:$AG$17)/1E6</f>
        <v/>
      </c>
      <c r="J302">
        <f>MAX(-fyd_cc,MIN(fyd_cc,Es_cc*IF($E302&lt;=cc_D,0.0035*($E302-J$15)/$E302,0.002*($E302-J$15)/($E302-3*cc_D/7))))-fcd_cc*(1-(1-MAX(0,MIN(1,IF($E302&lt;=cc_D,0.0035*($E302-J$15)/$E302,0.002*($E302-J$15)/($E302-3*cc_D/7))/0.002)))^2)</f>
        <v/>
      </c>
      <c r="K302">
        <f>MAX(-fyd_cc,MIN(fyd_cc,Es_cc*IF($E302&lt;=cc_D,0.0035*($E302-K$15)/$E302,0.002*($E302-K$15)/($E302-3*cc_D/7))))-fcd_cc*(1-(1-MAX(0,MIN(1,IF($E302&lt;=cc_D,0.0035*($E302-K$15)/$E302,0.002*($E302-K$15)/($E302-3*cc_D/7))/0.002)))^2)</f>
        <v/>
      </c>
      <c r="L302">
        <f>MAX(-fyd_cc,MIN(fyd_cc,Es_cc*IF($E302&lt;=cc_D,0.0035*($E302-L$15)/$E302,0.002*($E302-L$15)/($E302-3*cc_D/7))))-fcd_cc*(1-(1-MAX(0,MIN(1,IF($E302&lt;=cc_D,0.0035*($E302-L$15)/$E302,0.002*($E302-L$15)/($E302-3*cc_D/7))/0.002)))^2)</f>
        <v/>
      </c>
      <c r="M302">
        <f>MAX(-fyd_cc,MIN(fyd_cc,Es_cc*IF($E302&lt;=cc_D,0.0035*($E302-M$15)/$E302,0.002*($E302-M$15)/($E302-3*cc_D/7))))-fcd_cc*(1-(1-MAX(0,MIN(1,IF($E302&lt;=cc_D,0.0035*($E302-M$15)/$E302,0.002*($E302-M$15)/($E302-3*cc_D/7))/0.002)))^2)</f>
        <v/>
      </c>
      <c r="N302">
        <f>MAX(-fyd_cc,MIN(fyd_cc,Es_cc*IF($E302&lt;=cc_D,0.0035*($E302-N$15)/$E302,0.002*($E302-N$15)/($E302-3*cc_D/7))))-fcd_cc*(1-(1-MAX(0,MIN(1,IF($E302&lt;=cc_D,0.0035*($E302-N$15)/$E302,0.002*($E302-N$15)/($E302-3*cc_D/7))/0.002)))^2)</f>
        <v/>
      </c>
      <c r="O302">
        <f>MAX(-fyd_cc,MIN(fyd_cc,Es_cc*IF($E302&lt;=cc_D,0.0035*($E302-O$15)/$E302,0.002*($E302-O$15)/($E302-3*cc_D/7))))-fcd_cc*(1-(1-MAX(0,MIN(1,IF($E302&lt;=cc_D,0.0035*($E302-O$15)/$E302,0.002*($E302-O$15)/($E302-3*cc_D/7))/0.002)))^2)</f>
        <v/>
      </c>
      <c r="P302">
        <f>MAX(-fyd_cc,MIN(fyd_cc,Es_cc*IF($E302&lt;=cc_D,0.0035*($E302-P$15)/$E302,0.002*($E302-P$15)/($E302-3*cc_D/7))))-fcd_cc*(1-(1-MAX(0,MIN(1,IF($E302&lt;=cc_D,0.0035*($E302-P$15)/$E302,0.002*($E302-P$15)/($E302-3*cc_D/7))/0.002)))^2)</f>
        <v/>
      </c>
      <c r="Q302">
        <f>MAX(-fyd_cc,MIN(fyd_cc,Es_cc*IF($E302&lt;=cc_D,0.0035*($E302-Q$15)/$E302,0.002*($E302-Q$15)/($E302-3*cc_D/7))))-fcd_cc*(1-(1-MAX(0,MIN(1,IF($E302&lt;=cc_D,0.0035*($E302-Q$15)/$E302,0.002*($E302-Q$15)/($E302-3*cc_D/7))/0.002)))^2)</f>
        <v/>
      </c>
      <c r="R302">
        <f>MAX(-fyd_cc,MIN(fyd_cc,Es_cc*IF($E302&lt;=cc_D,0.0035*($E302-R$15)/$E302,0.002*($E302-R$15)/($E302-3*cc_D/7))))-fcd_cc*(1-(1-MAX(0,MIN(1,IF($E302&lt;=cc_D,0.0035*($E302-R$15)/$E302,0.002*($E302-R$15)/($E302-3*cc_D/7))/0.002)))^2)</f>
        <v/>
      </c>
      <c r="S302">
        <f>MAX(-fyd_cc,MIN(fyd_cc,Es_cc*IF($E302&lt;=cc_D,0.0035*($E302-S$15)/$E302,0.002*($E302-S$15)/($E302-3*cc_D/7))))-fcd_cc*(1-(1-MAX(0,MIN(1,IF($E302&lt;=cc_D,0.0035*($E302-S$15)/$E302,0.002*($E302-S$15)/($E302-3*cc_D/7))/0.002)))^2)</f>
        <v/>
      </c>
      <c r="T302">
        <f>MAX(-fyd_cc,MIN(fyd_cc,Es_cc*IF($E302&lt;=cc_D,0.0035*($E302-T$15)/$E302,0.002*($E302-T$15)/($E302-3*cc_D/7))))-fcd_cc*(1-(1-MAX(0,MIN(1,IF($E302&lt;=cc_D,0.0035*($E302-T$15)/$E302,0.002*($E302-T$15)/($E302-3*cc_D/7))/0.002)))^2)</f>
        <v/>
      </c>
      <c r="U302">
        <f>MAX(-fyd_cc,MIN(fyd_cc,Es_cc*IF($E302&lt;=cc_D,0.0035*($E302-U$15)/$E302,0.002*($E302-U$15)/($E302-3*cc_D/7))))-fcd_cc*(1-(1-MAX(0,MIN(1,IF($E302&lt;=cc_D,0.0035*($E302-U$15)/$E302,0.002*($E302-U$15)/($E302-3*cc_D/7))/0.002)))^2)</f>
        <v/>
      </c>
      <c r="V302">
        <f>MAX(-fyd_cc,MIN(fyd_cc,Es_cc*IF($E302&lt;=cc_D,0.0035*($E302-V$15)/$E302,0.002*($E302-V$15)/($E302-3*cc_D/7))))-fcd_cc*(1-(1-MAX(0,MIN(1,IF($E302&lt;=cc_D,0.0035*($E302-V$15)/$E302,0.002*($E302-V$15)/($E302-3*cc_D/7))/0.002)))^2)</f>
        <v/>
      </c>
      <c r="W302">
        <f>MAX(-fyd_cc,MIN(fyd_cc,Es_cc*IF($E302&lt;=cc_D,0.0035*($E302-W$15)/$E302,0.002*($E302-W$15)/($E302-3*cc_D/7))))-fcd_cc*(1-(1-MAX(0,MIN(1,IF($E302&lt;=cc_D,0.0035*($E302-W$15)/$E302,0.002*($E302-W$15)/($E302-3*cc_D/7))/0.002)))^2)</f>
        <v/>
      </c>
      <c r="X302">
        <f>MAX(-fyd_cc,MIN(fyd_cc,Es_cc*IF($E302&lt;=cc_D,0.0035*($E302-X$15)/$E302,0.002*($E302-X$15)/($E302-3*cc_D/7))))-fcd_cc*(1-(1-MAX(0,MIN(1,IF($E302&lt;=cc_D,0.0035*($E302-X$15)/$E302,0.002*($E302-X$15)/($E302-3*cc_D/7))/0.002)))^2)</f>
        <v/>
      </c>
      <c r="Y302">
        <f>MAX(-fyd_cc,MIN(fyd_cc,Es_cc*IF($E302&lt;=cc_D,0.0035*($E302-Y$15)/$E302,0.002*($E302-Y$15)/($E302-3*cc_D/7))))-fcd_cc*(1-(1-MAX(0,MIN(1,IF($E302&lt;=cc_D,0.0035*($E302-Y$15)/$E302,0.002*($E302-Y$15)/($E302-3*cc_D/7))/0.002)))^2)</f>
        <v/>
      </c>
      <c r="Z302">
        <f>MAX(-fyd_cc,MIN(fyd_cc,Es_cc*IF($E302&lt;=cc_D,0.0035*($E302-Z$15)/$E302,0.002*($E302-Z$15)/($E302-3*cc_D/7))))-fcd_cc*(1-(1-MAX(0,MIN(1,IF($E302&lt;=cc_D,0.0035*($E302-Z$15)/$E302,0.002*($E302-Z$15)/($E302-3*cc_D/7))/0.002)))^2)</f>
        <v/>
      </c>
      <c r="AA302">
        <f>MAX(-fyd_cc,MIN(fyd_cc,Es_cc*IF($E302&lt;=cc_D,0.0035*($E302-AA$15)/$E302,0.002*($E302-AA$15)/($E302-3*cc_D/7))))-fcd_cc*(1-(1-MAX(0,MIN(1,IF($E302&lt;=cc_D,0.0035*($E302-AA$15)/$E302,0.002*($E302-AA$15)/($E302-3*cc_D/7))/0.002)))^2)</f>
        <v/>
      </c>
      <c r="AB302">
        <f>MAX(-fyd_cc,MIN(fyd_cc,Es_cc*IF($E302&lt;=cc_D,0.0035*($E302-AB$15)/$E302,0.002*($E302-AB$15)/($E302-3*cc_D/7))))-fcd_cc*(1-(1-MAX(0,MIN(1,IF($E302&lt;=cc_D,0.0035*($E302-AB$15)/$E302,0.002*($E302-AB$15)/($E302-3*cc_D/7))/0.002)))^2)</f>
        <v/>
      </c>
      <c r="AC302">
        <f>MAX(-fyd_cc,MIN(fyd_cc,Es_cc*IF($E302&lt;=cc_D,0.0035*($E302-AC$15)/$E302,0.002*($E302-AC$15)/($E302-3*cc_D/7))))-fcd_cc*(1-(1-MAX(0,MIN(1,IF($E302&lt;=cc_D,0.0035*($E302-AC$15)/$E302,0.002*($E302-AC$15)/($E302-3*cc_D/7))/0.002)))^2)</f>
        <v/>
      </c>
      <c r="AD302">
        <f>MAX(-fyd_cc,MIN(fyd_cc,Es_cc*IF($E302&lt;=cc_D,0.0035*($E302-AD$15)/$E302,0.002*($E302-AD$15)/($E302-3*cc_D/7))))-fcd_cc*(1-(1-MAX(0,MIN(1,IF($E302&lt;=cc_D,0.0035*($E302-AD$15)/$E302,0.002*($E302-AD$15)/($E302-3*cc_D/7))/0.002)))^2)</f>
        <v/>
      </c>
      <c r="AE302">
        <f>MAX(-fyd_cc,MIN(fyd_cc,Es_cc*IF($E302&lt;=cc_D,0.0035*($E302-AE$15)/$E302,0.002*($E302-AE$15)/($E302-3*cc_D/7))))-fcd_cc*(1-(1-MAX(0,MIN(1,IF($E302&lt;=cc_D,0.0035*($E302-AE$15)/$E302,0.002*($E302-AE$15)/($E302-3*cc_D/7))/0.002)))^2)</f>
        <v/>
      </c>
      <c r="AF302">
        <f>MAX(-fyd_cc,MIN(fyd_cc,Es_cc*IF($E302&lt;=cc_D,0.0035*($E302-AF$15)/$E302,0.002*($E302-AF$15)/($E302-3*cc_D/7))))-fcd_cc*(1-(1-MAX(0,MIN(1,IF($E302&lt;=cc_D,0.0035*($E302-AF$15)/$E302,0.002*($E302-AF$15)/($E302-3*cc_D/7))/0.002)))^2)</f>
        <v/>
      </c>
      <c r="AG302">
        <f>MAX(-fyd_cc,MIN(fyd_cc,Es_cc*IF($E302&lt;=cc_D,0.0035*($E302-AG$15)/$E302,0.002*($E302-AG$15)/($E302-3*cc_D/7))))-fcd_cc*(1-(1-MAX(0,MIN(1,IF($E302&lt;=cc_D,0.0035*($E302-AG$15)/$E302,0.002*($E302-AG$15)/($E302-3*cc_D/7))/0.002)))^2)</f>
        <v/>
      </c>
      <c r="BF302">
        <f>3*MIN($E302,cc_D)/7</f>
        <v/>
      </c>
      <c r="BG302">
        <f>$E302-$BF302</f>
        <v/>
      </c>
      <c r="BH302">
        <f>ACOS(MAX(-1,MIN(1,1-$BF302/(cc_D/2))))</f>
        <v/>
      </c>
      <c r="BI302">
        <f>ACOS(MAX(-1,MIN(1,1-MIN($E302,cc_D)/(cc_D/2))))</f>
        <v/>
      </c>
      <c r="BJ302">
        <f>((cc_D/2*(1-COS(($BH302+0*($BI302-$BH302)/12)))-$BF302)/$BG302)^2*SIN(($BH302+0*($BI302-$BH302)/12))^2</f>
        <v/>
      </c>
      <c r="BK302">
        <f>((cc_D/2*(1-COS(($BH302+1*($BI302-$BH302)/12)))-$BF302)/$BG302)^2*SIN(($BH302+1*($BI302-$BH302)/12))^2</f>
        <v/>
      </c>
      <c r="BL302">
        <f>((cc_D/2*(1-COS(($BH302+2*($BI302-$BH302)/12)))-$BF302)/$BG302)^2*SIN(($BH302+2*($BI302-$BH302)/12))^2</f>
        <v/>
      </c>
      <c r="BM302">
        <f>((cc_D/2*(1-COS(($BH302+3*($BI302-$BH302)/12)))-$BF302)/$BG302)^2*SIN(($BH302+3*($BI302-$BH302)/12))^2</f>
        <v/>
      </c>
      <c r="BN302">
        <f>((cc_D/2*(1-COS(($BH302+4*($BI302-$BH302)/12)))-$BF302)/$BG302)^2*SIN(($BH302+4*($BI302-$BH302)/12))^2</f>
        <v/>
      </c>
      <c r="BO302">
        <f>((cc_D/2*(1-COS(($BH302+5*($BI302-$BH302)/12)))-$BF302)/$BG302)^2*SIN(($BH302+5*($BI302-$BH302)/12))^2</f>
        <v/>
      </c>
      <c r="BP302">
        <f>((cc_D/2*(1-COS(($BH302+6*($BI302-$BH302)/12)))-$BF302)/$BG302)^2*SIN(($BH302+6*($BI302-$BH302)/12))^2</f>
        <v/>
      </c>
      <c r="BQ302">
        <f>((cc_D/2*(1-COS(($BH302+7*($BI302-$BH302)/12)))-$BF302)/$BG302)^2*SIN(($BH302+7*($BI302-$BH302)/12))^2</f>
        <v/>
      </c>
      <c r="BR302">
        <f>((cc_D/2*(1-COS(($BH302+8*($BI302-$BH302)/12)))-$BF302)/$BG302)^2*SIN(($BH302+8*($BI302-$BH302)/12))^2</f>
        <v/>
      </c>
      <c r="BS302">
        <f>((cc_D/2*(1-COS(($BH302+9*($BI302-$BH302)/12)))-$BF302)/$BG302)^2*SIN(($BH302+9*($BI302-$BH302)/12))^2</f>
        <v/>
      </c>
      <c r="BT302">
        <f>((cc_D/2*(1-COS(($BH302+10*($BI302-$BH302)/12)))-$BF302)/$BG302)^2*SIN(($BH302+10*($BI302-$BH302)/12))^2</f>
        <v/>
      </c>
      <c r="BU302">
        <f>((cc_D/2*(1-COS(($BH302+11*($BI302-$BH302)/12)))-$BF302)/$BG302)^2*SIN(($BH302+11*($BI302-$BH302)/12))^2</f>
        <v/>
      </c>
      <c r="BV302">
        <f>((cc_D/2*(1-COS(($BH302+12*($BI302-$BH302)/12)))-$BF302)/$BG302)^2*SIN(($BH302+12*($BI302-$BH302)/12))^2</f>
        <v/>
      </c>
      <c r="BW302">
        <f>BJ302*COS(($BH302+0*($BI302-$BH302)/12))</f>
        <v/>
      </c>
      <c r="BX302">
        <f>BK302*COS(($BH302+1*($BI302-$BH302)/12))</f>
        <v/>
      </c>
      <c r="BY302">
        <f>BL302*COS(($BH302+2*($BI302-$BH302)/12))</f>
        <v/>
      </c>
      <c r="BZ302">
        <f>BM302*COS(($BH302+3*($BI302-$BH302)/12))</f>
        <v/>
      </c>
      <c r="CA302">
        <f>BN302*COS(($BH302+4*($BI302-$BH302)/12))</f>
        <v/>
      </c>
      <c r="CB302">
        <f>BO302*COS(($BH302+5*($BI302-$BH302)/12))</f>
        <v/>
      </c>
      <c r="CC302">
        <f>BP302*COS(($BH302+6*($BI302-$BH302)/12))</f>
        <v/>
      </c>
      <c r="CD302">
        <f>BQ302*COS(($BH302+7*($BI302-$BH302)/12))</f>
        <v/>
      </c>
      <c r="CE302">
        <f>BR302*COS(($BH302+8*($BI302-$BH302)/12))</f>
        <v/>
      </c>
      <c r="CF302">
        <f>BS302*COS(($BH302+9*($BI302-$BH302)/12))</f>
        <v/>
      </c>
      <c r="CG302">
        <f>BT302*COS(($BH302+10*($BI302-$BH302)/12))</f>
        <v/>
      </c>
      <c r="CH302">
        <f>BU302*COS(($BH302+11*($BI302-$BH302)/12))</f>
        <v/>
      </c>
      <c r="CI302">
        <f>BV302*COS(($BH302+12*($BI302-$BH302)/12))</f>
        <v/>
      </c>
    </row>
    <row r="303">
      <c r="B303" s="65" t="n">
        <v>25</v>
      </c>
      <c r="C303" s="66">
        <f>IF($G302&lt;cc_NEd-1E-9*ABS(cc_NEd),($C302+$D302)/2,$C302)</f>
        <v/>
      </c>
      <c r="D303" s="66">
        <f>IF($G302&lt;cc_NEd-1E-9*ABS(cc_NEd),$D302,($C302+$D302)/2)</f>
        <v/>
      </c>
      <c r="E303" s="67">
        <f>cc_D*(($C303+$D303)/2)/(1-(($C303+$D303)/2))</f>
        <v/>
      </c>
      <c r="F303" s="68">
        <f>IF($E303&lt;=cc_D,3.5,2*$E303/($E303-3*cc_D/7))</f>
        <v/>
      </c>
      <c r="G303" s="67">
        <f>(fcd_cc*((cc_D/2)^2*($BI303-COS($BI303)*SIN($BI303))-2*(cc_D/2)^2*($BI303-$BH303)/12/3*SUMPRODUCT($BJ$4:$BV$4,$BJ303:$BV303))+SUMPRODUCT($J$5:$AG$5,$J303:$AG303))/1000</f>
        <v/>
      </c>
      <c r="H303" s="67">
        <f>(fcd_cc*(2/3*(cc_D/2)^3*SIN($BI303)^3-2*(cc_D/2)^3*($BI303-$BH303)/12/3*SUMPRODUCT($BW$4:$CI$4,$BW303:$CI303))+SUMPRODUCT($J$5:$AG$5,$J303:$AG303,$J$16:$AG$16))/1E6</f>
        <v/>
      </c>
      <c r="I303" s="67">
        <f>SUMPRODUCT($J$5:$AG$5,$J303:$AG303,$J$17:$AG$17)/1E6</f>
        <v/>
      </c>
      <c r="J303">
        <f>MAX(-fyd_cc,MIN(fyd_cc,Es_cc*IF($E303&lt;=cc_D,0.0035*($E303-J$15)/$E303,0.002*($E303-J$15)/($E303-3*cc_D/7))))-fcd_cc*(1-(1-MAX(0,MIN(1,IF($E303&lt;=cc_D,0.0035*($E303-J$15)/$E303,0.002*($E303-J$15)/($E303-3*cc_D/7))/0.002)))^2)</f>
        <v/>
      </c>
      <c r="K303">
        <f>MAX(-fyd_cc,MIN(fyd_cc,Es_cc*IF($E303&lt;=cc_D,0.0035*($E303-K$15)/$E303,0.002*($E303-K$15)/($E303-3*cc_D/7))))-fcd_cc*(1-(1-MAX(0,MIN(1,IF($E303&lt;=cc_D,0.0035*($E303-K$15)/$E303,0.002*($E303-K$15)/($E303-3*cc_D/7))/0.002)))^2)</f>
        <v/>
      </c>
      <c r="L303">
        <f>MAX(-fyd_cc,MIN(fyd_cc,Es_cc*IF($E303&lt;=cc_D,0.0035*($E303-L$15)/$E303,0.002*($E303-L$15)/($E303-3*cc_D/7))))-fcd_cc*(1-(1-MAX(0,MIN(1,IF($E303&lt;=cc_D,0.0035*($E303-L$15)/$E303,0.002*($E303-L$15)/($E303-3*cc_D/7))/0.002)))^2)</f>
        <v/>
      </c>
      <c r="M303">
        <f>MAX(-fyd_cc,MIN(fyd_cc,Es_cc*IF($E303&lt;=cc_D,0.0035*($E303-M$15)/$E303,0.002*($E303-M$15)/($E303-3*cc_D/7))))-fcd_cc*(1-(1-MAX(0,MIN(1,IF($E303&lt;=cc_D,0.0035*($E303-M$15)/$E303,0.002*($E303-M$15)/($E303-3*cc_D/7))/0.002)))^2)</f>
        <v/>
      </c>
      <c r="N303">
        <f>MAX(-fyd_cc,MIN(fyd_cc,Es_cc*IF($E303&lt;=cc_D,0.0035*($E303-N$15)/$E303,0.002*($E303-N$15)/($E303-3*cc_D/7))))-fcd_cc*(1-(1-MAX(0,MIN(1,IF($E303&lt;=cc_D,0.0035*($E303-N$15)/$E303,0.002*($E303-N$15)/($E303-3*cc_D/7))/0.002)))^2)</f>
        <v/>
      </c>
      <c r="O303">
        <f>MAX(-fyd_cc,MIN(fyd_cc,Es_cc*IF($E303&lt;=cc_D,0.0035*($E303-O$15)/$E303,0.002*($E303-O$15)/($E303-3*cc_D/7))))-fcd_cc*(1-(1-MAX(0,MIN(1,IF($E303&lt;=cc_D,0.0035*($E303-O$15)/$E303,0.002*($E303-O$15)/($E303-3*cc_D/7))/0.002)))^2)</f>
        <v/>
      </c>
      <c r="P303">
        <f>MAX(-fyd_cc,MIN(fyd_cc,Es_cc*IF($E303&lt;=cc_D,0.0035*($E303-P$15)/$E303,0.002*($E303-P$15)/($E303-3*cc_D/7))))-fcd_cc*(1-(1-MAX(0,MIN(1,IF($E303&lt;=cc_D,0.0035*($E303-P$15)/$E303,0.002*($E303-P$15)/($E303-3*cc_D/7))/0.002)))^2)</f>
        <v/>
      </c>
      <c r="Q303">
        <f>MAX(-fyd_cc,MIN(fyd_cc,Es_cc*IF($E303&lt;=cc_D,0.0035*($E303-Q$15)/$E303,0.002*($E303-Q$15)/($E303-3*cc_D/7))))-fcd_cc*(1-(1-MAX(0,MIN(1,IF($E303&lt;=cc_D,0.0035*($E303-Q$15)/$E303,0.002*($E303-Q$15)/($E303-3*cc_D/7))/0.002)))^2)</f>
        <v/>
      </c>
      <c r="R303">
        <f>MAX(-fyd_cc,MIN(fyd_cc,Es_cc*IF($E303&lt;=cc_D,0.0035*($E303-R$15)/$E303,0.002*($E303-R$15)/($E303-3*cc_D/7))))-fcd_cc*(1-(1-MAX(0,MIN(1,IF($E303&lt;=cc_D,0.0035*($E303-R$15)/$E303,0.002*($E303-R$15)/($E303-3*cc_D/7))/0.002)))^2)</f>
        <v/>
      </c>
      <c r="S303">
        <f>MAX(-fyd_cc,MIN(fyd_cc,Es_cc*IF($E303&lt;=cc_D,0.0035*($E303-S$15)/$E303,0.002*($E303-S$15)/($E303-3*cc_D/7))))-fcd_cc*(1-(1-MAX(0,MIN(1,IF($E303&lt;=cc_D,0.0035*($E303-S$15)/$E303,0.002*($E303-S$15)/($E303-3*cc_D/7))/0.002)))^2)</f>
        <v/>
      </c>
      <c r="T303">
        <f>MAX(-fyd_cc,MIN(fyd_cc,Es_cc*IF($E303&lt;=cc_D,0.0035*($E303-T$15)/$E303,0.002*($E303-T$15)/($E303-3*cc_D/7))))-fcd_cc*(1-(1-MAX(0,MIN(1,IF($E303&lt;=cc_D,0.0035*($E303-T$15)/$E303,0.002*($E303-T$15)/($E303-3*cc_D/7))/0.002)))^2)</f>
        <v/>
      </c>
      <c r="U303">
        <f>MAX(-fyd_cc,MIN(fyd_cc,Es_cc*IF($E303&lt;=cc_D,0.0035*($E303-U$15)/$E303,0.002*($E303-U$15)/($E303-3*cc_D/7))))-fcd_cc*(1-(1-MAX(0,MIN(1,IF($E303&lt;=cc_D,0.0035*($E303-U$15)/$E303,0.002*($E303-U$15)/($E303-3*cc_D/7))/0.002)))^2)</f>
        <v/>
      </c>
      <c r="V303">
        <f>MAX(-fyd_cc,MIN(fyd_cc,Es_cc*IF($E303&lt;=cc_D,0.0035*($E303-V$15)/$E303,0.002*($E303-V$15)/($E303-3*cc_D/7))))-fcd_cc*(1-(1-MAX(0,MIN(1,IF($E303&lt;=cc_D,0.0035*($E303-V$15)/$E303,0.002*($E303-V$15)/($E303-3*cc_D/7))/0.002)))^2)</f>
        <v/>
      </c>
      <c r="W303">
        <f>MAX(-fyd_cc,MIN(fyd_cc,Es_cc*IF($E303&lt;=cc_D,0.0035*($E303-W$15)/$E303,0.002*($E303-W$15)/($E303-3*cc_D/7))))-fcd_cc*(1-(1-MAX(0,MIN(1,IF($E303&lt;=cc_D,0.0035*($E303-W$15)/$E303,0.002*($E303-W$15)/($E303-3*cc_D/7))/0.002)))^2)</f>
        <v/>
      </c>
      <c r="X303">
        <f>MAX(-fyd_cc,MIN(fyd_cc,Es_cc*IF($E303&lt;=cc_D,0.0035*($E303-X$15)/$E303,0.002*($E303-X$15)/($E303-3*cc_D/7))))-fcd_cc*(1-(1-MAX(0,MIN(1,IF($E303&lt;=cc_D,0.0035*($E303-X$15)/$E303,0.002*($E303-X$15)/($E303-3*cc_D/7))/0.002)))^2)</f>
        <v/>
      </c>
      <c r="Y303">
        <f>MAX(-fyd_cc,MIN(fyd_cc,Es_cc*IF($E303&lt;=cc_D,0.0035*($E303-Y$15)/$E303,0.002*($E303-Y$15)/($E303-3*cc_D/7))))-fcd_cc*(1-(1-MAX(0,MIN(1,IF($E303&lt;=cc_D,0.0035*($E303-Y$15)/$E303,0.002*($E303-Y$15)/($E303-3*cc_D/7))/0.002)))^2)</f>
        <v/>
      </c>
      <c r="Z303">
        <f>MAX(-fyd_cc,MIN(fyd_cc,Es_cc*IF($E303&lt;=cc_D,0.0035*($E303-Z$15)/$E303,0.002*($E303-Z$15)/($E303-3*cc_D/7))))-fcd_cc*(1-(1-MAX(0,MIN(1,IF($E303&lt;=cc_D,0.0035*($E303-Z$15)/$E303,0.002*($E303-Z$15)/($E303-3*cc_D/7))/0.002)))^2)</f>
        <v/>
      </c>
      <c r="AA303">
        <f>MAX(-fyd_cc,MIN(fyd_cc,Es_cc*IF($E303&lt;=cc_D,0.0035*($E303-AA$15)/$E303,0.002*($E303-AA$15)/($E303-3*cc_D/7))))-fcd_cc*(1-(1-MAX(0,MIN(1,IF($E303&lt;=cc_D,0.0035*($E303-AA$15)/$E303,0.002*($E303-AA$15)/($E303-3*cc_D/7))/0.002)))^2)</f>
        <v/>
      </c>
      <c r="AB303">
        <f>MAX(-fyd_cc,MIN(fyd_cc,Es_cc*IF($E303&lt;=cc_D,0.0035*($E303-AB$15)/$E303,0.002*($E303-AB$15)/($E303-3*cc_D/7))))-fcd_cc*(1-(1-MAX(0,MIN(1,IF($E303&lt;=cc_D,0.0035*($E303-AB$15)/$E303,0.002*($E303-AB$15)/($E303-3*cc_D/7))/0.002)))^2)</f>
        <v/>
      </c>
      <c r="AC303">
        <f>MAX(-fyd_cc,MIN(fyd_cc,Es_cc*IF($E303&lt;=cc_D,0.0035*($E303-AC$15)/$E303,0.002*($E303-AC$15)/($E303-3*cc_D/7))))-fcd_cc*(1-(1-MAX(0,MIN(1,IF($E303&lt;=cc_D,0.0035*($E303-AC$15)/$E303,0.002*($E303-AC$15)/($E303-3*cc_D/7))/0.002)))^2)</f>
        <v/>
      </c>
      <c r="AD303">
        <f>MAX(-fyd_cc,MIN(fyd_cc,Es_cc*IF($E303&lt;=cc_D,0.0035*($E303-AD$15)/$E303,0.002*($E303-AD$15)/($E303-3*cc_D/7))))-fcd_cc*(1-(1-MAX(0,MIN(1,IF($E303&lt;=cc_D,0.0035*($E303-AD$15)/$E303,0.002*($E303-AD$15)/($E303-3*cc_D/7))/0.002)))^2)</f>
        <v/>
      </c>
      <c r="AE303">
        <f>MAX(-fyd_cc,MIN(fyd_cc,Es_cc*IF($E303&lt;=cc_D,0.0035*($E303-AE$15)/$E303,0.002*($E303-AE$15)/($E303-3*cc_D/7))))-fcd_cc*(1-(1-MAX(0,MIN(1,IF($E303&lt;=cc_D,0.0035*($E303-AE$15)/$E303,0.002*($E303-AE$15)/($E303-3*cc_D/7))/0.002)))^2)</f>
        <v/>
      </c>
      <c r="AF303">
        <f>MAX(-fyd_cc,MIN(fyd_cc,Es_cc*IF($E303&lt;=cc_D,0.0035*($E303-AF$15)/$E303,0.002*($E303-AF$15)/($E303-3*cc_D/7))))-fcd_cc*(1-(1-MAX(0,MIN(1,IF($E303&lt;=cc_D,0.0035*($E303-AF$15)/$E303,0.002*($E303-AF$15)/($E303-3*cc_D/7))/0.002)))^2)</f>
        <v/>
      </c>
      <c r="AG303">
        <f>MAX(-fyd_cc,MIN(fyd_cc,Es_cc*IF($E303&lt;=cc_D,0.0035*($E303-AG$15)/$E303,0.002*($E303-AG$15)/($E303-3*cc_D/7))))-fcd_cc*(1-(1-MAX(0,MIN(1,IF($E303&lt;=cc_D,0.0035*($E303-AG$15)/$E303,0.002*($E303-AG$15)/($E303-3*cc_D/7))/0.002)))^2)</f>
        <v/>
      </c>
      <c r="BF303">
        <f>3*MIN($E303,cc_D)/7</f>
        <v/>
      </c>
      <c r="BG303">
        <f>$E303-$BF303</f>
        <v/>
      </c>
      <c r="BH303">
        <f>ACOS(MAX(-1,MIN(1,1-$BF303/(cc_D/2))))</f>
        <v/>
      </c>
      <c r="BI303">
        <f>ACOS(MAX(-1,MIN(1,1-MIN($E303,cc_D)/(cc_D/2))))</f>
        <v/>
      </c>
      <c r="BJ303">
        <f>((cc_D/2*(1-COS(($BH303+0*($BI303-$BH303)/12)))-$BF303)/$BG303)^2*SIN(($BH303+0*($BI303-$BH303)/12))^2</f>
        <v/>
      </c>
      <c r="BK303">
        <f>((cc_D/2*(1-COS(($BH303+1*($BI303-$BH303)/12)))-$BF303)/$BG303)^2*SIN(($BH303+1*($BI303-$BH303)/12))^2</f>
        <v/>
      </c>
      <c r="BL303">
        <f>((cc_D/2*(1-COS(($BH303+2*($BI303-$BH303)/12)))-$BF303)/$BG303)^2*SIN(($BH303+2*($BI303-$BH303)/12))^2</f>
        <v/>
      </c>
      <c r="BM303">
        <f>((cc_D/2*(1-COS(($BH303+3*($BI303-$BH303)/12)))-$BF303)/$BG303)^2*SIN(($BH303+3*($BI303-$BH303)/12))^2</f>
        <v/>
      </c>
      <c r="BN303">
        <f>((cc_D/2*(1-COS(($BH303+4*($BI303-$BH303)/12)))-$BF303)/$BG303)^2*SIN(($BH303+4*($BI303-$BH303)/12))^2</f>
        <v/>
      </c>
      <c r="BO303">
        <f>((cc_D/2*(1-COS(($BH303+5*($BI303-$BH303)/12)))-$BF303)/$BG303)^2*SIN(($BH303+5*($BI303-$BH303)/12))^2</f>
        <v/>
      </c>
      <c r="BP303">
        <f>((cc_D/2*(1-COS(($BH303+6*($BI303-$BH303)/12)))-$BF303)/$BG303)^2*SIN(($BH303+6*($BI303-$BH303)/12))^2</f>
        <v/>
      </c>
      <c r="BQ303">
        <f>((cc_D/2*(1-COS(($BH303+7*($BI303-$BH303)/12)))-$BF303)/$BG303)^2*SIN(($BH303+7*($BI303-$BH303)/12))^2</f>
        <v/>
      </c>
      <c r="BR303">
        <f>((cc_D/2*(1-COS(($BH303+8*($BI303-$BH303)/12)))-$BF303)/$BG303)^2*SIN(($BH303+8*($BI303-$BH303)/12))^2</f>
        <v/>
      </c>
      <c r="BS303">
        <f>((cc_D/2*(1-COS(($BH303+9*($BI303-$BH303)/12)))-$BF303)/$BG303)^2*SIN(($BH303+9*($BI303-$BH303)/12))^2</f>
        <v/>
      </c>
      <c r="BT303">
        <f>((cc_D/2*(1-COS(($BH303+10*($BI303-$BH303)/12)))-$BF303)/$BG303)^2*SIN(($BH303+10*($BI303-$BH303)/12))^2</f>
        <v/>
      </c>
      <c r="BU303">
        <f>((cc_D/2*(1-COS(($BH303+11*($BI303-$BH303)/12)))-$BF303)/$BG303)^2*SIN(($BH303+11*($BI303-$BH303)/12))^2</f>
        <v/>
      </c>
      <c r="BV303">
        <f>((cc_D/2*(1-COS(($BH303+12*($BI303-$BH303)/12)))-$BF303)/$BG303)^2*SIN(($BH303+12*($BI303-$BH303)/12))^2</f>
        <v/>
      </c>
      <c r="BW303">
        <f>BJ303*COS(($BH303+0*($BI303-$BH303)/12))</f>
        <v/>
      </c>
      <c r="BX303">
        <f>BK303*COS(($BH303+1*($BI303-$BH303)/12))</f>
        <v/>
      </c>
      <c r="BY303">
        <f>BL303*COS(($BH303+2*($BI303-$BH303)/12))</f>
        <v/>
      </c>
      <c r="BZ303">
        <f>BM303*COS(($BH303+3*($BI303-$BH303)/12))</f>
        <v/>
      </c>
      <c r="CA303">
        <f>BN303*COS(($BH303+4*($BI303-$BH303)/12))</f>
        <v/>
      </c>
      <c r="CB303">
        <f>BO303*COS(($BH303+5*($BI303-$BH303)/12))</f>
        <v/>
      </c>
      <c r="CC303">
        <f>BP303*COS(($BH303+6*($BI303-$BH303)/12))</f>
        <v/>
      </c>
      <c r="CD303">
        <f>BQ303*COS(($BH303+7*($BI303-$BH303)/12))</f>
        <v/>
      </c>
      <c r="CE303">
        <f>BR303*COS(($BH303+8*($BI303-$BH303)/12))</f>
        <v/>
      </c>
      <c r="CF303">
        <f>BS303*COS(($BH303+9*($BI303-$BH303)/12))</f>
        <v/>
      </c>
      <c r="CG303">
        <f>BT303*COS(($BH303+10*($BI303-$BH303)/12))</f>
        <v/>
      </c>
      <c r="CH303">
        <f>BU303*COS(($BH303+11*($BI303-$BH303)/12))</f>
        <v/>
      </c>
      <c r="CI303">
        <f>BV303*COS(($BH303+12*($BI303-$BH303)/12))</f>
        <v/>
      </c>
    </row>
    <row r="304">
      <c r="B304" s="65" t="n">
        <v>26</v>
      </c>
      <c r="C304" s="66">
        <f>IF($G303&lt;cc_NEd-1E-9*ABS(cc_NEd),($C303+$D303)/2,$C303)</f>
        <v/>
      </c>
      <c r="D304" s="66">
        <f>IF($G303&lt;cc_NEd-1E-9*ABS(cc_NEd),$D303,($C303+$D303)/2)</f>
        <v/>
      </c>
      <c r="E304" s="67">
        <f>cc_D*(($C304+$D304)/2)/(1-(($C304+$D304)/2))</f>
        <v/>
      </c>
      <c r="F304" s="68">
        <f>IF($E304&lt;=cc_D,3.5,2*$E304/($E304-3*cc_D/7))</f>
        <v/>
      </c>
      <c r="G304" s="67">
        <f>(fcd_cc*((cc_D/2)^2*($BI304-COS($BI304)*SIN($BI304))-2*(cc_D/2)^2*($BI304-$BH304)/12/3*SUMPRODUCT($BJ$4:$BV$4,$BJ304:$BV304))+SUMPRODUCT($J$5:$AG$5,$J304:$AG304))/1000</f>
        <v/>
      </c>
      <c r="H304" s="67">
        <f>(fcd_cc*(2/3*(cc_D/2)^3*SIN($BI304)^3-2*(cc_D/2)^3*($BI304-$BH304)/12/3*SUMPRODUCT($BW$4:$CI$4,$BW304:$CI304))+SUMPRODUCT($J$5:$AG$5,$J304:$AG304,$J$16:$AG$16))/1E6</f>
        <v/>
      </c>
      <c r="I304" s="67">
        <f>SUMPRODUCT($J$5:$AG$5,$J304:$AG304,$J$17:$AG$17)/1E6</f>
        <v/>
      </c>
      <c r="J304">
        <f>MAX(-fyd_cc,MIN(fyd_cc,Es_cc*IF($E304&lt;=cc_D,0.0035*($E304-J$15)/$E304,0.002*($E304-J$15)/($E304-3*cc_D/7))))-fcd_cc*(1-(1-MAX(0,MIN(1,IF($E304&lt;=cc_D,0.0035*($E304-J$15)/$E304,0.002*($E304-J$15)/($E304-3*cc_D/7))/0.002)))^2)</f>
        <v/>
      </c>
      <c r="K304">
        <f>MAX(-fyd_cc,MIN(fyd_cc,Es_cc*IF($E304&lt;=cc_D,0.0035*($E304-K$15)/$E304,0.002*($E304-K$15)/($E304-3*cc_D/7))))-fcd_cc*(1-(1-MAX(0,MIN(1,IF($E304&lt;=cc_D,0.0035*($E304-K$15)/$E304,0.002*($E304-K$15)/($E304-3*cc_D/7))/0.002)))^2)</f>
        <v/>
      </c>
      <c r="L304">
        <f>MAX(-fyd_cc,MIN(fyd_cc,Es_cc*IF($E304&lt;=cc_D,0.0035*($E304-L$15)/$E304,0.002*($E304-L$15)/($E304-3*cc_D/7))))-fcd_cc*(1-(1-MAX(0,MIN(1,IF($E304&lt;=cc_D,0.0035*($E304-L$15)/$E304,0.002*($E304-L$15)/($E304-3*cc_D/7))/0.002)))^2)</f>
        <v/>
      </c>
      <c r="M304">
        <f>MAX(-fyd_cc,MIN(fyd_cc,Es_cc*IF($E304&lt;=cc_D,0.0035*($E304-M$15)/$E304,0.002*($E304-M$15)/($E304-3*cc_D/7))))-fcd_cc*(1-(1-MAX(0,MIN(1,IF($E304&lt;=cc_D,0.0035*($E304-M$15)/$E304,0.002*($E304-M$15)/($E304-3*cc_D/7))/0.002)))^2)</f>
        <v/>
      </c>
      <c r="N304">
        <f>MAX(-fyd_cc,MIN(fyd_cc,Es_cc*IF($E304&lt;=cc_D,0.0035*($E304-N$15)/$E304,0.002*($E304-N$15)/($E304-3*cc_D/7))))-fcd_cc*(1-(1-MAX(0,MIN(1,IF($E304&lt;=cc_D,0.0035*($E304-N$15)/$E304,0.002*($E304-N$15)/($E304-3*cc_D/7))/0.002)))^2)</f>
        <v/>
      </c>
      <c r="O304">
        <f>MAX(-fyd_cc,MIN(fyd_cc,Es_cc*IF($E304&lt;=cc_D,0.0035*($E304-O$15)/$E304,0.002*($E304-O$15)/($E304-3*cc_D/7))))-fcd_cc*(1-(1-MAX(0,MIN(1,IF($E304&lt;=cc_D,0.0035*($E304-O$15)/$E304,0.002*($E304-O$15)/($E304-3*cc_D/7))/0.002)))^2)</f>
        <v/>
      </c>
      <c r="P304">
        <f>MAX(-fyd_cc,MIN(fyd_cc,Es_cc*IF($E304&lt;=cc_D,0.0035*($E304-P$15)/$E304,0.002*($E304-P$15)/($E304-3*cc_D/7))))-fcd_cc*(1-(1-MAX(0,MIN(1,IF($E304&lt;=cc_D,0.0035*($E304-P$15)/$E304,0.002*($E304-P$15)/($E304-3*cc_D/7))/0.002)))^2)</f>
        <v/>
      </c>
      <c r="Q304">
        <f>MAX(-fyd_cc,MIN(fyd_cc,Es_cc*IF($E304&lt;=cc_D,0.0035*($E304-Q$15)/$E304,0.002*($E304-Q$15)/($E304-3*cc_D/7))))-fcd_cc*(1-(1-MAX(0,MIN(1,IF($E304&lt;=cc_D,0.0035*($E304-Q$15)/$E304,0.002*($E304-Q$15)/($E304-3*cc_D/7))/0.002)))^2)</f>
        <v/>
      </c>
      <c r="R304">
        <f>MAX(-fyd_cc,MIN(fyd_cc,Es_cc*IF($E304&lt;=cc_D,0.0035*($E304-R$15)/$E304,0.002*($E304-R$15)/($E304-3*cc_D/7))))-fcd_cc*(1-(1-MAX(0,MIN(1,IF($E304&lt;=cc_D,0.0035*($E304-R$15)/$E304,0.002*($E304-R$15)/($E304-3*cc_D/7))/0.002)))^2)</f>
        <v/>
      </c>
      <c r="S304">
        <f>MAX(-fyd_cc,MIN(fyd_cc,Es_cc*IF($E304&lt;=cc_D,0.0035*($E304-S$15)/$E304,0.002*($E304-S$15)/($E304-3*cc_D/7))))-fcd_cc*(1-(1-MAX(0,MIN(1,IF($E304&lt;=cc_D,0.0035*($E304-S$15)/$E304,0.002*($E304-S$15)/($E304-3*cc_D/7))/0.002)))^2)</f>
        <v/>
      </c>
      <c r="T304">
        <f>MAX(-fyd_cc,MIN(fyd_cc,Es_cc*IF($E304&lt;=cc_D,0.0035*($E304-T$15)/$E304,0.002*($E304-T$15)/($E304-3*cc_D/7))))-fcd_cc*(1-(1-MAX(0,MIN(1,IF($E304&lt;=cc_D,0.0035*($E304-T$15)/$E304,0.002*($E304-T$15)/($E304-3*cc_D/7))/0.002)))^2)</f>
        <v/>
      </c>
      <c r="U304">
        <f>MAX(-fyd_cc,MIN(fyd_cc,Es_cc*IF($E304&lt;=cc_D,0.0035*($E304-U$15)/$E304,0.002*($E304-U$15)/($E304-3*cc_D/7))))-fcd_cc*(1-(1-MAX(0,MIN(1,IF($E304&lt;=cc_D,0.0035*($E304-U$15)/$E304,0.002*($E304-U$15)/($E304-3*cc_D/7))/0.002)))^2)</f>
        <v/>
      </c>
      <c r="V304">
        <f>MAX(-fyd_cc,MIN(fyd_cc,Es_cc*IF($E304&lt;=cc_D,0.0035*($E304-V$15)/$E304,0.002*($E304-V$15)/($E304-3*cc_D/7))))-fcd_cc*(1-(1-MAX(0,MIN(1,IF($E304&lt;=cc_D,0.0035*($E304-V$15)/$E304,0.002*($E304-V$15)/($E304-3*cc_D/7))/0.002)))^2)</f>
        <v/>
      </c>
      <c r="W304">
        <f>MAX(-fyd_cc,MIN(fyd_cc,Es_cc*IF($E304&lt;=cc_D,0.0035*($E304-W$15)/$E304,0.002*($E304-W$15)/($E304-3*cc_D/7))))-fcd_cc*(1-(1-MAX(0,MIN(1,IF($E304&lt;=cc_D,0.0035*($E304-W$15)/$E304,0.002*($E304-W$15)/($E304-3*cc_D/7))/0.002)))^2)</f>
        <v/>
      </c>
      <c r="X304">
        <f>MAX(-fyd_cc,MIN(fyd_cc,Es_cc*IF($E304&lt;=cc_D,0.0035*($E304-X$15)/$E304,0.002*($E304-X$15)/($E304-3*cc_D/7))))-fcd_cc*(1-(1-MAX(0,MIN(1,IF($E304&lt;=cc_D,0.0035*($E304-X$15)/$E304,0.002*($E304-X$15)/($E304-3*cc_D/7))/0.002)))^2)</f>
        <v/>
      </c>
      <c r="Y304">
        <f>MAX(-fyd_cc,MIN(fyd_cc,Es_cc*IF($E304&lt;=cc_D,0.0035*($E304-Y$15)/$E304,0.002*($E304-Y$15)/($E304-3*cc_D/7))))-fcd_cc*(1-(1-MAX(0,MIN(1,IF($E304&lt;=cc_D,0.0035*($E304-Y$15)/$E304,0.002*($E304-Y$15)/($E304-3*cc_D/7))/0.002)))^2)</f>
        <v/>
      </c>
      <c r="Z304">
        <f>MAX(-fyd_cc,MIN(fyd_cc,Es_cc*IF($E304&lt;=cc_D,0.0035*($E304-Z$15)/$E304,0.002*($E304-Z$15)/($E304-3*cc_D/7))))-fcd_cc*(1-(1-MAX(0,MIN(1,IF($E304&lt;=cc_D,0.0035*($E304-Z$15)/$E304,0.002*($E304-Z$15)/($E304-3*cc_D/7))/0.002)))^2)</f>
        <v/>
      </c>
      <c r="AA304">
        <f>MAX(-fyd_cc,MIN(fyd_cc,Es_cc*IF($E304&lt;=cc_D,0.0035*($E304-AA$15)/$E304,0.002*($E304-AA$15)/($E304-3*cc_D/7))))-fcd_cc*(1-(1-MAX(0,MIN(1,IF($E304&lt;=cc_D,0.0035*($E304-AA$15)/$E304,0.002*($E304-AA$15)/($E304-3*cc_D/7))/0.002)))^2)</f>
        <v/>
      </c>
      <c r="AB304">
        <f>MAX(-fyd_cc,MIN(fyd_cc,Es_cc*IF($E304&lt;=cc_D,0.0035*($E304-AB$15)/$E304,0.002*($E304-AB$15)/($E304-3*cc_D/7))))-fcd_cc*(1-(1-MAX(0,MIN(1,IF($E304&lt;=cc_D,0.0035*($E304-AB$15)/$E304,0.002*($E304-AB$15)/($E304-3*cc_D/7))/0.002)))^2)</f>
        <v/>
      </c>
      <c r="AC304">
        <f>MAX(-fyd_cc,MIN(fyd_cc,Es_cc*IF($E304&lt;=cc_D,0.0035*($E304-AC$15)/$E304,0.002*($E304-AC$15)/($E304-3*cc_D/7))))-fcd_cc*(1-(1-MAX(0,MIN(1,IF($E304&lt;=cc_D,0.0035*($E304-AC$15)/$E304,0.002*($E304-AC$15)/($E304-3*cc_D/7))/0.002)))^2)</f>
        <v/>
      </c>
      <c r="AD304">
        <f>MAX(-fyd_cc,MIN(fyd_cc,Es_cc*IF($E304&lt;=cc_D,0.0035*($E304-AD$15)/$E304,0.002*($E304-AD$15)/($E304-3*cc_D/7))))-fcd_cc*(1-(1-MAX(0,MIN(1,IF($E304&lt;=cc_D,0.0035*($E304-AD$15)/$E304,0.002*($E304-AD$15)/($E304-3*cc_D/7))/0.002)))^2)</f>
        <v/>
      </c>
      <c r="AE304">
        <f>MAX(-fyd_cc,MIN(fyd_cc,Es_cc*IF($E304&lt;=cc_D,0.0035*($E304-AE$15)/$E304,0.002*($E304-AE$15)/($E304-3*cc_D/7))))-fcd_cc*(1-(1-MAX(0,MIN(1,IF($E304&lt;=cc_D,0.0035*($E304-AE$15)/$E304,0.002*($E304-AE$15)/($E304-3*cc_D/7))/0.002)))^2)</f>
        <v/>
      </c>
      <c r="AF304">
        <f>MAX(-fyd_cc,MIN(fyd_cc,Es_cc*IF($E304&lt;=cc_D,0.0035*($E304-AF$15)/$E304,0.002*($E304-AF$15)/($E304-3*cc_D/7))))-fcd_cc*(1-(1-MAX(0,MIN(1,IF($E304&lt;=cc_D,0.0035*($E304-AF$15)/$E304,0.002*($E304-AF$15)/($E304-3*cc_D/7))/0.002)))^2)</f>
        <v/>
      </c>
      <c r="AG304">
        <f>MAX(-fyd_cc,MIN(fyd_cc,Es_cc*IF($E304&lt;=cc_D,0.0035*($E304-AG$15)/$E304,0.002*($E304-AG$15)/($E304-3*cc_D/7))))-fcd_cc*(1-(1-MAX(0,MIN(1,IF($E304&lt;=cc_D,0.0035*($E304-AG$15)/$E304,0.002*($E304-AG$15)/($E304-3*cc_D/7))/0.002)))^2)</f>
        <v/>
      </c>
      <c r="BF304">
        <f>3*MIN($E304,cc_D)/7</f>
        <v/>
      </c>
      <c r="BG304">
        <f>$E304-$BF304</f>
        <v/>
      </c>
      <c r="BH304">
        <f>ACOS(MAX(-1,MIN(1,1-$BF304/(cc_D/2))))</f>
        <v/>
      </c>
      <c r="BI304">
        <f>ACOS(MAX(-1,MIN(1,1-MIN($E304,cc_D)/(cc_D/2))))</f>
        <v/>
      </c>
      <c r="BJ304">
        <f>((cc_D/2*(1-COS(($BH304+0*($BI304-$BH304)/12)))-$BF304)/$BG304)^2*SIN(($BH304+0*($BI304-$BH304)/12))^2</f>
        <v/>
      </c>
      <c r="BK304">
        <f>((cc_D/2*(1-COS(($BH304+1*($BI304-$BH304)/12)))-$BF304)/$BG304)^2*SIN(($BH304+1*($BI304-$BH304)/12))^2</f>
        <v/>
      </c>
      <c r="BL304">
        <f>((cc_D/2*(1-COS(($BH304+2*($BI304-$BH304)/12)))-$BF304)/$BG304)^2*SIN(($BH304+2*($BI304-$BH304)/12))^2</f>
        <v/>
      </c>
      <c r="BM304">
        <f>((cc_D/2*(1-COS(($BH304+3*($BI304-$BH304)/12)))-$BF304)/$BG304)^2*SIN(($BH304+3*($BI304-$BH304)/12))^2</f>
        <v/>
      </c>
      <c r="BN304">
        <f>((cc_D/2*(1-COS(($BH304+4*($BI304-$BH304)/12)))-$BF304)/$BG304)^2*SIN(($BH304+4*($BI304-$BH304)/12))^2</f>
        <v/>
      </c>
      <c r="BO304">
        <f>((cc_D/2*(1-COS(($BH304+5*($BI304-$BH304)/12)))-$BF304)/$BG304)^2*SIN(($BH304+5*($BI304-$BH304)/12))^2</f>
        <v/>
      </c>
      <c r="BP304">
        <f>((cc_D/2*(1-COS(($BH304+6*($BI304-$BH304)/12)))-$BF304)/$BG304)^2*SIN(($BH304+6*($BI304-$BH304)/12))^2</f>
        <v/>
      </c>
      <c r="BQ304">
        <f>((cc_D/2*(1-COS(($BH304+7*($BI304-$BH304)/12)))-$BF304)/$BG304)^2*SIN(($BH304+7*($BI304-$BH304)/12))^2</f>
        <v/>
      </c>
      <c r="BR304">
        <f>((cc_D/2*(1-COS(($BH304+8*($BI304-$BH304)/12)))-$BF304)/$BG304)^2*SIN(($BH304+8*($BI304-$BH304)/12))^2</f>
        <v/>
      </c>
      <c r="BS304">
        <f>((cc_D/2*(1-COS(($BH304+9*($BI304-$BH304)/12)))-$BF304)/$BG304)^2*SIN(($BH304+9*($BI304-$BH304)/12))^2</f>
        <v/>
      </c>
      <c r="BT304">
        <f>((cc_D/2*(1-COS(($BH304+10*($BI304-$BH304)/12)))-$BF304)/$BG304)^2*SIN(($BH304+10*($BI304-$BH304)/12))^2</f>
        <v/>
      </c>
      <c r="BU304">
        <f>((cc_D/2*(1-COS(($BH304+11*($BI304-$BH304)/12)))-$BF304)/$BG304)^2*SIN(($BH304+11*($BI304-$BH304)/12))^2</f>
        <v/>
      </c>
      <c r="BV304">
        <f>((cc_D/2*(1-COS(($BH304+12*($BI304-$BH304)/12)))-$BF304)/$BG304)^2*SIN(($BH304+12*($BI304-$BH304)/12))^2</f>
        <v/>
      </c>
      <c r="BW304">
        <f>BJ304*COS(($BH304+0*($BI304-$BH304)/12))</f>
        <v/>
      </c>
      <c r="BX304">
        <f>BK304*COS(($BH304+1*($BI304-$BH304)/12))</f>
        <v/>
      </c>
      <c r="BY304">
        <f>BL304*COS(($BH304+2*($BI304-$BH304)/12))</f>
        <v/>
      </c>
      <c r="BZ304">
        <f>BM304*COS(($BH304+3*($BI304-$BH304)/12))</f>
        <v/>
      </c>
      <c r="CA304">
        <f>BN304*COS(($BH304+4*($BI304-$BH304)/12))</f>
        <v/>
      </c>
      <c r="CB304">
        <f>BO304*COS(($BH304+5*($BI304-$BH304)/12))</f>
        <v/>
      </c>
      <c r="CC304">
        <f>BP304*COS(($BH304+6*($BI304-$BH304)/12))</f>
        <v/>
      </c>
      <c r="CD304">
        <f>BQ304*COS(($BH304+7*($BI304-$BH304)/12))</f>
        <v/>
      </c>
      <c r="CE304">
        <f>BR304*COS(($BH304+8*($BI304-$BH304)/12))</f>
        <v/>
      </c>
      <c r="CF304">
        <f>BS304*COS(($BH304+9*($BI304-$BH304)/12))</f>
        <v/>
      </c>
      <c r="CG304">
        <f>BT304*COS(($BH304+10*($BI304-$BH304)/12))</f>
        <v/>
      </c>
      <c r="CH304">
        <f>BU304*COS(($BH304+11*($BI304-$BH304)/12))</f>
        <v/>
      </c>
      <c r="CI304">
        <f>BV304*COS(($BH304+12*($BI304-$BH304)/12))</f>
        <v/>
      </c>
    </row>
    <row r="305">
      <c r="B305" s="65" t="n">
        <v>27</v>
      </c>
      <c r="C305" s="66">
        <f>IF($G304&lt;cc_NEd-1E-9*ABS(cc_NEd),($C304+$D304)/2,$C304)</f>
        <v/>
      </c>
      <c r="D305" s="66">
        <f>IF($G304&lt;cc_NEd-1E-9*ABS(cc_NEd),$D304,($C304+$D304)/2)</f>
        <v/>
      </c>
      <c r="E305" s="67">
        <f>cc_D*(($C305+$D305)/2)/(1-(($C305+$D305)/2))</f>
        <v/>
      </c>
      <c r="F305" s="68">
        <f>IF($E305&lt;=cc_D,3.5,2*$E305/($E305-3*cc_D/7))</f>
        <v/>
      </c>
      <c r="G305" s="67">
        <f>(fcd_cc*((cc_D/2)^2*($BI305-COS($BI305)*SIN($BI305))-2*(cc_D/2)^2*($BI305-$BH305)/12/3*SUMPRODUCT($BJ$4:$BV$4,$BJ305:$BV305))+SUMPRODUCT($J$5:$AG$5,$J305:$AG305))/1000</f>
        <v/>
      </c>
      <c r="H305" s="67">
        <f>(fcd_cc*(2/3*(cc_D/2)^3*SIN($BI305)^3-2*(cc_D/2)^3*($BI305-$BH305)/12/3*SUMPRODUCT($BW$4:$CI$4,$BW305:$CI305))+SUMPRODUCT($J$5:$AG$5,$J305:$AG305,$J$16:$AG$16))/1E6</f>
        <v/>
      </c>
      <c r="I305" s="67">
        <f>SUMPRODUCT($J$5:$AG$5,$J305:$AG305,$J$17:$AG$17)/1E6</f>
        <v/>
      </c>
      <c r="J305">
        <f>MAX(-fyd_cc,MIN(fyd_cc,Es_cc*IF($E305&lt;=cc_D,0.0035*($E305-J$15)/$E305,0.002*($E305-J$15)/($E305-3*cc_D/7))))-fcd_cc*(1-(1-MAX(0,MIN(1,IF($E305&lt;=cc_D,0.0035*($E305-J$15)/$E305,0.002*($E305-J$15)/($E305-3*cc_D/7))/0.002)))^2)</f>
        <v/>
      </c>
      <c r="K305">
        <f>MAX(-fyd_cc,MIN(fyd_cc,Es_cc*IF($E305&lt;=cc_D,0.0035*($E305-K$15)/$E305,0.002*($E305-K$15)/($E305-3*cc_D/7))))-fcd_cc*(1-(1-MAX(0,MIN(1,IF($E305&lt;=cc_D,0.0035*($E305-K$15)/$E305,0.002*($E305-K$15)/($E305-3*cc_D/7))/0.002)))^2)</f>
        <v/>
      </c>
      <c r="L305">
        <f>MAX(-fyd_cc,MIN(fyd_cc,Es_cc*IF($E305&lt;=cc_D,0.0035*($E305-L$15)/$E305,0.002*($E305-L$15)/($E305-3*cc_D/7))))-fcd_cc*(1-(1-MAX(0,MIN(1,IF($E305&lt;=cc_D,0.0035*($E305-L$15)/$E305,0.002*($E305-L$15)/($E305-3*cc_D/7))/0.002)))^2)</f>
        <v/>
      </c>
      <c r="M305">
        <f>MAX(-fyd_cc,MIN(fyd_cc,Es_cc*IF($E305&lt;=cc_D,0.0035*($E305-M$15)/$E305,0.002*($E305-M$15)/($E305-3*cc_D/7))))-fcd_cc*(1-(1-MAX(0,MIN(1,IF($E305&lt;=cc_D,0.0035*($E305-M$15)/$E305,0.002*($E305-M$15)/($E305-3*cc_D/7))/0.002)))^2)</f>
        <v/>
      </c>
      <c r="N305">
        <f>MAX(-fyd_cc,MIN(fyd_cc,Es_cc*IF($E305&lt;=cc_D,0.0035*($E305-N$15)/$E305,0.002*($E305-N$15)/($E305-3*cc_D/7))))-fcd_cc*(1-(1-MAX(0,MIN(1,IF($E305&lt;=cc_D,0.0035*($E305-N$15)/$E305,0.002*($E305-N$15)/($E305-3*cc_D/7))/0.002)))^2)</f>
        <v/>
      </c>
      <c r="O305">
        <f>MAX(-fyd_cc,MIN(fyd_cc,Es_cc*IF($E305&lt;=cc_D,0.0035*($E305-O$15)/$E305,0.002*($E305-O$15)/($E305-3*cc_D/7))))-fcd_cc*(1-(1-MAX(0,MIN(1,IF($E305&lt;=cc_D,0.0035*($E305-O$15)/$E305,0.002*($E305-O$15)/($E305-3*cc_D/7))/0.002)))^2)</f>
        <v/>
      </c>
      <c r="P305">
        <f>MAX(-fyd_cc,MIN(fyd_cc,Es_cc*IF($E305&lt;=cc_D,0.0035*($E305-P$15)/$E305,0.002*($E305-P$15)/($E305-3*cc_D/7))))-fcd_cc*(1-(1-MAX(0,MIN(1,IF($E305&lt;=cc_D,0.0035*($E305-P$15)/$E305,0.002*($E305-P$15)/($E305-3*cc_D/7))/0.002)))^2)</f>
        <v/>
      </c>
      <c r="Q305">
        <f>MAX(-fyd_cc,MIN(fyd_cc,Es_cc*IF($E305&lt;=cc_D,0.0035*($E305-Q$15)/$E305,0.002*($E305-Q$15)/($E305-3*cc_D/7))))-fcd_cc*(1-(1-MAX(0,MIN(1,IF($E305&lt;=cc_D,0.0035*($E305-Q$15)/$E305,0.002*($E305-Q$15)/($E305-3*cc_D/7))/0.002)))^2)</f>
        <v/>
      </c>
      <c r="R305">
        <f>MAX(-fyd_cc,MIN(fyd_cc,Es_cc*IF($E305&lt;=cc_D,0.0035*($E305-R$15)/$E305,0.002*($E305-R$15)/($E305-3*cc_D/7))))-fcd_cc*(1-(1-MAX(0,MIN(1,IF($E305&lt;=cc_D,0.0035*($E305-R$15)/$E305,0.002*($E305-R$15)/($E305-3*cc_D/7))/0.002)))^2)</f>
        <v/>
      </c>
      <c r="S305">
        <f>MAX(-fyd_cc,MIN(fyd_cc,Es_cc*IF($E305&lt;=cc_D,0.0035*($E305-S$15)/$E305,0.002*($E305-S$15)/($E305-3*cc_D/7))))-fcd_cc*(1-(1-MAX(0,MIN(1,IF($E305&lt;=cc_D,0.0035*($E305-S$15)/$E305,0.002*($E305-S$15)/($E305-3*cc_D/7))/0.002)))^2)</f>
        <v/>
      </c>
      <c r="T305">
        <f>MAX(-fyd_cc,MIN(fyd_cc,Es_cc*IF($E305&lt;=cc_D,0.0035*($E305-T$15)/$E305,0.002*($E305-T$15)/($E305-3*cc_D/7))))-fcd_cc*(1-(1-MAX(0,MIN(1,IF($E305&lt;=cc_D,0.0035*($E305-T$15)/$E305,0.002*($E305-T$15)/($E305-3*cc_D/7))/0.002)))^2)</f>
        <v/>
      </c>
      <c r="U305">
        <f>MAX(-fyd_cc,MIN(fyd_cc,Es_cc*IF($E305&lt;=cc_D,0.0035*($E305-U$15)/$E305,0.002*($E305-U$15)/($E305-3*cc_D/7))))-fcd_cc*(1-(1-MAX(0,MIN(1,IF($E305&lt;=cc_D,0.0035*($E305-U$15)/$E305,0.002*($E305-U$15)/($E305-3*cc_D/7))/0.002)))^2)</f>
        <v/>
      </c>
      <c r="V305">
        <f>MAX(-fyd_cc,MIN(fyd_cc,Es_cc*IF($E305&lt;=cc_D,0.0035*($E305-V$15)/$E305,0.002*($E305-V$15)/($E305-3*cc_D/7))))-fcd_cc*(1-(1-MAX(0,MIN(1,IF($E305&lt;=cc_D,0.0035*($E305-V$15)/$E305,0.002*($E305-V$15)/($E305-3*cc_D/7))/0.002)))^2)</f>
        <v/>
      </c>
      <c r="W305">
        <f>MAX(-fyd_cc,MIN(fyd_cc,Es_cc*IF($E305&lt;=cc_D,0.0035*($E305-W$15)/$E305,0.002*($E305-W$15)/($E305-3*cc_D/7))))-fcd_cc*(1-(1-MAX(0,MIN(1,IF($E305&lt;=cc_D,0.0035*($E305-W$15)/$E305,0.002*($E305-W$15)/($E305-3*cc_D/7))/0.002)))^2)</f>
        <v/>
      </c>
      <c r="X305">
        <f>MAX(-fyd_cc,MIN(fyd_cc,Es_cc*IF($E305&lt;=cc_D,0.0035*($E305-X$15)/$E305,0.002*($E305-X$15)/($E305-3*cc_D/7))))-fcd_cc*(1-(1-MAX(0,MIN(1,IF($E305&lt;=cc_D,0.0035*($E305-X$15)/$E305,0.002*($E305-X$15)/($E305-3*cc_D/7))/0.002)))^2)</f>
        <v/>
      </c>
      <c r="Y305">
        <f>MAX(-fyd_cc,MIN(fyd_cc,Es_cc*IF($E305&lt;=cc_D,0.0035*($E305-Y$15)/$E305,0.002*($E305-Y$15)/($E305-3*cc_D/7))))-fcd_cc*(1-(1-MAX(0,MIN(1,IF($E305&lt;=cc_D,0.0035*($E305-Y$15)/$E305,0.002*($E305-Y$15)/($E305-3*cc_D/7))/0.002)))^2)</f>
        <v/>
      </c>
      <c r="Z305">
        <f>MAX(-fyd_cc,MIN(fyd_cc,Es_cc*IF($E305&lt;=cc_D,0.0035*($E305-Z$15)/$E305,0.002*($E305-Z$15)/($E305-3*cc_D/7))))-fcd_cc*(1-(1-MAX(0,MIN(1,IF($E305&lt;=cc_D,0.0035*($E305-Z$15)/$E305,0.002*($E305-Z$15)/($E305-3*cc_D/7))/0.002)))^2)</f>
        <v/>
      </c>
      <c r="AA305">
        <f>MAX(-fyd_cc,MIN(fyd_cc,Es_cc*IF($E305&lt;=cc_D,0.0035*($E305-AA$15)/$E305,0.002*($E305-AA$15)/($E305-3*cc_D/7))))-fcd_cc*(1-(1-MAX(0,MIN(1,IF($E305&lt;=cc_D,0.0035*($E305-AA$15)/$E305,0.002*($E305-AA$15)/($E305-3*cc_D/7))/0.002)))^2)</f>
        <v/>
      </c>
      <c r="AB305">
        <f>MAX(-fyd_cc,MIN(fyd_cc,Es_cc*IF($E305&lt;=cc_D,0.0035*($E305-AB$15)/$E305,0.002*($E305-AB$15)/($E305-3*cc_D/7))))-fcd_cc*(1-(1-MAX(0,MIN(1,IF($E305&lt;=cc_D,0.0035*($E305-AB$15)/$E305,0.002*($E305-AB$15)/($E305-3*cc_D/7))/0.002)))^2)</f>
        <v/>
      </c>
      <c r="AC305">
        <f>MAX(-fyd_cc,MIN(fyd_cc,Es_cc*IF($E305&lt;=cc_D,0.0035*($E305-AC$15)/$E305,0.002*($E305-AC$15)/($E305-3*cc_D/7))))-fcd_cc*(1-(1-MAX(0,MIN(1,IF($E305&lt;=cc_D,0.0035*($E305-AC$15)/$E305,0.002*($E305-AC$15)/($E305-3*cc_D/7))/0.002)))^2)</f>
        <v/>
      </c>
      <c r="AD305">
        <f>MAX(-fyd_cc,MIN(fyd_cc,Es_cc*IF($E305&lt;=cc_D,0.0035*($E305-AD$15)/$E305,0.002*($E305-AD$15)/($E305-3*cc_D/7))))-fcd_cc*(1-(1-MAX(0,MIN(1,IF($E305&lt;=cc_D,0.0035*($E305-AD$15)/$E305,0.002*($E305-AD$15)/($E305-3*cc_D/7))/0.002)))^2)</f>
        <v/>
      </c>
      <c r="AE305">
        <f>MAX(-fyd_cc,MIN(fyd_cc,Es_cc*IF($E305&lt;=cc_D,0.0035*($E305-AE$15)/$E305,0.002*($E305-AE$15)/($E305-3*cc_D/7))))-fcd_cc*(1-(1-MAX(0,MIN(1,IF($E305&lt;=cc_D,0.0035*($E305-AE$15)/$E305,0.002*($E305-AE$15)/($E305-3*cc_D/7))/0.002)))^2)</f>
        <v/>
      </c>
      <c r="AF305">
        <f>MAX(-fyd_cc,MIN(fyd_cc,Es_cc*IF($E305&lt;=cc_D,0.0035*($E305-AF$15)/$E305,0.002*($E305-AF$15)/($E305-3*cc_D/7))))-fcd_cc*(1-(1-MAX(0,MIN(1,IF($E305&lt;=cc_D,0.0035*($E305-AF$15)/$E305,0.002*($E305-AF$15)/($E305-3*cc_D/7))/0.002)))^2)</f>
        <v/>
      </c>
      <c r="AG305">
        <f>MAX(-fyd_cc,MIN(fyd_cc,Es_cc*IF($E305&lt;=cc_D,0.0035*($E305-AG$15)/$E305,0.002*($E305-AG$15)/($E305-3*cc_D/7))))-fcd_cc*(1-(1-MAX(0,MIN(1,IF($E305&lt;=cc_D,0.0035*($E305-AG$15)/$E305,0.002*($E305-AG$15)/($E305-3*cc_D/7))/0.002)))^2)</f>
        <v/>
      </c>
      <c r="BF305">
        <f>3*MIN($E305,cc_D)/7</f>
        <v/>
      </c>
      <c r="BG305">
        <f>$E305-$BF305</f>
        <v/>
      </c>
      <c r="BH305">
        <f>ACOS(MAX(-1,MIN(1,1-$BF305/(cc_D/2))))</f>
        <v/>
      </c>
      <c r="BI305">
        <f>ACOS(MAX(-1,MIN(1,1-MIN($E305,cc_D)/(cc_D/2))))</f>
        <v/>
      </c>
      <c r="BJ305">
        <f>((cc_D/2*(1-COS(($BH305+0*($BI305-$BH305)/12)))-$BF305)/$BG305)^2*SIN(($BH305+0*($BI305-$BH305)/12))^2</f>
        <v/>
      </c>
      <c r="BK305">
        <f>((cc_D/2*(1-COS(($BH305+1*($BI305-$BH305)/12)))-$BF305)/$BG305)^2*SIN(($BH305+1*($BI305-$BH305)/12))^2</f>
        <v/>
      </c>
      <c r="BL305">
        <f>((cc_D/2*(1-COS(($BH305+2*($BI305-$BH305)/12)))-$BF305)/$BG305)^2*SIN(($BH305+2*($BI305-$BH305)/12))^2</f>
        <v/>
      </c>
      <c r="BM305">
        <f>((cc_D/2*(1-COS(($BH305+3*($BI305-$BH305)/12)))-$BF305)/$BG305)^2*SIN(($BH305+3*($BI305-$BH305)/12))^2</f>
        <v/>
      </c>
      <c r="BN305">
        <f>((cc_D/2*(1-COS(($BH305+4*($BI305-$BH305)/12)))-$BF305)/$BG305)^2*SIN(($BH305+4*($BI305-$BH305)/12))^2</f>
        <v/>
      </c>
      <c r="BO305">
        <f>((cc_D/2*(1-COS(($BH305+5*($BI305-$BH305)/12)))-$BF305)/$BG305)^2*SIN(($BH305+5*($BI305-$BH305)/12))^2</f>
        <v/>
      </c>
      <c r="BP305">
        <f>((cc_D/2*(1-COS(($BH305+6*($BI305-$BH305)/12)))-$BF305)/$BG305)^2*SIN(($BH305+6*($BI305-$BH305)/12))^2</f>
        <v/>
      </c>
      <c r="BQ305">
        <f>((cc_D/2*(1-COS(($BH305+7*($BI305-$BH305)/12)))-$BF305)/$BG305)^2*SIN(($BH305+7*($BI305-$BH305)/12))^2</f>
        <v/>
      </c>
      <c r="BR305">
        <f>((cc_D/2*(1-COS(($BH305+8*($BI305-$BH305)/12)))-$BF305)/$BG305)^2*SIN(($BH305+8*($BI305-$BH305)/12))^2</f>
        <v/>
      </c>
      <c r="BS305">
        <f>((cc_D/2*(1-COS(($BH305+9*($BI305-$BH305)/12)))-$BF305)/$BG305)^2*SIN(($BH305+9*($BI305-$BH305)/12))^2</f>
        <v/>
      </c>
      <c r="BT305">
        <f>((cc_D/2*(1-COS(($BH305+10*($BI305-$BH305)/12)))-$BF305)/$BG305)^2*SIN(($BH305+10*($BI305-$BH305)/12))^2</f>
        <v/>
      </c>
      <c r="BU305">
        <f>((cc_D/2*(1-COS(($BH305+11*($BI305-$BH305)/12)))-$BF305)/$BG305)^2*SIN(($BH305+11*($BI305-$BH305)/12))^2</f>
        <v/>
      </c>
      <c r="BV305">
        <f>((cc_D/2*(1-COS(($BH305+12*($BI305-$BH305)/12)))-$BF305)/$BG305)^2*SIN(($BH305+12*($BI305-$BH305)/12))^2</f>
        <v/>
      </c>
      <c r="BW305">
        <f>BJ305*COS(($BH305+0*($BI305-$BH305)/12))</f>
        <v/>
      </c>
      <c r="BX305">
        <f>BK305*COS(($BH305+1*($BI305-$BH305)/12))</f>
        <v/>
      </c>
      <c r="BY305">
        <f>BL305*COS(($BH305+2*($BI305-$BH305)/12))</f>
        <v/>
      </c>
      <c r="BZ305">
        <f>BM305*COS(($BH305+3*($BI305-$BH305)/12))</f>
        <v/>
      </c>
      <c r="CA305">
        <f>BN305*COS(($BH305+4*($BI305-$BH305)/12))</f>
        <v/>
      </c>
      <c r="CB305">
        <f>BO305*COS(($BH305+5*($BI305-$BH305)/12))</f>
        <v/>
      </c>
      <c r="CC305">
        <f>BP305*COS(($BH305+6*($BI305-$BH305)/12))</f>
        <v/>
      </c>
      <c r="CD305">
        <f>BQ305*COS(($BH305+7*($BI305-$BH305)/12))</f>
        <v/>
      </c>
      <c r="CE305">
        <f>BR305*COS(($BH305+8*($BI305-$BH305)/12))</f>
        <v/>
      </c>
      <c r="CF305">
        <f>BS305*COS(($BH305+9*($BI305-$BH305)/12))</f>
        <v/>
      </c>
      <c r="CG305">
        <f>BT305*COS(($BH305+10*($BI305-$BH305)/12))</f>
        <v/>
      </c>
      <c r="CH305">
        <f>BU305*COS(($BH305+11*($BI305-$BH305)/12))</f>
        <v/>
      </c>
      <c r="CI305">
        <f>BV305*COS(($BH305+12*($BI305-$BH305)/12))</f>
        <v/>
      </c>
    </row>
    <row r="306">
      <c r="B306" s="65" t="n">
        <v>28</v>
      </c>
      <c r="C306" s="66">
        <f>IF($G305&lt;cc_NEd-1E-9*ABS(cc_NEd),($C305+$D305)/2,$C305)</f>
        <v/>
      </c>
      <c r="D306" s="66">
        <f>IF($G305&lt;cc_NEd-1E-9*ABS(cc_NEd),$D305,($C305+$D305)/2)</f>
        <v/>
      </c>
      <c r="E306" s="67">
        <f>cc_D*(($C306+$D306)/2)/(1-(($C306+$D306)/2))</f>
        <v/>
      </c>
      <c r="F306" s="68">
        <f>IF($E306&lt;=cc_D,3.5,2*$E306/($E306-3*cc_D/7))</f>
        <v/>
      </c>
      <c r="G306" s="67">
        <f>(fcd_cc*((cc_D/2)^2*($BI306-COS($BI306)*SIN($BI306))-2*(cc_D/2)^2*($BI306-$BH306)/12/3*SUMPRODUCT($BJ$4:$BV$4,$BJ306:$BV306))+SUMPRODUCT($J$5:$AG$5,$J306:$AG306))/1000</f>
        <v/>
      </c>
      <c r="H306" s="67">
        <f>(fcd_cc*(2/3*(cc_D/2)^3*SIN($BI306)^3-2*(cc_D/2)^3*($BI306-$BH306)/12/3*SUMPRODUCT($BW$4:$CI$4,$BW306:$CI306))+SUMPRODUCT($J$5:$AG$5,$J306:$AG306,$J$16:$AG$16))/1E6</f>
        <v/>
      </c>
      <c r="I306" s="67">
        <f>SUMPRODUCT($J$5:$AG$5,$J306:$AG306,$J$17:$AG$17)/1E6</f>
        <v/>
      </c>
      <c r="J306">
        <f>MAX(-fyd_cc,MIN(fyd_cc,Es_cc*IF($E306&lt;=cc_D,0.0035*($E306-J$15)/$E306,0.002*($E306-J$15)/($E306-3*cc_D/7))))-fcd_cc*(1-(1-MAX(0,MIN(1,IF($E306&lt;=cc_D,0.0035*($E306-J$15)/$E306,0.002*($E306-J$15)/($E306-3*cc_D/7))/0.002)))^2)</f>
        <v/>
      </c>
      <c r="K306">
        <f>MAX(-fyd_cc,MIN(fyd_cc,Es_cc*IF($E306&lt;=cc_D,0.0035*($E306-K$15)/$E306,0.002*($E306-K$15)/($E306-3*cc_D/7))))-fcd_cc*(1-(1-MAX(0,MIN(1,IF($E306&lt;=cc_D,0.0035*($E306-K$15)/$E306,0.002*($E306-K$15)/($E306-3*cc_D/7))/0.002)))^2)</f>
        <v/>
      </c>
      <c r="L306">
        <f>MAX(-fyd_cc,MIN(fyd_cc,Es_cc*IF($E306&lt;=cc_D,0.0035*($E306-L$15)/$E306,0.002*($E306-L$15)/($E306-3*cc_D/7))))-fcd_cc*(1-(1-MAX(0,MIN(1,IF($E306&lt;=cc_D,0.0035*($E306-L$15)/$E306,0.002*($E306-L$15)/($E306-3*cc_D/7))/0.002)))^2)</f>
        <v/>
      </c>
      <c r="M306">
        <f>MAX(-fyd_cc,MIN(fyd_cc,Es_cc*IF($E306&lt;=cc_D,0.0035*($E306-M$15)/$E306,0.002*($E306-M$15)/($E306-3*cc_D/7))))-fcd_cc*(1-(1-MAX(0,MIN(1,IF($E306&lt;=cc_D,0.0035*($E306-M$15)/$E306,0.002*($E306-M$15)/($E306-3*cc_D/7))/0.002)))^2)</f>
        <v/>
      </c>
      <c r="N306">
        <f>MAX(-fyd_cc,MIN(fyd_cc,Es_cc*IF($E306&lt;=cc_D,0.0035*($E306-N$15)/$E306,0.002*($E306-N$15)/($E306-3*cc_D/7))))-fcd_cc*(1-(1-MAX(0,MIN(1,IF($E306&lt;=cc_D,0.0035*($E306-N$15)/$E306,0.002*($E306-N$15)/($E306-3*cc_D/7))/0.002)))^2)</f>
        <v/>
      </c>
      <c r="O306">
        <f>MAX(-fyd_cc,MIN(fyd_cc,Es_cc*IF($E306&lt;=cc_D,0.0035*($E306-O$15)/$E306,0.002*($E306-O$15)/($E306-3*cc_D/7))))-fcd_cc*(1-(1-MAX(0,MIN(1,IF($E306&lt;=cc_D,0.0035*($E306-O$15)/$E306,0.002*($E306-O$15)/($E306-3*cc_D/7))/0.002)))^2)</f>
        <v/>
      </c>
      <c r="P306">
        <f>MAX(-fyd_cc,MIN(fyd_cc,Es_cc*IF($E306&lt;=cc_D,0.0035*($E306-P$15)/$E306,0.002*($E306-P$15)/($E306-3*cc_D/7))))-fcd_cc*(1-(1-MAX(0,MIN(1,IF($E306&lt;=cc_D,0.0035*($E306-P$15)/$E306,0.002*($E306-P$15)/($E306-3*cc_D/7))/0.002)))^2)</f>
        <v/>
      </c>
      <c r="Q306">
        <f>MAX(-fyd_cc,MIN(fyd_cc,Es_cc*IF($E306&lt;=cc_D,0.0035*($E306-Q$15)/$E306,0.002*($E306-Q$15)/($E306-3*cc_D/7))))-fcd_cc*(1-(1-MAX(0,MIN(1,IF($E306&lt;=cc_D,0.0035*($E306-Q$15)/$E306,0.002*($E306-Q$15)/($E306-3*cc_D/7))/0.002)))^2)</f>
        <v/>
      </c>
      <c r="R306">
        <f>MAX(-fyd_cc,MIN(fyd_cc,Es_cc*IF($E306&lt;=cc_D,0.0035*($E306-R$15)/$E306,0.002*($E306-R$15)/($E306-3*cc_D/7))))-fcd_cc*(1-(1-MAX(0,MIN(1,IF($E306&lt;=cc_D,0.0035*($E306-R$15)/$E306,0.002*($E306-R$15)/($E306-3*cc_D/7))/0.002)))^2)</f>
        <v/>
      </c>
      <c r="S306">
        <f>MAX(-fyd_cc,MIN(fyd_cc,Es_cc*IF($E306&lt;=cc_D,0.0035*($E306-S$15)/$E306,0.002*($E306-S$15)/($E306-3*cc_D/7))))-fcd_cc*(1-(1-MAX(0,MIN(1,IF($E306&lt;=cc_D,0.0035*($E306-S$15)/$E306,0.002*($E306-S$15)/($E306-3*cc_D/7))/0.002)))^2)</f>
        <v/>
      </c>
      <c r="T306">
        <f>MAX(-fyd_cc,MIN(fyd_cc,Es_cc*IF($E306&lt;=cc_D,0.0035*($E306-T$15)/$E306,0.002*($E306-T$15)/($E306-3*cc_D/7))))-fcd_cc*(1-(1-MAX(0,MIN(1,IF($E306&lt;=cc_D,0.0035*($E306-T$15)/$E306,0.002*($E306-T$15)/($E306-3*cc_D/7))/0.002)))^2)</f>
        <v/>
      </c>
      <c r="U306">
        <f>MAX(-fyd_cc,MIN(fyd_cc,Es_cc*IF($E306&lt;=cc_D,0.0035*($E306-U$15)/$E306,0.002*($E306-U$15)/($E306-3*cc_D/7))))-fcd_cc*(1-(1-MAX(0,MIN(1,IF($E306&lt;=cc_D,0.0035*($E306-U$15)/$E306,0.002*($E306-U$15)/($E306-3*cc_D/7))/0.002)))^2)</f>
        <v/>
      </c>
      <c r="V306">
        <f>MAX(-fyd_cc,MIN(fyd_cc,Es_cc*IF($E306&lt;=cc_D,0.0035*($E306-V$15)/$E306,0.002*($E306-V$15)/($E306-3*cc_D/7))))-fcd_cc*(1-(1-MAX(0,MIN(1,IF($E306&lt;=cc_D,0.0035*($E306-V$15)/$E306,0.002*($E306-V$15)/($E306-3*cc_D/7))/0.002)))^2)</f>
        <v/>
      </c>
      <c r="W306">
        <f>MAX(-fyd_cc,MIN(fyd_cc,Es_cc*IF($E306&lt;=cc_D,0.0035*($E306-W$15)/$E306,0.002*($E306-W$15)/($E306-3*cc_D/7))))-fcd_cc*(1-(1-MAX(0,MIN(1,IF($E306&lt;=cc_D,0.0035*($E306-W$15)/$E306,0.002*($E306-W$15)/($E306-3*cc_D/7))/0.002)))^2)</f>
        <v/>
      </c>
      <c r="X306">
        <f>MAX(-fyd_cc,MIN(fyd_cc,Es_cc*IF($E306&lt;=cc_D,0.0035*($E306-X$15)/$E306,0.002*($E306-X$15)/($E306-3*cc_D/7))))-fcd_cc*(1-(1-MAX(0,MIN(1,IF($E306&lt;=cc_D,0.0035*($E306-X$15)/$E306,0.002*($E306-X$15)/($E306-3*cc_D/7))/0.002)))^2)</f>
        <v/>
      </c>
      <c r="Y306">
        <f>MAX(-fyd_cc,MIN(fyd_cc,Es_cc*IF($E306&lt;=cc_D,0.0035*($E306-Y$15)/$E306,0.002*($E306-Y$15)/($E306-3*cc_D/7))))-fcd_cc*(1-(1-MAX(0,MIN(1,IF($E306&lt;=cc_D,0.0035*($E306-Y$15)/$E306,0.002*($E306-Y$15)/($E306-3*cc_D/7))/0.002)))^2)</f>
        <v/>
      </c>
      <c r="Z306">
        <f>MAX(-fyd_cc,MIN(fyd_cc,Es_cc*IF($E306&lt;=cc_D,0.0035*($E306-Z$15)/$E306,0.002*($E306-Z$15)/($E306-3*cc_D/7))))-fcd_cc*(1-(1-MAX(0,MIN(1,IF($E306&lt;=cc_D,0.0035*($E306-Z$15)/$E306,0.002*($E306-Z$15)/($E306-3*cc_D/7))/0.002)))^2)</f>
        <v/>
      </c>
      <c r="AA306">
        <f>MAX(-fyd_cc,MIN(fyd_cc,Es_cc*IF($E306&lt;=cc_D,0.0035*($E306-AA$15)/$E306,0.002*($E306-AA$15)/($E306-3*cc_D/7))))-fcd_cc*(1-(1-MAX(0,MIN(1,IF($E306&lt;=cc_D,0.0035*($E306-AA$15)/$E306,0.002*($E306-AA$15)/($E306-3*cc_D/7))/0.002)))^2)</f>
        <v/>
      </c>
      <c r="AB306">
        <f>MAX(-fyd_cc,MIN(fyd_cc,Es_cc*IF($E306&lt;=cc_D,0.0035*($E306-AB$15)/$E306,0.002*($E306-AB$15)/($E306-3*cc_D/7))))-fcd_cc*(1-(1-MAX(0,MIN(1,IF($E306&lt;=cc_D,0.0035*($E306-AB$15)/$E306,0.002*($E306-AB$15)/($E306-3*cc_D/7))/0.002)))^2)</f>
        <v/>
      </c>
      <c r="AC306">
        <f>MAX(-fyd_cc,MIN(fyd_cc,Es_cc*IF($E306&lt;=cc_D,0.0035*($E306-AC$15)/$E306,0.002*($E306-AC$15)/($E306-3*cc_D/7))))-fcd_cc*(1-(1-MAX(0,MIN(1,IF($E306&lt;=cc_D,0.0035*($E306-AC$15)/$E306,0.002*($E306-AC$15)/($E306-3*cc_D/7))/0.002)))^2)</f>
        <v/>
      </c>
      <c r="AD306">
        <f>MAX(-fyd_cc,MIN(fyd_cc,Es_cc*IF($E306&lt;=cc_D,0.0035*($E306-AD$15)/$E306,0.002*($E306-AD$15)/($E306-3*cc_D/7))))-fcd_cc*(1-(1-MAX(0,MIN(1,IF($E306&lt;=cc_D,0.0035*($E306-AD$15)/$E306,0.002*($E306-AD$15)/($E306-3*cc_D/7))/0.002)))^2)</f>
        <v/>
      </c>
      <c r="AE306">
        <f>MAX(-fyd_cc,MIN(fyd_cc,Es_cc*IF($E306&lt;=cc_D,0.0035*($E306-AE$15)/$E306,0.002*($E306-AE$15)/($E306-3*cc_D/7))))-fcd_cc*(1-(1-MAX(0,MIN(1,IF($E306&lt;=cc_D,0.0035*($E306-AE$15)/$E306,0.002*($E306-AE$15)/($E306-3*cc_D/7))/0.002)))^2)</f>
        <v/>
      </c>
      <c r="AF306">
        <f>MAX(-fyd_cc,MIN(fyd_cc,Es_cc*IF($E306&lt;=cc_D,0.0035*($E306-AF$15)/$E306,0.002*($E306-AF$15)/($E306-3*cc_D/7))))-fcd_cc*(1-(1-MAX(0,MIN(1,IF($E306&lt;=cc_D,0.0035*($E306-AF$15)/$E306,0.002*($E306-AF$15)/($E306-3*cc_D/7))/0.002)))^2)</f>
        <v/>
      </c>
      <c r="AG306">
        <f>MAX(-fyd_cc,MIN(fyd_cc,Es_cc*IF($E306&lt;=cc_D,0.0035*($E306-AG$15)/$E306,0.002*($E306-AG$15)/($E306-3*cc_D/7))))-fcd_cc*(1-(1-MAX(0,MIN(1,IF($E306&lt;=cc_D,0.0035*($E306-AG$15)/$E306,0.002*($E306-AG$15)/($E306-3*cc_D/7))/0.002)))^2)</f>
        <v/>
      </c>
      <c r="BF306">
        <f>3*MIN($E306,cc_D)/7</f>
        <v/>
      </c>
      <c r="BG306">
        <f>$E306-$BF306</f>
        <v/>
      </c>
      <c r="BH306">
        <f>ACOS(MAX(-1,MIN(1,1-$BF306/(cc_D/2))))</f>
        <v/>
      </c>
      <c r="BI306">
        <f>ACOS(MAX(-1,MIN(1,1-MIN($E306,cc_D)/(cc_D/2))))</f>
        <v/>
      </c>
      <c r="BJ306">
        <f>((cc_D/2*(1-COS(($BH306+0*($BI306-$BH306)/12)))-$BF306)/$BG306)^2*SIN(($BH306+0*($BI306-$BH306)/12))^2</f>
        <v/>
      </c>
      <c r="BK306">
        <f>((cc_D/2*(1-COS(($BH306+1*($BI306-$BH306)/12)))-$BF306)/$BG306)^2*SIN(($BH306+1*($BI306-$BH306)/12))^2</f>
        <v/>
      </c>
      <c r="BL306">
        <f>((cc_D/2*(1-COS(($BH306+2*($BI306-$BH306)/12)))-$BF306)/$BG306)^2*SIN(($BH306+2*($BI306-$BH306)/12))^2</f>
        <v/>
      </c>
      <c r="BM306">
        <f>((cc_D/2*(1-COS(($BH306+3*($BI306-$BH306)/12)))-$BF306)/$BG306)^2*SIN(($BH306+3*($BI306-$BH306)/12))^2</f>
        <v/>
      </c>
      <c r="BN306">
        <f>((cc_D/2*(1-COS(($BH306+4*($BI306-$BH306)/12)))-$BF306)/$BG306)^2*SIN(($BH306+4*($BI306-$BH306)/12))^2</f>
        <v/>
      </c>
      <c r="BO306">
        <f>((cc_D/2*(1-COS(($BH306+5*($BI306-$BH306)/12)))-$BF306)/$BG306)^2*SIN(($BH306+5*($BI306-$BH306)/12))^2</f>
        <v/>
      </c>
      <c r="BP306">
        <f>((cc_D/2*(1-COS(($BH306+6*($BI306-$BH306)/12)))-$BF306)/$BG306)^2*SIN(($BH306+6*($BI306-$BH306)/12))^2</f>
        <v/>
      </c>
      <c r="BQ306">
        <f>((cc_D/2*(1-COS(($BH306+7*($BI306-$BH306)/12)))-$BF306)/$BG306)^2*SIN(($BH306+7*($BI306-$BH306)/12))^2</f>
        <v/>
      </c>
      <c r="BR306">
        <f>((cc_D/2*(1-COS(($BH306+8*($BI306-$BH306)/12)))-$BF306)/$BG306)^2*SIN(($BH306+8*($BI306-$BH306)/12))^2</f>
        <v/>
      </c>
      <c r="BS306">
        <f>((cc_D/2*(1-COS(($BH306+9*($BI306-$BH306)/12)))-$BF306)/$BG306)^2*SIN(($BH306+9*($BI306-$BH306)/12))^2</f>
        <v/>
      </c>
      <c r="BT306">
        <f>((cc_D/2*(1-COS(($BH306+10*($BI306-$BH306)/12)))-$BF306)/$BG306)^2*SIN(($BH306+10*($BI306-$BH306)/12))^2</f>
        <v/>
      </c>
      <c r="BU306">
        <f>((cc_D/2*(1-COS(($BH306+11*($BI306-$BH306)/12)))-$BF306)/$BG306)^2*SIN(($BH306+11*($BI306-$BH306)/12))^2</f>
        <v/>
      </c>
      <c r="BV306">
        <f>((cc_D/2*(1-COS(($BH306+12*($BI306-$BH306)/12)))-$BF306)/$BG306)^2*SIN(($BH306+12*($BI306-$BH306)/12))^2</f>
        <v/>
      </c>
      <c r="BW306">
        <f>BJ306*COS(($BH306+0*($BI306-$BH306)/12))</f>
        <v/>
      </c>
      <c r="BX306">
        <f>BK306*COS(($BH306+1*($BI306-$BH306)/12))</f>
        <v/>
      </c>
      <c r="BY306">
        <f>BL306*COS(($BH306+2*($BI306-$BH306)/12))</f>
        <v/>
      </c>
      <c r="BZ306">
        <f>BM306*COS(($BH306+3*($BI306-$BH306)/12))</f>
        <v/>
      </c>
      <c r="CA306">
        <f>BN306*COS(($BH306+4*($BI306-$BH306)/12))</f>
        <v/>
      </c>
      <c r="CB306">
        <f>BO306*COS(($BH306+5*($BI306-$BH306)/12))</f>
        <v/>
      </c>
      <c r="CC306">
        <f>BP306*COS(($BH306+6*($BI306-$BH306)/12))</f>
        <v/>
      </c>
      <c r="CD306">
        <f>BQ306*COS(($BH306+7*($BI306-$BH306)/12))</f>
        <v/>
      </c>
      <c r="CE306">
        <f>BR306*COS(($BH306+8*($BI306-$BH306)/12))</f>
        <v/>
      </c>
      <c r="CF306">
        <f>BS306*COS(($BH306+9*($BI306-$BH306)/12))</f>
        <v/>
      </c>
      <c r="CG306">
        <f>BT306*COS(($BH306+10*($BI306-$BH306)/12))</f>
        <v/>
      </c>
      <c r="CH306">
        <f>BU306*COS(($BH306+11*($BI306-$BH306)/12))</f>
        <v/>
      </c>
      <c r="CI306">
        <f>BV306*COS(($BH306+12*($BI306-$BH306)/12))</f>
        <v/>
      </c>
    </row>
    <row r="307">
      <c r="B307" s="65" t="n">
        <v>29</v>
      </c>
      <c r="C307" s="66">
        <f>IF($G306&lt;cc_NEd-1E-9*ABS(cc_NEd),($C306+$D306)/2,$C306)</f>
        <v/>
      </c>
      <c r="D307" s="66">
        <f>IF($G306&lt;cc_NEd-1E-9*ABS(cc_NEd),$D306,($C306+$D306)/2)</f>
        <v/>
      </c>
      <c r="E307" s="67">
        <f>cc_D*(($C307+$D307)/2)/(1-(($C307+$D307)/2))</f>
        <v/>
      </c>
      <c r="F307" s="68">
        <f>IF($E307&lt;=cc_D,3.5,2*$E307/($E307-3*cc_D/7))</f>
        <v/>
      </c>
      <c r="G307" s="67">
        <f>(fcd_cc*((cc_D/2)^2*($BI307-COS($BI307)*SIN($BI307))-2*(cc_D/2)^2*($BI307-$BH307)/12/3*SUMPRODUCT($BJ$4:$BV$4,$BJ307:$BV307))+SUMPRODUCT($J$5:$AG$5,$J307:$AG307))/1000</f>
        <v/>
      </c>
      <c r="H307" s="67">
        <f>(fcd_cc*(2/3*(cc_D/2)^3*SIN($BI307)^3-2*(cc_D/2)^3*($BI307-$BH307)/12/3*SUMPRODUCT($BW$4:$CI$4,$BW307:$CI307))+SUMPRODUCT($J$5:$AG$5,$J307:$AG307,$J$16:$AG$16))/1E6</f>
        <v/>
      </c>
      <c r="I307" s="67">
        <f>SUMPRODUCT($J$5:$AG$5,$J307:$AG307,$J$17:$AG$17)/1E6</f>
        <v/>
      </c>
      <c r="J307">
        <f>MAX(-fyd_cc,MIN(fyd_cc,Es_cc*IF($E307&lt;=cc_D,0.0035*($E307-J$15)/$E307,0.002*($E307-J$15)/($E307-3*cc_D/7))))-fcd_cc*(1-(1-MAX(0,MIN(1,IF($E307&lt;=cc_D,0.0035*($E307-J$15)/$E307,0.002*($E307-J$15)/($E307-3*cc_D/7))/0.002)))^2)</f>
        <v/>
      </c>
      <c r="K307">
        <f>MAX(-fyd_cc,MIN(fyd_cc,Es_cc*IF($E307&lt;=cc_D,0.0035*($E307-K$15)/$E307,0.002*($E307-K$15)/($E307-3*cc_D/7))))-fcd_cc*(1-(1-MAX(0,MIN(1,IF($E307&lt;=cc_D,0.0035*($E307-K$15)/$E307,0.002*($E307-K$15)/($E307-3*cc_D/7))/0.002)))^2)</f>
        <v/>
      </c>
      <c r="L307">
        <f>MAX(-fyd_cc,MIN(fyd_cc,Es_cc*IF($E307&lt;=cc_D,0.0035*($E307-L$15)/$E307,0.002*($E307-L$15)/($E307-3*cc_D/7))))-fcd_cc*(1-(1-MAX(0,MIN(1,IF($E307&lt;=cc_D,0.0035*($E307-L$15)/$E307,0.002*($E307-L$15)/($E307-3*cc_D/7))/0.002)))^2)</f>
        <v/>
      </c>
      <c r="M307">
        <f>MAX(-fyd_cc,MIN(fyd_cc,Es_cc*IF($E307&lt;=cc_D,0.0035*($E307-M$15)/$E307,0.002*($E307-M$15)/($E307-3*cc_D/7))))-fcd_cc*(1-(1-MAX(0,MIN(1,IF($E307&lt;=cc_D,0.0035*($E307-M$15)/$E307,0.002*($E307-M$15)/($E307-3*cc_D/7))/0.002)))^2)</f>
        <v/>
      </c>
      <c r="N307">
        <f>MAX(-fyd_cc,MIN(fyd_cc,Es_cc*IF($E307&lt;=cc_D,0.0035*($E307-N$15)/$E307,0.002*($E307-N$15)/($E307-3*cc_D/7))))-fcd_cc*(1-(1-MAX(0,MIN(1,IF($E307&lt;=cc_D,0.0035*($E307-N$15)/$E307,0.002*($E307-N$15)/($E307-3*cc_D/7))/0.002)))^2)</f>
        <v/>
      </c>
      <c r="O307">
        <f>MAX(-fyd_cc,MIN(fyd_cc,Es_cc*IF($E307&lt;=cc_D,0.0035*($E307-O$15)/$E307,0.002*($E307-O$15)/($E307-3*cc_D/7))))-fcd_cc*(1-(1-MAX(0,MIN(1,IF($E307&lt;=cc_D,0.0035*($E307-O$15)/$E307,0.002*($E307-O$15)/($E307-3*cc_D/7))/0.002)))^2)</f>
        <v/>
      </c>
      <c r="P307">
        <f>MAX(-fyd_cc,MIN(fyd_cc,Es_cc*IF($E307&lt;=cc_D,0.0035*($E307-P$15)/$E307,0.002*($E307-P$15)/($E307-3*cc_D/7))))-fcd_cc*(1-(1-MAX(0,MIN(1,IF($E307&lt;=cc_D,0.0035*($E307-P$15)/$E307,0.002*($E307-P$15)/($E307-3*cc_D/7))/0.002)))^2)</f>
        <v/>
      </c>
      <c r="Q307">
        <f>MAX(-fyd_cc,MIN(fyd_cc,Es_cc*IF($E307&lt;=cc_D,0.0035*($E307-Q$15)/$E307,0.002*($E307-Q$15)/($E307-3*cc_D/7))))-fcd_cc*(1-(1-MAX(0,MIN(1,IF($E307&lt;=cc_D,0.0035*($E307-Q$15)/$E307,0.002*($E307-Q$15)/($E307-3*cc_D/7))/0.002)))^2)</f>
        <v/>
      </c>
      <c r="R307">
        <f>MAX(-fyd_cc,MIN(fyd_cc,Es_cc*IF($E307&lt;=cc_D,0.0035*($E307-R$15)/$E307,0.002*($E307-R$15)/($E307-3*cc_D/7))))-fcd_cc*(1-(1-MAX(0,MIN(1,IF($E307&lt;=cc_D,0.0035*($E307-R$15)/$E307,0.002*($E307-R$15)/($E307-3*cc_D/7))/0.002)))^2)</f>
        <v/>
      </c>
      <c r="S307">
        <f>MAX(-fyd_cc,MIN(fyd_cc,Es_cc*IF($E307&lt;=cc_D,0.0035*($E307-S$15)/$E307,0.002*($E307-S$15)/($E307-3*cc_D/7))))-fcd_cc*(1-(1-MAX(0,MIN(1,IF($E307&lt;=cc_D,0.0035*($E307-S$15)/$E307,0.002*($E307-S$15)/($E307-3*cc_D/7))/0.002)))^2)</f>
        <v/>
      </c>
      <c r="T307">
        <f>MAX(-fyd_cc,MIN(fyd_cc,Es_cc*IF($E307&lt;=cc_D,0.0035*($E307-T$15)/$E307,0.002*($E307-T$15)/($E307-3*cc_D/7))))-fcd_cc*(1-(1-MAX(0,MIN(1,IF($E307&lt;=cc_D,0.0035*($E307-T$15)/$E307,0.002*($E307-T$15)/($E307-3*cc_D/7))/0.002)))^2)</f>
        <v/>
      </c>
      <c r="U307">
        <f>MAX(-fyd_cc,MIN(fyd_cc,Es_cc*IF($E307&lt;=cc_D,0.0035*($E307-U$15)/$E307,0.002*($E307-U$15)/($E307-3*cc_D/7))))-fcd_cc*(1-(1-MAX(0,MIN(1,IF($E307&lt;=cc_D,0.0035*($E307-U$15)/$E307,0.002*($E307-U$15)/($E307-3*cc_D/7))/0.002)))^2)</f>
        <v/>
      </c>
      <c r="V307">
        <f>MAX(-fyd_cc,MIN(fyd_cc,Es_cc*IF($E307&lt;=cc_D,0.0035*($E307-V$15)/$E307,0.002*($E307-V$15)/($E307-3*cc_D/7))))-fcd_cc*(1-(1-MAX(0,MIN(1,IF($E307&lt;=cc_D,0.0035*($E307-V$15)/$E307,0.002*($E307-V$15)/($E307-3*cc_D/7))/0.002)))^2)</f>
        <v/>
      </c>
      <c r="W307">
        <f>MAX(-fyd_cc,MIN(fyd_cc,Es_cc*IF($E307&lt;=cc_D,0.0035*($E307-W$15)/$E307,0.002*($E307-W$15)/($E307-3*cc_D/7))))-fcd_cc*(1-(1-MAX(0,MIN(1,IF($E307&lt;=cc_D,0.0035*($E307-W$15)/$E307,0.002*($E307-W$15)/($E307-3*cc_D/7))/0.002)))^2)</f>
        <v/>
      </c>
      <c r="X307">
        <f>MAX(-fyd_cc,MIN(fyd_cc,Es_cc*IF($E307&lt;=cc_D,0.0035*($E307-X$15)/$E307,0.002*($E307-X$15)/($E307-3*cc_D/7))))-fcd_cc*(1-(1-MAX(0,MIN(1,IF($E307&lt;=cc_D,0.0035*($E307-X$15)/$E307,0.002*($E307-X$15)/($E307-3*cc_D/7))/0.002)))^2)</f>
        <v/>
      </c>
      <c r="Y307">
        <f>MAX(-fyd_cc,MIN(fyd_cc,Es_cc*IF($E307&lt;=cc_D,0.0035*($E307-Y$15)/$E307,0.002*($E307-Y$15)/($E307-3*cc_D/7))))-fcd_cc*(1-(1-MAX(0,MIN(1,IF($E307&lt;=cc_D,0.0035*($E307-Y$15)/$E307,0.002*($E307-Y$15)/($E307-3*cc_D/7))/0.002)))^2)</f>
        <v/>
      </c>
      <c r="Z307">
        <f>MAX(-fyd_cc,MIN(fyd_cc,Es_cc*IF($E307&lt;=cc_D,0.0035*($E307-Z$15)/$E307,0.002*($E307-Z$15)/($E307-3*cc_D/7))))-fcd_cc*(1-(1-MAX(0,MIN(1,IF($E307&lt;=cc_D,0.0035*($E307-Z$15)/$E307,0.002*($E307-Z$15)/($E307-3*cc_D/7))/0.002)))^2)</f>
        <v/>
      </c>
      <c r="AA307">
        <f>MAX(-fyd_cc,MIN(fyd_cc,Es_cc*IF($E307&lt;=cc_D,0.0035*($E307-AA$15)/$E307,0.002*($E307-AA$15)/($E307-3*cc_D/7))))-fcd_cc*(1-(1-MAX(0,MIN(1,IF($E307&lt;=cc_D,0.0035*($E307-AA$15)/$E307,0.002*($E307-AA$15)/($E307-3*cc_D/7))/0.002)))^2)</f>
        <v/>
      </c>
      <c r="AB307">
        <f>MAX(-fyd_cc,MIN(fyd_cc,Es_cc*IF($E307&lt;=cc_D,0.0035*($E307-AB$15)/$E307,0.002*($E307-AB$15)/($E307-3*cc_D/7))))-fcd_cc*(1-(1-MAX(0,MIN(1,IF($E307&lt;=cc_D,0.0035*($E307-AB$15)/$E307,0.002*($E307-AB$15)/($E307-3*cc_D/7))/0.002)))^2)</f>
        <v/>
      </c>
      <c r="AC307">
        <f>MAX(-fyd_cc,MIN(fyd_cc,Es_cc*IF($E307&lt;=cc_D,0.0035*($E307-AC$15)/$E307,0.002*($E307-AC$15)/($E307-3*cc_D/7))))-fcd_cc*(1-(1-MAX(0,MIN(1,IF($E307&lt;=cc_D,0.0035*($E307-AC$15)/$E307,0.002*($E307-AC$15)/($E307-3*cc_D/7))/0.002)))^2)</f>
        <v/>
      </c>
      <c r="AD307">
        <f>MAX(-fyd_cc,MIN(fyd_cc,Es_cc*IF($E307&lt;=cc_D,0.0035*($E307-AD$15)/$E307,0.002*($E307-AD$15)/($E307-3*cc_D/7))))-fcd_cc*(1-(1-MAX(0,MIN(1,IF($E307&lt;=cc_D,0.0035*($E307-AD$15)/$E307,0.002*($E307-AD$15)/($E307-3*cc_D/7))/0.002)))^2)</f>
        <v/>
      </c>
      <c r="AE307">
        <f>MAX(-fyd_cc,MIN(fyd_cc,Es_cc*IF($E307&lt;=cc_D,0.0035*($E307-AE$15)/$E307,0.002*($E307-AE$15)/($E307-3*cc_D/7))))-fcd_cc*(1-(1-MAX(0,MIN(1,IF($E307&lt;=cc_D,0.0035*($E307-AE$15)/$E307,0.002*($E307-AE$15)/($E307-3*cc_D/7))/0.002)))^2)</f>
        <v/>
      </c>
      <c r="AF307">
        <f>MAX(-fyd_cc,MIN(fyd_cc,Es_cc*IF($E307&lt;=cc_D,0.0035*($E307-AF$15)/$E307,0.002*($E307-AF$15)/($E307-3*cc_D/7))))-fcd_cc*(1-(1-MAX(0,MIN(1,IF($E307&lt;=cc_D,0.0035*($E307-AF$15)/$E307,0.002*($E307-AF$15)/($E307-3*cc_D/7))/0.002)))^2)</f>
        <v/>
      </c>
      <c r="AG307">
        <f>MAX(-fyd_cc,MIN(fyd_cc,Es_cc*IF($E307&lt;=cc_D,0.0035*($E307-AG$15)/$E307,0.002*($E307-AG$15)/($E307-3*cc_D/7))))-fcd_cc*(1-(1-MAX(0,MIN(1,IF($E307&lt;=cc_D,0.0035*($E307-AG$15)/$E307,0.002*($E307-AG$15)/($E307-3*cc_D/7))/0.002)))^2)</f>
        <v/>
      </c>
      <c r="BF307">
        <f>3*MIN($E307,cc_D)/7</f>
        <v/>
      </c>
      <c r="BG307">
        <f>$E307-$BF307</f>
        <v/>
      </c>
      <c r="BH307">
        <f>ACOS(MAX(-1,MIN(1,1-$BF307/(cc_D/2))))</f>
        <v/>
      </c>
      <c r="BI307">
        <f>ACOS(MAX(-1,MIN(1,1-MIN($E307,cc_D)/(cc_D/2))))</f>
        <v/>
      </c>
      <c r="BJ307">
        <f>((cc_D/2*(1-COS(($BH307+0*($BI307-$BH307)/12)))-$BF307)/$BG307)^2*SIN(($BH307+0*($BI307-$BH307)/12))^2</f>
        <v/>
      </c>
      <c r="BK307">
        <f>((cc_D/2*(1-COS(($BH307+1*($BI307-$BH307)/12)))-$BF307)/$BG307)^2*SIN(($BH307+1*($BI307-$BH307)/12))^2</f>
        <v/>
      </c>
      <c r="BL307">
        <f>((cc_D/2*(1-COS(($BH307+2*($BI307-$BH307)/12)))-$BF307)/$BG307)^2*SIN(($BH307+2*($BI307-$BH307)/12))^2</f>
        <v/>
      </c>
      <c r="BM307">
        <f>((cc_D/2*(1-COS(($BH307+3*($BI307-$BH307)/12)))-$BF307)/$BG307)^2*SIN(($BH307+3*($BI307-$BH307)/12))^2</f>
        <v/>
      </c>
      <c r="BN307">
        <f>((cc_D/2*(1-COS(($BH307+4*($BI307-$BH307)/12)))-$BF307)/$BG307)^2*SIN(($BH307+4*($BI307-$BH307)/12))^2</f>
        <v/>
      </c>
      <c r="BO307">
        <f>((cc_D/2*(1-COS(($BH307+5*($BI307-$BH307)/12)))-$BF307)/$BG307)^2*SIN(($BH307+5*($BI307-$BH307)/12))^2</f>
        <v/>
      </c>
      <c r="BP307">
        <f>((cc_D/2*(1-COS(($BH307+6*($BI307-$BH307)/12)))-$BF307)/$BG307)^2*SIN(($BH307+6*($BI307-$BH307)/12))^2</f>
        <v/>
      </c>
      <c r="BQ307">
        <f>((cc_D/2*(1-COS(($BH307+7*($BI307-$BH307)/12)))-$BF307)/$BG307)^2*SIN(($BH307+7*($BI307-$BH307)/12))^2</f>
        <v/>
      </c>
      <c r="BR307">
        <f>((cc_D/2*(1-COS(($BH307+8*($BI307-$BH307)/12)))-$BF307)/$BG307)^2*SIN(($BH307+8*($BI307-$BH307)/12))^2</f>
        <v/>
      </c>
      <c r="BS307">
        <f>((cc_D/2*(1-COS(($BH307+9*($BI307-$BH307)/12)))-$BF307)/$BG307)^2*SIN(($BH307+9*($BI307-$BH307)/12))^2</f>
        <v/>
      </c>
      <c r="BT307">
        <f>((cc_D/2*(1-COS(($BH307+10*($BI307-$BH307)/12)))-$BF307)/$BG307)^2*SIN(($BH307+10*($BI307-$BH307)/12))^2</f>
        <v/>
      </c>
      <c r="BU307">
        <f>((cc_D/2*(1-COS(($BH307+11*($BI307-$BH307)/12)))-$BF307)/$BG307)^2*SIN(($BH307+11*($BI307-$BH307)/12))^2</f>
        <v/>
      </c>
      <c r="BV307">
        <f>((cc_D/2*(1-COS(($BH307+12*($BI307-$BH307)/12)))-$BF307)/$BG307)^2*SIN(($BH307+12*($BI307-$BH307)/12))^2</f>
        <v/>
      </c>
      <c r="BW307">
        <f>BJ307*COS(($BH307+0*($BI307-$BH307)/12))</f>
        <v/>
      </c>
      <c r="BX307">
        <f>BK307*COS(($BH307+1*($BI307-$BH307)/12))</f>
        <v/>
      </c>
      <c r="BY307">
        <f>BL307*COS(($BH307+2*($BI307-$BH307)/12))</f>
        <v/>
      </c>
      <c r="BZ307">
        <f>BM307*COS(($BH307+3*($BI307-$BH307)/12))</f>
        <v/>
      </c>
      <c r="CA307">
        <f>BN307*COS(($BH307+4*($BI307-$BH307)/12))</f>
        <v/>
      </c>
      <c r="CB307">
        <f>BO307*COS(($BH307+5*($BI307-$BH307)/12))</f>
        <v/>
      </c>
      <c r="CC307">
        <f>BP307*COS(($BH307+6*($BI307-$BH307)/12))</f>
        <v/>
      </c>
      <c r="CD307">
        <f>BQ307*COS(($BH307+7*($BI307-$BH307)/12))</f>
        <v/>
      </c>
      <c r="CE307">
        <f>BR307*COS(($BH307+8*($BI307-$BH307)/12))</f>
        <v/>
      </c>
      <c r="CF307">
        <f>BS307*COS(($BH307+9*($BI307-$BH307)/12))</f>
        <v/>
      </c>
      <c r="CG307">
        <f>BT307*COS(($BH307+10*($BI307-$BH307)/12))</f>
        <v/>
      </c>
      <c r="CH307">
        <f>BU307*COS(($BH307+11*($BI307-$BH307)/12))</f>
        <v/>
      </c>
      <c r="CI307">
        <f>BV307*COS(($BH307+12*($BI307-$BH307)/12))</f>
        <v/>
      </c>
    </row>
    <row r="308">
      <c r="B308" s="65" t="n">
        <v>30</v>
      </c>
      <c r="C308" s="66">
        <f>IF($G307&lt;cc_NEd-1E-9*ABS(cc_NEd),($C307+$D307)/2,$C307)</f>
        <v/>
      </c>
      <c r="D308" s="66">
        <f>IF($G307&lt;cc_NEd-1E-9*ABS(cc_NEd),$D307,($C307+$D307)/2)</f>
        <v/>
      </c>
      <c r="E308" s="67">
        <f>cc_D*(($C308+$D308)/2)/(1-(($C308+$D308)/2))</f>
        <v/>
      </c>
      <c r="F308" s="68">
        <f>IF($E308&lt;=cc_D,3.5,2*$E308/($E308-3*cc_D/7))</f>
        <v/>
      </c>
      <c r="G308" s="67">
        <f>(fcd_cc*((cc_D/2)^2*($BI308-COS($BI308)*SIN($BI308))-2*(cc_D/2)^2*($BI308-$BH308)/12/3*SUMPRODUCT($BJ$4:$BV$4,$BJ308:$BV308))+SUMPRODUCT($J$5:$AG$5,$J308:$AG308))/1000</f>
        <v/>
      </c>
      <c r="H308" s="67">
        <f>(fcd_cc*(2/3*(cc_D/2)^3*SIN($BI308)^3-2*(cc_D/2)^3*($BI308-$BH308)/12/3*SUMPRODUCT($BW$4:$CI$4,$BW308:$CI308))+SUMPRODUCT($J$5:$AG$5,$J308:$AG308,$J$16:$AG$16))/1E6</f>
        <v/>
      </c>
      <c r="I308" s="67">
        <f>SUMPRODUCT($J$5:$AG$5,$J308:$AG308,$J$17:$AG$17)/1E6</f>
        <v/>
      </c>
      <c r="J308">
        <f>MAX(-fyd_cc,MIN(fyd_cc,Es_cc*IF($E308&lt;=cc_D,0.0035*($E308-J$15)/$E308,0.002*($E308-J$15)/($E308-3*cc_D/7))))-fcd_cc*(1-(1-MAX(0,MIN(1,IF($E308&lt;=cc_D,0.0035*($E308-J$15)/$E308,0.002*($E308-J$15)/($E308-3*cc_D/7))/0.002)))^2)</f>
        <v/>
      </c>
      <c r="K308">
        <f>MAX(-fyd_cc,MIN(fyd_cc,Es_cc*IF($E308&lt;=cc_D,0.0035*($E308-K$15)/$E308,0.002*($E308-K$15)/($E308-3*cc_D/7))))-fcd_cc*(1-(1-MAX(0,MIN(1,IF($E308&lt;=cc_D,0.0035*($E308-K$15)/$E308,0.002*($E308-K$15)/($E308-3*cc_D/7))/0.002)))^2)</f>
        <v/>
      </c>
      <c r="L308">
        <f>MAX(-fyd_cc,MIN(fyd_cc,Es_cc*IF($E308&lt;=cc_D,0.0035*($E308-L$15)/$E308,0.002*($E308-L$15)/($E308-3*cc_D/7))))-fcd_cc*(1-(1-MAX(0,MIN(1,IF($E308&lt;=cc_D,0.0035*($E308-L$15)/$E308,0.002*($E308-L$15)/($E308-3*cc_D/7))/0.002)))^2)</f>
        <v/>
      </c>
      <c r="M308">
        <f>MAX(-fyd_cc,MIN(fyd_cc,Es_cc*IF($E308&lt;=cc_D,0.0035*($E308-M$15)/$E308,0.002*($E308-M$15)/($E308-3*cc_D/7))))-fcd_cc*(1-(1-MAX(0,MIN(1,IF($E308&lt;=cc_D,0.0035*($E308-M$15)/$E308,0.002*($E308-M$15)/($E308-3*cc_D/7))/0.002)))^2)</f>
        <v/>
      </c>
      <c r="N308">
        <f>MAX(-fyd_cc,MIN(fyd_cc,Es_cc*IF($E308&lt;=cc_D,0.0035*($E308-N$15)/$E308,0.002*($E308-N$15)/($E308-3*cc_D/7))))-fcd_cc*(1-(1-MAX(0,MIN(1,IF($E308&lt;=cc_D,0.0035*($E308-N$15)/$E308,0.002*($E308-N$15)/($E308-3*cc_D/7))/0.002)))^2)</f>
        <v/>
      </c>
      <c r="O308">
        <f>MAX(-fyd_cc,MIN(fyd_cc,Es_cc*IF($E308&lt;=cc_D,0.0035*($E308-O$15)/$E308,0.002*($E308-O$15)/($E308-3*cc_D/7))))-fcd_cc*(1-(1-MAX(0,MIN(1,IF($E308&lt;=cc_D,0.0035*($E308-O$15)/$E308,0.002*($E308-O$15)/($E308-3*cc_D/7))/0.002)))^2)</f>
        <v/>
      </c>
      <c r="P308">
        <f>MAX(-fyd_cc,MIN(fyd_cc,Es_cc*IF($E308&lt;=cc_D,0.0035*($E308-P$15)/$E308,0.002*($E308-P$15)/($E308-3*cc_D/7))))-fcd_cc*(1-(1-MAX(0,MIN(1,IF($E308&lt;=cc_D,0.0035*($E308-P$15)/$E308,0.002*($E308-P$15)/($E308-3*cc_D/7))/0.002)))^2)</f>
        <v/>
      </c>
      <c r="Q308">
        <f>MAX(-fyd_cc,MIN(fyd_cc,Es_cc*IF($E308&lt;=cc_D,0.0035*($E308-Q$15)/$E308,0.002*($E308-Q$15)/($E308-3*cc_D/7))))-fcd_cc*(1-(1-MAX(0,MIN(1,IF($E308&lt;=cc_D,0.0035*($E308-Q$15)/$E308,0.002*($E308-Q$15)/($E308-3*cc_D/7))/0.002)))^2)</f>
        <v/>
      </c>
      <c r="R308">
        <f>MAX(-fyd_cc,MIN(fyd_cc,Es_cc*IF($E308&lt;=cc_D,0.0035*($E308-R$15)/$E308,0.002*($E308-R$15)/($E308-3*cc_D/7))))-fcd_cc*(1-(1-MAX(0,MIN(1,IF($E308&lt;=cc_D,0.0035*($E308-R$15)/$E308,0.002*($E308-R$15)/($E308-3*cc_D/7))/0.002)))^2)</f>
        <v/>
      </c>
      <c r="S308">
        <f>MAX(-fyd_cc,MIN(fyd_cc,Es_cc*IF($E308&lt;=cc_D,0.0035*($E308-S$15)/$E308,0.002*($E308-S$15)/($E308-3*cc_D/7))))-fcd_cc*(1-(1-MAX(0,MIN(1,IF($E308&lt;=cc_D,0.0035*($E308-S$15)/$E308,0.002*($E308-S$15)/($E308-3*cc_D/7))/0.002)))^2)</f>
        <v/>
      </c>
      <c r="T308">
        <f>MAX(-fyd_cc,MIN(fyd_cc,Es_cc*IF($E308&lt;=cc_D,0.0035*($E308-T$15)/$E308,0.002*($E308-T$15)/($E308-3*cc_D/7))))-fcd_cc*(1-(1-MAX(0,MIN(1,IF($E308&lt;=cc_D,0.0035*($E308-T$15)/$E308,0.002*($E308-T$15)/($E308-3*cc_D/7))/0.002)))^2)</f>
        <v/>
      </c>
      <c r="U308">
        <f>MAX(-fyd_cc,MIN(fyd_cc,Es_cc*IF($E308&lt;=cc_D,0.0035*($E308-U$15)/$E308,0.002*($E308-U$15)/($E308-3*cc_D/7))))-fcd_cc*(1-(1-MAX(0,MIN(1,IF($E308&lt;=cc_D,0.0035*($E308-U$15)/$E308,0.002*($E308-U$15)/($E308-3*cc_D/7))/0.002)))^2)</f>
        <v/>
      </c>
      <c r="V308">
        <f>MAX(-fyd_cc,MIN(fyd_cc,Es_cc*IF($E308&lt;=cc_D,0.0035*($E308-V$15)/$E308,0.002*($E308-V$15)/($E308-3*cc_D/7))))-fcd_cc*(1-(1-MAX(0,MIN(1,IF($E308&lt;=cc_D,0.0035*($E308-V$15)/$E308,0.002*($E308-V$15)/($E308-3*cc_D/7))/0.002)))^2)</f>
        <v/>
      </c>
      <c r="W308">
        <f>MAX(-fyd_cc,MIN(fyd_cc,Es_cc*IF($E308&lt;=cc_D,0.0035*($E308-W$15)/$E308,0.002*($E308-W$15)/($E308-3*cc_D/7))))-fcd_cc*(1-(1-MAX(0,MIN(1,IF($E308&lt;=cc_D,0.0035*($E308-W$15)/$E308,0.002*($E308-W$15)/($E308-3*cc_D/7))/0.002)))^2)</f>
        <v/>
      </c>
      <c r="X308">
        <f>MAX(-fyd_cc,MIN(fyd_cc,Es_cc*IF($E308&lt;=cc_D,0.0035*($E308-X$15)/$E308,0.002*($E308-X$15)/($E308-3*cc_D/7))))-fcd_cc*(1-(1-MAX(0,MIN(1,IF($E308&lt;=cc_D,0.0035*($E308-X$15)/$E308,0.002*($E308-X$15)/($E308-3*cc_D/7))/0.002)))^2)</f>
        <v/>
      </c>
      <c r="Y308">
        <f>MAX(-fyd_cc,MIN(fyd_cc,Es_cc*IF($E308&lt;=cc_D,0.0035*($E308-Y$15)/$E308,0.002*($E308-Y$15)/($E308-3*cc_D/7))))-fcd_cc*(1-(1-MAX(0,MIN(1,IF($E308&lt;=cc_D,0.0035*($E308-Y$15)/$E308,0.002*($E308-Y$15)/($E308-3*cc_D/7))/0.002)))^2)</f>
        <v/>
      </c>
      <c r="Z308">
        <f>MAX(-fyd_cc,MIN(fyd_cc,Es_cc*IF($E308&lt;=cc_D,0.0035*($E308-Z$15)/$E308,0.002*($E308-Z$15)/($E308-3*cc_D/7))))-fcd_cc*(1-(1-MAX(0,MIN(1,IF($E308&lt;=cc_D,0.0035*($E308-Z$15)/$E308,0.002*($E308-Z$15)/($E308-3*cc_D/7))/0.002)))^2)</f>
        <v/>
      </c>
      <c r="AA308">
        <f>MAX(-fyd_cc,MIN(fyd_cc,Es_cc*IF($E308&lt;=cc_D,0.0035*($E308-AA$15)/$E308,0.002*($E308-AA$15)/($E308-3*cc_D/7))))-fcd_cc*(1-(1-MAX(0,MIN(1,IF($E308&lt;=cc_D,0.0035*($E308-AA$15)/$E308,0.002*($E308-AA$15)/($E308-3*cc_D/7))/0.002)))^2)</f>
        <v/>
      </c>
      <c r="AB308">
        <f>MAX(-fyd_cc,MIN(fyd_cc,Es_cc*IF($E308&lt;=cc_D,0.0035*($E308-AB$15)/$E308,0.002*($E308-AB$15)/($E308-3*cc_D/7))))-fcd_cc*(1-(1-MAX(0,MIN(1,IF($E308&lt;=cc_D,0.0035*($E308-AB$15)/$E308,0.002*($E308-AB$15)/($E308-3*cc_D/7))/0.002)))^2)</f>
        <v/>
      </c>
      <c r="AC308">
        <f>MAX(-fyd_cc,MIN(fyd_cc,Es_cc*IF($E308&lt;=cc_D,0.0035*($E308-AC$15)/$E308,0.002*($E308-AC$15)/($E308-3*cc_D/7))))-fcd_cc*(1-(1-MAX(0,MIN(1,IF($E308&lt;=cc_D,0.0035*($E308-AC$15)/$E308,0.002*($E308-AC$15)/($E308-3*cc_D/7))/0.002)))^2)</f>
        <v/>
      </c>
      <c r="AD308">
        <f>MAX(-fyd_cc,MIN(fyd_cc,Es_cc*IF($E308&lt;=cc_D,0.0035*($E308-AD$15)/$E308,0.002*($E308-AD$15)/($E308-3*cc_D/7))))-fcd_cc*(1-(1-MAX(0,MIN(1,IF($E308&lt;=cc_D,0.0035*($E308-AD$15)/$E308,0.002*($E308-AD$15)/($E308-3*cc_D/7))/0.002)))^2)</f>
        <v/>
      </c>
      <c r="AE308">
        <f>MAX(-fyd_cc,MIN(fyd_cc,Es_cc*IF($E308&lt;=cc_D,0.0035*($E308-AE$15)/$E308,0.002*($E308-AE$15)/($E308-3*cc_D/7))))-fcd_cc*(1-(1-MAX(0,MIN(1,IF($E308&lt;=cc_D,0.0035*($E308-AE$15)/$E308,0.002*($E308-AE$15)/($E308-3*cc_D/7))/0.002)))^2)</f>
        <v/>
      </c>
      <c r="AF308">
        <f>MAX(-fyd_cc,MIN(fyd_cc,Es_cc*IF($E308&lt;=cc_D,0.0035*($E308-AF$15)/$E308,0.002*($E308-AF$15)/($E308-3*cc_D/7))))-fcd_cc*(1-(1-MAX(0,MIN(1,IF($E308&lt;=cc_D,0.0035*($E308-AF$15)/$E308,0.002*($E308-AF$15)/($E308-3*cc_D/7))/0.002)))^2)</f>
        <v/>
      </c>
      <c r="AG308">
        <f>MAX(-fyd_cc,MIN(fyd_cc,Es_cc*IF($E308&lt;=cc_D,0.0035*($E308-AG$15)/$E308,0.002*($E308-AG$15)/($E308-3*cc_D/7))))-fcd_cc*(1-(1-MAX(0,MIN(1,IF($E308&lt;=cc_D,0.0035*($E308-AG$15)/$E308,0.002*($E308-AG$15)/($E308-3*cc_D/7))/0.002)))^2)</f>
        <v/>
      </c>
      <c r="BF308">
        <f>3*MIN($E308,cc_D)/7</f>
        <v/>
      </c>
      <c r="BG308">
        <f>$E308-$BF308</f>
        <v/>
      </c>
      <c r="BH308">
        <f>ACOS(MAX(-1,MIN(1,1-$BF308/(cc_D/2))))</f>
        <v/>
      </c>
      <c r="BI308">
        <f>ACOS(MAX(-1,MIN(1,1-MIN($E308,cc_D)/(cc_D/2))))</f>
        <v/>
      </c>
      <c r="BJ308">
        <f>((cc_D/2*(1-COS(($BH308+0*($BI308-$BH308)/12)))-$BF308)/$BG308)^2*SIN(($BH308+0*($BI308-$BH308)/12))^2</f>
        <v/>
      </c>
      <c r="BK308">
        <f>((cc_D/2*(1-COS(($BH308+1*($BI308-$BH308)/12)))-$BF308)/$BG308)^2*SIN(($BH308+1*($BI308-$BH308)/12))^2</f>
        <v/>
      </c>
      <c r="BL308">
        <f>((cc_D/2*(1-COS(($BH308+2*($BI308-$BH308)/12)))-$BF308)/$BG308)^2*SIN(($BH308+2*($BI308-$BH308)/12))^2</f>
        <v/>
      </c>
      <c r="BM308">
        <f>((cc_D/2*(1-COS(($BH308+3*($BI308-$BH308)/12)))-$BF308)/$BG308)^2*SIN(($BH308+3*($BI308-$BH308)/12))^2</f>
        <v/>
      </c>
      <c r="BN308">
        <f>((cc_D/2*(1-COS(($BH308+4*($BI308-$BH308)/12)))-$BF308)/$BG308)^2*SIN(($BH308+4*($BI308-$BH308)/12))^2</f>
        <v/>
      </c>
      <c r="BO308">
        <f>((cc_D/2*(1-COS(($BH308+5*($BI308-$BH308)/12)))-$BF308)/$BG308)^2*SIN(($BH308+5*($BI308-$BH308)/12))^2</f>
        <v/>
      </c>
      <c r="BP308">
        <f>((cc_D/2*(1-COS(($BH308+6*($BI308-$BH308)/12)))-$BF308)/$BG308)^2*SIN(($BH308+6*($BI308-$BH308)/12))^2</f>
        <v/>
      </c>
      <c r="BQ308">
        <f>((cc_D/2*(1-COS(($BH308+7*($BI308-$BH308)/12)))-$BF308)/$BG308)^2*SIN(($BH308+7*($BI308-$BH308)/12))^2</f>
        <v/>
      </c>
      <c r="BR308">
        <f>((cc_D/2*(1-COS(($BH308+8*($BI308-$BH308)/12)))-$BF308)/$BG308)^2*SIN(($BH308+8*($BI308-$BH308)/12))^2</f>
        <v/>
      </c>
      <c r="BS308">
        <f>((cc_D/2*(1-COS(($BH308+9*($BI308-$BH308)/12)))-$BF308)/$BG308)^2*SIN(($BH308+9*($BI308-$BH308)/12))^2</f>
        <v/>
      </c>
      <c r="BT308">
        <f>((cc_D/2*(1-COS(($BH308+10*($BI308-$BH308)/12)))-$BF308)/$BG308)^2*SIN(($BH308+10*($BI308-$BH308)/12))^2</f>
        <v/>
      </c>
      <c r="BU308">
        <f>((cc_D/2*(1-COS(($BH308+11*($BI308-$BH308)/12)))-$BF308)/$BG308)^2*SIN(($BH308+11*($BI308-$BH308)/12))^2</f>
        <v/>
      </c>
      <c r="BV308">
        <f>((cc_D/2*(1-COS(($BH308+12*($BI308-$BH308)/12)))-$BF308)/$BG308)^2*SIN(($BH308+12*($BI308-$BH308)/12))^2</f>
        <v/>
      </c>
      <c r="BW308">
        <f>BJ308*COS(($BH308+0*($BI308-$BH308)/12))</f>
        <v/>
      </c>
      <c r="BX308">
        <f>BK308*COS(($BH308+1*($BI308-$BH308)/12))</f>
        <v/>
      </c>
      <c r="BY308">
        <f>BL308*COS(($BH308+2*($BI308-$BH308)/12))</f>
        <v/>
      </c>
      <c r="BZ308">
        <f>BM308*COS(($BH308+3*($BI308-$BH308)/12))</f>
        <v/>
      </c>
      <c r="CA308">
        <f>BN308*COS(($BH308+4*($BI308-$BH308)/12))</f>
        <v/>
      </c>
      <c r="CB308">
        <f>BO308*COS(($BH308+5*($BI308-$BH308)/12))</f>
        <v/>
      </c>
      <c r="CC308">
        <f>BP308*COS(($BH308+6*($BI308-$BH308)/12))</f>
        <v/>
      </c>
      <c r="CD308">
        <f>BQ308*COS(($BH308+7*($BI308-$BH308)/12))</f>
        <v/>
      </c>
      <c r="CE308">
        <f>BR308*COS(($BH308+8*($BI308-$BH308)/12))</f>
        <v/>
      </c>
      <c r="CF308">
        <f>BS308*COS(($BH308+9*($BI308-$BH308)/12))</f>
        <v/>
      </c>
      <c r="CG308">
        <f>BT308*COS(($BH308+10*($BI308-$BH308)/12))</f>
        <v/>
      </c>
      <c r="CH308">
        <f>BU308*COS(($BH308+11*($BI308-$BH308)/12))</f>
        <v/>
      </c>
      <c r="CI308">
        <f>BV308*COS(($BH308+12*($BI308-$BH308)/12))</f>
        <v/>
      </c>
    </row>
    <row r="309">
      <c r="B309" s="65" t="n">
        <v>31</v>
      </c>
      <c r="C309" s="66">
        <f>IF($G308&lt;cc_NEd-1E-9*ABS(cc_NEd),($C308+$D308)/2,$C308)</f>
        <v/>
      </c>
      <c r="D309" s="66">
        <f>IF($G308&lt;cc_NEd-1E-9*ABS(cc_NEd),$D308,($C308+$D308)/2)</f>
        <v/>
      </c>
      <c r="E309" s="67">
        <f>cc_D*(($C309+$D309)/2)/(1-(($C309+$D309)/2))</f>
        <v/>
      </c>
      <c r="F309" s="68">
        <f>IF($E309&lt;=cc_D,3.5,2*$E309/($E309-3*cc_D/7))</f>
        <v/>
      </c>
      <c r="G309" s="67">
        <f>(fcd_cc*((cc_D/2)^2*($BI309-COS($BI309)*SIN($BI309))-2*(cc_D/2)^2*($BI309-$BH309)/12/3*SUMPRODUCT($BJ$4:$BV$4,$BJ309:$BV309))+SUMPRODUCT($J$5:$AG$5,$J309:$AG309))/1000</f>
        <v/>
      </c>
      <c r="H309" s="67">
        <f>(fcd_cc*(2/3*(cc_D/2)^3*SIN($BI309)^3-2*(cc_D/2)^3*($BI309-$BH309)/12/3*SUMPRODUCT($BW$4:$CI$4,$BW309:$CI309))+SUMPRODUCT($J$5:$AG$5,$J309:$AG309,$J$16:$AG$16))/1E6</f>
        <v/>
      </c>
      <c r="I309" s="67">
        <f>SUMPRODUCT($J$5:$AG$5,$J309:$AG309,$J$17:$AG$17)/1E6</f>
        <v/>
      </c>
      <c r="J309">
        <f>MAX(-fyd_cc,MIN(fyd_cc,Es_cc*IF($E309&lt;=cc_D,0.0035*($E309-J$15)/$E309,0.002*($E309-J$15)/($E309-3*cc_D/7))))-fcd_cc*(1-(1-MAX(0,MIN(1,IF($E309&lt;=cc_D,0.0035*($E309-J$15)/$E309,0.002*($E309-J$15)/($E309-3*cc_D/7))/0.002)))^2)</f>
        <v/>
      </c>
      <c r="K309">
        <f>MAX(-fyd_cc,MIN(fyd_cc,Es_cc*IF($E309&lt;=cc_D,0.0035*($E309-K$15)/$E309,0.002*($E309-K$15)/($E309-3*cc_D/7))))-fcd_cc*(1-(1-MAX(0,MIN(1,IF($E309&lt;=cc_D,0.0035*($E309-K$15)/$E309,0.002*($E309-K$15)/($E309-3*cc_D/7))/0.002)))^2)</f>
        <v/>
      </c>
      <c r="L309">
        <f>MAX(-fyd_cc,MIN(fyd_cc,Es_cc*IF($E309&lt;=cc_D,0.0035*($E309-L$15)/$E309,0.002*($E309-L$15)/($E309-3*cc_D/7))))-fcd_cc*(1-(1-MAX(0,MIN(1,IF($E309&lt;=cc_D,0.0035*($E309-L$15)/$E309,0.002*($E309-L$15)/($E309-3*cc_D/7))/0.002)))^2)</f>
        <v/>
      </c>
      <c r="M309">
        <f>MAX(-fyd_cc,MIN(fyd_cc,Es_cc*IF($E309&lt;=cc_D,0.0035*($E309-M$15)/$E309,0.002*($E309-M$15)/($E309-3*cc_D/7))))-fcd_cc*(1-(1-MAX(0,MIN(1,IF($E309&lt;=cc_D,0.0035*($E309-M$15)/$E309,0.002*($E309-M$15)/($E309-3*cc_D/7))/0.002)))^2)</f>
        <v/>
      </c>
      <c r="N309">
        <f>MAX(-fyd_cc,MIN(fyd_cc,Es_cc*IF($E309&lt;=cc_D,0.0035*($E309-N$15)/$E309,0.002*($E309-N$15)/($E309-3*cc_D/7))))-fcd_cc*(1-(1-MAX(0,MIN(1,IF($E309&lt;=cc_D,0.0035*($E309-N$15)/$E309,0.002*($E309-N$15)/($E309-3*cc_D/7))/0.002)))^2)</f>
        <v/>
      </c>
      <c r="O309">
        <f>MAX(-fyd_cc,MIN(fyd_cc,Es_cc*IF($E309&lt;=cc_D,0.0035*($E309-O$15)/$E309,0.002*($E309-O$15)/($E309-3*cc_D/7))))-fcd_cc*(1-(1-MAX(0,MIN(1,IF($E309&lt;=cc_D,0.0035*($E309-O$15)/$E309,0.002*($E309-O$15)/($E309-3*cc_D/7))/0.002)))^2)</f>
        <v/>
      </c>
      <c r="P309">
        <f>MAX(-fyd_cc,MIN(fyd_cc,Es_cc*IF($E309&lt;=cc_D,0.0035*($E309-P$15)/$E309,0.002*($E309-P$15)/($E309-3*cc_D/7))))-fcd_cc*(1-(1-MAX(0,MIN(1,IF($E309&lt;=cc_D,0.0035*($E309-P$15)/$E309,0.002*($E309-P$15)/($E309-3*cc_D/7))/0.002)))^2)</f>
        <v/>
      </c>
      <c r="Q309">
        <f>MAX(-fyd_cc,MIN(fyd_cc,Es_cc*IF($E309&lt;=cc_D,0.0035*($E309-Q$15)/$E309,0.002*($E309-Q$15)/($E309-3*cc_D/7))))-fcd_cc*(1-(1-MAX(0,MIN(1,IF($E309&lt;=cc_D,0.0035*($E309-Q$15)/$E309,0.002*($E309-Q$15)/($E309-3*cc_D/7))/0.002)))^2)</f>
        <v/>
      </c>
      <c r="R309">
        <f>MAX(-fyd_cc,MIN(fyd_cc,Es_cc*IF($E309&lt;=cc_D,0.0035*($E309-R$15)/$E309,0.002*($E309-R$15)/($E309-3*cc_D/7))))-fcd_cc*(1-(1-MAX(0,MIN(1,IF($E309&lt;=cc_D,0.0035*($E309-R$15)/$E309,0.002*($E309-R$15)/($E309-3*cc_D/7))/0.002)))^2)</f>
        <v/>
      </c>
      <c r="S309">
        <f>MAX(-fyd_cc,MIN(fyd_cc,Es_cc*IF($E309&lt;=cc_D,0.0035*($E309-S$15)/$E309,0.002*($E309-S$15)/($E309-3*cc_D/7))))-fcd_cc*(1-(1-MAX(0,MIN(1,IF($E309&lt;=cc_D,0.0035*($E309-S$15)/$E309,0.002*($E309-S$15)/($E309-3*cc_D/7))/0.002)))^2)</f>
        <v/>
      </c>
      <c r="T309">
        <f>MAX(-fyd_cc,MIN(fyd_cc,Es_cc*IF($E309&lt;=cc_D,0.0035*($E309-T$15)/$E309,0.002*($E309-T$15)/($E309-3*cc_D/7))))-fcd_cc*(1-(1-MAX(0,MIN(1,IF($E309&lt;=cc_D,0.0035*($E309-T$15)/$E309,0.002*($E309-T$15)/($E309-3*cc_D/7))/0.002)))^2)</f>
        <v/>
      </c>
      <c r="U309">
        <f>MAX(-fyd_cc,MIN(fyd_cc,Es_cc*IF($E309&lt;=cc_D,0.0035*($E309-U$15)/$E309,0.002*($E309-U$15)/($E309-3*cc_D/7))))-fcd_cc*(1-(1-MAX(0,MIN(1,IF($E309&lt;=cc_D,0.0035*($E309-U$15)/$E309,0.002*($E309-U$15)/($E309-3*cc_D/7))/0.002)))^2)</f>
        <v/>
      </c>
      <c r="V309">
        <f>MAX(-fyd_cc,MIN(fyd_cc,Es_cc*IF($E309&lt;=cc_D,0.0035*($E309-V$15)/$E309,0.002*($E309-V$15)/($E309-3*cc_D/7))))-fcd_cc*(1-(1-MAX(0,MIN(1,IF($E309&lt;=cc_D,0.0035*($E309-V$15)/$E309,0.002*($E309-V$15)/($E309-3*cc_D/7))/0.002)))^2)</f>
        <v/>
      </c>
      <c r="W309">
        <f>MAX(-fyd_cc,MIN(fyd_cc,Es_cc*IF($E309&lt;=cc_D,0.0035*($E309-W$15)/$E309,0.002*($E309-W$15)/($E309-3*cc_D/7))))-fcd_cc*(1-(1-MAX(0,MIN(1,IF($E309&lt;=cc_D,0.0035*($E309-W$15)/$E309,0.002*($E309-W$15)/($E309-3*cc_D/7))/0.002)))^2)</f>
        <v/>
      </c>
      <c r="X309">
        <f>MAX(-fyd_cc,MIN(fyd_cc,Es_cc*IF($E309&lt;=cc_D,0.0035*($E309-X$15)/$E309,0.002*($E309-X$15)/($E309-3*cc_D/7))))-fcd_cc*(1-(1-MAX(0,MIN(1,IF($E309&lt;=cc_D,0.0035*($E309-X$15)/$E309,0.002*($E309-X$15)/($E309-3*cc_D/7))/0.002)))^2)</f>
        <v/>
      </c>
      <c r="Y309">
        <f>MAX(-fyd_cc,MIN(fyd_cc,Es_cc*IF($E309&lt;=cc_D,0.0035*($E309-Y$15)/$E309,0.002*($E309-Y$15)/($E309-3*cc_D/7))))-fcd_cc*(1-(1-MAX(0,MIN(1,IF($E309&lt;=cc_D,0.0035*($E309-Y$15)/$E309,0.002*($E309-Y$15)/($E309-3*cc_D/7))/0.002)))^2)</f>
        <v/>
      </c>
      <c r="Z309">
        <f>MAX(-fyd_cc,MIN(fyd_cc,Es_cc*IF($E309&lt;=cc_D,0.0035*($E309-Z$15)/$E309,0.002*($E309-Z$15)/($E309-3*cc_D/7))))-fcd_cc*(1-(1-MAX(0,MIN(1,IF($E309&lt;=cc_D,0.0035*($E309-Z$15)/$E309,0.002*($E309-Z$15)/($E309-3*cc_D/7))/0.002)))^2)</f>
        <v/>
      </c>
      <c r="AA309">
        <f>MAX(-fyd_cc,MIN(fyd_cc,Es_cc*IF($E309&lt;=cc_D,0.0035*($E309-AA$15)/$E309,0.002*($E309-AA$15)/($E309-3*cc_D/7))))-fcd_cc*(1-(1-MAX(0,MIN(1,IF($E309&lt;=cc_D,0.0035*($E309-AA$15)/$E309,0.002*($E309-AA$15)/($E309-3*cc_D/7))/0.002)))^2)</f>
        <v/>
      </c>
      <c r="AB309">
        <f>MAX(-fyd_cc,MIN(fyd_cc,Es_cc*IF($E309&lt;=cc_D,0.0035*($E309-AB$15)/$E309,0.002*($E309-AB$15)/($E309-3*cc_D/7))))-fcd_cc*(1-(1-MAX(0,MIN(1,IF($E309&lt;=cc_D,0.0035*($E309-AB$15)/$E309,0.002*($E309-AB$15)/($E309-3*cc_D/7))/0.002)))^2)</f>
        <v/>
      </c>
      <c r="AC309">
        <f>MAX(-fyd_cc,MIN(fyd_cc,Es_cc*IF($E309&lt;=cc_D,0.0035*($E309-AC$15)/$E309,0.002*($E309-AC$15)/($E309-3*cc_D/7))))-fcd_cc*(1-(1-MAX(0,MIN(1,IF($E309&lt;=cc_D,0.0035*($E309-AC$15)/$E309,0.002*($E309-AC$15)/($E309-3*cc_D/7))/0.002)))^2)</f>
        <v/>
      </c>
      <c r="AD309">
        <f>MAX(-fyd_cc,MIN(fyd_cc,Es_cc*IF($E309&lt;=cc_D,0.0035*($E309-AD$15)/$E309,0.002*($E309-AD$15)/($E309-3*cc_D/7))))-fcd_cc*(1-(1-MAX(0,MIN(1,IF($E309&lt;=cc_D,0.0035*($E309-AD$15)/$E309,0.002*($E309-AD$15)/($E309-3*cc_D/7))/0.002)))^2)</f>
        <v/>
      </c>
      <c r="AE309">
        <f>MAX(-fyd_cc,MIN(fyd_cc,Es_cc*IF($E309&lt;=cc_D,0.0035*($E309-AE$15)/$E309,0.002*($E309-AE$15)/($E309-3*cc_D/7))))-fcd_cc*(1-(1-MAX(0,MIN(1,IF($E309&lt;=cc_D,0.0035*($E309-AE$15)/$E309,0.002*($E309-AE$15)/($E309-3*cc_D/7))/0.002)))^2)</f>
        <v/>
      </c>
      <c r="AF309">
        <f>MAX(-fyd_cc,MIN(fyd_cc,Es_cc*IF($E309&lt;=cc_D,0.0035*($E309-AF$15)/$E309,0.002*($E309-AF$15)/($E309-3*cc_D/7))))-fcd_cc*(1-(1-MAX(0,MIN(1,IF($E309&lt;=cc_D,0.0035*($E309-AF$15)/$E309,0.002*($E309-AF$15)/($E309-3*cc_D/7))/0.002)))^2)</f>
        <v/>
      </c>
      <c r="AG309">
        <f>MAX(-fyd_cc,MIN(fyd_cc,Es_cc*IF($E309&lt;=cc_D,0.0035*($E309-AG$15)/$E309,0.002*($E309-AG$15)/($E309-3*cc_D/7))))-fcd_cc*(1-(1-MAX(0,MIN(1,IF($E309&lt;=cc_D,0.0035*($E309-AG$15)/$E309,0.002*($E309-AG$15)/($E309-3*cc_D/7))/0.002)))^2)</f>
        <v/>
      </c>
      <c r="BF309">
        <f>3*MIN($E309,cc_D)/7</f>
        <v/>
      </c>
      <c r="BG309">
        <f>$E309-$BF309</f>
        <v/>
      </c>
      <c r="BH309">
        <f>ACOS(MAX(-1,MIN(1,1-$BF309/(cc_D/2))))</f>
        <v/>
      </c>
      <c r="BI309">
        <f>ACOS(MAX(-1,MIN(1,1-MIN($E309,cc_D)/(cc_D/2))))</f>
        <v/>
      </c>
      <c r="BJ309">
        <f>((cc_D/2*(1-COS(($BH309+0*($BI309-$BH309)/12)))-$BF309)/$BG309)^2*SIN(($BH309+0*($BI309-$BH309)/12))^2</f>
        <v/>
      </c>
      <c r="BK309">
        <f>((cc_D/2*(1-COS(($BH309+1*($BI309-$BH309)/12)))-$BF309)/$BG309)^2*SIN(($BH309+1*($BI309-$BH309)/12))^2</f>
        <v/>
      </c>
      <c r="BL309">
        <f>((cc_D/2*(1-COS(($BH309+2*($BI309-$BH309)/12)))-$BF309)/$BG309)^2*SIN(($BH309+2*($BI309-$BH309)/12))^2</f>
        <v/>
      </c>
      <c r="BM309">
        <f>((cc_D/2*(1-COS(($BH309+3*($BI309-$BH309)/12)))-$BF309)/$BG309)^2*SIN(($BH309+3*($BI309-$BH309)/12))^2</f>
        <v/>
      </c>
      <c r="BN309">
        <f>((cc_D/2*(1-COS(($BH309+4*($BI309-$BH309)/12)))-$BF309)/$BG309)^2*SIN(($BH309+4*($BI309-$BH309)/12))^2</f>
        <v/>
      </c>
      <c r="BO309">
        <f>((cc_D/2*(1-COS(($BH309+5*($BI309-$BH309)/12)))-$BF309)/$BG309)^2*SIN(($BH309+5*($BI309-$BH309)/12))^2</f>
        <v/>
      </c>
      <c r="BP309">
        <f>((cc_D/2*(1-COS(($BH309+6*($BI309-$BH309)/12)))-$BF309)/$BG309)^2*SIN(($BH309+6*($BI309-$BH309)/12))^2</f>
        <v/>
      </c>
      <c r="BQ309">
        <f>((cc_D/2*(1-COS(($BH309+7*($BI309-$BH309)/12)))-$BF309)/$BG309)^2*SIN(($BH309+7*($BI309-$BH309)/12))^2</f>
        <v/>
      </c>
      <c r="BR309">
        <f>((cc_D/2*(1-COS(($BH309+8*($BI309-$BH309)/12)))-$BF309)/$BG309)^2*SIN(($BH309+8*($BI309-$BH309)/12))^2</f>
        <v/>
      </c>
      <c r="BS309">
        <f>((cc_D/2*(1-COS(($BH309+9*($BI309-$BH309)/12)))-$BF309)/$BG309)^2*SIN(($BH309+9*($BI309-$BH309)/12))^2</f>
        <v/>
      </c>
      <c r="BT309">
        <f>((cc_D/2*(1-COS(($BH309+10*($BI309-$BH309)/12)))-$BF309)/$BG309)^2*SIN(($BH309+10*($BI309-$BH309)/12))^2</f>
        <v/>
      </c>
      <c r="BU309">
        <f>((cc_D/2*(1-COS(($BH309+11*($BI309-$BH309)/12)))-$BF309)/$BG309)^2*SIN(($BH309+11*($BI309-$BH309)/12))^2</f>
        <v/>
      </c>
      <c r="BV309">
        <f>((cc_D/2*(1-COS(($BH309+12*($BI309-$BH309)/12)))-$BF309)/$BG309)^2*SIN(($BH309+12*($BI309-$BH309)/12))^2</f>
        <v/>
      </c>
      <c r="BW309">
        <f>BJ309*COS(($BH309+0*($BI309-$BH309)/12))</f>
        <v/>
      </c>
      <c r="BX309">
        <f>BK309*COS(($BH309+1*($BI309-$BH309)/12))</f>
        <v/>
      </c>
      <c r="BY309">
        <f>BL309*COS(($BH309+2*($BI309-$BH309)/12))</f>
        <v/>
      </c>
      <c r="BZ309">
        <f>BM309*COS(($BH309+3*($BI309-$BH309)/12))</f>
        <v/>
      </c>
      <c r="CA309">
        <f>BN309*COS(($BH309+4*($BI309-$BH309)/12))</f>
        <v/>
      </c>
      <c r="CB309">
        <f>BO309*COS(($BH309+5*($BI309-$BH309)/12))</f>
        <v/>
      </c>
      <c r="CC309">
        <f>BP309*COS(($BH309+6*($BI309-$BH309)/12))</f>
        <v/>
      </c>
      <c r="CD309">
        <f>BQ309*COS(($BH309+7*($BI309-$BH309)/12))</f>
        <v/>
      </c>
      <c r="CE309">
        <f>BR309*COS(($BH309+8*($BI309-$BH309)/12))</f>
        <v/>
      </c>
      <c r="CF309">
        <f>BS309*COS(($BH309+9*($BI309-$BH309)/12))</f>
        <v/>
      </c>
      <c r="CG309">
        <f>BT309*COS(($BH309+10*($BI309-$BH309)/12))</f>
        <v/>
      </c>
      <c r="CH309">
        <f>BU309*COS(($BH309+11*($BI309-$BH309)/12))</f>
        <v/>
      </c>
      <c r="CI309">
        <f>BV309*COS(($BH309+12*($BI309-$BH309)/12))</f>
        <v/>
      </c>
    </row>
    <row r="310">
      <c r="B310" s="65" t="n">
        <v>32</v>
      </c>
      <c r="C310" s="66">
        <f>IF($G309&lt;cc_NEd-1E-9*ABS(cc_NEd),($C309+$D309)/2,$C309)</f>
        <v/>
      </c>
      <c r="D310" s="66">
        <f>IF($G309&lt;cc_NEd-1E-9*ABS(cc_NEd),$D309,($C309+$D309)/2)</f>
        <v/>
      </c>
      <c r="E310" s="67">
        <f>cc_D*(($C310+$D310)/2)/(1-(($C310+$D310)/2))</f>
        <v/>
      </c>
      <c r="F310" s="68">
        <f>IF($E310&lt;=cc_D,3.5,2*$E310/($E310-3*cc_D/7))</f>
        <v/>
      </c>
      <c r="G310" s="67">
        <f>(fcd_cc*((cc_D/2)^2*($BI310-COS($BI310)*SIN($BI310))-2*(cc_D/2)^2*($BI310-$BH310)/12/3*SUMPRODUCT($BJ$4:$BV$4,$BJ310:$BV310))+SUMPRODUCT($J$5:$AG$5,$J310:$AG310))/1000</f>
        <v/>
      </c>
      <c r="H310" s="67">
        <f>(fcd_cc*(2/3*(cc_D/2)^3*SIN($BI310)^3-2*(cc_D/2)^3*($BI310-$BH310)/12/3*SUMPRODUCT($BW$4:$CI$4,$BW310:$CI310))+SUMPRODUCT($J$5:$AG$5,$J310:$AG310,$J$16:$AG$16))/1E6</f>
        <v/>
      </c>
      <c r="I310" s="67">
        <f>SUMPRODUCT($J$5:$AG$5,$J310:$AG310,$J$17:$AG$17)/1E6</f>
        <v/>
      </c>
      <c r="J310">
        <f>MAX(-fyd_cc,MIN(fyd_cc,Es_cc*IF($E310&lt;=cc_D,0.0035*($E310-J$15)/$E310,0.002*($E310-J$15)/($E310-3*cc_D/7))))-fcd_cc*(1-(1-MAX(0,MIN(1,IF($E310&lt;=cc_D,0.0035*($E310-J$15)/$E310,0.002*($E310-J$15)/($E310-3*cc_D/7))/0.002)))^2)</f>
        <v/>
      </c>
      <c r="K310">
        <f>MAX(-fyd_cc,MIN(fyd_cc,Es_cc*IF($E310&lt;=cc_D,0.0035*($E310-K$15)/$E310,0.002*($E310-K$15)/($E310-3*cc_D/7))))-fcd_cc*(1-(1-MAX(0,MIN(1,IF($E310&lt;=cc_D,0.0035*($E310-K$15)/$E310,0.002*($E310-K$15)/($E310-3*cc_D/7))/0.002)))^2)</f>
        <v/>
      </c>
      <c r="L310">
        <f>MAX(-fyd_cc,MIN(fyd_cc,Es_cc*IF($E310&lt;=cc_D,0.0035*($E310-L$15)/$E310,0.002*($E310-L$15)/($E310-3*cc_D/7))))-fcd_cc*(1-(1-MAX(0,MIN(1,IF($E310&lt;=cc_D,0.0035*($E310-L$15)/$E310,0.002*($E310-L$15)/($E310-3*cc_D/7))/0.002)))^2)</f>
        <v/>
      </c>
      <c r="M310">
        <f>MAX(-fyd_cc,MIN(fyd_cc,Es_cc*IF($E310&lt;=cc_D,0.0035*($E310-M$15)/$E310,0.002*($E310-M$15)/($E310-3*cc_D/7))))-fcd_cc*(1-(1-MAX(0,MIN(1,IF($E310&lt;=cc_D,0.0035*($E310-M$15)/$E310,0.002*($E310-M$15)/($E310-3*cc_D/7))/0.002)))^2)</f>
        <v/>
      </c>
      <c r="N310">
        <f>MAX(-fyd_cc,MIN(fyd_cc,Es_cc*IF($E310&lt;=cc_D,0.0035*($E310-N$15)/$E310,0.002*($E310-N$15)/($E310-3*cc_D/7))))-fcd_cc*(1-(1-MAX(0,MIN(1,IF($E310&lt;=cc_D,0.0035*($E310-N$15)/$E310,0.002*($E310-N$15)/($E310-3*cc_D/7))/0.002)))^2)</f>
        <v/>
      </c>
      <c r="O310">
        <f>MAX(-fyd_cc,MIN(fyd_cc,Es_cc*IF($E310&lt;=cc_D,0.0035*($E310-O$15)/$E310,0.002*($E310-O$15)/($E310-3*cc_D/7))))-fcd_cc*(1-(1-MAX(0,MIN(1,IF($E310&lt;=cc_D,0.0035*($E310-O$15)/$E310,0.002*($E310-O$15)/($E310-3*cc_D/7))/0.002)))^2)</f>
        <v/>
      </c>
      <c r="P310">
        <f>MAX(-fyd_cc,MIN(fyd_cc,Es_cc*IF($E310&lt;=cc_D,0.0035*($E310-P$15)/$E310,0.002*($E310-P$15)/($E310-3*cc_D/7))))-fcd_cc*(1-(1-MAX(0,MIN(1,IF($E310&lt;=cc_D,0.0035*($E310-P$15)/$E310,0.002*($E310-P$15)/($E310-3*cc_D/7))/0.002)))^2)</f>
        <v/>
      </c>
      <c r="Q310">
        <f>MAX(-fyd_cc,MIN(fyd_cc,Es_cc*IF($E310&lt;=cc_D,0.0035*($E310-Q$15)/$E310,0.002*($E310-Q$15)/($E310-3*cc_D/7))))-fcd_cc*(1-(1-MAX(0,MIN(1,IF($E310&lt;=cc_D,0.0035*($E310-Q$15)/$E310,0.002*($E310-Q$15)/($E310-3*cc_D/7))/0.002)))^2)</f>
        <v/>
      </c>
      <c r="R310">
        <f>MAX(-fyd_cc,MIN(fyd_cc,Es_cc*IF($E310&lt;=cc_D,0.0035*($E310-R$15)/$E310,0.002*($E310-R$15)/($E310-3*cc_D/7))))-fcd_cc*(1-(1-MAX(0,MIN(1,IF($E310&lt;=cc_D,0.0035*($E310-R$15)/$E310,0.002*($E310-R$15)/($E310-3*cc_D/7))/0.002)))^2)</f>
        <v/>
      </c>
      <c r="S310">
        <f>MAX(-fyd_cc,MIN(fyd_cc,Es_cc*IF($E310&lt;=cc_D,0.0035*($E310-S$15)/$E310,0.002*($E310-S$15)/($E310-3*cc_D/7))))-fcd_cc*(1-(1-MAX(0,MIN(1,IF($E310&lt;=cc_D,0.0035*($E310-S$15)/$E310,0.002*($E310-S$15)/($E310-3*cc_D/7))/0.002)))^2)</f>
        <v/>
      </c>
      <c r="T310">
        <f>MAX(-fyd_cc,MIN(fyd_cc,Es_cc*IF($E310&lt;=cc_D,0.0035*($E310-T$15)/$E310,0.002*($E310-T$15)/($E310-3*cc_D/7))))-fcd_cc*(1-(1-MAX(0,MIN(1,IF($E310&lt;=cc_D,0.0035*($E310-T$15)/$E310,0.002*($E310-T$15)/($E310-3*cc_D/7))/0.002)))^2)</f>
        <v/>
      </c>
      <c r="U310">
        <f>MAX(-fyd_cc,MIN(fyd_cc,Es_cc*IF($E310&lt;=cc_D,0.0035*($E310-U$15)/$E310,0.002*($E310-U$15)/($E310-3*cc_D/7))))-fcd_cc*(1-(1-MAX(0,MIN(1,IF($E310&lt;=cc_D,0.0035*($E310-U$15)/$E310,0.002*($E310-U$15)/($E310-3*cc_D/7))/0.002)))^2)</f>
        <v/>
      </c>
      <c r="V310">
        <f>MAX(-fyd_cc,MIN(fyd_cc,Es_cc*IF($E310&lt;=cc_D,0.0035*($E310-V$15)/$E310,0.002*($E310-V$15)/($E310-3*cc_D/7))))-fcd_cc*(1-(1-MAX(0,MIN(1,IF($E310&lt;=cc_D,0.0035*($E310-V$15)/$E310,0.002*($E310-V$15)/($E310-3*cc_D/7))/0.002)))^2)</f>
        <v/>
      </c>
      <c r="W310">
        <f>MAX(-fyd_cc,MIN(fyd_cc,Es_cc*IF($E310&lt;=cc_D,0.0035*($E310-W$15)/$E310,0.002*($E310-W$15)/($E310-3*cc_D/7))))-fcd_cc*(1-(1-MAX(0,MIN(1,IF($E310&lt;=cc_D,0.0035*($E310-W$15)/$E310,0.002*($E310-W$15)/($E310-3*cc_D/7))/0.002)))^2)</f>
        <v/>
      </c>
      <c r="X310">
        <f>MAX(-fyd_cc,MIN(fyd_cc,Es_cc*IF($E310&lt;=cc_D,0.0035*($E310-X$15)/$E310,0.002*($E310-X$15)/($E310-3*cc_D/7))))-fcd_cc*(1-(1-MAX(0,MIN(1,IF($E310&lt;=cc_D,0.0035*($E310-X$15)/$E310,0.002*($E310-X$15)/($E310-3*cc_D/7))/0.002)))^2)</f>
        <v/>
      </c>
      <c r="Y310">
        <f>MAX(-fyd_cc,MIN(fyd_cc,Es_cc*IF($E310&lt;=cc_D,0.0035*($E310-Y$15)/$E310,0.002*($E310-Y$15)/($E310-3*cc_D/7))))-fcd_cc*(1-(1-MAX(0,MIN(1,IF($E310&lt;=cc_D,0.0035*($E310-Y$15)/$E310,0.002*($E310-Y$15)/($E310-3*cc_D/7))/0.002)))^2)</f>
        <v/>
      </c>
      <c r="Z310">
        <f>MAX(-fyd_cc,MIN(fyd_cc,Es_cc*IF($E310&lt;=cc_D,0.0035*($E310-Z$15)/$E310,0.002*($E310-Z$15)/($E310-3*cc_D/7))))-fcd_cc*(1-(1-MAX(0,MIN(1,IF($E310&lt;=cc_D,0.0035*($E310-Z$15)/$E310,0.002*($E310-Z$15)/($E310-3*cc_D/7))/0.002)))^2)</f>
        <v/>
      </c>
      <c r="AA310">
        <f>MAX(-fyd_cc,MIN(fyd_cc,Es_cc*IF($E310&lt;=cc_D,0.0035*($E310-AA$15)/$E310,0.002*($E310-AA$15)/($E310-3*cc_D/7))))-fcd_cc*(1-(1-MAX(0,MIN(1,IF($E310&lt;=cc_D,0.0035*($E310-AA$15)/$E310,0.002*($E310-AA$15)/($E310-3*cc_D/7))/0.002)))^2)</f>
        <v/>
      </c>
      <c r="AB310">
        <f>MAX(-fyd_cc,MIN(fyd_cc,Es_cc*IF($E310&lt;=cc_D,0.0035*($E310-AB$15)/$E310,0.002*($E310-AB$15)/($E310-3*cc_D/7))))-fcd_cc*(1-(1-MAX(0,MIN(1,IF($E310&lt;=cc_D,0.0035*($E310-AB$15)/$E310,0.002*($E310-AB$15)/($E310-3*cc_D/7))/0.002)))^2)</f>
        <v/>
      </c>
      <c r="AC310">
        <f>MAX(-fyd_cc,MIN(fyd_cc,Es_cc*IF($E310&lt;=cc_D,0.0035*($E310-AC$15)/$E310,0.002*($E310-AC$15)/($E310-3*cc_D/7))))-fcd_cc*(1-(1-MAX(0,MIN(1,IF($E310&lt;=cc_D,0.0035*($E310-AC$15)/$E310,0.002*($E310-AC$15)/($E310-3*cc_D/7))/0.002)))^2)</f>
        <v/>
      </c>
      <c r="AD310">
        <f>MAX(-fyd_cc,MIN(fyd_cc,Es_cc*IF($E310&lt;=cc_D,0.0035*($E310-AD$15)/$E310,0.002*($E310-AD$15)/($E310-3*cc_D/7))))-fcd_cc*(1-(1-MAX(0,MIN(1,IF($E310&lt;=cc_D,0.0035*($E310-AD$15)/$E310,0.002*($E310-AD$15)/($E310-3*cc_D/7))/0.002)))^2)</f>
        <v/>
      </c>
      <c r="AE310">
        <f>MAX(-fyd_cc,MIN(fyd_cc,Es_cc*IF($E310&lt;=cc_D,0.0035*($E310-AE$15)/$E310,0.002*($E310-AE$15)/($E310-3*cc_D/7))))-fcd_cc*(1-(1-MAX(0,MIN(1,IF($E310&lt;=cc_D,0.0035*($E310-AE$15)/$E310,0.002*($E310-AE$15)/($E310-3*cc_D/7))/0.002)))^2)</f>
        <v/>
      </c>
      <c r="AF310">
        <f>MAX(-fyd_cc,MIN(fyd_cc,Es_cc*IF($E310&lt;=cc_D,0.0035*($E310-AF$15)/$E310,0.002*($E310-AF$15)/($E310-3*cc_D/7))))-fcd_cc*(1-(1-MAX(0,MIN(1,IF($E310&lt;=cc_D,0.0035*($E310-AF$15)/$E310,0.002*($E310-AF$15)/($E310-3*cc_D/7))/0.002)))^2)</f>
        <v/>
      </c>
      <c r="AG310">
        <f>MAX(-fyd_cc,MIN(fyd_cc,Es_cc*IF($E310&lt;=cc_D,0.0035*($E310-AG$15)/$E310,0.002*($E310-AG$15)/($E310-3*cc_D/7))))-fcd_cc*(1-(1-MAX(0,MIN(1,IF($E310&lt;=cc_D,0.0035*($E310-AG$15)/$E310,0.002*($E310-AG$15)/($E310-3*cc_D/7))/0.002)))^2)</f>
        <v/>
      </c>
      <c r="BF310">
        <f>3*MIN($E310,cc_D)/7</f>
        <v/>
      </c>
      <c r="BG310">
        <f>$E310-$BF310</f>
        <v/>
      </c>
      <c r="BH310">
        <f>ACOS(MAX(-1,MIN(1,1-$BF310/(cc_D/2))))</f>
        <v/>
      </c>
      <c r="BI310">
        <f>ACOS(MAX(-1,MIN(1,1-MIN($E310,cc_D)/(cc_D/2))))</f>
        <v/>
      </c>
      <c r="BJ310">
        <f>((cc_D/2*(1-COS(($BH310+0*($BI310-$BH310)/12)))-$BF310)/$BG310)^2*SIN(($BH310+0*($BI310-$BH310)/12))^2</f>
        <v/>
      </c>
      <c r="BK310">
        <f>((cc_D/2*(1-COS(($BH310+1*($BI310-$BH310)/12)))-$BF310)/$BG310)^2*SIN(($BH310+1*($BI310-$BH310)/12))^2</f>
        <v/>
      </c>
      <c r="BL310">
        <f>((cc_D/2*(1-COS(($BH310+2*($BI310-$BH310)/12)))-$BF310)/$BG310)^2*SIN(($BH310+2*($BI310-$BH310)/12))^2</f>
        <v/>
      </c>
      <c r="BM310">
        <f>((cc_D/2*(1-COS(($BH310+3*($BI310-$BH310)/12)))-$BF310)/$BG310)^2*SIN(($BH310+3*($BI310-$BH310)/12))^2</f>
        <v/>
      </c>
      <c r="BN310">
        <f>((cc_D/2*(1-COS(($BH310+4*($BI310-$BH310)/12)))-$BF310)/$BG310)^2*SIN(($BH310+4*($BI310-$BH310)/12))^2</f>
        <v/>
      </c>
      <c r="BO310">
        <f>((cc_D/2*(1-COS(($BH310+5*($BI310-$BH310)/12)))-$BF310)/$BG310)^2*SIN(($BH310+5*($BI310-$BH310)/12))^2</f>
        <v/>
      </c>
      <c r="BP310">
        <f>((cc_D/2*(1-COS(($BH310+6*($BI310-$BH310)/12)))-$BF310)/$BG310)^2*SIN(($BH310+6*($BI310-$BH310)/12))^2</f>
        <v/>
      </c>
      <c r="BQ310">
        <f>((cc_D/2*(1-COS(($BH310+7*($BI310-$BH310)/12)))-$BF310)/$BG310)^2*SIN(($BH310+7*($BI310-$BH310)/12))^2</f>
        <v/>
      </c>
      <c r="BR310">
        <f>((cc_D/2*(1-COS(($BH310+8*($BI310-$BH310)/12)))-$BF310)/$BG310)^2*SIN(($BH310+8*($BI310-$BH310)/12))^2</f>
        <v/>
      </c>
      <c r="BS310">
        <f>((cc_D/2*(1-COS(($BH310+9*($BI310-$BH310)/12)))-$BF310)/$BG310)^2*SIN(($BH310+9*($BI310-$BH310)/12))^2</f>
        <v/>
      </c>
      <c r="BT310">
        <f>((cc_D/2*(1-COS(($BH310+10*($BI310-$BH310)/12)))-$BF310)/$BG310)^2*SIN(($BH310+10*($BI310-$BH310)/12))^2</f>
        <v/>
      </c>
      <c r="BU310">
        <f>((cc_D/2*(1-COS(($BH310+11*($BI310-$BH310)/12)))-$BF310)/$BG310)^2*SIN(($BH310+11*($BI310-$BH310)/12))^2</f>
        <v/>
      </c>
      <c r="BV310">
        <f>((cc_D/2*(1-COS(($BH310+12*($BI310-$BH310)/12)))-$BF310)/$BG310)^2*SIN(($BH310+12*($BI310-$BH310)/12))^2</f>
        <v/>
      </c>
      <c r="BW310">
        <f>BJ310*COS(($BH310+0*($BI310-$BH310)/12))</f>
        <v/>
      </c>
      <c r="BX310">
        <f>BK310*COS(($BH310+1*($BI310-$BH310)/12))</f>
        <v/>
      </c>
      <c r="BY310">
        <f>BL310*COS(($BH310+2*($BI310-$BH310)/12))</f>
        <v/>
      </c>
      <c r="BZ310">
        <f>BM310*COS(($BH310+3*($BI310-$BH310)/12))</f>
        <v/>
      </c>
      <c r="CA310">
        <f>BN310*COS(($BH310+4*($BI310-$BH310)/12))</f>
        <v/>
      </c>
      <c r="CB310">
        <f>BO310*COS(($BH310+5*($BI310-$BH310)/12))</f>
        <v/>
      </c>
      <c r="CC310">
        <f>BP310*COS(($BH310+6*($BI310-$BH310)/12))</f>
        <v/>
      </c>
      <c r="CD310">
        <f>BQ310*COS(($BH310+7*($BI310-$BH310)/12))</f>
        <v/>
      </c>
      <c r="CE310">
        <f>BR310*COS(($BH310+8*($BI310-$BH310)/12))</f>
        <v/>
      </c>
      <c r="CF310">
        <f>BS310*COS(($BH310+9*($BI310-$BH310)/12))</f>
        <v/>
      </c>
      <c r="CG310">
        <f>BT310*COS(($BH310+10*($BI310-$BH310)/12))</f>
        <v/>
      </c>
      <c r="CH310">
        <f>BU310*COS(($BH310+11*($BI310-$BH310)/12))</f>
        <v/>
      </c>
      <c r="CI310">
        <f>BV310*COS(($BH310+12*($BI310-$BH310)/12))</f>
        <v/>
      </c>
    </row>
    <row r="311">
      <c r="B311" s="65" t="n">
        <v>33</v>
      </c>
      <c r="C311" s="66">
        <f>IF($G310&lt;cc_NEd-1E-9*ABS(cc_NEd),($C310+$D310)/2,$C310)</f>
        <v/>
      </c>
      <c r="D311" s="66">
        <f>IF($G310&lt;cc_NEd-1E-9*ABS(cc_NEd),$D310,($C310+$D310)/2)</f>
        <v/>
      </c>
      <c r="E311" s="67">
        <f>cc_D*(($C311+$D311)/2)/(1-(($C311+$D311)/2))</f>
        <v/>
      </c>
      <c r="F311" s="68">
        <f>IF($E311&lt;=cc_D,3.5,2*$E311/($E311-3*cc_D/7))</f>
        <v/>
      </c>
      <c r="G311" s="67">
        <f>(fcd_cc*((cc_D/2)^2*($BI311-COS($BI311)*SIN($BI311))-2*(cc_D/2)^2*($BI311-$BH311)/12/3*SUMPRODUCT($BJ$4:$BV$4,$BJ311:$BV311))+SUMPRODUCT($J$5:$AG$5,$J311:$AG311))/1000</f>
        <v/>
      </c>
      <c r="H311" s="67">
        <f>(fcd_cc*(2/3*(cc_D/2)^3*SIN($BI311)^3-2*(cc_D/2)^3*($BI311-$BH311)/12/3*SUMPRODUCT($BW$4:$CI$4,$BW311:$CI311))+SUMPRODUCT($J$5:$AG$5,$J311:$AG311,$J$16:$AG$16))/1E6</f>
        <v/>
      </c>
      <c r="I311" s="67">
        <f>SUMPRODUCT($J$5:$AG$5,$J311:$AG311,$J$17:$AG$17)/1E6</f>
        <v/>
      </c>
      <c r="J311">
        <f>MAX(-fyd_cc,MIN(fyd_cc,Es_cc*IF($E311&lt;=cc_D,0.0035*($E311-J$15)/$E311,0.002*($E311-J$15)/($E311-3*cc_D/7))))-fcd_cc*(1-(1-MAX(0,MIN(1,IF($E311&lt;=cc_D,0.0035*($E311-J$15)/$E311,0.002*($E311-J$15)/($E311-3*cc_D/7))/0.002)))^2)</f>
        <v/>
      </c>
      <c r="K311">
        <f>MAX(-fyd_cc,MIN(fyd_cc,Es_cc*IF($E311&lt;=cc_D,0.0035*($E311-K$15)/$E311,0.002*($E311-K$15)/($E311-3*cc_D/7))))-fcd_cc*(1-(1-MAX(0,MIN(1,IF($E311&lt;=cc_D,0.0035*($E311-K$15)/$E311,0.002*($E311-K$15)/($E311-3*cc_D/7))/0.002)))^2)</f>
        <v/>
      </c>
      <c r="L311">
        <f>MAX(-fyd_cc,MIN(fyd_cc,Es_cc*IF($E311&lt;=cc_D,0.0035*($E311-L$15)/$E311,0.002*($E311-L$15)/($E311-3*cc_D/7))))-fcd_cc*(1-(1-MAX(0,MIN(1,IF($E311&lt;=cc_D,0.0035*($E311-L$15)/$E311,0.002*($E311-L$15)/($E311-3*cc_D/7))/0.002)))^2)</f>
        <v/>
      </c>
      <c r="M311">
        <f>MAX(-fyd_cc,MIN(fyd_cc,Es_cc*IF($E311&lt;=cc_D,0.0035*($E311-M$15)/$E311,0.002*($E311-M$15)/($E311-3*cc_D/7))))-fcd_cc*(1-(1-MAX(0,MIN(1,IF($E311&lt;=cc_D,0.0035*($E311-M$15)/$E311,0.002*($E311-M$15)/($E311-3*cc_D/7))/0.002)))^2)</f>
        <v/>
      </c>
      <c r="N311">
        <f>MAX(-fyd_cc,MIN(fyd_cc,Es_cc*IF($E311&lt;=cc_D,0.0035*($E311-N$15)/$E311,0.002*($E311-N$15)/($E311-3*cc_D/7))))-fcd_cc*(1-(1-MAX(0,MIN(1,IF($E311&lt;=cc_D,0.0035*($E311-N$15)/$E311,0.002*($E311-N$15)/($E311-3*cc_D/7))/0.002)))^2)</f>
        <v/>
      </c>
      <c r="O311">
        <f>MAX(-fyd_cc,MIN(fyd_cc,Es_cc*IF($E311&lt;=cc_D,0.0035*($E311-O$15)/$E311,0.002*($E311-O$15)/($E311-3*cc_D/7))))-fcd_cc*(1-(1-MAX(0,MIN(1,IF($E311&lt;=cc_D,0.0035*($E311-O$15)/$E311,0.002*($E311-O$15)/($E311-3*cc_D/7))/0.002)))^2)</f>
        <v/>
      </c>
      <c r="P311">
        <f>MAX(-fyd_cc,MIN(fyd_cc,Es_cc*IF($E311&lt;=cc_D,0.0035*($E311-P$15)/$E311,0.002*($E311-P$15)/($E311-3*cc_D/7))))-fcd_cc*(1-(1-MAX(0,MIN(1,IF($E311&lt;=cc_D,0.0035*($E311-P$15)/$E311,0.002*($E311-P$15)/($E311-3*cc_D/7))/0.002)))^2)</f>
        <v/>
      </c>
      <c r="Q311">
        <f>MAX(-fyd_cc,MIN(fyd_cc,Es_cc*IF($E311&lt;=cc_D,0.0035*($E311-Q$15)/$E311,0.002*($E311-Q$15)/($E311-3*cc_D/7))))-fcd_cc*(1-(1-MAX(0,MIN(1,IF($E311&lt;=cc_D,0.0035*($E311-Q$15)/$E311,0.002*($E311-Q$15)/($E311-3*cc_D/7))/0.002)))^2)</f>
        <v/>
      </c>
      <c r="R311">
        <f>MAX(-fyd_cc,MIN(fyd_cc,Es_cc*IF($E311&lt;=cc_D,0.0035*($E311-R$15)/$E311,0.002*($E311-R$15)/($E311-3*cc_D/7))))-fcd_cc*(1-(1-MAX(0,MIN(1,IF($E311&lt;=cc_D,0.0035*($E311-R$15)/$E311,0.002*($E311-R$15)/($E311-3*cc_D/7))/0.002)))^2)</f>
        <v/>
      </c>
      <c r="S311">
        <f>MAX(-fyd_cc,MIN(fyd_cc,Es_cc*IF($E311&lt;=cc_D,0.0035*($E311-S$15)/$E311,0.002*($E311-S$15)/($E311-3*cc_D/7))))-fcd_cc*(1-(1-MAX(0,MIN(1,IF($E311&lt;=cc_D,0.0035*($E311-S$15)/$E311,0.002*($E311-S$15)/($E311-3*cc_D/7))/0.002)))^2)</f>
        <v/>
      </c>
      <c r="T311">
        <f>MAX(-fyd_cc,MIN(fyd_cc,Es_cc*IF($E311&lt;=cc_D,0.0035*($E311-T$15)/$E311,0.002*($E311-T$15)/($E311-3*cc_D/7))))-fcd_cc*(1-(1-MAX(0,MIN(1,IF($E311&lt;=cc_D,0.0035*($E311-T$15)/$E311,0.002*($E311-T$15)/($E311-3*cc_D/7))/0.002)))^2)</f>
        <v/>
      </c>
      <c r="U311">
        <f>MAX(-fyd_cc,MIN(fyd_cc,Es_cc*IF($E311&lt;=cc_D,0.0035*($E311-U$15)/$E311,0.002*($E311-U$15)/($E311-3*cc_D/7))))-fcd_cc*(1-(1-MAX(0,MIN(1,IF($E311&lt;=cc_D,0.0035*($E311-U$15)/$E311,0.002*($E311-U$15)/($E311-3*cc_D/7))/0.002)))^2)</f>
        <v/>
      </c>
      <c r="V311">
        <f>MAX(-fyd_cc,MIN(fyd_cc,Es_cc*IF($E311&lt;=cc_D,0.0035*($E311-V$15)/$E311,0.002*($E311-V$15)/($E311-3*cc_D/7))))-fcd_cc*(1-(1-MAX(0,MIN(1,IF($E311&lt;=cc_D,0.0035*($E311-V$15)/$E311,0.002*($E311-V$15)/($E311-3*cc_D/7))/0.002)))^2)</f>
        <v/>
      </c>
      <c r="W311">
        <f>MAX(-fyd_cc,MIN(fyd_cc,Es_cc*IF($E311&lt;=cc_D,0.0035*($E311-W$15)/$E311,0.002*($E311-W$15)/($E311-3*cc_D/7))))-fcd_cc*(1-(1-MAX(0,MIN(1,IF($E311&lt;=cc_D,0.0035*($E311-W$15)/$E311,0.002*($E311-W$15)/($E311-3*cc_D/7))/0.002)))^2)</f>
        <v/>
      </c>
      <c r="X311">
        <f>MAX(-fyd_cc,MIN(fyd_cc,Es_cc*IF($E311&lt;=cc_D,0.0035*($E311-X$15)/$E311,0.002*($E311-X$15)/($E311-3*cc_D/7))))-fcd_cc*(1-(1-MAX(0,MIN(1,IF($E311&lt;=cc_D,0.0035*($E311-X$15)/$E311,0.002*($E311-X$15)/($E311-3*cc_D/7))/0.002)))^2)</f>
        <v/>
      </c>
      <c r="Y311">
        <f>MAX(-fyd_cc,MIN(fyd_cc,Es_cc*IF($E311&lt;=cc_D,0.0035*($E311-Y$15)/$E311,0.002*($E311-Y$15)/($E311-3*cc_D/7))))-fcd_cc*(1-(1-MAX(0,MIN(1,IF($E311&lt;=cc_D,0.0035*($E311-Y$15)/$E311,0.002*($E311-Y$15)/($E311-3*cc_D/7))/0.002)))^2)</f>
        <v/>
      </c>
      <c r="Z311">
        <f>MAX(-fyd_cc,MIN(fyd_cc,Es_cc*IF($E311&lt;=cc_D,0.0035*($E311-Z$15)/$E311,0.002*($E311-Z$15)/($E311-3*cc_D/7))))-fcd_cc*(1-(1-MAX(0,MIN(1,IF($E311&lt;=cc_D,0.0035*($E311-Z$15)/$E311,0.002*($E311-Z$15)/($E311-3*cc_D/7))/0.002)))^2)</f>
        <v/>
      </c>
      <c r="AA311">
        <f>MAX(-fyd_cc,MIN(fyd_cc,Es_cc*IF($E311&lt;=cc_D,0.0035*($E311-AA$15)/$E311,0.002*($E311-AA$15)/($E311-3*cc_D/7))))-fcd_cc*(1-(1-MAX(0,MIN(1,IF($E311&lt;=cc_D,0.0035*($E311-AA$15)/$E311,0.002*($E311-AA$15)/($E311-3*cc_D/7))/0.002)))^2)</f>
        <v/>
      </c>
      <c r="AB311">
        <f>MAX(-fyd_cc,MIN(fyd_cc,Es_cc*IF($E311&lt;=cc_D,0.0035*($E311-AB$15)/$E311,0.002*($E311-AB$15)/($E311-3*cc_D/7))))-fcd_cc*(1-(1-MAX(0,MIN(1,IF($E311&lt;=cc_D,0.0035*($E311-AB$15)/$E311,0.002*($E311-AB$15)/($E311-3*cc_D/7))/0.002)))^2)</f>
        <v/>
      </c>
      <c r="AC311">
        <f>MAX(-fyd_cc,MIN(fyd_cc,Es_cc*IF($E311&lt;=cc_D,0.0035*($E311-AC$15)/$E311,0.002*($E311-AC$15)/($E311-3*cc_D/7))))-fcd_cc*(1-(1-MAX(0,MIN(1,IF($E311&lt;=cc_D,0.0035*($E311-AC$15)/$E311,0.002*($E311-AC$15)/($E311-3*cc_D/7))/0.002)))^2)</f>
        <v/>
      </c>
      <c r="AD311">
        <f>MAX(-fyd_cc,MIN(fyd_cc,Es_cc*IF($E311&lt;=cc_D,0.0035*($E311-AD$15)/$E311,0.002*($E311-AD$15)/($E311-3*cc_D/7))))-fcd_cc*(1-(1-MAX(0,MIN(1,IF($E311&lt;=cc_D,0.0035*($E311-AD$15)/$E311,0.002*($E311-AD$15)/($E311-3*cc_D/7))/0.002)))^2)</f>
        <v/>
      </c>
      <c r="AE311">
        <f>MAX(-fyd_cc,MIN(fyd_cc,Es_cc*IF($E311&lt;=cc_D,0.0035*($E311-AE$15)/$E311,0.002*($E311-AE$15)/($E311-3*cc_D/7))))-fcd_cc*(1-(1-MAX(0,MIN(1,IF($E311&lt;=cc_D,0.0035*($E311-AE$15)/$E311,0.002*($E311-AE$15)/($E311-3*cc_D/7))/0.002)))^2)</f>
        <v/>
      </c>
      <c r="AF311">
        <f>MAX(-fyd_cc,MIN(fyd_cc,Es_cc*IF($E311&lt;=cc_D,0.0035*($E311-AF$15)/$E311,0.002*($E311-AF$15)/($E311-3*cc_D/7))))-fcd_cc*(1-(1-MAX(0,MIN(1,IF($E311&lt;=cc_D,0.0035*($E311-AF$15)/$E311,0.002*($E311-AF$15)/($E311-3*cc_D/7))/0.002)))^2)</f>
        <v/>
      </c>
      <c r="AG311">
        <f>MAX(-fyd_cc,MIN(fyd_cc,Es_cc*IF($E311&lt;=cc_D,0.0035*($E311-AG$15)/$E311,0.002*($E311-AG$15)/($E311-3*cc_D/7))))-fcd_cc*(1-(1-MAX(0,MIN(1,IF($E311&lt;=cc_D,0.0035*($E311-AG$15)/$E311,0.002*($E311-AG$15)/($E311-3*cc_D/7))/0.002)))^2)</f>
        <v/>
      </c>
      <c r="BF311">
        <f>3*MIN($E311,cc_D)/7</f>
        <v/>
      </c>
      <c r="BG311">
        <f>$E311-$BF311</f>
        <v/>
      </c>
      <c r="BH311">
        <f>ACOS(MAX(-1,MIN(1,1-$BF311/(cc_D/2))))</f>
        <v/>
      </c>
      <c r="BI311">
        <f>ACOS(MAX(-1,MIN(1,1-MIN($E311,cc_D)/(cc_D/2))))</f>
        <v/>
      </c>
      <c r="BJ311">
        <f>((cc_D/2*(1-COS(($BH311+0*($BI311-$BH311)/12)))-$BF311)/$BG311)^2*SIN(($BH311+0*($BI311-$BH311)/12))^2</f>
        <v/>
      </c>
      <c r="BK311">
        <f>((cc_D/2*(1-COS(($BH311+1*($BI311-$BH311)/12)))-$BF311)/$BG311)^2*SIN(($BH311+1*($BI311-$BH311)/12))^2</f>
        <v/>
      </c>
      <c r="BL311">
        <f>((cc_D/2*(1-COS(($BH311+2*($BI311-$BH311)/12)))-$BF311)/$BG311)^2*SIN(($BH311+2*($BI311-$BH311)/12))^2</f>
        <v/>
      </c>
      <c r="BM311">
        <f>((cc_D/2*(1-COS(($BH311+3*($BI311-$BH311)/12)))-$BF311)/$BG311)^2*SIN(($BH311+3*($BI311-$BH311)/12))^2</f>
        <v/>
      </c>
      <c r="BN311">
        <f>((cc_D/2*(1-COS(($BH311+4*($BI311-$BH311)/12)))-$BF311)/$BG311)^2*SIN(($BH311+4*($BI311-$BH311)/12))^2</f>
        <v/>
      </c>
      <c r="BO311">
        <f>((cc_D/2*(1-COS(($BH311+5*($BI311-$BH311)/12)))-$BF311)/$BG311)^2*SIN(($BH311+5*($BI311-$BH311)/12))^2</f>
        <v/>
      </c>
      <c r="BP311">
        <f>((cc_D/2*(1-COS(($BH311+6*($BI311-$BH311)/12)))-$BF311)/$BG311)^2*SIN(($BH311+6*($BI311-$BH311)/12))^2</f>
        <v/>
      </c>
      <c r="BQ311">
        <f>((cc_D/2*(1-COS(($BH311+7*($BI311-$BH311)/12)))-$BF311)/$BG311)^2*SIN(($BH311+7*($BI311-$BH311)/12))^2</f>
        <v/>
      </c>
      <c r="BR311">
        <f>((cc_D/2*(1-COS(($BH311+8*($BI311-$BH311)/12)))-$BF311)/$BG311)^2*SIN(($BH311+8*($BI311-$BH311)/12))^2</f>
        <v/>
      </c>
      <c r="BS311">
        <f>((cc_D/2*(1-COS(($BH311+9*($BI311-$BH311)/12)))-$BF311)/$BG311)^2*SIN(($BH311+9*($BI311-$BH311)/12))^2</f>
        <v/>
      </c>
      <c r="BT311">
        <f>((cc_D/2*(1-COS(($BH311+10*($BI311-$BH311)/12)))-$BF311)/$BG311)^2*SIN(($BH311+10*($BI311-$BH311)/12))^2</f>
        <v/>
      </c>
      <c r="BU311">
        <f>((cc_D/2*(1-COS(($BH311+11*($BI311-$BH311)/12)))-$BF311)/$BG311)^2*SIN(($BH311+11*($BI311-$BH311)/12))^2</f>
        <v/>
      </c>
      <c r="BV311">
        <f>((cc_D/2*(1-COS(($BH311+12*($BI311-$BH311)/12)))-$BF311)/$BG311)^2*SIN(($BH311+12*($BI311-$BH311)/12))^2</f>
        <v/>
      </c>
      <c r="BW311">
        <f>BJ311*COS(($BH311+0*($BI311-$BH311)/12))</f>
        <v/>
      </c>
      <c r="BX311">
        <f>BK311*COS(($BH311+1*($BI311-$BH311)/12))</f>
        <v/>
      </c>
      <c r="BY311">
        <f>BL311*COS(($BH311+2*($BI311-$BH311)/12))</f>
        <v/>
      </c>
      <c r="BZ311">
        <f>BM311*COS(($BH311+3*($BI311-$BH311)/12))</f>
        <v/>
      </c>
      <c r="CA311">
        <f>BN311*COS(($BH311+4*($BI311-$BH311)/12))</f>
        <v/>
      </c>
      <c r="CB311">
        <f>BO311*COS(($BH311+5*($BI311-$BH311)/12))</f>
        <v/>
      </c>
      <c r="CC311">
        <f>BP311*COS(($BH311+6*($BI311-$BH311)/12))</f>
        <v/>
      </c>
      <c r="CD311">
        <f>BQ311*COS(($BH311+7*($BI311-$BH311)/12))</f>
        <v/>
      </c>
      <c r="CE311">
        <f>BR311*COS(($BH311+8*($BI311-$BH311)/12))</f>
        <v/>
      </c>
      <c r="CF311">
        <f>BS311*COS(($BH311+9*($BI311-$BH311)/12))</f>
        <v/>
      </c>
      <c r="CG311">
        <f>BT311*COS(($BH311+10*($BI311-$BH311)/12))</f>
        <v/>
      </c>
      <c r="CH311">
        <f>BU311*COS(($BH311+11*($BI311-$BH311)/12))</f>
        <v/>
      </c>
      <c r="CI311">
        <f>BV311*COS(($BH311+12*($BI311-$BH311)/12))</f>
        <v/>
      </c>
    </row>
    <row r="312">
      <c r="B312" s="65" t="n">
        <v>34</v>
      </c>
      <c r="C312" s="66">
        <f>IF($G311&lt;cc_NEd-1E-9*ABS(cc_NEd),($C311+$D311)/2,$C311)</f>
        <v/>
      </c>
      <c r="D312" s="66">
        <f>IF($G311&lt;cc_NEd-1E-9*ABS(cc_NEd),$D311,($C311+$D311)/2)</f>
        <v/>
      </c>
      <c r="E312" s="67">
        <f>cc_D*(($C312+$D312)/2)/(1-(($C312+$D312)/2))</f>
        <v/>
      </c>
      <c r="F312" s="68">
        <f>IF($E312&lt;=cc_D,3.5,2*$E312/($E312-3*cc_D/7))</f>
        <v/>
      </c>
      <c r="G312" s="67">
        <f>(fcd_cc*((cc_D/2)^2*($BI312-COS($BI312)*SIN($BI312))-2*(cc_D/2)^2*($BI312-$BH312)/12/3*SUMPRODUCT($BJ$4:$BV$4,$BJ312:$BV312))+SUMPRODUCT($J$5:$AG$5,$J312:$AG312))/1000</f>
        <v/>
      </c>
      <c r="H312" s="67">
        <f>(fcd_cc*(2/3*(cc_D/2)^3*SIN($BI312)^3-2*(cc_D/2)^3*($BI312-$BH312)/12/3*SUMPRODUCT($BW$4:$CI$4,$BW312:$CI312))+SUMPRODUCT($J$5:$AG$5,$J312:$AG312,$J$16:$AG$16))/1E6</f>
        <v/>
      </c>
      <c r="I312" s="67">
        <f>SUMPRODUCT($J$5:$AG$5,$J312:$AG312,$J$17:$AG$17)/1E6</f>
        <v/>
      </c>
      <c r="J312">
        <f>MAX(-fyd_cc,MIN(fyd_cc,Es_cc*IF($E312&lt;=cc_D,0.0035*($E312-J$15)/$E312,0.002*($E312-J$15)/($E312-3*cc_D/7))))-fcd_cc*(1-(1-MAX(0,MIN(1,IF($E312&lt;=cc_D,0.0035*($E312-J$15)/$E312,0.002*($E312-J$15)/($E312-3*cc_D/7))/0.002)))^2)</f>
        <v/>
      </c>
      <c r="K312">
        <f>MAX(-fyd_cc,MIN(fyd_cc,Es_cc*IF($E312&lt;=cc_D,0.0035*($E312-K$15)/$E312,0.002*($E312-K$15)/($E312-3*cc_D/7))))-fcd_cc*(1-(1-MAX(0,MIN(1,IF($E312&lt;=cc_D,0.0035*($E312-K$15)/$E312,0.002*($E312-K$15)/($E312-3*cc_D/7))/0.002)))^2)</f>
        <v/>
      </c>
      <c r="L312">
        <f>MAX(-fyd_cc,MIN(fyd_cc,Es_cc*IF($E312&lt;=cc_D,0.0035*($E312-L$15)/$E312,0.002*($E312-L$15)/($E312-3*cc_D/7))))-fcd_cc*(1-(1-MAX(0,MIN(1,IF($E312&lt;=cc_D,0.0035*($E312-L$15)/$E312,0.002*($E312-L$15)/($E312-3*cc_D/7))/0.002)))^2)</f>
        <v/>
      </c>
      <c r="M312">
        <f>MAX(-fyd_cc,MIN(fyd_cc,Es_cc*IF($E312&lt;=cc_D,0.0035*($E312-M$15)/$E312,0.002*($E312-M$15)/($E312-3*cc_D/7))))-fcd_cc*(1-(1-MAX(0,MIN(1,IF($E312&lt;=cc_D,0.0035*($E312-M$15)/$E312,0.002*($E312-M$15)/($E312-3*cc_D/7))/0.002)))^2)</f>
        <v/>
      </c>
      <c r="N312">
        <f>MAX(-fyd_cc,MIN(fyd_cc,Es_cc*IF($E312&lt;=cc_D,0.0035*($E312-N$15)/$E312,0.002*($E312-N$15)/($E312-3*cc_D/7))))-fcd_cc*(1-(1-MAX(0,MIN(1,IF($E312&lt;=cc_D,0.0035*($E312-N$15)/$E312,0.002*($E312-N$15)/($E312-3*cc_D/7))/0.002)))^2)</f>
        <v/>
      </c>
      <c r="O312">
        <f>MAX(-fyd_cc,MIN(fyd_cc,Es_cc*IF($E312&lt;=cc_D,0.0035*($E312-O$15)/$E312,0.002*($E312-O$15)/($E312-3*cc_D/7))))-fcd_cc*(1-(1-MAX(0,MIN(1,IF($E312&lt;=cc_D,0.0035*($E312-O$15)/$E312,0.002*($E312-O$15)/($E312-3*cc_D/7))/0.002)))^2)</f>
        <v/>
      </c>
      <c r="P312">
        <f>MAX(-fyd_cc,MIN(fyd_cc,Es_cc*IF($E312&lt;=cc_D,0.0035*($E312-P$15)/$E312,0.002*($E312-P$15)/($E312-3*cc_D/7))))-fcd_cc*(1-(1-MAX(0,MIN(1,IF($E312&lt;=cc_D,0.0035*($E312-P$15)/$E312,0.002*($E312-P$15)/($E312-3*cc_D/7))/0.002)))^2)</f>
        <v/>
      </c>
      <c r="Q312">
        <f>MAX(-fyd_cc,MIN(fyd_cc,Es_cc*IF($E312&lt;=cc_D,0.0035*($E312-Q$15)/$E312,0.002*($E312-Q$15)/($E312-3*cc_D/7))))-fcd_cc*(1-(1-MAX(0,MIN(1,IF($E312&lt;=cc_D,0.0035*($E312-Q$15)/$E312,0.002*($E312-Q$15)/($E312-3*cc_D/7))/0.002)))^2)</f>
        <v/>
      </c>
      <c r="R312">
        <f>MAX(-fyd_cc,MIN(fyd_cc,Es_cc*IF($E312&lt;=cc_D,0.0035*($E312-R$15)/$E312,0.002*($E312-R$15)/($E312-3*cc_D/7))))-fcd_cc*(1-(1-MAX(0,MIN(1,IF($E312&lt;=cc_D,0.0035*($E312-R$15)/$E312,0.002*($E312-R$15)/($E312-3*cc_D/7))/0.002)))^2)</f>
        <v/>
      </c>
      <c r="S312">
        <f>MAX(-fyd_cc,MIN(fyd_cc,Es_cc*IF($E312&lt;=cc_D,0.0035*($E312-S$15)/$E312,0.002*($E312-S$15)/($E312-3*cc_D/7))))-fcd_cc*(1-(1-MAX(0,MIN(1,IF($E312&lt;=cc_D,0.0035*($E312-S$15)/$E312,0.002*($E312-S$15)/($E312-3*cc_D/7))/0.002)))^2)</f>
        <v/>
      </c>
      <c r="T312">
        <f>MAX(-fyd_cc,MIN(fyd_cc,Es_cc*IF($E312&lt;=cc_D,0.0035*($E312-T$15)/$E312,0.002*($E312-T$15)/($E312-3*cc_D/7))))-fcd_cc*(1-(1-MAX(0,MIN(1,IF($E312&lt;=cc_D,0.0035*($E312-T$15)/$E312,0.002*($E312-T$15)/($E312-3*cc_D/7))/0.002)))^2)</f>
        <v/>
      </c>
      <c r="U312">
        <f>MAX(-fyd_cc,MIN(fyd_cc,Es_cc*IF($E312&lt;=cc_D,0.0035*($E312-U$15)/$E312,0.002*($E312-U$15)/($E312-3*cc_D/7))))-fcd_cc*(1-(1-MAX(0,MIN(1,IF($E312&lt;=cc_D,0.0035*($E312-U$15)/$E312,0.002*($E312-U$15)/($E312-3*cc_D/7))/0.002)))^2)</f>
        <v/>
      </c>
      <c r="V312">
        <f>MAX(-fyd_cc,MIN(fyd_cc,Es_cc*IF($E312&lt;=cc_D,0.0035*($E312-V$15)/$E312,0.002*($E312-V$15)/($E312-3*cc_D/7))))-fcd_cc*(1-(1-MAX(0,MIN(1,IF($E312&lt;=cc_D,0.0035*($E312-V$15)/$E312,0.002*($E312-V$15)/($E312-3*cc_D/7))/0.002)))^2)</f>
        <v/>
      </c>
      <c r="W312">
        <f>MAX(-fyd_cc,MIN(fyd_cc,Es_cc*IF($E312&lt;=cc_D,0.0035*($E312-W$15)/$E312,0.002*($E312-W$15)/($E312-3*cc_D/7))))-fcd_cc*(1-(1-MAX(0,MIN(1,IF($E312&lt;=cc_D,0.0035*($E312-W$15)/$E312,0.002*($E312-W$15)/($E312-3*cc_D/7))/0.002)))^2)</f>
        <v/>
      </c>
      <c r="X312">
        <f>MAX(-fyd_cc,MIN(fyd_cc,Es_cc*IF($E312&lt;=cc_D,0.0035*($E312-X$15)/$E312,0.002*($E312-X$15)/($E312-3*cc_D/7))))-fcd_cc*(1-(1-MAX(0,MIN(1,IF($E312&lt;=cc_D,0.0035*($E312-X$15)/$E312,0.002*($E312-X$15)/($E312-3*cc_D/7))/0.002)))^2)</f>
        <v/>
      </c>
      <c r="Y312">
        <f>MAX(-fyd_cc,MIN(fyd_cc,Es_cc*IF($E312&lt;=cc_D,0.0035*($E312-Y$15)/$E312,0.002*($E312-Y$15)/($E312-3*cc_D/7))))-fcd_cc*(1-(1-MAX(0,MIN(1,IF($E312&lt;=cc_D,0.0035*($E312-Y$15)/$E312,0.002*($E312-Y$15)/($E312-3*cc_D/7))/0.002)))^2)</f>
        <v/>
      </c>
      <c r="Z312">
        <f>MAX(-fyd_cc,MIN(fyd_cc,Es_cc*IF($E312&lt;=cc_D,0.0035*($E312-Z$15)/$E312,0.002*($E312-Z$15)/($E312-3*cc_D/7))))-fcd_cc*(1-(1-MAX(0,MIN(1,IF($E312&lt;=cc_D,0.0035*($E312-Z$15)/$E312,0.002*($E312-Z$15)/($E312-3*cc_D/7))/0.002)))^2)</f>
        <v/>
      </c>
      <c r="AA312">
        <f>MAX(-fyd_cc,MIN(fyd_cc,Es_cc*IF($E312&lt;=cc_D,0.0035*($E312-AA$15)/$E312,0.002*($E312-AA$15)/($E312-3*cc_D/7))))-fcd_cc*(1-(1-MAX(0,MIN(1,IF($E312&lt;=cc_D,0.0035*($E312-AA$15)/$E312,0.002*($E312-AA$15)/($E312-3*cc_D/7))/0.002)))^2)</f>
        <v/>
      </c>
      <c r="AB312">
        <f>MAX(-fyd_cc,MIN(fyd_cc,Es_cc*IF($E312&lt;=cc_D,0.0035*($E312-AB$15)/$E312,0.002*($E312-AB$15)/($E312-3*cc_D/7))))-fcd_cc*(1-(1-MAX(0,MIN(1,IF($E312&lt;=cc_D,0.0035*($E312-AB$15)/$E312,0.002*($E312-AB$15)/($E312-3*cc_D/7))/0.002)))^2)</f>
        <v/>
      </c>
      <c r="AC312">
        <f>MAX(-fyd_cc,MIN(fyd_cc,Es_cc*IF($E312&lt;=cc_D,0.0035*($E312-AC$15)/$E312,0.002*($E312-AC$15)/($E312-3*cc_D/7))))-fcd_cc*(1-(1-MAX(0,MIN(1,IF($E312&lt;=cc_D,0.0035*($E312-AC$15)/$E312,0.002*($E312-AC$15)/($E312-3*cc_D/7))/0.002)))^2)</f>
        <v/>
      </c>
      <c r="AD312">
        <f>MAX(-fyd_cc,MIN(fyd_cc,Es_cc*IF($E312&lt;=cc_D,0.0035*($E312-AD$15)/$E312,0.002*($E312-AD$15)/($E312-3*cc_D/7))))-fcd_cc*(1-(1-MAX(0,MIN(1,IF($E312&lt;=cc_D,0.0035*($E312-AD$15)/$E312,0.002*($E312-AD$15)/($E312-3*cc_D/7))/0.002)))^2)</f>
        <v/>
      </c>
      <c r="AE312">
        <f>MAX(-fyd_cc,MIN(fyd_cc,Es_cc*IF($E312&lt;=cc_D,0.0035*($E312-AE$15)/$E312,0.002*($E312-AE$15)/($E312-3*cc_D/7))))-fcd_cc*(1-(1-MAX(0,MIN(1,IF($E312&lt;=cc_D,0.0035*($E312-AE$15)/$E312,0.002*($E312-AE$15)/($E312-3*cc_D/7))/0.002)))^2)</f>
        <v/>
      </c>
      <c r="AF312">
        <f>MAX(-fyd_cc,MIN(fyd_cc,Es_cc*IF($E312&lt;=cc_D,0.0035*($E312-AF$15)/$E312,0.002*($E312-AF$15)/($E312-3*cc_D/7))))-fcd_cc*(1-(1-MAX(0,MIN(1,IF($E312&lt;=cc_D,0.0035*($E312-AF$15)/$E312,0.002*($E312-AF$15)/($E312-3*cc_D/7))/0.002)))^2)</f>
        <v/>
      </c>
      <c r="AG312">
        <f>MAX(-fyd_cc,MIN(fyd_cc,Es_cc*IF($E312&lt;=cc_D,0.0035*($E312-AG$15)/$E312,0.002*($E312-AG$15)/($E312-3*cc_D/7))))-fcd_cc*(1-(1-MAX(0,MIN(1,IF($E312&lt;=cc_D,0.0035*($E312-AG$15)/$E312,0.002*($E312-AG$15)/($E312-3*cc_D/7))/0.002)))^2)</f>
        <v/>
      </c>
      <c r="BF312">
        <f>3*MIN($E312,cc_D)/7</f>
        <v/>
      </c>
      <c r="BG312">
        <f>$E312-$BF312</f>
        <v/>
      </c>
      <c r="BH312">
        <f>ACOS(MAX(-1,MIN(1,1-$BF312/(cc_D/2))))</f>
        <v/>
      </c>
      <c r="BI312">
        <f>ACOS(MAX(-1,MIN(1,1-MIN($E312,cc_D)/(cc_D/2))))</f>
        <v/>
      </c>
      <c r="BJ312">
        <f>((cc_D/2*(1-COS(($BH312+0*($BI312-$BH312)/12)))-$BF312)/$BG312)^2*SIN(($BH312+0*($BI312-$BH312)/12))^2</f>
        <v/>
      </c>
      <c r="BK312">
        <f>((cc_D/2*(1-COS(($BH312+1*($BI312-$BH312)/12)))-$BF312)/$BG312)^2*SIN(($BH312+1*($BI312-$BH312)/12))^2</f>
        <v/>
      </c>
      <c r="BL312">
        <f>((cc_D/2*(1-COS(($BH312+2*($BI312-$BH312)/12)))-$BF312)/$BG312)^2*SIN(($BH312+2*($BI312-$BH312)/12))^2</f>
        <v/>
      </c>
      <c r="BM312">
        <f>((cc_D/2*(1-COS(($BH312+3*($BI312-$BH312)/12)))-$BF312)/$BG312)^2*SIN(($BH312+3*($BI312-$BH312)/12))^2</f>
        <v/>
      </c>
      <c r="BN312">
        <f>((cc_D/2*(1-COS(($BH312+4*($BI312-$BH312)/12)))-$BF312)/$BG312)^2*SIN(($BH312+4*($BI312-$BH312)/12))^2</f>
        <v/>
      </c>
      <c r="BO312">
        <f>((cc_D/2*(1-COS(($BH312+5*($BI312-$BH312)/12)))-$BF312)/$BG312)^2*SIN(($BH312+5*($BI312-$BH312)/12))^2</f>
        <v/>
      </c>
      <c r="BP312">
        <f>((cc_D/2*(1-COS(($BH312+6*($BI312-$BH312)/12)))-$BF312)/$BG312)^2*SIN(($BH312+6*($BI312-$BH312)/12))^2</f>
        <v/>
      </c>
      <c r="BQ312">
        <f>((cc_D/2*(1-COS(($BH312+7*($BI312-$BH312)/12)))-$BF312)/$BG312)^2*SIN(($BH312+7*($BI312-$BH312)/12))^2</f>
        <v/>
      </c>
      <c r="BR312">
        <f>((cc_D/2*(1-COS(($BH312+8*($BI312-$BH312)/12)))-$BF312)/$BG312)^2*SIN(($BH312+8*($BI312-$BH312)/12))^2</f>
        <v/>
      </c>
      <c r="BS312">
        <f>((cc_D/2*(1-COS(($BH312+9*($BI312-$BH312)/12)))-$BF312)/$BG312)^2*SIN(($BH312+9*($BI312-$BH312)/12))^2</f>
        <v/>
      </c>
      <c r="BT312">
        <f>((cc_D/2*(1-COS(($BH312+10*($BI312-$BH312)/12)))-$BF312)/$BG312)^2*SIN(($BH312+10*($BI312-$BH312)/12))^2</f>
        <v/>
      </c>
      <c r="BU312">
        <f>((cc_D/2*(1-COS(($BH312+11*($BI312-$BH312)/12)))-$BF312)/$BG312)^2*SIN(($BH312+11*($BI312-$BH312)/12))^2</f>
        <v/>
      </c>
      <c r="BV312">
        <f>((cc_D/2*(1-COS(($BH312+12*($BI312-$BH312)/12)))-$BF312)/$BG312)^2*SIN(($BH312+12*($BI312-$BH312)/12))^2</f>
        <v/>
      </c>
      <c r="BW312">
        <f>BJ312*COS(($BH312+0*($BI312-$BH312)/12))</f>
        <v/>
      </c>
      <c r="BX312">
        <f>BK312*COS(($BH312+1*($BI312-$BH312)/12))</f>
        <v/>
      </c>
      <c r="BY312">
        <f>BL312*COS(($BH312+2*($BI312-$BH312)/12))</f>
        <v/>
      </c>
      <c r="BZ312">
        <f>BM312*COS(($BH312+3*($BI312-$BH312)/12))</f>
        <v/>
      </c>
      <c r="CA312">
        <f>BN312*COS(($BH312+4*($BI312-$BH312)/12))</f>
        <v/>
      </c>
      <c r="CB312">
        <f>BO312*COS(($BH312+5*($BI312-$BH312)/12))</f>
        <v/>
      </c>
      <c r="CC312">
        <f>BP312*COS(($BH312+6*($BI312-$BH312)/12))</f>
        <v/>
      </c>
      <c r="CD312">
        <f>BQ312*COS(($BH312+7*($BI312-$BH312)/12))</f>
        <v/>
      </c>
      <c r="CE312">
        <f>BR312*COS(($BH312+8*($BI312-$BH312)/12))</f>
        <v/>
      </c>
      <c r="CF312">
        <f>BS312*COS(($BH312+9*($BI312-$BH312)/12))</f>
        <v/>
      </c>
      <c r="CG312">
        <f>BT312*COS(($BH312+10*($BI312-$BH312)/12))</f>
        <v/>
      </c>
      <c r="CH312">
        <f>BU312*COS(($BH312+11*($BI312-$BH312)/12))</f>
        <v/>
      </c>
      <c r="CI312">
        <f>BV312*COS(($BH312+12*($BI312-$BH312)/12))</f>
        <v/>
      </c>
    </row>
    <row r="313">
      <c r="B313" s="65" t="n">
        <v>35</v>
      </c>
      <c r="C313" s="66">
        <f>IF($G312&lt;cc_NEd-1E-9*ABS(cc_NEd),($C312+$D312)/2,$C312)</f>
        <v/>
      </c>
      <c r="D313" s="66">
        <f>IF($G312&lt;cc_NEd-1E-9*ABS(cc_NEd),$D312,($C312+$D312)/2)</f>
        <v/>
      </c>
      <c r="E313" s="67">
        <f>cc_D*(($C313+$D313)/2)/(1-(($C313+$D313)/2))</f>
        <v/>
      </c>
      <c r="F313" s="68">
        <f>IF($E313&lt;=cc_D,3.5,2*$E313/($E313-3*cc_D/7))</f>
        <v/>
      </c>
      <c r="G313" s="67">
        <f>(fcd_cc*((cc_D/2)^2*($BI313-COS($BI313)*SIN($BI313))-2*(cc_D/2)^2*($BI313-$BH313)/12/3*SUMPRODUCT($BJ$4:$BV$4,$BJ313:$BV313))+SUMPRODUCT($J$5:$AG$5,$J313:$AG313))/1000</f>
        <v/>
      </c>
      <c r="H313" s="67">
        <f>(fcd_cc*(2/3*(cc_D/2)^3*SIN($BI313)^3-2*(cc_D/2)^3*($BI313-$BH313)/12/3*SUMPRODUCT($BW$4:$CI$4,$BW313:$CI313))+SUMPRODUCT($J$5:$AG$5,$J313:$AG313,$J$16:$AG$16))/1E6</f>
        <v/>
      </c>
      <c r="I313" s="67">
        <f>SUMPRODUCT($J$5:$AG$5,$J313:$AG313,$J$17:$AG$17)/1E6</f>
        <v/>
      </c>
      <c r="J313">
        <f>MAX(-fyd_cc,MIN(fyd_cc,Es_cc*IF($E313&lt;=cc_D,0.0035*($E313-J$15)/$E313,0.002*($E313-J$15)/($E313-3*cc_D/7))))-fcd_cc*(1-(1-MAX(0,MIN(1,IF($E313&lt;=cc_D,0.0035*($E313-J$15)/$E313,0.002*($E313-J$15)/($E313-3*cc_D/7))/0.002)))^2)</f>
        <v/>
      </c>
      <c r="K313">
        <f>MAX(-fyd_cc,MIN(fyd_cc,Es_cc*IF($E313&lt;=cc_D,0.0035*($E313-K$15)/$E313,0.002*($E313-K$15)/($E313-3*cc_D/7))))-fcd_cc*(1-(1-MAX(0,MIN(1,IF($E313&lt;=cc_D,0.0035*($E313-K$15)/$E313,0.002*($E313-K$15)/($E313-3*cc_D/7))/0.002)))^2)</f>
        <v/>
      </c>
      <c r="L313">
        <f>MAX(-fyd_cc,MIN(fyd_cc,Es_cc*IF($E313&lt;=cc_D,0.0035*($E313-L$15)/$E313,0.002*($E313-L$15)/($E313-3*cc_D/7))))-fcd_cc*(1-(1-MAX(0,MIN(1,IF($E313&lt;=cc_D,0.0035*($E313-L$15)/$E313,0.002*($E313-L$15)/($E313-3*cc_D/7))/0.002)))^2)</f>
        <v/>
      </c>
      <c r="M313">
        <f>MAX(-fyd_cc,MIN(fyd_cc,Es_cc*IF($E313&lt;=cc_D,0.0035*($E313-M$15)/$E313,0.002*($E313-M$15)/($E313-3*cc_D/7))))-fcd_cc*(1-(1-MAX(0,MIN(1,IF($E313&lt;=cc_D,0.0035*($E313-M$15)/$E313,0.002*($E313-M$15)/($E313-3*cc_D/7))/0.002)))^2)</f>
        <v/>
      </c>
      <c r="N313">
        <f>MAX(-fyd_cc,MIN(fyd_cc,Es_cc*IF($E313&lt;=cc_D,0.0035*($E313-N$15)/$E313,0.002*($E313-N$15)/($E313-3*cc_D/7))))-fcd_cc*(1-(1-MAX(0,MIN(1,IF($E313&lt;=cc_D,0.0035*($E313-N$15)/$E313,0.002*($E313-N$15)/($E313-3*cc_D/7))/0.002)))^2)</f>
        <v/>
      </c>
      <c r="O313">
        <f>MAX(-fyd_cc,MIN(fyd_cc,Es_cc*IF($E313&lt;=cc_D,0.0035*($E313-O$15)/$E313,0.002*($E313-O$15)/($E313-3*cc_D/7))))-fcd_cc*(1-(1-MAX(0,MIN(1,IF($E313&lt;=cc_D,0.0035*($E313-O$15)/$E313,0.002*($E313-O$15)/($E313-3*cc_D/7))/0.002)))^2)</f>
        <v/>
      </c>
      <c r="P313">
        <f>MAX(-fyd_cc,MIN(fyd_cc,Es_cc*IF($E313&lt;=cc_D,0.0035*($E313-P$15)/$E313,0.002*($E313-P$15)/($E313-3*cc_D/7))))-fcd_cc*(1-(1-MAX(0,MIN(1,IF($E313&lt;=cc_D,0.0035*($E313-P$15)/$E313,0.002*($E313-P$15)/($E313-3*cc_D/7))/0.002)))^2)</f>
        <v/>
      </c>
      <c r="Q313">
        <f>MAX(-fyd_cc,MIN(fyd_cc,Es_cc*IF($E313&lt;=cc_D,0.0035*($E313-Q$15)/$E313,0.002*($E313-Q$15)/($E313-3*cc_D/7))))-fcd_cc*(1-(1-MAX(0,MIN(1,IF($E313&lt;=cc_D,0.0035*($E313-Q$15)/$E313,0.002*($E313-Q$15)/($E313-3*cc_D/7))/0.002)))^2)</f>
        <v/>
      </c>
      <c r="R313">
        <f>MAX(-fyd_cc,MIN(fyd_cc,Es_cc*IF($E313&lt;=cc_D,0.0035*($E313-R$15)/$E313,0.002*($E313-R$15)/($E313-3*cc_D/7))))-fcd_cc*(1-(1-MAX(0,MIN(1,IF($E313&lt;=cc_D,0.0035*($E313-R$15)/$E313,0.002*($E313-R$15)/($E313-3*cc_D/7))/0.002)))^2)</f>
        <v/>
      </c>
      <c r="S313">
        <f>MAX(-fyd_cc,MIN(fyd_cc,Es_cc*IF($E313&lt;=cc_D,0.0035*($E313-S$15)/$E313,0.002*($E313-S$15)/($E313-3*cc_D/7))))-fcd_cc*(1-(1-MAX(0,MIN(1,IF($E313&lt;=cc_D,0.0035*($E313-S$15)/$E313,0.002*($E313-S$15)/($E313-3*cc_D/7))/0.002)))^2)</f>
        <v/>
      </c>
      <c r="T313">
        <f>MAX(-fyd_cc,MIN(fyd_cc,Es_cc*IF($E313&lt;=cc_D,0.0035*($E313-T$15)/$E313,0.002*($E313-T$15)/($E313-3*cc_D/7))))-fcd_cc*(1-(1-MAX(0,MIN(1,IF($E313&lt;=cc_D,0.0035*($E313-T$15)/$E313,0.002*($E313-T$15)/($E313-3*cc_D/7))/0.002)))^2)</f>
        <v/>
      </c>
      <c r="U313">
        <f>MAX(-fyd_cc,MIN(fyd_cc,Es_cc*IF($E313&lt;=cc_D,0.0035*($E313-U$15)/$E313,0.002*($E313-U$15)/($E313-3*cc_D/7))))-fcd_cc*(1-(1-MAX(0,MIN(1,IF($E313&lt;=cc_D,0.0035*($E313-U$15)/$E313,0.002*($E313-U$15)/($E313-3*cc_D/7))/0.002)))^2)</f>
        <v/>
      </c>
      <c r="V313">
        <f>MAX(-fyd_cc,MIN(fyd_cc,Es_cc*IF($E313&lt;=cc_D,0.0035*($E313-V$15)/$E313,0.002*($E313-V$15)/($E313-3*cc_D/7))))-fcd_cc*(1-(1-MAX(0,MIN(1,IF($E313&lt;=cc_D,0.0035*($E313-V$15)/$E313,0.002*($E313-V$15)/($E313-3*cc_D/7))/0.002)))^2)</f>
        <v/>
      </c>
      <c r="W313">
        <f>MAX(-fyd_cc,MIN(fyd_cc,Es_cc*IF($E313&lt;=cc_D,0.0035*($E313-W$15)/$E313,0.002*($E313-W$15)/($E313-3*cc_D/7))))-fcd_cc*(1-(1-MAX(0,MIN(1,IF($E313&lt;=cc_D,0.0035*($E313-W$15)/$E313,0.002*($E313-W$15)/($E313-3*cc_D/7))/0.002)))^2)</f>
        <v/>
      </c>
      <c r="X313">
        <f>MAX(-fyd_cc,MIN(fyd_cc,Es_cc*IF($E313&lt;=cc_D,0.0035*($E313-X$15)/$E313,0.002*($E313-X$15)/($E313-3*cc_D/7))))-fcd_cc*(1-(1-MAX(0,MIN(1,IF($E313&lt;=cc_D,0.0035*($E313-X$15)/$E313,0.002*($E313-X$15)/($E313-3*cc_D/7))/0.002)))^2)</f>
        <v/>
      </c>
      <c r="Y313">
        <f>MAX(-fyd_cc,MIN(fyd_cc,Es_cc*IF($E313&lt;=cc_D,0.0035*($E313-Y$15)/$E313,0.002*($E313-Y$15)/($E313-3*cc_D/7))))-fcd_cc*(1-(1-MAX(0,MIN(1,IF($E313&lt;=cc_D,0.0035*($E313-Y$15)/$E313,0.002*($E313-Y$15)/($E313-3*cc_D/7))/0.002)))^2)</f>
        <v/>
      </c>
      <c r="Z313">
        <f>MAX(-fyd_cc,MIN(fyd_cc,Es_cc*IF($E313&lt;=cc_D,0.0035*($E313-Z$15)/$E313,0.002*($E313-Z$15)/($E313-3*cc_D/7))))-fcd_cc*(1-(1-MAX(0,MIN(1,IF($E313&lt;=cc_D,0.0035*($E313-Z$15)/$E313,0.002*($E313-Z$15)/($E313-3*cc_D/7))/0.002)))^2)</f>
        <v/>
      </c>
      <c r="AA313">
        <f>MAX(-fyd_cc,MIN(fyd_cc,Es_cc*IF($E313&lt;=cc_D,0.0035*($E313-AA$15)/$E313,0.002*($E313-AA$15)/($E313-3*cc_D/7))))-fcd_cc*(1-(1-MAX(0,MIN(1,IF($E313&lt;=cc_D,0.0035*($E313-AA$15)/$E313,0.002*($E313-AA$15)/($E313-3*cc_D/7))/0.002)))^2)</f>
        <v/>
      </c>
      <c r="AB313">
        <f>MAX(-fyd_cc,MIN(fyd_cc,Es_cc*IF($E313&lt;=cc_D,0.0035*($E313-AB$15)/$E313,0.002*($E313-AB$15)/($E313-3*cc_D/7))))-fcd_cc*(1-(1-MAX(0,MIN(1,IF($E313&lt;=cc_D,0.0035*($E313-AB$15)/$E313,0.002*($E313-AB$15)/($E313-3*cc_D/7))/0.002)))^2)</f>
        <v/>
      </c>
      <c r="AC313">
        <f>MAX(-fyd_cc,MIN(fyd_cc,Es_cc*IF($E313&lt;=cc_D,0.0035*($E313-AC$15)/$E313,0.002*($E313-AC$15)/($E313-3*cc_D/7))))-fcd_cc*(1-(1-MAX(0,MIN(1,IF($E313&lt;=cc_D,0.0035*($E313-AC$15)/$E313,0.002*($E313-AC$15)/($E313-3*cc_D/7))/0.002)))^2)</f>
        <v/>
      </c>
      <c r="AD313">
        <f>MAX(-fyd_cc,MIN(fyd_cc,Es_cc*IF($E313&lt;=cc_D,0.0035*($E313-AD$15)/$E313,0.002*($E313-AD$15)/($E313-3*cc_D/7))))-fcd_cc*(1-(1-MAX(0,MIN(1,IF($E313&lt;=cc_D,0.0035*($E313-AD$15)/$E313,0.002*($E313-AD$15)/($E313-3*cc_D/7))/0.002)))^2)</f>
        <v/>
      </c>
      <c r="AE313">
        <f>MAX(-fyd_cc,MIN(fyd_cc,Es_cc*IF($E313&lt;=cc_D,0.0035*($E313-AE$15)/$E313,0.002*($E313-AE$15)/($E313-3*cc_D/7))))-fcd_cc*(1-(1-MAX(0,MIN(1,IF($E313&lt;=cc_D,0.0035*($E313-AE$15)/$E313,0.002*($E313-AE$15)/($E313-3*cc_D/7))/0.002)))^2)</f>
        <v/>
      </c>
      <c r="AF313">
        <f>MAX(-fyd_cc,MIN(fyd_cc,Es_cc*IF($E313&lt;=cc_D,0.0035*($E313-AF$15)/$E313,0.002*($E313-AF$15)/($E313-3*cc_D/7))))-fcd_cc*(1-(1-MAX(0,MIN(1,IF($E313&lt;=cc_D,0.0035*($E313-AF$15)/$E313,0.002*($E313-AF$15)/($E313-3*cc_D/7))/0.002)))^2)</f>
        <v/>
      </c>
      <c r="AG313">
        <f>MAX(-fyd_cc,MIN(fyd_cc,Es_cc*IF($E313&lt;=cc_D,0.0035*($E313-AG$15)/$E313,0.002*($E313-AG$15)/($E313-3*cc_D/7))))-fcd_cc*(1-(1-MAX(0,MIN(1,IF($E313&lt;=cc_D,0.0035*($E313-AG$15)/$E313,0.002*($E313-AG$15)/($E313-3*cc_D/7))/0.002)))^2)</f>
        <v/>
      </c>
      <c r="BF313">
        <f>3*MIN($E313,cc_D)/7</f>
        <v/>
      </c>
      <c r="BG313">
        <f>$E313-$BF313</f>
        <v/>
      </c>
      <c r="BH313">
        <f>ACOS(MAX(-1,MIN(1,1-$BF313/(cc_D/2))))</f>
        <v/>
      </c>
      <c r="BI313">
        <f>ACOS(MAX(-1,MIN(1,1-MIN($E313,cc_D)/(cc_D/2))))</f>
        <v/>
      </c>
      <c r="BJ313">
        <f>((cc_D/2*(1-COS(($BH313+0*($BI313-$BH313)/12)))-$BF313)/$BG313)^2*SIN(($BH313+0*($BI313-$BH313)/12))^2</f>
        <v/>
      </c>
      <c r="BK313">
        <f>((cc_D/2*(1-COS(($BH313+1*($BI313-$BH313)/12)))-$BF313)/$BG313)^2*SIN(($BH313+1*($BI313-$BH313)/12))^2</f>
        <v/>
      </c>
      <c r="BL313">
        <f>((cc_D/2*(1-COS(($BH313+2*($BI313-$BH313)/12)))-$BF313)/$BG313)^2*SIN(($BH313+2*($BI313-$BH313)/12))^2</f>
        <v/>
      </c>
      <c r="BM313">
        <f>((cc_D/2*(1-COS(($BH313+3*($BI313-$BH313)/12)))-$BF313)/$BG313)^2*SIN(($BH313+3*($BI313-$BH313)/12))^2</f>
        <v/>
      </c>
      <c r="BN313">
        <f>((cc_D/2*(1-COS(($BH313+4*($BI313-$BH313)/12)))-$BF313)/$BG313)^2*SIN(($BH313+4*($BI313-$BH313)/12))^2</f>
        <v/>
      </c>
      <c r="BO313">
        <f>((cc_D/2*(1-COS(($BH313+5*($BI313-$BH313)/12)))-$BF313)/$BG313)^2*SIN(($BH313+5*($BI313-$BH313)/12))^2</f>
        <v/>
      </c>
      <c r="BP313">
        <f>((cc_D/2*(1-COS(($BH313+6*($BI313-$BH313)/12)))-$BF313)/$BG313)^2*SIN(($BH313+6*($BI313-$BH313)/12))^2</f>
        <v/>
      </c>
      <c r="BQ313">
        <f>((cc_D/2*(1-COS(($BH313+7*($BI313-$BH313)/12)))-$BF313)/$BG313)^2*SIN(($BH313+7*($BI313-$BH313)/12))^2</f>
        <v/>
      </c>
      <c r="BR313">
        <f>((cc_D/2*(1-COS(($BH313+8*($BI313-$BH313)/12)))-$BF313)/$BG313)^2*SIN(($BH313+8*($BI313-$BH313)/12))^2</f>
        <v/>
      </c>
      <c r="BS313">
        <f>((cc_D/2*(1-COS(($BH313+9*($BI313-$BH313)/12)))-$BF313)/$BG313)^2*SIN(($BH313+9*($BI313-$BH313)/12))^2</f>
        <v/>
      </c>
      <c r="BT313">
        <f>((cc_D/2*(1-COS(($BH313+10*($BI313-$BH313)/12)))-$BF313)/$BG313)^2*SIN(($BH313+10*($BI313-$BH313)/12))^2</f>
        <v/>
      </c>
      <c r="BU313">
        <f>((cc_D/2*(1-COS(($BH313+11*($BI313-$BH313)/12)))-$BF313)/$BG313)^2*SIN(($BH313+11*($BI313-$BH313)/12))^2</f>
        <v/>
      </c>
      <c r="BV313">
        <f>((cc_D/2*(1-COS(($BH313+12*($BI313-$BH313)/12)))-$BF313)/$BG313)^2*SIN(($BH313+12*($BI313-$BH313)/12))^2</f>
        <v/>
      </c>
      <c r="BW313">
        <f>BJ313*COS(($BH313+0*($BI313-$BH313)/12))</f>
        <v/>
      </c>
      <c r="BX313">
        <f>BK313*COS(($BH313+1*($BI313-$BH313)/12))</f>
        <v/>
      </c>
      <c r="BY313">
        <f>BL313*COS(($BH313+2*($BI313-$BH313)/12))</f>
        <v/>
      </c>
      <c r="BZ313">
        <f>BM313*COS(($BH313+3*($BI313-$BH313)/12))</f>
        <v/>
      </c>
      <c r="CA313">
        <f>BN313*COS(($BH313+4*($BI313-$BH313)/12))</f>
        <v/>
      </c>
      <c r="CB313">
        <f>BO313*COS(($BH313+5*($BI313-$BH313)/12))</f>
        <v/>
      </c>
      <c r="CC313">
        <f>BP313*COS(($BH313+6*($BI313-$BH313)/12))</f>
        <v/>
      </c>
      <c r="CD313">
        <f>BQ313*COS(($BH313+7*($BI313-$BH313)/12))</f>
        <v/>
      </c>
      <c r="CE313">
        <f>BR313*COS(($BH313+8*($BI313-$BH313)/12))</f>
        <v/>
      </c>
      <c r="CF313">
        <f>BS313*COS(($BH313+9*($BI313-$BH313)/12))</f>
        <v/>
      </c>
      <c r="CG313">
        <f>BT313*COS(($BH313+10*($BI313-$BH313)/12))</f>
        <v/>
      </c>
      <c r="CH313">
        <f>BU313*COS(($BH313+11*($BI313-$BH313)/12))</f>
        <v/>
      </c>
      <c r="CI313">
        <f>BV313*COS(($BH313+12*($BI313-$BH313)/12))</f>
        <v/>
      </c>
    </row>
    <row r="314">
      <c r="B314" s="65" t="n">
        <v>36</v>
      </c>
      <c r="C314" s="66">
        <f>IF($G313&lt;cc_NEd-1E-9*ABS(cc_NEd),($C313+$D313)/2,$C313)</f>
        <v/>
      </c>
      <c r="D314" s="66">
        <f>IF($G313&lt;cc_NEd-1E-9*ABS(cc_NEd),$D313,($C313+$D313)/2)</f>
        <v/>
      </c>
      <c r="E314" s="67">
        <f>cc_D*(($C314+$D314)/2)/(1-(($C314+$D314)/2))</f>
        <v/>
      </c>
      <c r="F314" s="68">
        <f>IF($E314&lt;=cc_D,3.5,2*$E314/($E314-3*cc_D/7))</f>
        <v/>
      </c>
      <c r="G314" s="67">
        <f>(fcd_cc*((cc_D/2)^2*($BI314-COS($BI314)*SIN($BI314))-2*(cc_D/2)^2*($BI314-$BH314)/12/3*SUMPRODUCT($BJ$4:$BV$4,$BJ314:$BV314))+SUMPRODUCT($J$5:$AG$5,$J314:$AG314))/1000</f>
        <v/>
      </c>
      <c r="H314" s="67">
        <f>(fcd_cc*(2/3*(cc_D/2)^3*SIN($BI314)^3-2*(cc_D/2)^3*($BI314-$BH314)/12/3*SUMPRODUCT($BW$4:$CI$4,$BW314:$CI314))+SUMPRODUCT($J$5:$AG$5,$J314:$AG314,$J$16:$AG$16))/1E6</f>
        <v/>
      </c>
      <c r="I314" s="67">
        <f>SUMPRODUCT($J$5:$AG$5,$J314:$AG314,$J$17:$AG$17)/1E6</f>
        <v/>
      </c>
      <c r="J314">
        <f>MAX(-fyd_cc,MIN(fyd_cc,Es_cc*IF($E314&lt;=cc_D,0.0035*($E314-J$15)/$E314,0.002*($E314-J$15)/($E314-3*cc_D/7))))-fcd_cc*(1-(1-MAX(0,MIN(1,IF($E314&lt;=cc_D,0.0035*($E314-J$15)/$E314,0.002*($E314-J$15)/($E314-3*cc_D/7))/0.002)))^2)</f>
        <v/>
      </c>
      <c r="K314">
        <f>MAX(-fyd_cc,MIN(fyd_cc,Es_cc*IF($E314&lt;=cc_D,0.0035*($E314-K$15)/$E314,0.002*($E314-K$15)/($E314-3*cc_D/7))))-fcd_cc*(1-(1-MAX(0,MIN(1,IF($E314&lt;=cc_D,0.0035*($E314-K$15)/$E314,0.002*($E314-K$15)/($E314-3*cc_D/7))/0.002)))^2)</f>
        <v/>
      </c>
      <c r="L314">
        <f>MAX(-fyd_cc,MIN(fyd_cc,Es_cc*IF($E314&lt;=cc_D,0.0035*($E314-L$15)/$E314,0.002*($E314-L$15)/($E314-3*cc_D/7))))-fcd_cc*(1-(1-MAX(0,MIN(1,IF($E314&lt;=cc_D,0.0035*($E314-L$15)/$E314,0.002*($E314-L$15)/($E314-3*cc_D/7))/0.002)))^2)</f>
        <v/>
      </c>
      <c r="M314">
        <f>MAX(-fyd_cc,MIN(fyd_cc,Es_cc*IF($E314&lt;=cc_D,0.0035*($E314-M$15)/$E314,0.002*($E314-M$15)/($E314-3*cc_D/7))))-fcd_cc*(1-(1-MAX(0,MIN(1,IF($E314&lt;=cc_D,0.0035*($E314-M$15)/$E314,0.002*($E314-M$15)/($E314-3*cc_D/7))/0.002)))^2)</f>
        <v/>
      </c>
      <c r="N314">
        <f>MAX(-fyd_cc,MIN(fyd_cc,Es_cc*IF($E314&lt;=cc_D,0.0035*($E314-N$15)/$E314,0.002*($E314-N$15)/($E314-3*cc_D/7))))-fcd_cc*(1-(1-MAX(0,MIN(1,IF($E314&lt;=cc_D,0.0035*($E314-N$15)/$E314,0.002*($E314-N$15)/($E314-3*cc_D/7))/0.002)))^2)</f>
        <v/>
      </c>
      <c r="O314">
        <f>MAX(-fyd_cc,MIN(fyd_cc,Es_cc*IF($E314&lt;=cc_D,0.0035*($E314-O$15)/$E314,0.002*($E314-O$15)/($E314-3*cc_D/7))))-fcd_cc*(1-(1-MAX(0,MIN(1,IF($E314&lt;=cc_D,0.0035*($E314-O$15)/$E314,0.002*($E314-O$15)/($E314-3*cc_D/7))/0.002)))^2)</f>
        <v/>
      </c>
      <c r="P314">
        <f>MAX(-fyd_cc,MIN(fyd_cc,Es_cc*IF($E314&lt;=cc_D,0.0035*($E314-P$15)/$E314,0.002*($E314-P$15)/($E314-3*cc_D/7))))-fcd_cc*(1-(1-MAX(0,MIN(1,IF($E314&lt;=cc_D,0.0035*($E314-P$15)/$E314,0.002*($E314-P$15)/($E314-3*cc_D/7))/0.002)))^2)</f>
        <v/>
      </c>
      <c r="Q314">
        <f>MAX(-fyd_cc,MIN(fyd_cc,Es_cc*IF($E314&lt;=cc_D,0.0035*($E314-Q$15)/$E314,0.002*($E314-Q$15)/($E314-3*cc_D/7))))-fcd_cc*(1-(1-MAX(0,MIN(1,IF($E314&lt;=cc_D,0.0035*($E314-Q$15)/$E314,0.002*($E314-Q$15)/($E314-3*cc_D/7))/0.002)))^2)</f>
        <v/>
      </c>
      <c r="R314">
        <f>MAX(-fyd_cc,MIN(fyd_cc,Es_cc*IF($E314&lt;=cc_D,0.0035*($E314-R$15)/$E314,0.002*($E314-R$15)/($E314-3*cc_D/7))))-fcd_cc*(1-(1-MAX(0,MIN(1,IF($E314&lt;=cc_D,0.0035*($E314-R$15)/$E314,0.002*($E314-R$15)/($E314-3*cc_D/7))/0.002)))^2)</f>
        <v/>
      </c>
      <c r="S314">
        <f>MAX(-fyd_cc,MIN(fyd_cc,Es_cc*IF($E314&lt;=cc_D,0.0035*($E314-S$15)/$E314,0.002*($E314-S$15)/($E314-3*cc_D/7))))-fcd_cc*(1-(1-MAX(0,MIN(1,IF($E314&lt;=cc_D,0.0035*($E314-S$15)/$E314,0.002*($E314-S$15)/($E314-3*cc_D/7))/0.002)))^2)</f>
        <v/>
      </c>
      <c r="T314">
        <f>MAX(-fyd_cc,MIN(fyd_cc,Es_cc*IF($E314&lt;=cc_D,0.0035*($E314-T$15)/$E314,0.002*($E314-T$15)/($E314-3*cc_D/7))))-fcd_cc*(1-(1-MAX(0,MIN(1,IF($E314&lt;=cc_D,0.0035*($E314-T$15)/$E314,0.002*($E314-T$15)/($E314-3*cc_D/7))/0.002)))^2)</f>
        <v/>
      </c>
      <c r="U314">
        <f>MAX(-fyd_cc,MIN(fyd_cc,Es_cc*IF($E314&lt;=cc_D,0.0035*($E314-U$15)/$E314,0.002*($E314-U$15)/($E314-3*cc_D/7))))-fcd_cc*(1-(1-MAX(0,MIN(1,IF($E314&lt;=cc_D,0.0035*($E314-U$15)/$E314,0.002*($E314-U$15)/($E314-3*cc_D/7))/0.002)))^2)</f>
        <v/>
      </c>
      <c r="V314">
        <f>MAX(-fyd_cc,MIN(fyd_cc,Es_cc*IF($E314&lt;=cc_D,0.0035*($E314-V$15)/$E314,0.002*($E314-V$15)/($E314-3*cc_D/7))))-fcd_cc*(1-(1-MAX(0,MIN(1,IF($E314&lt;=cc_D,0.0035*($E314-V$15)/$E314,0.002*($E314-V$15)/($E314-3*cc_D/7))/0.002)))^2)</f>
        <v/>
      </c>
      <c r="W314">
        <f>MAX(-fyd_cc,MIN(fyd_cc,Es_cc*IF($E314&lt;=cc_D,0.0035*($E314-W$15)/$E314,0.002*($E314-W$15)/($E314-3*cc_D/7))))-fcd_cc*(1-(1-MAX(0,MIN(1,IF($E314&lt;=cc_D,0.0035*($E314-W$15)/$E314,0.002*($E314-W$15)/($E314-3*cc_D/7))/0.002)))^2)</f>
        <v/>
      </c>
      <c r="X314">
        <f>MAX(-fyd_cc,MIN(fyd_cc,Es_cc*IF($E314&lt;=cc_D,0.0035*($E314-X$15)/$E314,0.002*($E314-X$15)/($E314-3*cc_D/7))))-fcd_cc*(1-(1-MAX(0,MIN(1,IF($E314&lt;=cc_D,0.0035*($E314-X$15)/$E314,0.002*($E314-X$15)/($E314-3*cc_D/7))/0.002)))^2)</f>
        <v/>
      </c>
      <c r="Y314">
        <f>MAX(-fyd_cc,MIN(fyd_cc,Es_cc*IF($E314&lt;=cc_D,0.0035*($E314-Y$15)/$E314,0.002*($E314-Y$15)/($E314-3*cc_D/7))))-fcd_cc*(1-(1-MAX(0,MIN(1,IF($E314&lt;=cc_D,0.0035*($E314-Y$15)/$E314,0.002*($E314-Y$15)/($E314-3*cc_D/7))/0.002)))^2)</f>
        <v/>
      </c>
      <c r="Z314">
        <f>MAX(-fyd_cc,MIN(fyd_cc,Es_cc*IF($E314&lt;=cc_D,0.0035*($E314-Z$15)/$E314,0.002*($E314-Z$15)/($E314-3*cc_D/7))))-fcd_cc*(1-(1-MAX(0,MIN(1,IF($E314&lt;=cc_D,0.0035*($E314-Z$15)/$E314,0.002*($E314-Z$15)/($E314-3*cc_D/7))/0.002)))^2)</f>
        <v/>
      </c>
      <c r="AA314">
        <f>MAX(-fyd_cc,MIN(fyd_cc,Es_cc*IF($E314&lt;=cc_D,0.0035*($E314-AA$15)/$E314,0.002*($E314-AA$15)/($E314-3*cc_D/7))))-fcd_cc*(1-(1-MAX(0,MIN(1,IF($E314&lt;=cc_D,0.0035*($E314-AA$15)/$E314,0.002*($E314-AA$15)/($E314-3*cc_D/7))/0.002)))^2)</f>
        <v/>
      </c>
      <c r="AB314">
        <f>MAX(-fyd_cc,MIN(fyd_cc,Es_cc*IF($E314&lt;=cc_D,0.0035*($E314-AB$15)/$E314,0.002*($E314-AB$15)/($E314-3*cc_D/7))))-fcd_cc*(1-(1-MAX(0,MIN(1,IF($E314&lt;=cc_D,0.0035*($E314-AB$15)/$E314,0.002*($E314-AB$15)/($E314-3*cc_D/7))/0.002)))^2)</f>
        <v/>
      </c>
      <c r="AC314">
        <f>MAX(-fyd_cc,MIN(fyd_cc,Es_cc*IF($E314&lt;=cc_D,0.0035*($E314-AC$15)/$E314,0.002*($E314-AC$15)/($E314-3*cc_D/7))))-fcd_cc*(1-(1-MAX(0,MIN(1,IF($E314&lt;=cc_D,0.0035*($E314-AC$15)/$E314,0.002*($E314-AC$15)/($E314-3*cc_D/7))/0.002)))^2)</f>
        <v/>
      </c>
      <c r="AD314">
        <f>MAX(-fyd_cc,MIN(fyd_cc,Es_cc*IF($E314&lt;=cc_D,0.0035*($E314-AD$15)/$E314,0.002*($E314-AD$15)/($E314-3*cc_D/7))))-fcd_cc*(1-(1-MAX(0,MIN(1,IF($E314&lt;=cc_D,0.0035*($E314-AD$15)/$E314,0.002*($E314-AD$15)/($E314-3*cc_D/7))/0.002)))^2)</f>
        <v/>
      </c>
      <c r="AE314">
        <f>MAX(-fyd_cc,MIN(fyd_cc,Es_cc*IF($E314&lt;=cc_D,0.0035*($E314-AE$15)/$E314,0.002*($E314-AE$15)/($E314-3*cc_D/7))))-fcd_cc*(1-(1-MAX(0,MIN(1,IF($E314&lt;=cc_D,0.0035*($E314-AE$15)/$E314,0.002*($E314-AE$15)/($E314-3*cc_D/7))/0.002)))^2)</f>
        <v/>
      </c>
      <c r="AF314">
        <f>MAX(-fyd_cc,MIN(fyd_cc,Es_cc*IF($E314&lt;=cc_D,0.0035*($E314-AF$15)/$E314,0.002*($E314-AF$15)/($E314-3*cc_D/7))))-fcd_cc*(1-(1-MAX(0,MIN(1,IF($E314&lt;=cc_D,0.0035*($E314-AF$15)/$E314,0.002*($E314-AF$15)/($E314-3*cc_D/7))/0.002)))^2)</f>
        <v/>
      </c>
      <c r="AG314">
        <f>MAX(-fyd_cc,MIN(fyd_cc,Es_cc*IF($E314&lt;=cc_D,0.0035*($E314-AG$15)/$E314,0.002*($E314-AG$15)/($E314-3*cc_D/7))))-fcd_cc*(1-(1-MAX(0,MIN(1,IF($E314&lt;=cc_D,0.0035*($E314-AG$15)/$E314,0.002*($E314-AG$15)/($E314-3*cc_D/7))/0.002)))^2)</f>
        <v/>
      </c>
      <c r="BF314">
        <f>3*MIN($E314,cc_D)/7</f>
        <v/>
      </c>
      <c r="BG314">
        <f>$E314-$BF314</f>
        <v/>
      </c>
      <c r="BH314">
        <f>ACOS(MAX(-1,MIN(1,1-$BF314/(cc_D/2))))</f>
        <v/>
      </c>
      <c r="BI314">
        <f>ACOS(MAX(-1,MIN(1,1-MIN($E314,cc_D)/(cc_D/2))))</f>
        <v/>
      </c>
      <c r="BJ314">
        <f>((cc_D/2*(1-COS(($BH314+0*($BI314-$BH314)/12)))-$BF314)/$BG314)^2*SIN(($BH314+0*($BI314-$BH314)/12))^2</f>
        <v/>
      </c>
      <c r="BK314">
        <f>((cc_D/2*(1-COS(($BH314+1*($BI314-$BH314)/12)))-$BF314)/$BG314)^2*SIN(($BH314+1*($BI314-$BH314)/12))^2</f>
        <v/>
      </c>
      <c r="BL314">
        <f>((cc_D/2*(1-COS(($BH314+2*($BI314-$BH314)/12)))-$BF314)/$BG314)^2*SIN(($BH314+2*($BI314-$BH314)/12))^2</f>
        <v/>
      </c>
      <c r="BM314">
        <f>((cc_D/2*(1-COS(($BH314+3*($BI314-$BH314)/12)))-$BF314)/$BG314)^2*SIN(($BH314+3*($BI314-$BH314)/12))^2</f>
        <v/>
      </c>
      <c r="BN314">
        <f>((cc_D/2*(1-COS(($BH314+4*($BI314-$BH314)/12)))-$BF314)/$BG314)^2*SIN(($BH314+4*($BI314-$BH314)/12))^2</f>
        <v/>
      </c>
      <c r="BO314">
        <f>((cc_D/2*(1-COS(($BH314+5*($BI314-$BH314)/12)))-$BF314)/$BG314)^2*SIN(($BH314+5*($BI314-$BH314)/12))^2</f>
        <v/>
      </c>
      <c r="BP314">
        <f>((cc_D/2*(1-COS(($BH314+6*($BI314-$BH314)/12)))-$BF314)/$BG314)^2*SIN(($BH314+6*($BI314-$BH314)/12))^2</f>
        <v/>
      </c>
      <c r="BQ314">
        <f>((cc_D/2*(1-COS(($BH314+7*($BI314-$BH314)/12)))-$BF314)/$BG314)^2*SIN(($BH314+7*($BI314-$BH314)/12))^2</f>
        <v/>
      </c>
      <c r="BR314">
        <f>((cc_D/2*(1-COS(($BH314+8*($BI314-$BH314)/12)))-$BF314)/$BG314)^2*SIN(($BH314+8*($BI314-$BH314)/12))^2</f>
        <v/>
      </c>
      <c r="BS314">
        <f>((cc_D/2*(1-COS(($BH314+9*($BI314-$BH314)/12)))-$BF314)/$BG314)^2*SIN(($BH314+9*($BI314-$BH314)/12))^2</f>
        <v/>
      </c>
      <c r="BT314">
        <f>((cc_D/2*(1-COS(($BH314+10*($BI314-$BH314)/12)))-$BF314)/$BG314)^2*SIN(($BH314+10*($BI314-$BH314)/12))^2</f>
        <v/>
      </c>
      <c r="BU314">
        <f>((cc_D/2*(1-COS(($BH314+11*($BI314-$BH314)/12)))-$BF314)/$BG314)^2*SIN(($BH314+11*($BI314-$BH314)/12))^2</f>
        <v/>
      </c>
      <c r="BV314">
        <f>((cc_D/2*(1-COS(($BH314+12*($BI314-$BH314)/12)))-$BF314)/$BG314)^2*SIN(($BH314+12*($BI314-$BH314)/12))^2</f>
        <v/>
      </c>
      <c r="BW314">
        <f>BJ314*COS(($BH314+0*($BI314-$BH314)/12))</f>
        <v/>
      </c>
      <c r="BX314">
        <f>BK314*COS(($BH314+1*($BI314-$BH314)/12))</f>
        <v/>
      </c>
      <c r="BY314">
        <f>BL314*COS(($BH314+2*($BI314-$BH314)/12))</f>
        <v/>
      </c>
      <c r="BZ314">
        <f>BM314*COS(($BH314+3*($BI314-$BH314)/12))</f>
        <v/>
      </c>
      <c r="CA314">
        <f>BN314*COS(($BH314+4*($BI314-$BH314)/12))</f>
        <v/>
      </c>
      <c r="CB314">
        <f>BO314*COS(($BH314+5*($BI314-$BH314)/12))</f>
        <v/>
      </c>
      <c r="CC314">
        <f>BP314*COS(($BH314+6*($BI314-$BH314)/12))</f>
        <v/>
      </c>
      <c r="CD314">
        <f>BQ314*COS(($BH314+7*($BI314-$BH314)/12))</f>
        <v/>
      </c>
      <c r="CE314">
        <f>BR314*COS(($BH314+8*($BI314-$BH314)/12))</f>
        <v/>
      </c>
      <c r="CF314">
        <f>BS314*COS(($BH314+9*($BI314-$BH314)/12))</f>
        <v/>
      </c>
      <c r="CG314">
        <f>BT314*COS(($BH314+10*($BI314-$BH314)/12))</f>
        <v/>
      </c>
      <c r="CH314">
        <f>BU314*COS(($BH314+11*($BI314-$BH314)/12))</f>
        <v/>
      </c>
      <c r="CI314">
        <f>BV314*COS(($BH314+12*($BI314-$BH314)/12))</f>
        <v/>
      </c>
    </row>
    <row r="315">
      <c r="B315" s="65" t="n">
        <v>37</v>
      </c>
      <c r="C315" s="66">
        <f>IF($G314&lt;cc_NEd-1E-9*ABS(cc_NEd),($C314+$D314)/2,$C314)</f>
        <v/>
      </c>
      <c r="D315" s="66">
        <f>IF($G314&lt;cc_NEd-1E-9*ABS(cc_NEd),$D314,($C314+$D314)/2)</f>
        <v/>
      </c>
      <c r="E315" s="67">
        <f>cc_D*(($C315+$D315)/2)/(1-(($C315+$D315)/2))</f>
        <v/>
      </c>
      <c r="F315" s="68">
        <f>IF($E315&lt;=cc_D,3.5,2*$E315/($E315-3*cc_D/7))</f>
        <v/>
      </c>
      <c r="G315" s="67">
        <f>(fcd_cc*((cc_D/2)^2*($BI315-COS($BI315)*SIN($BI315))-2*(cc_D/2)^2*($BI315-$BH315)/12/3*SUMPRODUCT($BJ$4:$BV$4,$BJ315:$BV315))+SUMPRODUCT($J$5:$AG$5,$J315:$AG315))/1000</f>
        <v/>
      </c>
      <c r="H315" s="67">
        <f>(fcd_cc*(2/3*(cc_D/2)^3*SIN($BI315)^3-2*(cc_D/2)^3*($BI315-$BH315)/12/3*SUMPRODUCT($BW$4:$CI$4,$BW315:$CI315))+SUMPRODUCT($J$5:$AG$5,$J315:$AG315,$J$16:$AG$16))/1E6</f>
        <v/>
      </c>
      <c r="I315" s="67">
        <f>SUMPRODUCT($J$5:$AG$5,$J315:$AG315,$J$17:$AG$17)/1E6</f>
        <v/>
      </c>
      <c r="J315">
        <f>MAX(-fyd_cc,MIN(fyd_cc,Es_cc*IF($E315&lt;=cc_D,0.0035*($E315-J$15)/$E315,0.002*($E315-J$15)/($E315-3*cc_D/7))))-fcd_cc*(1-(1-MAX(0,MIN(1,IF($E315&lt;=cc_D,0.0035*($E315-J$15)/$E315,0.002*($E315-J$15)/($E315-3*cc_D/7))/0.002)))^2)</f>
        <v/>
      </c>
      <c r="K315">
        <f>MAX(-fyd_cc,MIN(fyd_cc,Es_cc*IF($E315&lt;=cc_D,0.0035*($E315-K$15)/$E315,0.002*($E315-K$15)/($E315-3*cc_D/7))))-fcd_cc*(1-(1-MAX(0,MIN(1,IF($E315&lt;=cc_D,0.0035*($E315-K$15)/$E315,0.002*($E315-K$15)/($E315-3*cc_D/7))/0.002)))^2)</f>
        <v/>
      </c>
      <c r="L315">
        <f>MAX(-fyd_cc,MIN(fyd_cc,Es_cc*IF($E315&lt;=cc_D,0.0035*($E315-L$15)/$E315,0.002*($E315-L$15)/($E315-3*cc_D/7))))-fcd_cc*(1-(1-MAX(0,MIN(1,IF($E315&lt;=cc_D,0.0035*($E315-L$15)/$E315,0.002*($E315-L$15)/($E315-3*cc_D/7))/0.002)))^2)</f>
        <v/>
      </c>
      <c r="M315">
        <f>MAX(-fyd_cc,MIN(fyd_cc,Es_cc*IF($E315&lt;=cc_D,0.0035*($E315-M$15)/$E315,0.002*($E315-M$15)/($E315-3*cc_D/7))))-fcd_cc*(1-(1-MAX(0,MIN(1,IF($E315&lt;=cc_D,0.0035*($E315-M$15)/$E315,0.002*($E315-M$15)/($E315-3*cc_D/7))/0.002)))^2)</f>
        <v/>
      </c>
      <c r="N315">
        <f>MAX(-fyd_cc,MIN(fyd_cc,Es_cc*IF($E315&lt;=cc_D,0.0035*($E315-N$15)/$E315,0.002*($E315-N$15)/($E315-3*cc_D/7))))-fcd_cc*(1-(1-MAX(0,MIN(1,IF($E315&lt;=cc_D,0.0035*($E315-N$15)/$E315,0.002*($E315-N$15)/($E315-3*cc_D/7))/0.002)))^2)</f>
        <v/>
      </c>
      <c r="O315">
        <f>MAX(-fyd_cc,MIN(fyd_cc,Es_cc*IF($E315&lt;=cc_D,0.0035*($E315-O$15)/$E315,0.002*($E315-O$15)/($E315-3*cc_D/7))))-fcd_cc*(1-(1-MAX(0,MIN(1,IF($E315&lt;=cc_D,0.0035*($E315-O$15)/$E315,0.002*($E315-O$15)/($E315-3*cc_D/7))/0.002)))^2)</f>
        <v/>
      </c>
      <c r="P315">
        <f>MAX(-fyd_cc,MIN(fyd_cc,Es_cc*IF($E315&lt;=cc_D,0.0035*($E315-P$15)/$E315,0.002*($E315-P$15)/($E315-3*cc_D/7))))-fcd_cc*(1-(1-MAX(0,MIN(1,IF($E315&lt;=cc_D,0.0035*($E315-P$15)/$E315,0.002*($E315-P$15)/($E315-3*cc_D/7))/0.002)))^2)</f>
        <v/>
      </c>
      <c r="Q315">
        <f>MAX(-fyd_cc,MIN(fyd_cc,Es_cc*IF($E315&lt;=cc_D,0.0035*($E315-Q$15)/$E315,0.002*($E315-Q$15)/($E315-3*cc_D/7))))-fcd_cc*(1-(1-MAX(0,MIN(1,IF($E315&lt;=cc_D,0.0035*($E315-Q$15)/$E315,0.002*($E315-Q$15)/($E315-3*cc_D/7))/0.002)))^2)</f>
        <v/>
      </c>
      <c r="R315">
        <f>MAX(-fyd_cc,MIN(fyd_cc,Es_cc*IF($E315&lt;=cc_D,0.0035*($E315-R$15)/$E315,0.002*($E315-R$15)/($E315-3*cc_D/7))))-fcd_cc*(1-(1-MAX(0,MIN(1,IF($E315&lt;=cc_D,0.0035*($E315-R$15)/$E315,0.002*($E315-R$15)/($E315-3*cc_D/7))/0.002)))^2)</f>
        <v/>
      </c>
      <c r="S315">
        <f>MAX(-fyd_cc,MIN(fyd_cc,Es_cc*IF($E315&lt;=cc_D,0.0035*($E315-S$15)/$E315,0.002*($E315-S$15)/($E315-3*cc_D/7))))-fcd_cc*(1-(1-MAX(0,MIN(1,IF($E315&lt;=cc_D,0.0035*($E315-S$15)/$E315,0.002*($E315-S$15)/($E315-3*cc_D/7))/0.002)))^2)</f>
        <v/>
      </c>
      <c r="T315">
        <f>MAX(-fyd_cc,MIN(fyd_cc,Es_cc*IF($E315&lt;=cc_D,0.0035*($E315-T$15)/$E315,0.002*($E315-T$15)/($E315-3*cc_D/7))))-fcd_cc*(1-(1-MAX(0,MIN(1,IF($E315&lt;=cc_D,0.0035*($E315-T$15)/$E315,0.002*($E315-T$15)/($E315-3*cc_D/7))/0.002)))^2)</f>
        <v/>
      </c>
      <c r="U315">
        <f>MAX(-fyd_cc,MIN(fyd_cc,Es_cc*IF($E315&lt;=cc_D,0.0035*($E315-U$15)/$E315,0.002*($E315-U$15)/($E315-3*cc_D/7))))-fcd_cc*(1-(1-MAX(0,MIN(1,IF($E315&lt;=cc_D,0.0035*($E315-U$15)/$E315,0.002*($E315-U$15)/($E315-3*cc_D/7))/0.002)))^2)</f>
        <v/>
      </c>
      <c r="V315">
        <f>MAX(-fyd_cc,MIN(fyd_cc,Es_cc*IF($E315&lt;=cc_D,0.0035*($E315-V$15)/$E315,0.002*($E315-V$15)/($E315-3*cc_D/7))))-fcd_cc*(1-(1-MAX(0,MIN(1,IF($E315&lt;=cc_D,0.0035*($E315-V$15)/$E315,0.002*($E315-V$15)/($E315-3*cc_D/7))/0.002)))^2)</f>
        <v/>
      </c>
      <c r="W315">
        <f>MAX(-fyd_cc,MIN(fyd_cc,Es_cc*IF($E315&lt;=cc_D,0.0035*($E315-W$15)/$E315,0.002*($E315-W$15)/($E315-3*cc_D/7))))-fcd_cc*(1-(1-MAX(0,MIN(1,IF($E315&lt;=cc_D,0.0035*($E315-W$15)/$E315,0.002*($E315-W$15)/($E315-3*cc_D/7))/0.002)))^2)</f>
        <v/>
      </c>
      <c r="X315">
        <f>MAX(-fyd_cc,MIN(fyd_cc,Es_cc*IF($E315&lt;=cc_D,0.0035*($E315-X$15)/$E315,0.002*($E315-X$15)/($E315-3*cc_D/7))))-fcd_cc*(1-(1-MAX(0,MIN(1,IF($E315&lt;=cc_D,0.0035*($E315-X$15)/$E315,0.002*($E315-X$15)/($E315-3*cc_D/7))/0.002)))^2)</f>
        <v/>
      </c>
      <c r="Y315">
        <f>MAX(-fyd_cc,MIN(fyd_cc,Es_cc*IF($E315&lt;=cc_D,0.0035*($E315-Y$15)/$E315,0.002*($E315-Y$15)/($E315-3*cc_D/7))))-fcd_cc*(1-(1-MAX(0,MIN(1,IF($E315&lt;=cc_D,0.0035*($E315-Y$15)/$E315,0.002*($E315-Y$15)/($E315-3*cc_D/7))/0.002)))^2)</f>
        <v/>
      </c>
      <c r="Z315">
        <f>MAX(-fyd_cc,MIN(fyd_cc,Es_cc*IF($E315&lt;=cc_D,0.0035*($E315-Z$15)/$E315,0.002*($E315-Z$15)/($E315-3*cc_D/7))))-fcd_cc*(1-(1-MAX(0,MIN(1,IF($E315&lt;=cc_D,0.0035*($E315-Z$15)/$E315,0.002*($E315-Z$15)/($E315-3*cc_D/7))/0.002)))^2)</f>
        <v/>
      </c>
      <c r="AA315">
        <f>MAX(-fyd_cc,MIN(fyd_cc,Es_cc*IF($E315&lt;=cc_D,0.0035*($E315-AA$15)/$E315,0.002*($E315-AA$15)/($E315-3*cc_D/7))))-fcd_cc*(1-(1-MAX(0,MIN(1,IF($E315&lt;=cc_D,0.0035*($E315-AA$15)/$E315,0.002*($E315-AA$15)/($E315-3*cc_D/7))/0.002)))^2)</f>
        <v/>
      </c>
      <c r="AB315">
        <f>MAX(-fyd_cc,MIN(fyd_cc,Es_cc*IF($E315&lt;=cc_D,0.0035*($E315-AB$15)/$E315,0.002*($E315-AB$15)/($E315-3*cc_D/7))))-fcd_cc*(1-(1-MAX(0,MIN(1,IF($E315&lt;=cc_D,0.0035*($E315-AB$15)/$E315,0.002*($E315-AB$15)/($E315-3*cc_D/7))/0.002)))^2)</f>
        <v/>
      </c>
      <c r="AC315">
        <f>MAX(-fyd_cc,MIN(fyd_cc,Es_cc*IF($E315&lt;=cc_D,0.0035*($E315-AC$15)/$E315,0.002*($E315-AC$15)/($E315-3*cc_D/7))))-fcd_cc*(1-(1-MAX(0,MIN(1,IF($E315&lt;=cc_D,0.0035*($E315-AC$15)/$E315,0.002*($E315-AC$15)/($E315-3*cc_D/7))/0.002)))^2)</f>
        <v/>
      </c>
      <c r="AD315">
        <f>MAX(-fyd_cc,MIN(fyd_cc,Es_cc*IF($E315&lt;=cc_D,0.0035*($E315-AD$15)/$E315,0.002*($E315-AD$15)/($E315-3*cc_D/7))))-fcd_cc*(1-(1-MAX(0,MIN(1,IF($E315&lt;=cc_D,0.0035*($E315-AD$15)/$E315,0.002*($E315-AD$15)/($E315-3*cc_D/7))/0.002)))^2)</f>
        <v/>
      </c>
      <c r="AE315">
        <f>MAX(-fyd_cc,MIN(fyd_cc,Es_cc*IF($E315&lt;=cc_D,0.0035*($E315-AE$15)/$E315,0.002*($E315-AE$15)/($E315-3*cc_D/7))))-fcd_cc*(1-(1-MAX(0,MIN(1,IF($E315&lt;=cc_D,0.0035*($E315-AE$15)/$E315,0.002*($E315-AE$15)/($E315-3*cc_D/7))/0.002)))^2)</f>
        <v/>
      </c>
      <c r="AF315">
        <f>MAX(-fyd_cc,MIN(fyd_cc,Es_cc*IF($E315&lt;=cc_D,0.0035*($E315-AF$15)/$E315,0.002*($E315-AF$15)/($E315-3*cc_D/7))))-fcd_cc*(1-(1-MAX(0,MIN(1,IF($E315&lt;=cc_D,0.0035*($E315-AF$15)/$E315,0.002*($E315-AF$15)/($E315-3*cc_D/7))/0.002)))^2)</f>
        <v/>
      </c>
      <c r="AG315">
        <f>MAX(-fyd_cc,MIN(fyd_cc,Es_cc*IF($E315&lt;=cc_D,0.0035*($E315-AG$15)/$E315,0.002*($E315-AG$15)/($E315-3*cc_D/7))))-fcd_cc*(1-(1-MAX(0,MIN(1,IF($E315&lt;=cc_D,0.0035*($E315-AG$15)/$E315,0.002*($E315-AG$15)/($E315-3*cc_D/7))/0.002)))^2)</f>
        <v/>
      </c>
      <c r="BF315">
        <f>3*MIN($E315,cc_D)/7</f>
        <v/>
      </c>
      <c r="BG315">
        <f>$E315-$BF315</f>
        <v/>
      </c>
      <c r="BH315">
        <f>ACOS(MAX(-1,MIN(1,1-$BF315/(cc_D/2))))</f>
        <v/>
      </c>
      <c r="BI315">
        <f>ACOS(MAX(-1,MIN(1,1-MIN($E315,cc_D)/(cc_D/2))))</f>
        <v/>
      </c>
      <c r="BJ315">
        <f>((cc_D/2*(1-COS(($BH315+0*($BI315-$BH315)/12)))-$BF315)/$BG315)^2*SIN(($BH315+0*($BI315-$BH315)/12))^2</f>
        <v/>
      </c>
      <c r="BK315">
        <f>((cc_D/2*(1-COS(($BH315+1*($BI315-$BH315)/12)))-$BF315)/$BG315)^2*SIN(($BH315+1*($BI315-$BH315)/12))^2</f>
        <v/>
      </c>
      <c r="BL315">
        <f>((cc_D/2*(1-COS(($BH315+2*($BI315-$BH315)/12)))-$BF315)/$BG315)^2*SIN(($BH315+2*($BI315-$BH315)/12))^2</f>
        <v/>
      </c>
      <c r="BM315">
        <f>((cc_D/2*(1-COS(($BH315+3*($BI315-$BH315)/12)))-$BF315)/$BG315)^2*SIN(($BH315+3*($BI315-$BH315)/12))^2</f>
        <v/>
      </c>
      <c r="BN315">
        <f>((cc_D/2*(1-COS(($BH315+4*($BI315-$BH315)/12)))-$BF315)/$BG315)^2*SIN(($BH315+4*($BI315-$BH315)/12))^2</f>
        <v/>
      </c>
      <c r="BO315">
        <f>((cc_D/2*(1-COS(($BH315+5*($BI315-$BH315)/12)))-$BF315)/$BG315)^2*SIN(($BH315+5*($BI315-$BH315)/12))^2</f>
        <v/>
      </c>
      <c r="BP315">
        <f>((cc_D/2*(1-COS(($BH315+6*($BI315-$BH315)/12)))-$BF315)/$BG315)^2*SIN(($BH315+6*($BI315-$BH315)/12))^2</f>
        <v/>
      </c>
      <c r="BQ315">
        <f>((cc_D/2*(1-COS(($BH315+7*($BI315-$BH315)/12)))-$BF315)/$BG315)^2*SIN(($BH315+7*($BI315-$BH315)/12))^2</f>
        <v/>
      </c>
      <c r="BR315">
        <f>((cc_D/2*(1-COS(($BH315+8*($BI315-$BH315)/12)))-$BF315)/$BG315)^2*SIN(($BH315+8*($BI315-$BH315)/12))^2</f>
        <v/>
      </c>
      <c r="BS315">
        <f>((cc_D/2*(1-COS(($BH315+9*($BI315-$BH315)/12)))-$BF315)/$BG315)^2*SIN(($BH315+9*($BI315-$BH315)/12))^2</f>
        <v/>
      </c>
      <c r="BT315">
        <f>((cc_D/2*(1-COS(($BH315+10*($BI315-$BH315)/12)))-$BF315)/$BG315)^2*SIN(($BH315+10*($BI315-$BH315)/12))^2</f>
        <v/>
      </c>
      <c r="BU315">
        <f>((cc_D/2*(1-COS(($BH315+11*($BI315-$BH315)/12)))-$BF315)/$BG315)^2*SIN(($BH315+11*($BI315-$BH315)/12))^2</f>
        <v/>
      </c>
      <c r="BV315">
        <f>((cc_D/2*(1-COS(($BH315+12*($BI315-$BH315)/12)))-$BF315)/$BG315)^2*SIN(($BH315+12*($BI315-$BH315)/12))^2</f>
        <v/>
      </c>
      <c r="BW315">
        <f>BJ315*COS(($BH315+0*($BI315-$BH315)/12))</f>
        <v/>
      </c>
      <c r="BX315">
        <f>BK315*COS(($BH315+1*($BI315-$BH315)/12))</f>
        <v/>
      </c>
      <c r="BY315">
        <f>BL315*COS(($BH315+2*($BI315-$BH315)/12))</f>
        <v/>
      </c>
      <c r="BZ315">
        <f>BM315*COS(($BH315+3*($BI315-$BH315)/12))</f>
        <v/>
      </c>
      <c r="CA315">
        <f>BN315*COS(($BH315+4*($BI315-$BH315)/12))</f>
        <v/>
      </c>
      <c r="CB315">
        <f>BO315*COS(($BH315+5*($BI315-$BH315)/12))</f>
        <v/>
      </c>
      <c r="CC315">
        <f>BP315*COS(($BH315+6*($BI315-$BH315)/12))</f>
        <v/>
      </c>
      <c r="CD315">
        <f>BQ315*COS(($BH315+7*($BI315-$BH315)/12))</f>
        <v/>
      </c>
      <c r="CE315">
        <f>BR315*COS(($BH315+8*($BI315-$BH315)/12))</f>
        <v/>
      </c>
      <c r="CF315">
        <f>BS315*COS(($BH315+9*($BI315-$BH315)/12))</f>
        <v/>
      </c>
      <c r="CG315">
        <f>BT315*COS(($BH315+10*($BI315-$BH315)/12))</f>
        <v/>
      </c>
      <c r="CH315">
        <f>BU315*COS(($BH315+11*($BI315-$BH315)/12))</f>
        <v/>
      </c>
      <c r="CI315">
        <f>BV315*COS(($BH315+12*($BI315-$BH315)/12))</f>
        <v/>
      </c>
    </row>
    <row r="316">
      <c r="B316" s="65" t="n">
        <v>38</v>
      </c>
      <c r="C316" s="66">
        <f>IF($G315&lt;cc_NEd-1E-9*ABS(cc_NEd),($C315+$D315)/2,$C315)</f>
        <v/>
      </c>
      <c r="D316" s="66">
        <f>IF($G315&lt;cc_NEd-1E-9*ABS(cc_NEd),$D315,($C315+$D315)/2)</f>
        <v/>
      </c>
      <c r="E316" s="67">
        <f>cc_D*(($C316+$D316)/2)/(1-(($C316+$D316)/2))</f>
        <v/>
      </c>
      <c r="F316" s="68">
        <f>IF($E316&lt;=cc_D,3.5,2*$E316/($E316-3*cc_D/7))</f>
        <v/>
      </c>
      <c r="G316" s="67">
        <f>(fcd_cc*((cc_D/2)^2*($BI316-COS($BI316)*SIN($BI316))-2*(cc_D/2)^2*($BI316-$BH316)/12/3*SUMPRODUCT($BJ$4:$BV$4,$BJ316:$BV316))+SUMPRODUCT($J$5:$AG$5,$J316:$AG316))/1000</f>
        <v/>
      </c>
      <c r="H316" s="67">
        <f>(fcd_cc*(2/3*(cc_D/2)^3*SIN($BI316)^3-2*(cc_D/2)^3*($BI316-$BH316)/12/3*SUMPRODUCT($BW$4:$CI$4,$BW316:$CI316))+SUMPRODUCT($J$5:$AG$5,$J316:$AG316,$J$16:$AG$16))/1E6</f>
        <v/>
      </c>
      <c r="I316" s="67">
        <f>SUMPRODUCT($J$5:$AG$5,$J316:$AG316,$J$17:$AG$17)/1E6</f>
        <v/>
      </c>
      <c r="J316">
        <f>MAX(-fyd_cc,MIN(fyd_cc,Es_cc*IF($E316&lt;=cc_D,0.0035*($E316-J$15)/$E316,0.002*($E316-J$15)/($E316-3*cc_D/7))))-fcd_cc*(1-(1-MAX(0,MIN(1,IF($E316&lt;=cc_D,0.0035*($E316-J$15)/$E316,0.002*($E316-J$15)/($E316-3*cc_D/7))/0.002)))^2)</f>
        <v/>
      </c>
      <c r="K316">
        <f>MAX(-fyd_cc,MIN(fyd_cc,Es_cc*IF($E316&lt;=cc_D,0.0035*($E316-K$15)/$E316,0.002*($E316-K$15)/($E316-3*cc_D/7))))-fcd_cc*(1-(1-MAX(0,MIN(1,IF($E316&lt;=cc_D,0.0035*($E316-K$15)/$E316,0.002*($E316-K$15)/($E316-3*cc_D/7))/0.002)))^2)</f>
        <v/>
      </c>
      <c r="L316">
        <f>MAX(-fyd_cc,MIN(fyd_cc,Es_cc*IF($E316&lt;=cc_D,0.0035*($E316-L$15)/$E316,0.002*($E316-L$15)/($E316-3*cc_D/7))))-fcd_cc*(1-(1-MAX(0,MIN(1,IF($E316&lt;=cc_D,0.0035*($E316-L$15)/$E316,0.002*($E316-L$15)/($E316-3*cc_D/7))/0.002)))^2)</f>
        <v/>
      </c>
      <c r="M316">
        <f>MAX(-fyd_cc,MIN(fyd_cc,Es_cc*IF($E316&lt;=cc_D,0.0035*($E316-M$15)/$E316,0.002*($E316-M$15)/($E316-3*cc_D/7))))-fcd_cc*(1-(1-MAX(0,MIN(1,IF($E316&lt;=cc_D,0.0035*($E316-M$15)/$E316,0.002*($E316-M$15)/($E316-3*cc_D/7))/0.002)))^2)</f>
        <v/>
      </c>
      <c r="N316">
        <f>MAX(-fyd_cc,MIN(fyd_cc,Es_cc*IF($E316&lt;=cc_D,0.0035*($E316-N$15)/$E316,0.002*($E316-N$15)/($E316-3*cc_D/7))))-fcd_cc*(1-(1-MAX(0,MIN(1,IF($E316&lt;=cc_D,0.0035*($E316-N$15)/$E316,0.002*($E316-N$15)/($E316-3*cc_D/7))/0.002)))^2)</f>
        <v/>
      </c>
      <c r="O316">
        <f>MAX(-fyd_cc,MIN(fyd_cc,Es_cc*IF($E316&lt;=cc_D,0.0035*($E316-O$15)/$E316,0.002*($E316-O$15)/($E316-3*cc_D/7))))-fcd_cc*(1-(1-MAX(0,MIN(1,IF($E316&lt;=cc_D,0.0035*($E316-O$15)/$E316,0.002*($E316-O$15)/($E316-3*cc_D/7))/0.002)))^2)</f>
        <v/>
      </c>
      <c r="P316">
        <f>MAX(-fyd_cc,MIN(fyd_cc,Es_cc*IF($E316&lt;=cc_D,0.0035*($E316-P$15)/$E316,0.002*($E316-P$15)/($E316-3*cc_D/7))))-fcd_cc*(1-(1-MAX(0,MIN(1,IF($E316&lt;=cc_D,0.0035*($E316-P$15)/$E316,0.002*($E316-P$15)/($E316-3*cc_D/7))/0.002)))^2)</f>
        <v/>
      </c>
      <c r="Q316">
        <f>MAX(-fyd_cc,MIN(fyd_cc,Es_cc*IF($E316&lt;=cc_D,0.0035*($E316-Q$15)/$E316,0.002*($E316-Q$15)/($E316-3*cc_D/7))))-fcd_cc*(1-(1-MAX(0,MIN(1,IF($E316&lt;=cc_D,0.0035*($E316-Q$15)/$E316,0.002*($E316-Q$15)/($E316-3*cc_D/7))/0.002)))^2)</f>
        <v/>
      </c>
      <c r="R316">
        <f>MAX(-fyd_cc,MIN(fyd_cc,Es_cc*IF($E316&lt;=cc_D,0.0035*($E316-R$15)/$E316,0.002*($E316-R$15)/($E316-3*cc_D/7))))-fcd_cc*(1-(1-MAX(0,MIN(1,IF($E316&lt;=cc_D,0.0035*($E316-R$15)/$E316,0.002*($E316-R$15)/($E316-3*cc_D/7))/0.002)))^2)</f>
        <v/>
      </c>
      <c r="S316">
        <f>MAX(-fyd_cc,MIN(fyd_cc,Es_cc*IF($E316&lt;=cc_D,0.0035*($E316-S$15)/$E316,0.002*($E316-S$15)/($E316-3*cc_D/7))))-fcd_cc*(1-(1-MAX(0,MIN(1,IF($E316&lt;=cc_D,0.0035*($E316-S$15)/$E316,0.002*($E316-S$15)/($E316-3*cc_D/7))/0.002)))^2)</f>
        <v/>
      </c>
      <c r="T316">
        <f>MAX(-fyd_cc,MIN(fyd_cc,Es_cc*IF($E316&lt;=cc_D,0.0035*($E316-T$15)/$E316,0.002*($E316-T$15)/($E316-3*cc_D/7))))-fcd_cc*(1-(1-MAX(0,MIN(1,IF($E316&lt;=cc_D,0.0035*($E316-T$15)/$E316,0.002*($E316-T$15)/($E316-3*cc_D/7))/0.002)))^2)</f>
        <v/>
      </c>
      <c r="U316">
        <f>MAX(-fyd_cc,MIN(fyd_cc,Es_cc*IF($E316&lt;=cc_D,0.0035*($E316-U$15)/$E316,0.002*($E316-U$15)/($E316-3*cc_D/7))))-fcd_cc*(1-(1-MAX(0,MIN(1,IF($E316&lt;=cc_D,0.0035*($E316-U$15)/$E316,0.002*($E316-U$15)/($E316-3*cc_D/7))/0.002)))^2)</f>
        <v/>
      </c>
      <c r="V316">
        <f>MAX(-fyd_cc,MIN(fyd_cc,Es_cc*IF($E316&lt;=cc_D,0.0035*($E316-V$15)/$E316,0.002*($E316-V$15)/($E316-3*cc_D/7))))-fcd_cc*(1-(1-MAX(0,MIN(1,IF($E316&lt;=cc_D,0.0035*($E316-V$15)/$E316,0.002*($E316-V$15)/($E316-3*cc_D/7))/0.002)))^2)</f>
        <v/>
      </c>
      <c r="W316">
        <f>MAX(-fyd_cc,MIN(fyd_cc,Es_cc*IF($E316&lt;=cc_D,0.0035*($E316-W$15)/$E316,0.002*($E316-W$15)/($E316-3*cc_D/7))))-fcd_cc*(1-(1-MAX(0,MIN(1,IF($E316&lt;=cc_D,0.0035*($E316-W$15)/$E316,0.002*($E316-W$15)/($E316-3*cc_D/7))/0.002)))^2)</f>
        <v/>
      </c>
      <c r="X316">
        <f>MAX(-fyd_cc,MIN(fyd_cc,Es_cc*IF($E316&lt;=cc_D,0.0035*($E316-X$15)/$E316,0.002*($E316-X$15)/($E316-3*cc_D/7))))-fcd_cc*(1-(1-MAX(0,MIN(1,IF($E316&lt;=cc_D,0.0035*($E316-X$15)/$E316,0.002*($E316-X$15)/($E316-3*cc_D/7))/0.002)))^2)</f>
        <v/>
      </c>
      <c r="Y316">
        <f>MAX(-fyd_cc,MIN(fyd_cc,Es_cc*IF($E316&lt;=cc_D,0.0035*($E316-Y$15)/$E316,0.002*($E316-Y$15)/($E316-3*cc_D/7))))-fcd_cc*(1-(1-MAX(0,MIN(1,IF($E316&lt;=cc_D,0.0035*($E316-Y$15)/$E316,0.002*($E316-Y$15)/($E316-3*cc_D/7))/0.002)))^2)</f>
        <v/>
      </c>
      <c r="Z316">
        <f>MAX(-fyd_cc,MIN(fyd_cc,Es_cc*IF($E316&lt;=cc_D,0.0035*($E316-Z$15)/$E316,0.002*($E316-Z$15)/($E316-3*cc_D/7))))-fcd_cc*(1-(1-MAX(0,MIN(1,IF($E316&lt;=cc_D,0.0035*($E316-Z$15)/$E316,0.002*($E316-Z$15)/($E316-3*cc_D/7))/0.002)))^2)</f>
        <v/>
      </c>
      <c r="AA316">
        <f>MAX(-fyd_cc,MIN(fyd_cc,Es_cc*IF($E316&lt;=cc_D,0.0035*($E316-AA$15)/$E316,0.002*($E316-AA$15)/($E316-3*cc_D/7))))-fcd_cc*(1-(1-MAX(0,MIN(1,IF($E316&lt;=cc_D,0.0035*($E316-AA$15)/$E316,0.002*($E316-AA$15)/($E316-3*cc_D/7))/0.002)))^2)</f>
        <v/>
      </c>
      <c r="AB316">
        <f>MAX(-fyd_cc,MIN(fyd_cc,Es_cc*IF($E316&lt;=cc_D,0.0035*($E316-AB$15)/$E316,0.002*($E316-AB$15)/($E316-3*cc_D/7))))-fcd_cc*(1-(1-MAX(0,MIN(1,IF($E316&lt;=cc_D,0.0035*($E316-AB$15)/$E316,0.002*($E316-AB$15)/($E316-3*cc_D/7))/0.002)))^2)</f>
        <v/>
      </c>
      <c r="AC316">
        <f>MAX(-fyd_cc,MIN(fyd_cc,Es_cc*IF($E316&lt;=cc_D,0.0035*($E316-AC$15)/$E316,0.002*($E316-AC$15)/($E316-3*cc_D/7))))-fcd_cc*(1-(1-MAX(0,MIN(1,IF($E316&lt;=cc_D,0.0035*($E316-AC$15)/$E316,0.002*($E316-AC$15)/($E316-3*cc_D/7))/0.002)))^2)</f>
        <v/>
      </c>
      <c r="AD316">
        <f>MAX(-fyd_cc,MIN(fyd_cc,Es_cc*IF($E316&lt;=cc_D,0.0035*($E316-AD$15)/$E316,0.002*($E316-AD$15)/($E316-3*cc_D/7))))-fcd_cc*(1-(1-MAX(0,MIN(1,IF($E316&lt;=cc_D,0.0035*($E316-AD$15)/$E316,0.002*($E316-AD$15)/($E316-3*cc_D/7))/0.002)))^2)</f>
        <v/>
      </c>
      <c r="AE316">
        <f>MAX(-fyd_cc,MIN(fyd_cc,Es_cc*IF($E316&lt;=cc_D,0.0035*($E316-AE$15)/$E316,0.002*($E316-AE$15)/($E316-3*cc_D/7))))-fcd_cc*(1-(1-MAX(0,MIN(1,IF($E316&lt;=cc_D,0.0035*($E316-AE$15)/$E316,0.002*($E316-AE$15)/($E316-3*cc_D/7))/0.002)))^2)</f>
        <v/>
      </c>
      <c r="AF316">
        <f>MAX(-fyd_cc,MIN(fyd_cc,Es_cc*IF($E316&lt;=cc_D,0.0035*($E316-AF$15)/$E316,0.002*($E316-AF$15)/($E316-3*cc_D/7))))-fcd_cc*(1-(1-MAX(0,MIN(1,IF($E316&lt;=cc_D,0.0035*($E316-AF$15)/$E316,0.002*($E316-AF$15)/($E316-3*cc_D/7))/0.002)))^2)</f>
        <v/>
      </c>
      <c r="AG316">
        <f>MAX(-fyd_cc,MIN(fyd_cc,Es_cc*IF($E316&lt;=cc_D,0.0035*($E316-AG$15)/$E316,0.002*($E316-AG$15)/($E316-3*cc_D/7))))-fcd_cc*(1-(1-MAX(0,MIN(1,IF($E316&lt;=cc_D,0.0035*($E316-AG$15)/$E316,0.002*($E316-AG$15)/($E316-3*cc_D/7))/0.002)))^2)</f>
        <v/>
      </c>
      <c r="BF316">
        <f>3*MIN($E316,cc_D)/7</f>
        <v/>
      </c>
      <c r="BG316">
        <f>$E316-$BF316</f>
        <v/>
      </c>
      <c r="BH316">
        <f>ACOS(MAX(-1,MIN(1,1-$BF316/(cc_D/2))))</f>
        <v/>
      </c>
      <c r="BI316">
        <f>ACOS(MAX(-1,MIN(1,1-MIN($E316,cc_D)/(cc_D/2))))</f>
        <v/>
      </c>
      <c r="BJ316">
        <f>((cc_D/2*(1-COS(($BH316+0*($BI316-$BH316)/12)))-$BF316)/$BG316)^2*SIN(($BH316+0*($BI316-$BH316)/12))^2</f>
        <v/>
      </c>
      <c r="BK316">
        <f>((cc_D/2*(1-COS(($BH316+1*($BI316-$BH316)/12)))-$BF316)/$BG316)^2*SIN(($BH316+1*($BI316-$BH316)/12))^2</f>
        <v/>
      </c>
      <c r="BL316">
        <f>((cc_D/2*(1-COS(($BH316+2*($BI316-$BH316)/12)))-$BF316)/$BG316)^2*SIN(($BH316+2*($BI316-$BH316)/12))^2</f>
        <v/>
      </c>
      <c r="BM316">
        <f>((cc_D/2*(1-COS(($BH316+3*($BI316-$BH316)/12)))-$BF316)/$BG316)^2*SIN(($BH316+3*($BI316-$BH316)/12))^2</f>
        <v/>
      </c>
      <c r="BN316">
        <f>((cc_D/2*(1-COS(($BH316+4*($BI316-$BH316)/12)))-$BF316)/$BG316)^2*SIN(($BH316+4*($BI316-$BH316)/12))^2</f>
        <v/>
      </c>
      <c r="BO316">
        <f>((cc_D/2*(1-COS(($BH316+5*($BI316-$BH316)/12)))-$BF316)/$BG316)^2*SIN(($BH316+5*($BI316-$BH316)/12))^2</f>
        <v/>
      </c>
      <c r="BP316">
        <f>((cc_D/2*(1-COS(($BH316+6*($BI316-$BH316)/12)))-$BF316)/$BG316)^2*SIN(($BH316+6*($BI316-$BH316)/12))^2</f>
        <v/>
      </c>
      <c r="BQ316">
        <f>((cc_D/2*(1-COS(($BH316+7*($BI316-$BH316)/12)))-$BF316)/$BG316)^2*SIN(($BH316+7*($BI316-$BH316)/12))^2</f>
        <v/>
      </c>
      <c r="BR316">
        <f>((cc_D/2*(1-COS(($BH316+8*($BI316-$BH316)/12)))-$BF316)/$BG316)^2*SIN(($BH316+8*($BI316-$BH316)/12))^2</f>
        <v/>
      </c>
      <c r="BS316">
        <f>((cc_D/2*(1-COS(($BH316+9*($BI316-$BH316)/12)))-$BF316)/$BG316)^2*SIN(($BH316+9*($BI316-$BH316)/12))^2</f>
        <v/>
      </c>
      <c r="BT316">
        <f>((cc_D/2*(1-COS(($BH316+10*($BI316-$BH316)/12)))-$BF316)/$BG316)^2*SIN(($BH316+10*($BI316-$BH316)/12))^2</f>
        <v/>
      </c>
      <c r="BU316">
        <f>((cc_D/2*(1-COS(($BH316+11*($BI316-$BH316)/12)))-$BF316)/$BG316)^2*SIN(($BH316+11*($BI316-$BH316)/12))^2</f>
        <v/>
      </c>
      <c r="BV316">
        <f>((cc_D/2*(1-COS(($BH316+12*($BI316-$BH316)/12)))-$BF316)/$BG316)^2*SIN(($BH316+12*($BI316-$BH316)/12))^2</f>
        <v/>
      </c>
      <c r="BW316">
        <f>BJ316*COS(($BH316+0*($BI316-$BH316)/12))</f>
        <v/>
      </c>
      <c r="BX316">
        <f>BK316*COS(($BH316+1*($BI316-$BH316)/12))</f>
        <v/>
      </c>
      <c r="BY316">
        <f>BL316*COS(($BH316+2*($BI316-$BH316)/12))</f>
        <v/>
      </c>
      <c r="BZ316">
        <f>BM316*COS(($BH316+3*($BI316-$BH316)/12))</f>
        <v/>
      </c>
      <c r="CA316">
        <f>BN316*COS(($BH316+4*($BI316-$BH316)/12))</f>
        <v/>
      </c>
      <c r="CB316">
        <f>BO316*COS(($BH316+5*($BI316-$BH316)/12))</f>
        <v/>
      </c>
      <c r="CC316">
        <f>BP316*COS(($BH316+6*($BI316-$BH316)/12))</f>
        <v/>
      </c>
      <c r="CD316">
        <f>BQ316*COS(($BH316+7*($BI316-$BH316)/12))</f>
        <v/>
      </c>
      <c r="CE316">
        <f>BR316*COS(($BH316+8*($BI316-$BH316)/12))</f>
        <v/>
      </c>
      <c r="CF316">
        <f>BS316*COS(($BH316+9*($BI316-$BH316)/12))</f>
        <v/>
      </c>
      <c r="CG316">
        <f>BT316*COS(($BH316+10*($BI316-$BH316)/12))</f>
        <v/>
      </c>
      <c r="CH316">
        <f>BU316*COS(($BH316+11*($BI316-$BH316)/12))</f>
        <v/>
      </c>
      <c r="CI316">
        <f>BV316*COS(($BH316+12*($BI316-$BH316)/12))</f>
        <v/>
      </c>
    </row>
    <row r="317">
      <c r="B317" s="65" t="n">
        <v>39</v>
      </c>
      <c r="C317" s="66">
        <f>IF($G316&lt;cc_NEd-1E-9*ABS(cc_NEd),($C316+$D316)/2,$C316)</f>
        <v/>
      </c>
      <c r="D317" s="66">
        <f>IF($G316&lt;cc_NEd-1E-9*ABS(cc_NEd),$D316,($C316+$D316)/2)</f>
        <v/>
      </c>
      <c r="E317" s="67">
        <f>cc_D*(($C317+$D317)/2)/(1-(($C317+$D317)/2))</f>
        <v/>
      </c>
      <c r="F317" s="68">
        <f>IF($E317&lt;=cc_D,3.5,2*$E317/($E317-3*cc_D/7))</f>
        <v/>
      </c>
      <c r="G317" s="67">
        <f>(fcd_cc*((cc_D/2)^2*($BI317-COS($BI317)*SIN($BI317))-2*(cc_D/2)^2*($BI317-$BH317)/12/3*SUMPRODUCT($BJ$4:$BV$4,$BJ317:$BV317))+SUMPRODUCT($J$5:$AG$5,$J317:$AG317))/1000</f>
        <v/>
      </c>
      <c r="H317" s="67">
        <f>(fcd_cc*(2/3*(cc_D/2)^3*SIN($BI317)^3-2*(cc_D/2)^3*($BI317-$BH317)/12/3*SUMPRODUCT($BW$4:$CI$4,$BW317:$CI317))+SUMPRODUCT($J$5:$AG$5,$J317:$AG317,$J$16:$AG$16))/1E6</f>
        <v/>
      </c>
      <c r="I317" s="67">
        <f>SUMPRODUCT($J$5:$AG$5,$J317:$AG317,$J$17:$AG$17)/1E6</f>
        <v/>
      </c>
      <c r="J317">
        <f>MAX(-fyd_cc,MIN(fyd_cc,Es_cc*IF($E317&lt;=cc_D,0.0035*($E317-J$15)/$E317,0.002*($E317-J$15)/($E317-3*cc_D/7))))-fcd_cc*(1-(1-MAX(0,MIN(1,IF($E317&lt;=cc_D,0.0035*($E317-J$15)/$E317,0.002*($E317-J$15)/($E317-3*cc_D/7))/0.002)))^2)</f>
        <v/>
      </c>
      <c r="K317">
        <f>MAX(-fyd_cc,MIN(fyd_cc,Es_cc*IF($E317&lt;=cc_D,0.0035*($E317-K$15)/$E317,0.002*($E317-K$15)/($E317-3*cc_D/7))))-fcd_cc*(1-(1-MAX(0,MIN(1,IF($E317&lt;=cc_D,0.0035*($E317-K$15)/$E317,0.002*($E317-K$15)/($E317-3*cc_D/7))/0.002)))^2)</f>
        <v/>
      </c>
      <c r="L317">
        <f>MAX(-fyd_cc,MIN(fyd_cc,Es_cc*IF($E317&lt;=cc_D,0.0035*($E317-L$15)/$E317,0.002*($E317-L$15)/($E317-3*cc_D/7))))-fcd_cc*(1-(1-MAX(0,MIN(1,IF($E317&lt;=cc_D,0.0035*($E317-L$15)/$E317,0.002*($E317-L$15)/($E317-3*cc_D/7))/0.002)))^2)</f>
        <v/>
      </c>
      <c r="M317">
        <f>MAX(-fyd_cc,MIN(fyd_cc,Es_cc*IF($E317&lt;=cc_D,0.0035*($E317-M$15)/$E317,0.002*($E317-M$15)/($E317-3*cc_D/7))))-fcd_cc*(1-(1-MAX(0,MIN(1,IF($E317&lt;=cc_D,0.0035*($E317-M$15)/$E317,0.002*($E317-M$15)/($E317-3*cc_D/7))/0.002)))^2)</f>
        <v/>
      </c>
      <c r="N317">
        <f>MAX(-fyd_cc,MIN(fyd_cc,Es_cc*IF($E317&lt;=cc_D,0.0035*($E317-N$15)/$E317,0.002*($E317-N$15)/($E317-3*cc_D/7))))-fcd_cc*(1-(1-MAX(0,MIN(1,IF($E317&lt;=cc_D,0.0035*($E317-N$15)/$E317,0.002*($E317-N$15)/($E317-3*cc_D/7))/0.002)))^2)</f>
        <v/>
      </c>
      <c r="O317">
        <f>MAX(-fyd_cc,MIN(fyd_cc,Es_cc*IF($E317&lt;=cc_D,0.0035*($E317-O$15)/$E317,0.002*($E317-O$15)/($E317-3*cc_D/7))))-fcd_cc*(1-(1-MAX(0,MIN(1,IF($E317&lt;=cc_D,0.0035*($E317-O$15)/$E317,0.002*($E317-O$15)/($E317-3*cc_D/7))/0.002)))^2)</f>
        <v/>
      </c>
      <c r="P317">
        <f>MAX(-fyd_cc,MIN(fyd_cc,Es_cc*IF($E317&lt;=cc_D,0.0035*($E317-P$15)/$E317,0.002*($E317-P$15)/($E317-3*cc_D/7))))-fcd_cc*(1-(1-MAX(0,MIN(1,IF($E317&lt;=cc_D,0.0035*($E317-P$15)/$E317,0.002*($E317-P$15)/($E317-3*cc_D/7))/0.002)))^2)</f>
        <v/>
      </c>
      <c r="Q317">
        <f>MAX(-fyd_cc,MIN(fyd_cc,Es_cc*IF($E317&lt;=cc_D,0.0035*($E317-Q$15)/$E317,0.002*($E317-Q$15)/($E317-3*cc_D/7))))-fcd_cc*(1-(1-MAX(0,MIN(1,IF($E317&lt;=cc_D,0.0035*($E317-Q$15)/$E317,0.002*($E317-Q$15)/($E317-3*cc_D/7))/0.002)))^2)</f>
        <v/>
      </c>
      <c r="R317">
        <f>MAX(-fyd_cc,MIN(fyd_cc,Es_cc*IF($E317&lt;=cc_D,0.0035*($E317-R$15)/$E317,0.002*($E317-R$15)/($E317-3*cc_D/7))))-fcd_cc*(1-(1-MAX(0,MIN(1,IF($E317&lt;=cc_D,0.0035*($E317-R$15)/$E317,0.002*($E317-R$15)/($E317-3*cc_D/7))/0.002)))^2)</f>
        <v/>
      </c>
      <c r="S317">
        <f>MAX(-fyd_cc,MIN(fyd_cc,Es_cc*IF($E317&lt;=cc_D,0.0035*($E317-S$15)/$E317,0.002*($E317-S$15)/($E317-3*cc_D/7))))-fcd_cc*(1-(1-MAX(0,MIN(1,IF($E317&lt;=cc_D,0.0035*($E317-S$15)/$E317,0.002*($E317-S$15)/($E317-3*cc_D/7))/0.002)))^2)</f>
        <v/>
      </c>
      <c r="T317">
        <f>MAX(-fyd_cc,MIN(fyd_cc,Es_cc*IF($E317&lt;=cc_D,0.0035*($E317-T$15)/$E317,0.002*($E317-T$15)/($E317-3*cc_D/7))))-fcd_cc*(1-(1-MAX(0,MIN(1,IF($E317&lt;=cc_D,0.0035*($E317-T$15)/$E317,0.002*($E317-T$15)/($E317-3*cc_D/7))/0.002)))^2)</f>
        <v/>
      </c>
      <c r="U317">
        <f>MAX(-fyd_cc,MIN(fyd_cc,Es_cc*IF($E317&lt;=cc_D,0.0035*($E317-U$15)/$E317,0.002*($E317-U$15)/($E317-3*cc_D/7))))-fcd_cc*(1-(1-MAX(0,MIN(1,IF($E317&lt;=cc_D,0.0035*($E317-U$15)/$E317,0.002*($E317-U$15)/($E317-3*cc_D/7))/0.002)))^2)</f>
        <v/>
      </c>
      <c r="V317">
        <f>MAX(-fyd_cc,MIN(fyd_cc,Es_cc*IF($E317&lt;=cc_D,0.0035*($E317-V$15)/$E317,0.002*($E317-V$15)/($E317-3*cc_D/7))))-fcd_cc*(1-(1-MAX(0,MIN(1,IF($E317&lt;=cc_D,0.0035*($E317-V$15)/$E317,0.002*($E317-V$15)/($E317-3*cc_D/7))/0.002)))^2)</f>
        <v/>
      </c>
      <c r="W317">
        <f>MAX(-fyd_cc,MIN(fyd_cc,Es_cc*IF($E317&lt;=cc_D,0.0035*($E317-W$15)/$E317,0.002*($E317-W$15)/($E317-3*cc_D/7))))-fcd_cc*(1-(1-MAX(0,MIN(1,IF($E317&lt;=cc_D,0.0035*($E317-W$15)/$E317,0.002*($E317-W$15)/($E317-3*cc_D/7))/0.002)))^2)</f>
        <v/>
      </c>
      <c r="X317">
        <f>MAX(-fyd_cc,MIN(fyd_cc,Es_cc*IF($E317&lt;=cc_D,0.0035*($E317-X$15)/$E317,0.002*($E317-X$15)/($E317-3*cc_D/7))))-fcd_cc*(1-(1-MAX(0,MIN(1,IF($E317&lt;=cc_D,0.0035*($E317-X$15)/$E317,0.002*($E317-X$15)/($E317-3*cc_D/7))/0.002)))^2)</f>
        <v/>
      </c>
      <c r="Y317">
        <f>MAX(-fyd_cc,MIN(fyd_cc,Es_cc*IF($E317&lt;=cc_D,0.0035*($E317-Y$15)/$E317,0.002*($E317-Y$15)/($E317-3*cc_D/7))))-fcd_cc*(1-(1-MAX(0,MIN(1,IF($E317&lt;=cc_D,0.0035*($E317-Y$15)/$E317,0.002*($E317-Y$15)/($E317-3*cc_D/7))/0.002)))^2)</f>
        <v/>
      </c>
      <c r="Z317">
        <f>MAX(-fyd_cc,MIN(fyd_cc,Es_cc*IF($E317&lt;=cc_D,0.0035*($E317-Z$15)/$E317,0.002*($E317-Z$15)/($E317-3*cc_D/7))))-fcd_cc*(1-(1-MAX(0,MIN(1,IF($E317&lt;=cc_D,0.0035*($E317-Z$15)/$E317,0.002*($E317-Z$15)/($E317-3*cc_D/7))/0.002)))^2)</f>
        <v/>
      </c>
      <c r="AA317">
        <f>MAX(-fyd_cc,MIN(fyd_cc,Es_cc*IF($E317&lt;=cc_D,0.0035*($E317-AA$15)/$E317,0.002*($E317-AA$15)/($E317-3*cc_D/7))))-fcd_cc*(1-(1-MAX(0,MIN(1,IF($E317&lt;=cc_D,0.0035*($E317-AA$15)/$E317,0.002*($E317-AA$15)/($E317-3*cc_D/7))/0.002)))^2)</f>
        <v/>
      </c>
      <c r="AB317">
        <f>MAX(-fyd_cc,MIN(fyd_cc,Es_cc*IF($E317&lt;=cc_D,0.0035*($E317-AB$15)/$E317,0.002*($E317-AB$15)/($E317-3*cc_D/7))))-fcd_cc*(1-(1-MAX(0,MIN(1,IF($E317&lt;=cc_D,0.0035*($E317-AB$15)/$E317,0.002*($E317-AB$15)/($E317-3*cc_D/7))/0.002)))^2)</f>
        <v/>
      </c>
      <c r="AC317">
        <f>MAX(-fyd_cc,MIN(fyd_cc,Es_cc*IF($E317&lt;=cc_D,0.0035*($E317-AC$15)/$E317,0.002*($E317-AC$15)/($E317-3*cc_D/7))))-fcd_cc*(1-(1-MAX(0,MIN(1,IF($E317&lt;=cc_D,0.0035*($E317-AC$15)/$E317,0.002*($E317-AC$15)/($E317-3*cc_D/7))/0.002)))^2)</f>
        <v/>
      </c>
      <c r="AD317">
        <f>MAX(-fyd_cc,MIN(fyd_cc,Es_cc*IF($E317&lt;=cc_D,0.0035*($E317-AD$15)/$E317,0.002*($E317-AD$15)/($E317-3*cc_D/7))))-fcd_cc*(1-(1-MAX(0,MIN(1,IF($E317&lt;=cc_D,0.0035*($E317-AD$15)/$E317,0.002*($E317-AD$15)/($E317-3*cc_D/7))/0.002)))^2)</f>
        <v/>
      </c>
      <c r="AE317">
        <f>MAX(-fyd_cc,MIN(fyd_cc,Es_cc*IF($E317&lt;=cc_D,0.0035*($E317-AE$15)/$E317,0.002*($E317-AE$15)/($E317-3*cc_D/7))))-fcd_cc*(1-(1-MAX(0,MIN(1,IF($E317&lt;=cc_D,0.0035*($E317-AE$15)/$E317,0.002*($E317-AE$15)/($E317-3*cc_D/7))/0.002)))^2)</f>
        <v/>
      </c>
      <c r="AF317">
        <f>MAX(-fyd_cc,MIN(fyd_cc,Es_cc*IF($E317&lt;=cc_D,0.0035*($E317-AF$15)/$E317,0.002*($E317-AF$15)/($E317-3*cc_D/7))))-fcd_cc*(1-(1-MAX(0,MIN(1,IF($E317&lt;=cc_D,0.0035*($E317-AF$15)/$E317,0.002*($E317-AF$15)/($E317-3*cc_D/7))/0.002)))^2)</f>
        <v/>
      </c>
      <c r="AG317">
        <f>MAX(-fyd_cc,MIN(fyd_cc,Es_cc*IF($E317&lt;=cc_D,0.0035*($E317-AG$15)/$E317,0.002*($E317-AG$15)/($E317-3*cc_D/7))))-fcd_cc*(1-(1-MAX(0,MIN(1,IF($E317&lt;=cc_D,0.0035*($E317-AG$15)/$E317,0.002*($E317-AG$15)/($E317-3*cc_D/7))/0.002)))^2)</f>
        <v/>
      </c>
      <c r="BF317">
        <f>3*MIN($E317,cc_D)/7</f>
        <v/>
      </c>
      <c r="BG317">
        <f>$E317-$BF317</f>
        <v/>
      </c>
      <c r="BH317">
        <f>ACOS(MAX(-1,MIN(1,1-$BF317/(cc_D/2))))</f>
        <v/>
      </c>
      <c r="BI317">
        <f>ACOS(MAX(-1,MIN(1,1-MIN($E317,cc_D)/(cc_D/2))))</f>
        <v/>
      </c>
      <c r="BJ317">
        <f>((cc_D/2*(1-COS(($BH317+0*($BI317-$BH317)/12)))-$BF317)/$BG317)^2*SIN(($BH317+0*($BI317-$BH317)/12))^2</f>
        <v/>
      </c>
      <c r="BK317">
        <f>((cc_D/2*(1-COS(($BH317+1*($BI317-$BH317)/12)))-$BF317)/$BG317)^2*SIN(($BH317+1*($BI317-$BH317)/12))^2</f>
        <v/>
      </c>
      <c r="BL317">
        <f>((cc_D/2*(1-COS(($BH317+2*($BI317-$BH317)/12)))-$BF317)/$BG317)^2*SIN(($BH317+2*($BI317-$BH317)/12))^2</f>
        <v/>
      </c>
      <c r="BM317">
        <f>((cc_D/2*(1-COS(($BH317+3*($BI317-$BH317)/12)))-$BF317)/$BG317)^2*SIN(($BH317+3*($BI317-$BH317)/12))^2</f>
        <v/>
      </c>
      <c r="BN317">
        <f>((cc_D/2*(1-COS(($BH317+4*($BI317-$BH317)/12)))-$BF317)/$BG317)^2*SIN(($BH317+4*($BI317-$BH317)/12))^2</f>
        <v/>
      </c>
      <c r="BO317">
        <f>((cc_D/2*(1-COS(($BH317+5*($BI317-$BH317)/12)))-$BF317)/$BG317)^2*SIN(($BH317+5*($BI317-$BH317)/12))^2</f>
        <v/>
      </c>
      <c r="BP317">
        <f>((cc_D/2*(1-COS(($BH317+6*($BI317-$BH317)/12)))-$BF317)/$BG317)^2*SIN(($BH317+6*($BI317-$BH317)/12))^2</f>
        <v/>
      </c>
      <c r="BQ317">
        <f>((cc_D/2*(1-COS(($BH317+7*($BI317-$BH317)/12)))-$BF317)/$BG317)^2*SIN(($BH317+7*($BI317-$BH317)/12))^2</f>
        <v/>
      </c>
      <c r="BR317">
        <f>((cc_D/2*(1-COS(($BH317+8*($BI317-$BH317)/12)))-$BF317)/$BG317)^2*SIN(($BH317+8*($BI317-$BH317)/12))^2</f>
        <v/>
      </c>
      <c r="BS317">
        <f>((cc_D/2*(1-COS(($BH317+9*($BI317-$BH317)/12)))-$BF317)/$BG317)^2*SIN(($BH317+9*($BI317-$BH317)/12))^2</f>
        <v/>
      </c>
      <c r="BT317">
        <f>((cc_D/2*(1-COS(($BH317+10*($BI317-$BH317)/12)))-$BF317)/$BG317)^2*SIN(($BH317+10*($BI317-$BH317)/12))^2</f>
        <v/>
      </c>
      <c r="BU317">
        <f>((cc_D/2*(1-COS(($BH317+11*($BI317-$BH317)/12)))-$BF317)/$BG317)^2*SIN(($BH317+11*($BI317-$BH317)/12))^2</f>
        <v/>
      </c>
      <c r="BV317">
        <f>((cc_D/2*(1-COS(($BH317+12*($BI317-$BH317)/12)))-$BF317)/$BG317)^2*SIN(($BH317+12*($BI317-$BH317)/12))^2</f>
        <v/>
      </c>
      <c r="BW317">
        <f>BJ317*COS(($BH317+0*($BI317-$BH317)/12))</f>
        <v/>
      </c>
      <c r="BX317">
        <f>BK317*COS(($BH317+1*($BI317-$BH317)/12))</f>
        <v/>
      </c>
      <c r="BY317">
        <f>BL317*COS(($BH317+2*($BI317-$BH317)/12))</f>
        <v/>
      </c>
      <c r="BZ317">
        <f>BM317*COS(($BH317+3*($BI317-$BH317)/12))</f>
        <v/>
      </c>
      <c r="CA317">
        <f>BN317*COS(($BH317+4*($BI317-$BH317)/12))</f>
        <v/>
      </c>
      <c r="CB317">
        <f>BO317*COS(($BH317+5*($BI317-$BH317)/12))</f>
        <v/>
      </c>
      <c r="CC317">
        <f>BP317*COS(($BH317+6*($BI317-$BH317)/12))</f>
        <v/>
      </c>
      <c r="CD317">
        <f>BQ317*COS(($BH317+7*($BI317-$BH317)/12))</f>
        <v/>
      </c>
      <c r="CE317">
        <f>BR317*COS(($BH317+8*($BI317-$BH317)/12))</f>
        <v/>
      </c>
      <c r="CF317">
        <f>BS317*COS(($BH317+9*($BI317-$BH317)/12))</f>
        <v/>
      </c>
      <c r="CG317">
        <f>BT317*COS(($BH317+10*($BI317-$BH317)/12))</f>
        <v/>
      </c>
      <c r="CH317">
        <f>BU317*COS(($BH317+11*($BI317-$BH317)/12))</f>
        <v/>
      </c>
      <c r="CI317">
        <f>BV317*COS(($BH317+12*($BI317-$BH317)/12))</f>
        <v/>
      </c>
    </row>
    <row r="318">
      <c r="B318" s="65" t="n">
        <v>40</v>
      </c>
      <c r="C318" s="66">
        <f>IF($G317&lt;cc_NEd-1E-9*ABS(cc_NEd),($C317+$D317)/2,$C317)</f>
        <v/>
      </c>
      <c r="D318" s="66">
        <f>IF($G317&lt;cc_NEd-1E-9*ABS(cc_NEd),$D317,($C317+$D317)/2)</f>
        <v/>
      </c>
      <c r="E318" s="67">
        <f>cc_D*(($C318+$D318)/2)/(1-(($C318+$D318)/2))</f>
        <v/>
      </c>
      <c r="F318" s="68">
        <f>IF($E318&lt;=cc_D,3.5,2*$E318/($E318-3*cc_D/7))</f>
        <v/>
      </c>
      <c r="G318" s="67">
        <f>(fcd_cc*((cc_D/2)^2*($BI318-COS($BI318)*SIN($BI318))-2*(cc_D/2)^2*($BI318-$BH318)/12/3*SUMPRODUCT($BJ$4:$BV$4,$BJ318:$BV318))+SUMPRODUCT($J$5:$AG$5,$J318:$AG318))/1000</f>
        <v/>
      </c>
      <c r="H318" s="67">
        <f>(fcd_cc*(2/3*(cc_D/2)^3*SIN($BI318)^3-2*(cc_D/2)^3*($BI318-$BH318)/12/3*SUMPRODUCT($BW$4:$CI$4,$BW318:$CI318))+SUMPRODUCT($J$5:$AG$5,$J318:$AG318,$J$16:$AG$16))/1E6</f>
        <v/>
      </c>
      <c r="I318" s="67">
        <f>SUMPRODUCT($J$5:$AG$5,$J318:$AG318,$J$17:$AG$17)/1E6</f>
        <v/>
      </c>
      <c r="J318">
        <f>MAX(-fyd_cc,MIN(fyd_cc,Es_cc*IF($E318&lt;=cc_D,0.0035*($E318-J$15)/$E318,0.002*($E318-J$15)/($E318-3*cc_D/7))))-fcd_cc*(1-(1-MAX(0,MIN(1,IF($E318&lt;=cc_D,0.0035*($E318-J$15)/$E318,0.002*($E318-J$15)/($E318-3*cc_D/7))/0.002)))^2)</f>
        <v/>
      </c>
      <c r="K318">
        <f>MAX(-fyd_cc,MIN(fyd_cc,Es_cc*IF($E318&lt;=cc_D,0.0035*($E318-K$15)/$E318,0.002*($E318-K$15)/($E318-3*cc_D/7))))-fcd_cc*(1-(1-MAX(0,MIN(1,IF($E318&lt;=cc_D,0.0035*($E318-K$15)/$E318,0.002*($E318-K$15)/($E318-3*cc_D/7))/0.002)))^2)</f>
        <v/>
      </c>
      <c r="L318">
        <f>MAX(-fyd_cc,MIN(fyd_cc,Es_cc*IF($E318&lt;=cc_D,0.0035*($E318-L$15)/$E318,0.002*($E318-L$15)/($E318-3*cc_D/7))))-fcd_cc*(1-(1-MAX(0,MIN(1,IF($E318&lt;=cc_D,0.0035*($E318-L$15)/$E318,0.002*($E318-L$15)/($E318-3*cc_D/7))/0.002)))^2)</f>
        <v/>
      </c>
      <c r="M318">
        <f>MAX(-fyd_cc,MIN(fyd_cc,Es_cc*IF($E318&lt;=cc_D,0.0035*($E318-M$15)/$E318,0.002*($E318-M$15)/($E318-3*cc_D/7))))-fcd_cc*(1-(1-MAX(0,MIN(1,IF($E318&lt;=cc_D,0.0035*($E318-M$15)/$E318,0.002*($E318-M$15)/($E318-3*cc_D/7))/0.002)))^2)</f>
        <v/>
      </c>
      <c r="N318">
        <f>MAX(-fyd_cc,MIN(fyd_cc,Es_cc*IF($E318&lt;=cc_D,0.0035*($E318-N$15)/$E318,0.002*($E318-N$15)/($E318-3*cc_D/7))))-fcd_cc*(1-(1-MAX(0,MIN(1,IF($E318&lt;=cc_D,0.0035*($E318-N$15)/$E318,0.002*($E318-N$15)/($E318-3*cc_D/7))/0.002)))^2)</f>
        <v/>
      </c>
      <c r="O318">
        <f>MAX(-fyd_cc,MIN(fyd_cc,Es_cc*IF($E318&lt;=cc_D,0.0035*($E318-O$15)/$E318,0.002*($E318-O$15)/($E318-3*cc_D/7))))-fcd_cc*(1-(1-MAX(0,MIN(1,IF($E318&lt;=cc_D,0.0035*($E318-O$15)/$E318,0.002*($E318-O$15)/($E318-3*cc_D/7))/0.002)))^2)</f>
        <v/>
      </c>
      <c r="P318">
        <f>MAX(-fyd_cc,MIN(fyd_cc,Es_cc*IF($E318&lt;=cc_D,0.0035*($E318-P$15)/$E318,0.002*($E318-P$15)/($E318-3*cc_D/7))))-fcd_cc*(1-(1-MAX(0,MIN(1,IF($E318&lt;=cc_D,0.0035*($E318-P$15)/$E318,0.002*($E318-P$15)/($E318-3*cc_D/7))/0.002)))^2)</f>
        <v/>
      </c>
      <c r="Q318">
        <f>MAX(-fyd_cc,MIN(fyd_cc,Es_cc*IF($E318&lt;=cc_D,0.0035*($E318-Q$15)/$E318,0.002*($E318-Q$15)/($E318-3*cc_D/7))))-fcd_cc*(1-(1-MAX(0,MIN(1,IF($E318&lt;=cc_D,0.0035*($E318-Q$15)/$E318,0.002*($E318-Q$15)/($E318-3*cc_D/7))/0.002)))^2)</f>
        <v/>
      </c>
      <c r="R318">
        <f>MAX(-fyd_cc,MIN(fyd_cc,Es_cc*IF($E318&lt;=cc_D,0.0035*($E318-R$15)/$E318,0.002*($E318-R$15)/($E318-3*cc_D/7))))-fcd_cc*(1-(1-MAX(0,MIN(1,IF($E318&lt;=cc_D,0.0035*($E318-R$15)/$E318,0.002*($E318-R$15)/($E318-3*cc_D/7))/0.002)))^2)</f>
        <v/>
      </c>
      <c r="S318">
        <f>MAX(-fyd_cc,MIN(fyd_cc,Es_cc*IF($E318&lt;=cc_D,0.0035*($E318-S$15)/$E318,0.002*($E318-S$15)/($E318-3*cc_D/7))))-fcd_cc*(1-(1-MAX(0,MIN(1,IF($E318&lt;=cc_D,0.0035*($E318-S$15)/$E318,0.002*($E318-S$15)/($E318-3*cc_D/7))/0.002)))^2)</f>
        <v/>
      </c>
      <c r="T318">
        <f>MAX(-fyd_cc,MIN(fyd_cc,Es_cc*IF($E318&lt;=cc_D,0.0035*($E318-T$15)/$E318,0.002*($E318-T$15)/($E318-3*cc_D/7))))-fcd_cc*(1-(1-MAX(0,MIN(1,IF($E318&lt;=cc_D,0.0035*($E318-T$15)/$E318,0.002*($E318-T$15)/($E318-3*cc_D/7))/0.002)))^2)</f>
        <v/>
      </c>
      <c r="U318">
        <f>MAX(-fyd_cc,MIN(fyd_cc,Es_cc*IF($E318&lt;=cc_D,0.0035*($E318-U$15)/$E318,0.002*($E318-U$15)/($E318-3*cc_D/7))))-fcd_cc*(1-(1-MAX(0,MIN(1,IF($E318&lt;=cc_D,0.0035*($E318-U$15)/$E318,0.002*($E318-U$15)/($E318-3*cc_D/7))/0.002)))^2)</f>
        <v/>
      </c>
      <c r="V318">
        <f>MAX(-fyd_cc,MIN(fyd_cc,Es_cc*IF($E318&lt;=cc_D,0.0035*($E318-V$15)/$E318,0.002*($E318-V$15)/($E318-3*cc_D/7))))-fcd_cc*(1-(1-MAX(0,MIN(1,IF($E318&lt;=cc_D,0.0035*($E318-V$15)/$E318,0.002*($E318-V$15)/($E318-3*cc_D/7))/0.002)))^2)</f>
        <v/>
      </c>
      <c r="W318">
        <f>MAX(-fyd_cc,MIN(fyd_cc,Es_cc*IF($E318&lt;=cc_D,0.0035*($E318-W$15)/$E318,0.002*($E318-W$15)/($E318-3*cc_D/7))))-fcd_cc*(1-(1-MAX(0,MIN(1,IF($E318&lt;=cc_D,0.0035*($E318-W$15)/$E318,0.002*($E318-W$15)/($E318-3*cc_D/7))/0.002)))^2)</f>
        <v/>
      </c>
      <c r="X318">
        <f>MAX(-fyd_cc,MIN(fyd_cc,Es_cc*IF($E318&lt;=cc_D,0.0035*($E318-X$15)/$E318,0.002*($E318-X$15)/($E318-3*cc_D/7))))-fcd_cc*(1-(1-MAX(0,MIN(1,IF($E318&lt;=cc_D,0.0035*($E318-X$15)/$E318,0.002*($E318-X$15)/($E318-3*cc_D/7))/0.002)))^2)</f>
        <v/>
      </c>
      <c r="Y318">
        <f>MAX(-fyd_cc,MIN(fyd_cc,Es_cc*IF($E318&lt;=cc_D,0.0035*($E318-Y$15)/$E318,0.002*($E318-Y$15)/($E318-3*cc_D/7))))-fcd_cc*(1-(1-MAX(0,MIN(1,IF($E318&lt;=cc_D,0.0035*($E318-Y$15)/$E318,0.002*($E318-Y$15)/($E318-3*cc_D/7))/0.002)))^2)</f>
        <v/>
      </c>
      <c r="Z318">
        <f>MAX(-fyd_cc,MIN(fyd_cc,Es_cc*IF($E318&lt;=cc_D,0.0035*($E318-Z$15)/$E318,0.002*($E318-Z$15)/($E318-3*cc_D/7))))-fcd_cc*(1-(1-MAX(0,MIN(1,IF($E318&lt;=cc_D,0.0035*($E318-Z$15)/$E318,0.002*($E318-Z$15)/($E318-3*cc_D/7))/0.002)))^2)</f>
        <v/>
      </c>
      <c r="AA318">
        <f>MAX(-fyd_cc,MIN(fyd_cc,Es_cc*IF($E318&lt;=cc_D,0.0035*($E318-AA$15)/$E318,0.002*($E318-AA$15)/($E318-3*cc_D/7))))-fcd_cc*(1-(1-MAX(0,MIN(1,IF($E318&lt;=cc_D,0.0035*($E318-AA$15)/$E318,0.002*($E318-AA$15)/($E318-3*cc_D/7))/0.002)))^2)</f>
        <v/>
      </c>
      <c r="AB318">
        <f>MAX(-fyd_cc,MIN(fyd_cc,Es_cc*IF($E318&lt;=cc_D,0.0035*($E318-AB$15)/$E318,0.002*($E318-AB$15)/($E318-3*cc_D/7))))-fcd_cc*(1-(1-MAX(0,MIN(1,IF($E318&lt;=cc_D,0.0035*($E318-AB$15)/$E318,0.002*($E318-AB$15)/($E318-3*cc_D/7))/0.002)))^2)</f>
        <v/>
      </c>
      <c r="AC318">
        <f>MAX(-fyd_cc,MIN(fyd_cc,Es_cc*IF($E318&lt;=cc_D,0.0035*($E318-AC$15)/$E318,0.002*($E318-AC$15)/($E318-3*cc_D/7))))-fcd_cc*(1-(1-MAX(0,MIN(1,IF($E318&lt;=cc_D,0.0035*($E318-AC$15)/$E318,0.002*($E318-AC$15)/($E318-3*cc_D/7))/0.002)))^2)</f>
        <v/>
      </c>
      <c r="AD318">
        <f>MAX(-fyd_cc,MIN(fyd_cc,Es_cc*IF($E318&lt;=cc_D,0.0035*($E318-AD$15)/$E318,0.002*($E318-AD$15)/($E318-3*cc_D/7))))-fcd_cc*(1-(1-MAX(0,MIN(1,IF($E318&lt;=cc_D,0.0035*($E318-AD$15)/$E318,0.002*($E318-AD$15)/($E318-3*cc_D/7))/0.002)))^2)</f>
        <v/>
      </c>
      <c r="AE318">
        <f>MAX(-fyd_cc,MIN(fyd_cc,Es_cc*IF($E318&lt;=cc_D,0.0035*($E318-AE$15)/$E318,0.002*($E318-AE$15)/($E318-3*cc_D/7))))-fcd_cc*(1-(1-MAX(0,MIN(1,IF($E318&lt;=cc_D,0.0035*($E318-AE$15)/$E318,0.002*($E318-AE$15)/($E318-3*cc_D/7))/0.002)))^2)</f>
        <v/>
      </c>
      <c r="AF318">
        <f>MAX(-fyd_cc,MIN(fyd_cc,Es_cc*IF($E318&lt;=cc_D,0.0035*($E318-AF$15)/$E318,0.002*($E318-AF$15)/($E318-3*cc_D/7))))-fcd_cc*(1-(1-MAX(0,MIN(1,IF($E318&lt;=cc_D,0.0035*($E318-AF$15)/$E318,0.002*($E318-AF$15)/($E318-3*cc_D/7))/0.002)))^2)</f>
        <v/>
      </c>
      <c r="AG318">
        <f>MAX(-fyd_cc,MIN(fyd_cc,Es_cc*IF($E318&lt;=cc_D,0.0035*($E318-AG$15)/$E318,0.002*($E318-AG$15)/($E318-3*cc_D/7))))-fcd_cc*(1-(1-MAX(0,MIN(1,IF($E318&lt;=cc_D,0.0035*($E318-AG$15)/$E318,0.002*($E318-AG$15)/($E318-3*cc_D/7))/0.002)))^2)</f>
        <v/>
      </c>
      <c r="BF318">
        <f>3*MIN($E318,cc_D)/7</f>
        <v/>
      </c>
      <c r="BG318">
        <f>$E318-$BF318</f>
        <v/>
      </c>
      <c r="BH318">
        <f>ACOS(MAX(-1,MIN(1,1-$BF318/(cc_D/2))))</f>
        <v/>
      </c>
      <c r="BI318">
        <f>ACOS(MAX(-1,MIN(1,1-MIN($E318,cc_D)/(cc_D/2))))</f>
        <v/>
      </c>
      <c r="BJ318">
        <f>((cc_D/2*(1-COS(($BH318+0*($BI318-$BH318)/12)))-$BF318)/$BG318)^2*SIN(($BH318+0*($BI318-$BH318)/12))^2</f>
        <v/>
      </c>
      <c r="BK318">
        <f>((cc_D/2*(1-COS(($BH318+1*($BI318-$BH318)/12)))-$BF318)/$BG318)^2*SIN(($BH318+1*($BI318-$BH318)/12))^2</f>
        <v/>
      </c>
      <c r="BL318">
        <f>((cc_D/2*(1-COS(($BH318+2*($BI318-$BH318)/12)))-$BF318)/$BG318)^2*SIN(($BH318+2*($BI318-$BH318)/12))^2</f>
        <v/>
      </c>
      <c r="BM318">
        <f>((cc_D/2*(1-COS(($BH318+3*($BI318-$BH318)/12)))-$BF318)/$BG318)^2*SIN(($BH318+3*($BI318-$BH318)/12))^2</f>
        <v/>
      </c>
      <c r="BN318">
        <f>((cc_D/2*(1-COS(($BH318+4*($BI318-$BH318)/12)))-$BF318)/$BG318)^2*SIN(($BH318+4*($BI318-$BH318)/12))^2</f>
        <v/>
      </c>
      <c r="BO318">
        <f>((cc_D/2*(1-COS(($BH318+5*($BI318-$BH318)/12)))-$BF318)/$BG318)^2*SIN(($BH318+5*($BI318-$BH318)/12))^2</f>
        <v/>
      </c>
      <c r="BP318">
        <f>((cc_D/2*(1-COS(($BH318+6*($BI318-$BH318)/12)))-$BF318)/$BG318)^2*SIN(($BH318+6*($BI318-$BH318)/12))^2</f>
        <v/>
      </c>
      <c r="BQ318">
        <f>((cc_D/2*(1-COS(($BH318+7*($BI318-$BH318)/12)))-$BF318)/$BG318)^2*SIN(($BH318+7*($BI318-$BH318)/12))^2</f>
        <v/>
      </c>
      <c r="BR318">
        <f>((cc_D/2*(1-COS(($BH318+8*($BI318-$BH318)/12)))-$BF318)/$BG318)^2*SIN(($BH318+8*($BI318-$BH318)/12))^2</f>
        <v/>
      </c>
      <c r="BS318">
        <f>((cc_D/2*(1-COS(($BH318+9*($BI318-$BH318)/12)))-$BF318)/$BG318)^2*SIN(($BH318+9*($BI318-$BH318)/12))^2</f>
        <v/>
      </c>
      <c r="BT318">
        <f>((cc_D/2*(1-COS(($BH318+10*($BI318-$BH318)/12)))-$BF318)/$BG318)^2*SIN(($BH318+10*($BI318-$BH318)/12))^2</f>
        <v/>
      </c>
      <c r="BU318">
        <f>((cc_D/2*(1-COS(($BH318+11*($BI318-$BH318)/12)))-$BF318)/$BG318)^2*SIN(($BH318+11*($BI318-$BH318)/12))^2</f>
        <v/>
      </c>
      <c r="BV318">
        <f>((cc_D/2*(1-COS(($BH318+12*($BI318-$BH318)/12)))-$BF318)/$BG318)^2*SIN(($BH318+12*($BI318-$BH318)/12))^2</f>
        <v/>
      </c>
      <c r="BW318">
        <f>BJ318*COS(($BH318+0*($BI318-$BH318)/12))</f>
        <v/>
      </c>
      <c r="BX318">
        <f>BK318*COS(($BH318+1*($BI318-$BH318)/12))</f>
        <v/>
      </c>
      <c r="BY318">
        <f>BL318*COS(($BH318+2*($BI318-$BH318)/12))</f>
        <v/>
      </c>
      <c r="BZ318">
        <f>BM318*COS(($BH318+3*($BI318-$BH318)/12))</f>
        <v/>
      </c>
      <c r="CA318">
        <f>BN318*COS(($BH318+4*($BI318-$BH318)/12))</f>
        <v/>
      </c>
      <c r="CB318">
        <f>BO318*COS(($BH318+5*($BI318-$BH318)/12))</f>
        <v/>
      </c>
      <c r="CC318">
        <f>BP318*COS(($BH318+6*($BI318-$BH318)/12))</f>
        <v/>
      </c>
      <c r="CD318">
        <f>BQ318*COS(($BH318+7*($BI318-$BH318)/12))</f>
        <v/>
      </c>
      <c r="CE318">
        <f>BR318*COS(($BH318+8*($BI318-$BH318)/12))</f>
        <v/>
      </c>
      <c r="CF318">
        <f>BS318*COS(($BH318+9*($BI318-$BH318)/12))</f>
        <v/>
      </c>
      <c r="CG318">
        <f>BT318*COS(($BH318+10*($BI318-$BH318)/12))</f>
        <v/>
      </c>
      <c r="CH318">
        <f>BU318*COS(($BH318+11*($BI318-$BH318)/12))</f>
        <v/>
      </c>
      <c r="CI318">
        <f>BV318*COS(($BH318+12*($BI318-$BH318)/12))</f>
        <v/>
      </c>
    </row>
    <row r="319">
      <c r="B319" s="65" t="n">
        <v>41</v>
      </c>
      <c r="C319" s="66">
        <f>IF($G318&lt;cc_NEd-1E-9*ABS(cc_NEd),($C318+$D318)/2,$C318)</f>
        <v/>
      </c>
      <c r="D319" s="66">
        <f>IF($G318&lt;cc_NEd-1E-9*ABS(cc_NEd),$D318,($C318+$D318)/2)</f>
        <v/>
      </c>
      <c r="E319" s="67">
        <f>cc_D*(($C319+$D319)/2)/(1-(($C319+$D319)/2))</f>
        <v/>
      </c>
      <c r="F319" s="68">
        <f>IF($E319&lt;=cc_D,3.5,2*$E319/($E319-3*cc_D/7))</f>
        <v/>
      </c>
      <c r="G319" s="67">
        <f>(fcd_cc*((cc_D/2)^2*($BI319-COS($BI319)*SIN($BI319))-2*(cc_D/2)^2*($BI319-$BH319)/12/3*SUMPRODUCT($BJ$4:$BV$4,$BJ319:$BV319))+SUMPRODUCT($J$5:$AG$5,$J319:$AG319))/1000</f>
        <v/>
      </c>
      <c r="H319" s="67">
        <f>(fcd_cc*(2/3*(cc_D/2)^3*SIN($BI319)^3-2*(cc_D/2)^3*($BI319-$BH319)/12/3*SUMPRODUCT($BW$4:$CI$4,$BW319:$CI319))+SUMPRODUCT($J$5:$AG$5,$J319:$AG319,$J$16:$AG$16))/1E6</f>
        <v/>
      </c>
      <c r="I319" s="67">
        <f>SUMPRODUCT($J$5:$AG$5,$J319:$AG319,$J$17:$AG$17)/1E6</f>
        <v/>
      </c>
      <c r="J319">
        <f>MAX(-fyd_cc,MIN(fyd_cc,Es_cc*IF($E319&lt;=cc_D,0.0035*($E319-J$15)/$E319,0.002*($E319-J$15)/($E319-3*cc_D/7))))-fcd_cc*(1-(1-MAX(0,MIN(1,IF($E319&lt;=cc_D,0.0035*($E319-J$15)/$E319,0.002*($E319-J$15)/($E319-3*cc_D/7))/0.002)))^2)</f>
        <v/>
      </c>
      <c r="K319">
        <f>MAX(-fyd_cc,MIN(fyd_cc,Es_cc*IF($E319&lt;=cc_D,0.0035*($E319-K$15)/$E319,0.002*($E319-K$15)/($E319-3*cc_D/7))))-fcd_cc*(1-(1-MAX(0,MIN(1,IF($E319&lt;=cc_D,0.0035*($E319-K$15)/$E319,0.002*($E319-K$15)/($E319-3*cc_D/7))/0.002)))^2)</f>
        <v/>
      </c>
      <c r="L319">
        <f>MAX(-fyd_cc,MIN(fyd_cc,Es_cc*IF($E319&lt;=cc_D,0.0035*($E319-L$15)/$E319,0.002*($E319-L$15)/($E319-3*cc_D/7))))-fcd_cc*(1-(1-MAX(0,MIN(1,IF($E319&lt;=cc_D,0.0035*($E319-L$15)/$E319,0.002*($E319-L$15)/($E319-3*cc_D/7))/0.002)))^2)</f>
        <v/>
      </c>
      <c r="M319">
        <f>MAX(-fyd_cc,MIN(fyd_cc,Es_cc*IF($E319&lt;=cc_D,0.0035*($E319-M$15)/$E319,0.002*($E319-M$15)/($E319-3*cc_D/7))))-fcd_cc*(1-(1-MAX(0,MIN(1,IF($E319&lt;=cc_D,0.0035*($E319-M$15)/$E319,0.002*($E319-M$15)/($E319-3*cc_D/7))/0.002)))^2)</f>
        <v/>
      </c>
      <c r="N319">
        <f>MAX(-fyd_cc,MIN(fyd_cc,Es_cc*IF($E319&lt;=cc_D,0.0035*($E319-N$15)/$E319,0.002*($E319-N$15)/($E319-3*cc_D/7))))-fcd_cc*(1-(1-MAX(0,MIN(1,IF($E319&lt;=cc_D,0.0035*($E319-N$15)/$E319,0.002*($E319-N$15)/($E319-3*cc_D/7))/0.002)))^2)</f>
        <v/>
      </c>
      <c r="O319">
        <f>MAX(-fyd_cc,MIN(fyd_cc,Es_cc*IF($E319&lt;=cc_D,0.0035*($E319-O$15)/$E319,0.002*($E319-O$15)/($E319-3*cc_D/7))))-fcd_cc*(1-(1-MAX(0,MIN(1,IF($E319&lt;=cc_D,0.0035*($E319-O$15)/$E319,0.002*($E319-O$15)/($E319-3*cc_D/7))/0.002)))^2)</f>
        <v/>
      </c>
      <c r="P319">
        <f>MAX(-fyd_cc,MIN(fyd_cc,Es_cc*IF($E319&lt;=cc_D,0.0035*($E319-P$15)/$E319,0.002*($E319-P$15)/($E319-3*cc_D/7))))-fcd_cc*(1-(1-MAX(0,MIN(1,IF($E319&lt;=cc_D,0.0035*($E319-P$15)/$E319,0.002*($E319-P$15)/($E319-3*cc_D/7))/0.002)))^2)</f>
        <v/>
      </c>
      <c r="Q319">
        <f>MAX(-fyd_cc,MIN(fyd_cc,Es_cc*IF($E319&lt;=cc_D,0.0035*($E319-Q$15)/$E319,0.002*($E319-Q$15)/($E319-3*cc_D/7))))-fcd_cc*(1-(1-MAX(0,MIN(1,IF($E319&lt;=cc_D,0.0035*($E319-Q$15)/$E319,0.002*($E319-Q$15)/($E319-3*cc_D/7))/0.002)))^2)</f>
        <v/>
      </c>
      <c r="R319">
        <f>MAX(-fyd_cc,MIN(fyd_cc,Es_cc*IF($E319&lt;=cc_D,0.0035*($E319-R$15)/$E319,0.002*($E319-R$15)/($E319-3*cc_D/7))))-fcd_cc*(1-(1-MAX(0,MIN(1,IF($E319&lt;=cc_D,0.0035*($E319-R$15)/$E319,0.002*($E319-R$15)/($E319-3*cc_D/7))/0.002)))^2)</f>
        <v/>
      </c>
      <c r="S319">
        <f>MAX(-fyd_cc,MIN(fyd_cc,Es_cc*IF($E319&lt;=cc_D,0.0035*($E319-S$15)/$E319,0.002*($E319-S$15)/($E319-3*cc_D/7))))-fcd_cc*(1-(1-MAX(0,MIN(1,IF($E319&lt;=cc_D,0.0035*($E319-S$15)/$E319,0.002*($E319-S$15)/($E319-3*cc_D/7))/0.002)))^2)</f>
        <v/>
      </c>
      <c r="T319">
        <f>MAX(-fyd_cc,MIN(fyd_cc,Es_cc*IF($E319&lt;=cc_D,0.0035*($E319-T$15)/$E319,0.002*($E319-T$15)/($E319-3*cc_D/7))))-fcd_cc*(1-(1-MAX(0,MIN(1,IF($E319&lt;=cc_D,0.0035*($E319-T$15)/$E319,0.002*($E319-T$15)/($E319-3*cc_D/7))/0.002)))^2)</f>
        <v/>
      </c>
      <c r="U319">
        <f>MAX(-fyd_cc,MIN(fyd_cc,Es_cc*IF($E319&lt;=cc_D,0.0035*($E319-U$15)/$E319,0.002*($E319-U$15)/($E319-3*cc_D/7))))-fcd_cc*(1-(1-MAX(0,MIN(1,IF($E319&lt;=cc_D,0.0035*($E319-U$15)/$E319,0.002*($E319-U$15)/($E319-3*cc_D/7))/0.002)))^2)</f>
        <v/>
      </c>
      <c r="V319">
        <f>MAX(-fyd_cc,MIN(fyd_cc,Es_cc*IF($E319&lt;=cc_D,0.0035*($E319-V$15)/$E319,0.002*($E319-V$15)/($E319-3*cc_D/7))))-fcd_cc*(1-(1-MAX(0,MIN(1,IF($E319&lt;=cc_D,0.0035*($E319-V$15)/$E319,0.002*($E319-V$15)/($E319-3*cc_D/7))/0.002)))^2)</f>
        <v/>
      </c>
      <c r="W319">
        <f>MAX(-fyd_cc,MIN(fyd_cc,Es_cc*IF($E319&lt;=cc_D,0.0035*($E319-W$15)/$E319,0.002*($E319-W$15)/($E319-3*cc_D/7))))-fcd_cc*(1-(1-MAX(0,MIN(1,IF($E319&lt;=cc_D,0.0035*($E319-W$15)/$E319,0.002*($E319-W$15)/($E319-3*cc_D/7))/0.002)))^2)</f>
        <v/>
      </c>
      <c r="X319">
        <f>MAX(-fyd_cc,MIN(fyd_cc,Es_cc*IF($E319&lt;=cc_D,0.0035*($E319-X$15)/$E319,0.002*($E319-X$15)/($E319-3*cc_D/7))))-fcd_cc*(1-(1-MAX(0,MIN(1,IF($E319&lt;=cc_D,0.0035*($E319-X$15)/$E319,0.002*($E319-X$15)/($E319-3*cc_D/7))/0.002)))^2)</f>
        <v/>
      </c>
      <c r="Y319">
        <f>MAX(-fyd_cc,MIN(fyd_cc,Es_cc*IF($E319&lt;=cc_D,0.0035*($E319-Y$15)/$E319,0.002*($E319-Y$15)/($E319-3*cc_D/7))))-fcd_cc*(1-(1-MAX(0,MIN(1,IF($E319&lt;=cc_D,0.0035*($E319-Y$15)/$E319,0.002*($E319-Y$15)/($E319-3*cc_D/7))/0.002)))^2)</f>
        <v/>
      </c>
      <c r="Z319">
        <f>MAX(-fyd_cc,MIN(fyd_cc,Es_cc*IF($E319&lt;=cc_D,0.0035*($E319-Z$15)/$E319,0.002*($E319-Z$15)/($E319-3*cc_D/7))))-fcd_cc*(1-(1-MAX(0,MIN(1,IF($E319&lt;=cc_D,0.0035*($E319-Z$15)/$E319,0.002*($E319-Z$15)/($E319-3*cc_D/7))/0.002)))^2)</f>
        <v/>
      </c>
      <c r="AA319">
        <f>MAX(-fyd_cc,MIN(fyd_cc,Es_cc*IF($E319&lt;=cc_D,0.0035*($E319-AA$15)/$E319,0.002*($E319-AA$15)/($E319-3*cc_D/7))))-fcd_cc*(1-(1-MAX(0,MIN(1,IF($E319&lt;=cc_D,0.0035*($E319-AA$15)/$E319,0.002*($E319-AA$15)/($E319-3*cc_D/7))/0.002)))^2)</f>
        <v/>
      </c>
      <c r="AB319">
        <f>MAX(-fyd_cc,MIN(fyd_cc,Es_cc*IF($E319&lt;=cc_D,0.0035*($E319-AB$15)/$E319,0.002*($E319-AB$15)/($E319-3*cc_D/7))))-fcd_cc*(1-(1-MAX(0,MIN(1,IF($E319&lt;=cc_D,0.0035*($E319-AB$15)/$E319,0.002*($E319-AB$15)/($E319-3*cc_D/7))/0.002)))^2)</f>
        <v/>
      </c>
      <c r="AC319">
        <f>MAX(-fyd_cc,MIN(fyd_cc,Es_cc*IF($E319&lt;=cc_D,0.0035*($E319-AC$15)/$E319,0.002*($E319-AC$15)/($E319-3*cc_D/7))))-fcd_cc*(1-(1-MAX(0,MIN(1,IF($E319&lt;=cc_D,0.0035*($E319-AC$15)/$E319,0.002*($E319-AC$15)/($E319-3*cc_D/7))/0.002)))^2)</f>
        <v/>
      </c>
      <c r="AD319">
        <f>MAX(-fyd_cc,MIN(fyd_cc,Es_cc*IF($E319&lt;=cc_D,0.0035*($E319-AD$15)/$E319,0.002*($E319-AD$15)/($E319-3*cc_D/7))))-fcd_cc*(1-(1-MAX(0,MIN(1,IF($E319&lt;=cc_D,0.0035*($E319-AD$15)/$E319,0.002*($E319-AD$15)/($E319-3*cc_D/7))/0.002)))^2)</f>
        <v/>
      </c>
      <c r="AE319">
        <f>MAX(-fyd_cc,MIN(fyd_cc,Es_cc*IF($E319&lt;=cc_D,0.0035*($E319-AE$15)/$E319,0.002*($E319-AE$15)/($E319-3*cc_D/7))))-fcd_cc*(1-(1-MAX(0,MIN(1,IF($E319&lt;=cc_D,0.0035*($E319-AE$15)/$E319,0.002*($E319-AE$15)/($E319-3*cc_D/7))/0.002)))^2)</f>
        <v/>
      </c>
      <c r="AF319">
        <f>MAX(-fyd_cc,MIN(fyd_cc,Es_cc*IF($E319&lt;=cc_D,0.0035*($E319-AF$15)/$E319,0.002*($E319-AF$15)/($E319-3*cc_D/7))))-fcd_cc*(1-(1-MAX(0,MIN(1,IF($E319&lt;=cc_D,0.0035*($E319-AF$15)/$E319,0.002*($E319-AF$15)/($E319-3*cc_D/7))/0.002)))^2)</f>
        <v/>
      </c>
      <c r="AG319">
        <f>MAX(-fyd_cc,MIN(fyd_cc,Es_cc*IF($E319&lt;=cc_D,0.0035*($E319-AG$15)/$E319,0.002*($E319-AG$15)/($E319-3*cc_D/7))))-fcd_cc*(1-(1-MAX(0,MIN(1,IF($E319&lt;=cc_D,0.0035*($E319-AG$15)/$E319,0.002*($E319-AG$15)/($E319-3*cc_D/7))/0.002)))^2)</f>
        <v/>
      </c>
      <c r="BF319">
        <f>3*MIN($E319,cc_D)/7</f>
        <v/>
      </c>
      <c r="BG319">
        <f>$E319-$BF319</f>
        <v/>
      </c>
      <c r="BH319">
        <f>ACOS(MAX(-1,MIN(1,1-$BF319/(cc_D/2))))</f>
        <v/>
      </c>
      <c r="BI319">
        <f>ACOS(MAX(-1,MIN(1,1-MIN($E319,cc_D)/(cc_D/2))))</f>
        <v/>
      </c>
      <c r="BJ319">
        <f>((cc_D/2*(1-COS(($BH319+0*($BI319-$BH319)/12)))-$BF319)/$BG319)^2*SIN(($BH319+0*($BI319-$BH319)/12))^2</f>
        <v/>
      </c>
      <c r="BK319">
        <f>((cc_D/2*(1-COS(($BH319+1*($BI319-$BH319)/12)))-$BF319)/$BG319)^2*SIN(($BH319+1*($BI319-$BH319)/12))^2</f>
        <v/>
      </c>
      <c r="BL319">
        <f>((cc_D/2*(1-COS(($BH319+2*($BI319-$BH319)/12)))-$BF319)/$BG319)^2*SIN(($BH319+2*($BI319-$BH319)/12))^2</f>
        <v/>
      </c>
      <c r="BM319">
        <f>((cc_D/2*(1-COS(($BH319+3*($BI319-$BH319)/12)))-$BF319)/$BG319)^2*SIN(($BH319+3*($BI319-$BH319)/12))^2</f>
        <v/>
      </c>
      <c r="BN319">
        <f>((cc_D/2*(1-COS(($BH319+4*($BI319-$BH319)/12)))-$BF319)/$BG319)^2*SIN(($BH319+4*($BI319-$BH319)/12))^2</f>
        <v/>
      </c>
      <c r="BO319">
        <f>((cc_D/2*(1-COS(($BH319+5*($BI319-$BH319)/12)))-$BF319)/$BG319)^2*SIN(($BH319+5*($BI319-$BH319)/12))^2</f>
        <v/>
      </c>
      <c r="BP319">
        <f>((cc_D/2*(1-COS(($BH319+6*($BI319-$BH319)/12)))-$BF319)/$BG319)^2*SIN(($BH319+6*($BI319-$BH319)/12))^2</f>
        <v/>
      </c>
      <c r="BQ319">
        <f>((cc_D/2*(1-COS(($BH319+7*($BI319-$BH319)/12)))-$BF319)/$BG319)^2*SIN(($BH319+7*($BI319-$BH319)/12))^2</f>
        <v/>
      </c>
      <c r="BR319">
        <f>((cc_D/2*(1-COS(($BH319+8*($BI319-$BH319)/12)))-$BF319)/$BG319)^2*SIN(($BH319+8*($BI319-$BH319)/12))^2</f>
        <v/>
      </c>
      <c r="BS319">
        <f>((cc_D/2*(1-COS(($BH319+9*($BI319-$BH319)/12)))-$BF319)/$BG319)^2*SIN(($BH319+9*($BI319-$BH319)/12))^2</f>
        <v/>
      </c>
      <c r="BT319">
        <f>((cc_D/2*(1-COS(($BH319+10*($BI319-$BH319)/12)))-$BF319)/$BG319)^2*SIN(($BH319+10*($BI319-$BH319)/12))^2</f>
        <v/>
      </c>
      <c r="BU319">
        <f>((cc_D/2*(1-COS(($BH319+11*($BI319-$BH319)/12)))-$BF319)/$BG319)^2*SIN(($BH319+11*($BI319-$BH319)/12))^2</f>
        <v/>
      </c>
      <c r="BV319">
        <f>((cc_D/2*(1-COS(($BH319+12*($BI319-$BH319)/12)))-$BF319)/$BG319)^2*SIN(($BH319+12*($BI319-$BH319)/12))^2</f>
        <v/>
      </c>
      <c r="BW319">
        <f>BJ319*COS(($BH319+0*($BI319-$BH319)/12))</f>
        <v/>
      </c>
      <c r="BX319">
        <f>BK319*COS(($BH319+1*($BI319-$BH319)/12))</f>
        <v/>
      </c>
      <c r="BY319">
        <f>BL319*COS(($BH319+2*($BI319-$BH319)/12))</f>
        <v/>
      </c>
      <c r="BZ319">
        <f>BM319*COS(($BH319+3*($BI319-$BH319)/12))</f>
        <v/>
      </c>
      <c r="CA319">
        <f>BN319*COS(($BH319+4*($BI319-$BH319)/12))</f>
        <v/>
      </c>
      <c r="CB319">
        <f>BO319*COS(($BH319+5*($BI319-$BH319)/12))</f>
        <v/>
      </c>
      <c r="CC319">
        <f>BP319*COS(($BH319+6*($BI319-$BH319)/12))</f>
        <v/>
      </c>
      <c r="CD319">
        <f>BQ319*COS(($BH319+7*($BI319-$BH319)/12))</f>
        <v/>
      </c>
      <c r="CE319">
        <f>BR319*COS(($BH319+8*($BI319-$BH319)/12))</f>
        <v/>
      </c>
      <c r="CF319">
        <f>BS319*COS(($BH319+9*($BI319-$BH319)/12))</f>
        <v/>
      </c>
      <c r="CG319">
        <f>BT319*COS(($BH319+10*($BI319-$BH319)/12))</f>
        <v/>
      </c>
      <c r="CH319">
        <f>BU319*COS(($BH319+11*($BI319-$BH319)/12))</f>
        <v/>
      </c>
      <c r="CI319">
        <f>BV319*COS(($BH319+12*($BI319-$BH319)/12))</f>
        <v/>
      </c>
    </row>
    <row r="320">
      <c r="B320" s="65" t="n">
        <v>42</v>
      </c>
      <c r="C320" s="66">
        <f>IF($G319&lt;cc_NEd-1E-9*ABS(cc_NEd),($C319+$D319)/2,$C319)</f>
        <v/>
      </c>
      <c r="D320" s="66">
        <f>IF($G319&lt;cc_NEd-1E-9*ABS(cc_NEd),$D319,($C319+$D319)/2)</f>
        <v/>
      </c>
      <c r="E320" s="67">
        <f>cc_D*(($C320+$D320)/2)/(1-(($C320+$D320)/2))</f>
        <v/>
      </c>
      <c r="F320" s="68">
        <f>IF($E320&lt;=cc_D,3.5,2*$E320/($E320-3*cc_D/7))</f>
        <v/>
      </c>
      <c r="G320" s="67">
        <f>(fcd_cc*((cc_D/2)^2*($BI320-COS($BI320)*SIN($BI320))-2*(cc_D/2)^2*($BI320-$BH320)/12/3*SUMPRODUCT($BJ$4:$BV$4,$BJ320:$BV320))+SUMPRODUCT($J$5:$AG$5,$J320:$AG320))/1000</f>
        <v/>
      </c>
      <c r="H320" s="67">
        <f>(fcd_cc*(2/3*(cc_D/2)^3*SIN($BI320)^3-2*(cc_D/2)^3*($BI320-$BH320)/12/3*SUMPRODUCT($BW$4:$CI$4,$BW320:$CI320))+SUMPRODUCT($J$5:$AG$5,$J320:$AG320,$J$16:$AG$16))/1E6</f>
        <v/>
      </c>
      <c r="I320" s="67">
        <f>SUMPRODUCT($J$5:$AG$5,$J320:$AG320,$J$17:$AG$17)/1E6</f>
        <v/>
      </c>
      <c r="J320">
        <f>MAX(-fyd_cc,MIN(fyd_cc,Es_cc*IF($E320&lt;=cc_D,0.0035*($E320-J$15)/$E320,0.002*($E320-J$15)/($E320-3*cc_D/7))))-fcd_cc*(1-(1-MAX(0,MIN(1,IF($E320&lt;=cc_D,0.0035*($E320-J$15)/$E320,0.002*($E320-J$15)/($E320-3*cc_D/7))/0.002)))^2)</f>
        <v/>
      </c>
      <c r="K320">
        <f>MAX(-fyd_cc,MIN(fyd_cc,Es_cc*IF($E320&lt;=cc_D,0.0035*($E320-K$15)/$E320,0.002*($E320-K$15)/($E320-3*cc_D/7))))-fcd_cc*(1-(1-MAX(0,MIN(1,IF($E320&lt;=cc_D,0.0035*($E320-K$15)/$E320,0.002*($E320-K$15)/($E320-3*cc_D/7))/0.002)))^2)</f>
        <v/>
      </c>
      <c r="L320">
        <f>MAX(-fyd_cc,MIN(fyd_cc,Es_cc*IF($E320&lt;=cc_D,0.0035*($E320-L$15)/$E320,0.002*($E320-L$15)/($E320-3*cc_D/7))))-fcd_cc*(1-(1-MAX(0,MIN(1,IF($E320&lt;=cc_D,0.0035*($E320-L$15)/$E320,0.002*($E320-L$15)/($E320-3*cc_D/7))/0.002)))^2)</f>
        <v/>
      </c>
      <c r="M320">
        <f>MAX(-fyd_cc,MIN(fyd_cc,Es_cc*IF($E320&lt;=cc_D,0.0035*($E320-M$15)/$E320,0.002*($E320-M$15)/($E320-3*cc_D/7))))-fcd_cc*(1-(1-MAX(0,MIN(1,IF($E320&lt;=cc_D,0.0035*($E320-M$15)/$E320,0.002*($E320-M$15)/($E320-3*cc_D/7))/0.002)))^2)</f>
        <v/>
      </c>
      <c r="N320">
        <f>MAX(-fyd_cc,MIN(fyd_cc,Es_cc*IF($E320&lt;=cc_D,0.0035*($E320-N$15)/$E320,0.002*($E320-N$15)/($E320-3*cc_D/7))))-fcd_cc*(1-(1-MAX(0,MIN(1,IF($E320&lt;=cc_D,0.0035*($E320-N$15)/$E320,0.002*($E320-N$15)/($E320-3*cc_D/7))/0.002)))^2)</f>
        <v/>
      </c>
      <c r="O320">
        <f>MAX(-fyd_cc,MIN(fyd_cc,Es_cc*IF($E320&lt;=cc_D,0.0035*($E320-O$15)/$E320,0.002*($E320-O$15)/($E320-3*cc_D/7))))-fcd_cc*(1-(1-MAX(0,MIN(1,IF($E320&lt;=cc_D,0.0035*($E320-O$15)/$E320,0.002*($E320-O$15)/($E320-3*cc_D/7))/0.002)))^2)</f>
        <v/>
      </c>
      <c r="P320">
        <f>MAX(-fyd_cc,MIN(fyd_cc,Es_cc*IF($E320&lt;=cc_D,0.0035*($E320-P$15)/$E320,0.002*($E320-P$15)/($E320-3*cc_D/7))))-fcd_cc*(1-(1-MAX(0,MIN(1,IF($E320&lt;=cc_D,0.0035*($E320-P$15)/$E320,0.002*($E320-P$15)/($E320-3*cc_D/7))/0.002)))^2)</f>
        <v/>
      </c>
      <c r="Q320">
        <f>MAX(-fyd_cc,MIN(fyd_cc,Es_cc*IF($E320&lt;=cc_D,0.0035*($E320-Q$15)/$E320,0.002*($E320-Q$15)/($E320-3*cc_D/7))))-fcd_cc*(1-(1-MAX(0,MIN(1,IF($E320&lt;=cc_D,0.0035*($E320-Q$15)/$E320,0.002*($E320-Q$15)/($E320-3*cc_D/7))/0.002)))^2)</f>
        <v/>
      </c>
      <c r="R320">
        <f>MAX(-fyd_cc,MIN(fyd_cc,Es_cc*IF($E320&lt;=cc_D,0.0035*($E320-R$15)/$E320,0.002*($E320-R$15)/($E320-3*cc_D/7))))-fcd_cc*(1-(1-MAX(0,MIN(1,IF($E320&lt;=cc_D,0.0035*($E320-R$15)/$E320,0.002*($E320-R$15)/($E320-3*cc_D/7))/0.002)))^2)</f>
        <v/>
      </c>
      <c r="S320">
        <f>MAX(-fyd_cc,MIN(fyd_cc,Es_cc*IF($E320&lt;=cc_D,0.0035*($E320-S$15)/$E320,0.002*($E320-S$15)/($E320-3*cc_D/7))))-fcd_cc*(1-(1-MAX(0,MIN(1,IF($E320&lt;=cc_D,0.0035*($E320-S$15)/$E320,0.002*($E320-S$15)/($E320-3*cc_D/7))/0.002)))^2)</f>
        <v/>
      </c>
      <c r="T320">
        <f>MAX(-fyd_cc,MIN(fyd_cc,Es_cc*IF($E320&lt;=cc_D,0.0035*($E320-T$15)/$E320,0.002*($E320-T$15)/($E320-3*cc_D/7))))-fcd_cc*(1-(1-MAX(0,MIN(1,IF($E320&lt;=cc_D,0.0035*($E320-T$15)/$E320,0.002*($E320-T$15)/($E320-3*cc_D/7))/0.002)))^2)</f>
        <v/>
      </c>
      <c r="U320">
        <f>MAX(-fyd_cc,MIN(fyd_cc,Es_cc*IF($E320&lt;=cc_D,0.0035*($E320-U$15)/$E320,0.002*($E320-U$15)/($E320-3*cc_D/7))))-fcd_cc*(1-(1-MAX(0,MIN(1,IF($E320&lt;=cc_D,0.0035*($E320-U$15)/$E320,0.002*($E320-U$15)/($E320-3*cc_D/7))/0.002)))^2)</f>
        <v/>
      </c>
      <c r="V320">
        <f>MAX(-fyd_cc,MIN(fyd_cc,Es_cc*IF($E320&lt;=cc_D,0.0035*($E320-V$15)/$E320,0.002*($E320-V$15)/($E320-3*cc_D/7))))-fcd_cc*(1-(1-MAX(0,MIN(1,IF($E320&lt;=cc_D,0.0035*($E320-V$15)/$E320,0.002*($E320-V$15)/($E320-3*cc_D/7))/0.002)))^2)</f>
        <v/>
      </c>
      <c r="W320">
        <f>MAX(-fyd_cc,MIN(fyd_cc,Es_cc*IF($E320&lt;=cc_D,0.0035*($E320-W$15)/$E320,0.002*($E320-W$15)/($E320-3*cc_D/7))))-fcd_cc*(1-(1-MAX(0,MIN(1,IF($E320&lt;=cc_D,0.0035*($E320-W$15)/$E320,0.002*($E320-W$15)/($E320-3*cc_D/7))/0.002)))^2)</f>
        <v/>
      </c>
      <c r="X320">
        <f>MAX(-fyd_cc,MIN(fyd_cc,Es_cc*IF($E320&lt;=cc_D,0.0035*($E320-X$15)/$E320,0.002*($E320-X$15)/($E320-3*cc_D/7))))-fcd_cc*(1-(1-MAX(0,MIN(1,IF($E320&lt;=cc_D,0.0035*($E320-X$15)/$E320,0.002*($E320-X$15)/($E320-3*cc_D/7))/0.002)))^2)</f>
        <v/>
      </c>
      <c r="Y320">
        <f>MAX(-fyd_cc,MIN(fyd_cc,Es_cc*IF($E320&lt;=cc_D,0.0035*($E320-Y$15)/$E320,0.002*($E320-Y$15)/($E320-3*cc_D/7))))-fcd_cc*(1-(1-MAX(0,MIN(1,IF($E320&lt;=cc_D,0.0035*($E320-Y$15)/$E320,0.002*($E320-Y$15)/($E320-3*cc_D/7))/0.002)))^2)</f>
        <v/>
      </c>
      <c r="Z320">
        <f>MAX(-fyd_cc,MIN(fyd_cc,Es_cc*IF($E320&lt;=cc_D,0.0035*($E320-Z$15)/$E320,0.002*($E320-Z$15)/($E320-3*cc_D/7))))-fcd_cc*(1-(1-MAX(0,MIN(1,IF($E320&lt;=cc_D,0.0035*($E320-Z$15)/$E320,0.002*($E320-Z$15)/($E320-3*cc_D/7))/0.002)))^2)</f>
        <v/>
      </c>
      <c r="AA320">
        <f>MAX(-fyd_cc,MIN(fyd_cc,Es_cc*IF($E320&lt;=cc_D,0.0035*($E320-AA$15)/$E320,0.002*($E320-AA$15)/($E320-3*cc_D/7))))-fcd_cc*(1-(1-MAX(0,MIN(1,IF($E320&lt;=cc_D,0.0035*($E320-AA$15)/$E320,0.002*($E320-AA$15)/($E320-3*cc_D/7))/0.002)))^2)</f>
        <v/>
      </c>
      <c r="AB320">
        <f>MAX(-fyd_cc,MIN(fyd_cc,Es_cc*IF($E320&lt;=cc_D,0.0035*($E320-AB$15)/$E320,0.002*($E320-AB$15)/($E320-3*cc_D/7))))-fcd_cc*(1-(1-MAX(0,MIN(1,IF($E320&lt;=cc_D,0.0035*($E320-AB$15)/$E320,0.002*($E320-AB$15)/($E320-3*cc_D/7))/0.002)))^2)</f>
        <v/>
      </c>
      <c r="AC320">
        <f>MAX(-fyd_cc,MIN(fyd_cc,Es_cc*IF($E320&lt;=cc_D,0.0035*($E320-AC$15)/$E320,0.002*($E320-AC$15)/($E320-3*cc_D/7))))-fcd_cc*(1-(1-MAX(0,MIN(1,IF($E320&lt;=cc_D,0.0035*($E320-AC$15)/$E320,0.002*($E320-AC$15)/($E320-3*cc_D/7))/0.002)))^2)</f>
        <v/>
      </c>
      <c r="AD320">
        <f>MAX(-fyd_cc,MIN(fyd_cc,Es_cc*IF($E320&lt;=cc_D,0.0035*($E320-AD$15)/$E320,0.002*($E320-AD$15)/($E320-3*cc_D/7))))-fcd_cc*(1-(1-MAX(0,MIN(1,IF($E320&lt;=cc_D,0.0035*($E320-AD$15)/$E320,0.002*($E320-AD$15)/($E320-3*cc_D/7))/0.002)))^2)</f>
        <v/>
      </c>
      <c r="AE320">
        <f>MAX(-fyd_cc,MIN(fyd_cc,Es_cc*IF($E320&lt;=cc_D,0.0035*($E320-AE$15)/$E320,0.002*($E320-AE$15)/($E320-3*cc_D/7))))-fcd_cc*(1-(1-MAX(0,MIN(1,IF($E320&lt;=cc_D,0.0035*($E320-AE$15)/$E320,0.002*($E320-AE$15)/($E320-3*cc_D/7))/0.002)))^2)</f>
        <v/>
      </c>
      <c r="AF320">
        <f>MAX(-fyd_cc,MIN(fyd_cc,Es_cc*IF($E320&lt;=cc_D,0.0035*($E320-AF$15)/$E320,0.002*($E320-AF$15)/($E320-3*cc_D/7))))-fcd_cc*(1-(1-MAX(0,MIN(1,IF($E320&lt;=cc_D,0.0035*($E320-AF$15)/$E320,0.002*($E320-AF$15)/($E320-3*cc_D/7))/0.002)))^2)</f>
        <v/>
      </c>
      <c r="AG320">
        <f>MAX(-fyd_cc,MIN(fyd_cc,Es_cc*IF($E320&lt;=cc_D,0.0035*($E320-AG$15)/$E320,0.002*($E320-AG$15)/($E320-3*cc_D/7))))-fcd_cc*(1-(1-MAX(0,MIN(1,IF($E320&lt;=cc_D,0.0035*($E320-AG$15)/$E320,0.002*($E320-AG$15)/($E320-3*cc_D/7))/0.002)))^2)</f>
        <v/>
      </c>
      <c r="BF320">
        <f>3*MIN($E320,cc_D)/7</f>
        <v/>
      </c>
      <c r="BG320">
        <f>$E320-$BF320</f>
        <v/>
      </c>
      <c r="BH320">
        <f>ACOS(MAX(-1,MIN(1,1-$BF320/(cc_D/2))))</f>
        <v/>
      </c>
      <c r="BI320">
        <f>ACOS(MAX(-1,MIN(1,1-MIN($E320,cc_D)/(cc_D/2))))</f>
        <v/>
      </c>
      <c r="BJ320">
        <f>((cc_D/2*(1-COS(($BH320+0*($BI320-$BH320)/12)))-$BF320)/$BG320)^2*SIN(($BH320+0*($BI320-$BH320)/12))^2</f>
        <v/>
      </c>
      <c r="BK320">
        <f>((cc_D/2*(1-COS(($BH320+1*($BI320-$BH320)/12)))-$BF320)/$BG320)^2*SIN(($BH320+1*($BI320-$BH320)/12))^2</f>
        <v/>
      </c>
      <c r="BL320">
        <f>((cc_D/2*(1-COS(($BH320+2*($BI320-$BH320)/12)))-$BF320)/$BG320)^2*SIN(($BH320+2*($BI320-$BH320)/12))^2</f>
        <v/>
      </c>
      <c r="BM320">
        <f>((cc_D/2*(1-COS(($BH320+3*($BI320-$BH320)/12)))-$BF320)/$BG320)^2*SIN(($BH320+3*($BI320-$BH320)/12))^2</f>
        <v/>
      </c>
      <c r="BN320">
        <f>((cc_D/2*(1-COS(($BH320+4*($BI320-$BH320)/12)))-$BF320)/$BG320)^2*SIN(($BH320+4*($BI320-$BH320)/12))^2</f>
        <v/>
      </c>
      <c r="BO320">
        <f>((cc_D/2*(1-COS(($BH320+5*($BI320-$BH320)/12)))-$BF320)/$BG320)^2*SIN(($BH320+5*($BI320-$BH320)/12))^2</f>
        <v/>
      </c>
      <c r="BP320">
        <f>((cc_D/2*(1-COS(($BH320+6*($BI320-$BH320)/12)))-$BF320)/$BG320)^2*SIN(($BH320+6*($BI320-$BH320)/12))^2</f>
        <v/>
      </c>
      <c r="BQ320">
        <f>((cc_D/2*(1-COS(($BH320+7*($BI320-$BH320)/12)))-$BF320)/$BG320)^2*SIN(($BH320+7*($BI320-$BH320)/12))^2</f>
        <v/>
      </c>
      <c r="BR320">
        <f>((cc_D/2*(1-COS(($BH320+8*($BI320-$BH320)/12)))-$BF320)/$BG320)^2*SIN(($BH320+8*($BI320-$BH320)/12))^2</f>
        <v/>
      </c>
      <c r="BS320">
        <f>((cc_D/2*(1-COS(($BH320+9*($BI320-$BH320)/12)))-$BF320)/$BG320)^2*SIN(($BH320+9*($BI320-$BH320)/12))^2</f>
        <v/>
      </c>
      <c r="BT320">
        <f>((cc_D/2*(1-COS(($BH320+10*($BI320-$BH320)/12)))-$BF320)/$BG320)^2*SIN(($BH320+10*($BI320-$BH320)/12))^2</f>
        <v/>
      </c>
      <c r="BU320">
        <f>((cc_D/2*(1-COS(($BH320+11*($BI320-$BH320)/12)))-$BF320)/$BG320)^2*SIN(($BH320+11*($BI320-$BH320)/12))^2</f>
        <v/>
      </c>
      <c r="BV320">
        <f>((cc_D/2*(1-COS(($BH320+12*($BI320-$BH320)/12)))-$BF320)/$BG320)^2*SIN(($BH320+12*($BI320-$BH320)/12))^2</f>
        <v/>
      </c>
      <c r="BW320">
        <f>BJ320*COS(($BH320+0*($BI320-$BH320)/12))</f>
        <v/>
      </c>
      <c r="BX320">
        <f>BK320*COS(($BH320+1*($BI320-$BH320)/12))</f>
        <v/>
      </c>
      <c r="BY320">
        <f>BL320*COS(($BH320+2*($BI320-$BH320)/12))</f>
        <v/>
      </c>
      <c r="BZ320">
        <f>BM320*COS(($BH320+3*($BI320-$BH320)/12))</f>
        <v/>
      </c>
      <c r="CA320">
        <f>BN320*COS(($BH320+4*($BI320-$BH320)/12))</f>
        <v/>
      </c>
      <c r="CB320">
        <f>BO320*COS(($BH320+5*($BI320-$BH320)/12))</f>
        <v/>
      </c>
      <c r="CC320">
        <f>BP320*COS(($BH320+6*($BI320-$BH320)/12))</f>
        <v/>
      </c>
      <c r="CD320">
        <f>BQ320*COS(($BH320+7*($BI320-$BH320)/12))</f>
        <v/>
      </c>
      <c r="CE320">
        <f>BR320*COS(($BH320+8*($BI320-$BH320)/12))</f>
        <v/>
      </c>
      <c r="CF320">
        <f>BS320*COS(($BH320+9*($BI320-$BH320)/12))</f>
        <v/>
      </c>
      <c r="CG320">
        <f>BT320*COS(($BH320+10*($BI320-$BH320)/12))</f>
        <v/>
      </c>
      <c r="CH320">
        <f>BU320*COS(($BH320+11*($BI320-$BH320)/12))</f>
        <v/>
      </c>
      <c r="CI320">
        <f>BV320*COS(($BH320+12*($BI320-$BH320)/12))</f>
        <v/>
      </c>
    </row>
    <row r="321">
      <c r="B321" s="65" t="n">
        <v>43</v>
      </c>
      <c r="C321" s="66">
        <f>IF($G320&lt;cc_NEd-1E-9*ABS(cc_NEd),($C320+$D320)/2,$C320)</f>
        <v/>
      </c>
      <c r="D321" s="66">
        <f>IF($G320&lt;cc_NEd-1E-9*ABS(cc_NEd),$D320,($C320+$D320)/2)</f>
        <v/>
      </c>
      <c r="E321" s="67">
        <f>cc_D*(($C321+$D321)/2)/(1-(($C321+$D321)/2))</f>
        <v/>
      </c>
      <c r="F321" s="68">
        <f>IF($E321&lt;=cc_D,3.5,2*$E321/($E321-3*cc_D/7))</f>
        <v/>
      </c>
      <c r="G321" s="67">
        <f>(fcd_cc*((cc_D/2)^2*($BI321-COS($BI321)*SIN($BI321))-2*(cc_D/2)^2*($BI321-$BH321)/12/3*SUMPRODUCT($BJ$4:$BV$4,$BJ321:$BV321))+SUMPRODUCT($J$5:$AG$5,$J321:$AG321))/1000</f>
        <v/>
      </c>
      <c r="H321" s="67">
        <f>(fcd_cc*(2/3*(cc_D/2)^3*SIN($BI321)^3-2*(cc_D/2)^3*($BI321-$BH321)/12/3*SUMPRODUCT($BW$4:$CI$4,$BW321:$CI321))+SUMPRODUCT($J$5:$AG$5,$J321:$AG321,$J$16:$AG$16))/1E6</f>
        <v/>
      </c>
      <c r="I321" s="67">
        <f>SUMPRODUCT($J$5:$AG$5,$J321:$AG321,$J$17:$AG$17)/1E6</f>
        <v/>
      </c>
      <c r="J321">
        <f>MAX(-fyd_cc,MIN(fyd_cc,Es_cc*IF($E321&lt;=cc_D,0.0035*($E321-J$15)/$E321,0.002*($E321-J$15)/($E321-3*cc_D/7))))-fcd_cc*(1-(1-MAX(0,MIN(1,IF($E321&lt;=cc_D,0.0035*($E321-J$15)/$E321,0.002*($E321-J$15)/($E321-3*cc_D/7))/0.002)))^2)</f>
        <v/>
      </c>
      <c r="K321">
        <f>MAX(-fyd_cc,MIN(fyd_cc,Es_cc*IF($E321&lt;=cc_D,0.0035*($E321-K$15)/$E321,0.002*($E321-K$15)/($E321-3*cc_D/7))))-fcd_cc*(1-(1-MAX(0,MIN(1,IF($E321&lt;=cc_D,0.0035*($E321-K$15)/$E321,0.002*($E321-K$15)/($E321-3*cc_D/7))/0.002)))^2)</f>
        <v/>
      </c>
      <c r="L321">
        <f>MAX(-fyd_cc,MIN(fyd_cc,Es_cc*IF($E321&lt;=cc_D,0.0035*($E321-L$15)/$E321,0.002*($E321-L$15)/($E321-3*cc_D/7))))-fcd_cc*(1-(1-MAX(0,MIN(1,IF($E321&lt;=cc_D,0.0035*($E321-L$15)/$E321,0.002*($E321-L$15)/($E321-3*cc_D/7))/0.002)))^2)</f>
        <v/>
      </c>
      <c r="M321">
        <f>MAX(-fyd_cc,MIN(fyd_cc,Es_cc*IF($E321&lt;=cc_D,0.0035*($E321-M$15)/$E321,0.002*($E321-M$15)/($E321-3*cc_D/7))))-fcd_cc*(1-(1-MAX(0,MIN(1,IF($E321&lt;=cc_D,0.0035*($E321-M$15)/$E321,0.002*($E321-M$15)/($E321-3*cc_D/7))/0.002)))^2)</f>
        <v/>
      </c>
      <c r="N321">
        <f>MAX(-fyd_cc,MIN(fyd_cc,Es_cc*IF($E321&lt;=cc_D,0.0035*($E321-N$15)/$E321,0.002*($E321-N$15)/($E321-3*cc_D/7))))-fcd_cc*(1-(1-MAX(0,MIN(1,IF($E321&lt;=cc_D,0.0035*($E321-N$15)/$E321,0.002*($E321-N$15)/($E321-3*cc_D/7))/0.002)))^2)</f>
        <v/>
      </c>
      <c r="O321">
        <f>MAX(-fyd_cc,MIN(fyd_cc,Es_cc*IF($E321&lt;=cc_D,0.0035*($E321-O$15)/$E321,0.002*($E321-O$15)/($E321-3*cc_D/7))))-fcd_cc*(1-(1-MAX(0,MIN(1,IF($E321&lt;=cc_D,0.0035*($E321-O$15)/$E321,0.002*($E321-O$15)/($E321-3*cc_D/7))/0.002)))^2)</f>
        <v/>
      </c>
      <c r="P321">
        <f>MAX(-fyd_cc,MIN(fyd_cc,Es_cc*IF($E321&lt;=cc_D,0.0035*($E321-P$15)/$E321,0.002*($E321-P$15)/($E321-3*cc_D/7))))-fcd_cc*(1-(1-MAX(0,MIN(1,IF($E321&lt;=cc_D,0.0035*($E321-P$15)/$E321,0.002*($E321-P$15)/($E321-3*cc_D/7))/0.002)))^2)</f>
        <v/>
      </c>
      <c r="Q321">
        <f>MAX(-fyd_cc,MIN(fyd_cc,Es_cc*IF($E321&lt;=cc_D,0.0035*($E321-Q$15)/$E321,0.002*($E321-Q$15)/($E321-3*cc_D/7))))-fcd_cc*(1-(1-MAX(0,MIN(1,IF($E321&lt;=cc_D,0.0035*($E321-Q$15)/$E321,0.002*($E321-Q$15)/($E321-3*cc_D/7))/0.002)))^2)</f>
        <v/>
      </c>
      <c r="R321">
        <f>MAX(-fyd_cc,MIN(fyd_cc,Es_cc*IF($E321&lt;=cc_D,0.0035*($E321-R$15)/$E321,0.002*($E321-R$15)/($E321-3*cc_D/7))))-fcd_cc*(1-(1-MAX(0,MIN(1,IF($E321&lt;=cc_D,0.0035*($E321-R$15)/$E321,0.002*($E321-R$15)/($E321-3*cc_D/7))/0.002)))^2)</f>
        <v/>
      </c>
      <c r="S321">
        <f>MAX(-fyd_cc,MIN(fyd_cc,Es_cc*IF($E321&lt;=cc_D,0.0035*($E321-S$15)/$E321,0.002*($E321-S$15)/($E321-3*cc_D/7))))-fcd_cc*(1-(1-MAX(0,MIN(1,IF($E321&lt;=cc_D,0.0035*($E321-S$15)/$E321,0.002*($E321-S$15)/($E321-3*cc_D/7))/0.002)))^2)</f>
        <v/>
      </c>
      <c r="T321">
        <f>MAX(-fyd_cc,MIN(fyd_cc,Es_cc*IF($E321&lt;=cc_D,0.0035*($E321-T$15)/$E321,0.002*($E321-T$15)/($E321-3*cc_D/7))))-fcd_cc*(1-(1-MAX(0,MIN(1,IF($E321&lt;=cc_D,0.0035*($E321-T$15)/$E321,0.002*($E321-T$15)/($E321-3*cc_D/7))/0.002)))^2)</f>
        <v/>
      </c>
      <c r="U321">
        <f>MAX(-fyd_cc,MIN(fyd_cc,Es_cc*IF($E321&lt;=cc_D,0.0035*($E321-U$15)/$E321,0.002*($E321-U$15)/($E321-3*cc_D/7))))-fcd_cc*(1-(1-MAX(0,MIN(1,IF($E321&lt;=cc_D,0.0035*($E321-U$15)/$E321,0.002*($E321-U$15)/($E321-3*cc_D/7))/0.002)))^2)</f>
        <v/>
      </c>
      <c r="V321">
        <f>MAX(-fyd_cc,MIN(fyd_cc,Es_cc*IF($E321&lt;=cc_D,0.0035*($E321-V$15)/$E321,0.002*($E321-V$15)/($E321-3*cc_D/7))))-fcd_cc*(1-(1-MAX(0,MIN(1,IF($E321&lt;=cc_D,0.0035*($E321-V$15)/$E321,0.002*($E321-V$15)/($E321-3*cc_D/7))/0.002)))^2)</f>
        <v/>
      </c>
      <c r="W321">
        <f>MAX(-fyd_cc,MIN(fyd_cc,Es_cc*IF($E321&lt;=cc_D,0.0035*($E321-W$15)/$E321,0.002*($E321-W$15)/($E321-3*cc_D/7))))-fcd_cc*(1-(1-MAX(0,MIN(1,IF($E321&lt;=cc_D,0.0035*($E321-W$15)/$E321,0.002*($E321-W$15)/($E321-3*cc_D/7))/0.002)))^2)</f>
        <v/>
      </c>
      <c r="X321">
        <f>MAX(-fyd_cc,MIN(fyd_cc,Es_cc*IF($E321&lt;=cc_D,0.0035*($E321-X$15)/$E321,0.002*($E321-X$15)/($E321-3*cc_D/7))))-fcd_cc*(1-(1-MAX(0,MIN(1,IF($E321&lt;=cc_D,0.0035*($E321-X$15)/$E321,0.002*($E321-X$15)/($E321-3*cc_D/7))/0.002)))^2)</f>
        <v/>
      </c>
      <c r="Y321">
        <f>MAX(-fyd_cc,MIN(fyd_cc,Es_cc*IF($E321&lt;=cc_D,0.0035*($E321-Y$15)/$E321,0.002*($E321-Y$15)/($E321-3*cc_D/7))))-fcd_cc*(1-(1-MAX(0,MIN(1,IF($E321&lt;=cc_D,0.0035*($E321-Y$15)/$E321,0.002*($E321-Y$15)/($E321-3*cc_D/7))/0.002)))^2)</f>
        <v/>
      </c>
      <c r="Z321">
        <f>MAX(-fyd_cc,MIN(fyd_cc,Es_cc*IF($E321&lt;=cc_D,0.0035*($E321-Z$15)/$E321,0.002*($E321-Z$15)/($E321-3*cc_D/7))))-fcd_cc*(1-(1-MAX(0,MIN(1,IF($E321&lt;=cc_D,0.0035*($E321-Z$15)/$E321,0.002*($E321-Z$15)/($E321-3*cc_D/7))/0.002)))^2)</f>
        <v/>
      </c>
      <c r="AA321">
        <f>MAX(-fyd_cc,MIN(fyd_cc,Es_cc*IF($E321&lt;=cc_D,0.0035*($E321-AA$15)/$E321,0.002*($E321-AA$15)/($E321-3*cc_D/7))))-fcd_cc*(1-(1-MAX(0,MIN(1,IF($E321&lt;=cc_D,0.0035*($E321-AA$15)/$E321,0.002*($E321-AA$15)/($E321-3*cc_D/7))/0.002)))^2)</f>
        <v/>
      </c>
      <c r="AB321">
        <f>MAX(-fyd_cc,MIN(fyd_cc,Es_cc*IF($E321&lt;=cc_D,0.0035*($E321-AB$15)/$E321,0.002*($E321-AB$15)/($E321-3*cc_D/7))))-fcd_cc*(1-(1-MAX(0,MIN(1,IF($E321&lt;=cc_D,0.0035*($E321-AB$15)/$E321,0.002*($E321-AB$15)/($E321-3*cc_D/7))/0.002)))^2)</f>
        <v/>
      </c>
      <c r="AC321">
        <f>MAX(-fyd_cc,MIN(fyd_cc,Es_cc*IF($E321&lt;=cc_D,0.0035*($E321-AC$15)/$E321,0.002*($E321-AC$15)/($E321-3*cc_D/7))))-fcd_cc*(1-(1-MAX(0,MIN(1,IF($E321&lt;=cc_D,0.0035*($E321-AC$15)/$E321,0.002*($E321-AC$15)/($E321-3*cc_D/7))/0.002)))^2)</f>
        <v/>
      </c>
      <c r="AD321">
        <f>MAX(-fyd_cc,MIN(fyd_cc,Es_cc*IF($E321&lt;=cc_D,0.0035*($E321-AD$15)/$E321,0.002*($E321-AD$15)/($E321-3*cc_D/7))))-fcd_cc*(1-(1-MAX(0,MIN(1,IF($E321&lt;=cc_D,0.0035*($E321-AD$15)/$E321,0.002*($E321-AD$15)/($E321-3*cc_D/7))/0.002)))^2)</f>
        <v/>
      </c>
      <c r="AE321">
        <f>MAX(-fyd_cc,MIN(fyd_cc,Es_cc*IF($E321&lt;=cc_D,0.0035*($E321-AE$15)/$E321,0.002*($E321-AE$15)/($E321-3*cc_D/7))))-fcd_cc*(1-(1-MAX(0,MIN(1,IF($E321&lt;=cc_D,0.0035*($E321-AE$15)/$E321,0.002*($E321-AE$15)/($E321-3*cc_D/7))/0.002)))^2)</f>
        <v/>
      </c>
      <c r="AF321">
        <f>MAX(-fyd_cc,MIN(fyd_cc,Es_cc*IF($E321&lt;=cc_D,0.0035*($E321-AF$15)/$E321,0.002*($E321-AF$15)/($E321-3*cc_D/7))))-fcd_cc*(1-(1-MAX(0,MIN(1,IF($E321&lt;=cc_D,0.0035*($E321-AF$15)/$E321,0.002*($E321-AF$15)/($E321-3*cc_D/7))/0.002)))^2)</f>
        <v/>
      </c>
      <c r="AG321">
        <f>MAX(-fyd_cc,MIN(fyd_cc,Es_cc*IF($E321&lt;=cc_D,0.0035*($E321-AG$15)/$E321,0.002*($E321-AG$15)/($E321-3*cc_D/7))))-fcd_cc*(1-(1-MAX(0,MIN(1,IF($E321&lt;=cc_D,0.0035*($E321-AG$15)/$E321,0.002*($E321-AG$15)/($E321-3*cc_D/7))/0.002)))^2)</f>
        <v/>
      </c>
      <c r="BF321">
        <f>3*MIN($E321,cc_D)/7</f>
        <v/>
      </c>
      <c r="BG321">
        <f>$E321-$BF321</f>
        <v/>
      </c>
      <c r="BH321">
        <f>ACOS(MAX(-1,MIN(1,1-$BF321/(cc_D/2))))</f>
        <v/>
      </c>
      <c r="BI321">
        <f>ACOS(MAX(-1,MIN(1,1-MIN($E321,cc_D)/(cc_D/2))))</f>
        <v/>
      </c>
      <c r="BJ321">
        <f>((cc_D/2*(1-COS(($BH321+0*($BI321-$BH321)/12)))-$BF321)/$BG321)^2*SIN(($BH321+0*($BI321-$BH321)/12))^2</f>
        <v/>
      </c>
      <c r="BK321">
        <f>((cc_D/2*(1-COS(($BH321+1*($BI321-$BH321)/12)))-$BF321)/$BG321)^2*SIN(($BH321+1*($BI321-$BH321)/12))^2</f>
        <v/>
      </c>
      <c r="BL321">
        <f>((cc_D/2*(1-COS(($BH321+2*($BI321-$BH321)/12)))-$BF321)/$BG321)^2*SIN(($BH321+2*($BI321-$BH321)/12))^2</f>
        <v/>
      </c>
      <c r="BM321">
        <f>((cc_D/2*(1-COS(($BH321+3*($BI321-$BH321)/12)))-$BF321)/$BG321)^2*SIN(($BH321+3*($BI321-$BH321)/12))^2</f>
        <v/>
      </c>
      <c r="BN321">
        <f>((cc_D/2*(1-COS(($BH321+4*($BI321-$BH321)/12)))-$BF321)/$BG321)^2*SIN(($BH321+4*($BI321-$BH321)/12))^2</f>
        <v/>
      </c>
      <c r="BO321">
        <f>((cc_D/2*(1-COS(($BH321+5*($BI321-$BH321)/12)))-$BF321)/$BG321)^2*SIN(($BH321+5*($BI321-$BH321)/12))^2</f>
        <v/>
      </c>
      <c r="BP321">
        <f>((cc_D/2*(1-COS(($BH321+6*($BI321-$BH321)/12)))-$BF321)/$BG321)^2*SIN(($BH321+6*($BI321-$BH321)/12))^2</f>
        <v/>
      </c>
      <c r="BQ321">
        <f>((cc_D/2*(1-COS(($BH321+7*($BI321-$BH321)/12)))-$BF321)/$BG321)^2*SIN(($BH321+7*($BI321-$BH321)/12))^2</f>
        <v/>
      </c>
      <c r="BR321">
        <f>((cc_D/2*(1-COS(($BH321+8*($BI321-$BH321)/12)))-$BF321)/$BG321)^2*SIN(($BH321+8*($BI321-$BH321)/12))^2</f>
        <v/>
      </c>
      <c r="BS321">
        <f>((cc_D/2*(1-COS(($BH321+9*($BI321-$BH321)/12)))-$BF321)/$BG321)^2*SIN(($BH321+9*($BI321-$BH321)/12))^2</f>
        <v/>
      </c>
      <c r="BT321">
        <f>((cc_D/2*(1-COS(($BH321+10*($BI321-$BH321)/12)))-$BF321)/$BG321)^2*SIN(($BH321+10*($BI321-$BH321)/12))^2</f>
        <v/>
      </c>
      <c r="BU321">
        <f>((cc_D/2*(1-COS(($BH321+11*($BI321-$BH321)/12)))-$BF321)/$BG321)^2*SIN(($BH321+11*($BI321-$BH321)/12))^2</f>
        <v/>
      </c>
      <c r="BV321">
        <f>((cc_D/2*(1-COS(($BH321+12*($BI321-$BH321)/12)))-$BF321)/$BG321)^2*SIN(($BH321+12*($BI321-$BH321)/12))^2</f>
        <v/>
      </c>
      <c r="BW321">
        <f>BJ321*COS(($BH321+0*($BI321-$BH321)/12))</f>
        <v/>
      </c>
      <c r="BX321">
        <f>BK321*COS(($BH321+1*($BI321-$BH321)/12))</f>
        <v/>
      </c>
      <c r="BY321">
        <f>BL321*COS(($BH321+2*($BI321-$BH321)/12))</f>
        <v/>
      </c>
      <c r="BZ321">
        <f>BM321*COS(($BH321+3*($BI321-$BH321)/12))</f>
        <v/>
      </c>
      <c r="CA321">
        <f>BN321*COS(($BH321+4*($BI321-$BH321)/12))</f>
        <v/>
      </c>
      <c r="CB321">
        <f>BO321*COS(($BH321+5*($BI321-$BH321)/12))</f>
        <v/>
      </c>
      <c r="CC321">
        <f>BP321*COS(($BH321+6*($BI321-$BH321)/12))</f>
        <v/>
      </c>
      <c r="CD321">
        <f>BQ321*COS(($BH321+7*($BI321-$BH321)/12))</f>
        <v/>
      </c>
      <c r="CE321">
        <f>BR321*COS(($BH321+8*($BI321-$BH321)/12))</f>
        <v/>
      </c>
      <c r="CF321">
        <f>BS321*COS(($BH321+9*($BI321-$BH321)/12))</f>
        <v/>
      </c>
      <c r="CG321">
        <f>BT321*COS(($BH321+10*($BI321-$BH321)/12))</f>
        <v/>
      </c>
      <c r="CH321">
        <f>BU321*COS(($BH321+11*($BI321-$BH321)/12))</f>
        <v/>
      </c>
      <c r="CI321">
        <f>BV321*COS(($BH321+12*($BI321-$BH321)/12))</f>
        <v/>
      </c>
    </row>
    <row r="322">
      <c r="B322" s="65" t="n">
        <v>44</v>
      </c>
      <c r="C322" s="66">
        <f>IF($G321&lt;cc_NEd-1E-9*ABS(cc_NEd),($C321+$D321)/2,$C321)</f>
        <v/>
      </c>
      <c r="D322" s="66">
        <f>IF($G321&lt;cc_NEd-1E-9*ABS(cc_NEd),$D321,($C321+$D321)/2)</f>
        <v/>
      </c>
      <c r="E322" s="67">
        <f>cc_D*(($C322+$D322)/2)/(1-(($C322+$D322)/2))</f>
        <v/>
      </c>
      <c r="F322" s="68">
        <f>IF($E322&lt;=cc_D,3.5,2*$E322/($E322-3*cc_D/7))</f>
        <v/>
      </c>
      <c r="G322" s="67">
        <f>(fcd_cc*((cc_D/2)^2*($BI322-COS($BI322)*SIN($BI322))-2*(cc_D/2)^2*($BI322-$BH322)/12/3*SUMPRODUCT($BJ$4:$BV$4,$BJ322:$BV322))+SUMPRODUCT($J$5:$AG$5,$J322:$AG322))/1000</f>
        <v/>
      </c>
      <c r="H322" s="67">
        <f>(fcd_cc*(2/3*(cc_D/2)^3*SIN($BI322)^3-2*(cc_D/2)^3*($BI322-$BH322)/12/3*SUMPRODUCT($BW$4:$CI$4,$BW322:$CI322))+SUMPRODUCT($J$5:$AG$5,$J322:$AG322,$J$16:$AG$16))/1E6</f>
        <v/>
      </c>
      <c r="I322" s="67">
        <f>SUMPRODUCT($J$5:$AG$5,$J322:$AG322,$J$17:$AG$17)/1E6</f>
        <v/>
      </c>
      <c r="J322">
        <f>MAX(-fyd_cc,MIN(fyd_cc,Es_cc*IF($E322&lt;=cc_D,0.0035*($E322-J$15)/$E322,0.002*($E322-J$15)/($E322-3*cc_D/7))))-fcd_cc*(1-(1-MAX(0,MIN(1,IF($E322&lt;=cc_D,0.0035*($E322-J$15)/$E322,0.002*($E322-J$15)/($E322-3*cc_D/7))/0.002)))^2)</f>
        <v/>
      </c>
      <c r="K322">
        <f>MAX(-fyd_cc,MIN(fyd_cc,Es_cc*IF($E322&lt;=cc_D,0.0035*($E322-K$15)/$E322,0.002*($E322-K$15)/($E322-3*cc_D/7))))-fcd_cc*(1-(1-MAX(0,MIN(1,IF($E322&lt;=cc_D,0.0035*($E322-K$15)/$E322,0.002*($E322-K$15)/($E322-3*cc_D/7))/0.002)))^2)</f>
        <v/>
      </c>
      <c r="L322">
        <f>MAX(-fyd_cc,MIN(fyd_cc,Es_cc*IF($E322&lt;=cc_D,0.0035*($E322-L$15)/$E322,0.002*($E322-L$15)/($E322-3*cc_D/7))))-fcd_cc*(1-(1-MAX(0,MIN(1,IF($E322&lt;=cc_D,0.0035*($E322-L$15)/$E322,0.002*($E322-L$15)/($E322-3*cc_D/7))/0.002)))^2)</f>
        <v/>
      </c>
      <c r="M322">
        <f>MAX(-fyd_cc,MIN(fyd_cc,Es_cc*IF($E322&lt;=cc_D,0.0035*($E322-M$15)/$E322,0.002*($E322-M$15)/($E322-3*cc_D/7))))-fcd_cc*(1-(1-MAX(0,MIN(1,IF($E322&lt;=cc_D,0.0035*($E322-M$15)/$E322,0.002*($E322-M$15)/($E322-3*cc_D/7))/0.002)))^2)</f>
        <v/>
      </c>
      <c r="N322">
        <f>MAX(-fyd_cc,MIN(fyd_cc,Es_cc*IF($E322&lt;=cc_D,0.0035*($E322-N$15)/$E322,0.002*($E322-N$15)/($E322-3*cc_D/7))))-fcd_cc*(1-(1-MAX(0,MIN(1,IF($E322&lt;=cc_D,0.0035*($E322-N$15)/$E322,0.002*($E322-N$15)/($E322-3*cc_D/7))/0.002)))^2)</f>
        <v/>
      </c>
      <c r="O322">
        <f>MAX(-fyd_cc,MIN(fyd_cc,Es_cc*IF($E322&lt;=cc_D,0.0035*($E322-O$15)/$E322,0.002*($E322-O$15)/($E322-3*cc_D/7))))-fcd_cc*(1-(1-MAX(0,MIN(1,IF($E322&lt;=cc_D,0.0035*($E322-O$15)/$E322,0.002*($E322-O$15)/($E322-3*cc_D/7))/0.002)))^2)</f>
        <v/>
      </c>
      <c r="P322">
        <f>MAX(-fyd_cc,MIN(fyd_cc,Es_cc*IF($E322&lt;=cc_D,0.0035*($E322-P$15)/$E322,0.002*($E322-P$15)/($E322-3*cc_D/7))))-fcd_cc*(1-(1-MAX(0,MIN(1,IF($E322&lt;=cc_D,0.0035*($E322-P$15)/$E322,0.002*($E322-P$15)/($E322-3*cc_D/7))/0.002)))^2)</f>
        <v/>
      </c>
      <c r="Q322">
        <f>MAX(-fyd_cc,MIN(fyd_cc,Es_cc*IF($E322&lt;=cc_D,0.0035*($E322-Q$15)/$E322,0.002*($E322-Q$15)/($E322-3*cc_D/7))))-fcd_cc*(1-(1-MAX(0,MIN(1,IF($E322&lt;=cc_D,0.0035*($E322-Q$15)/$E322,0.002*($E322-Q$15)/($E322-3*cc_D/7))/0.002)))^2)</f>
        <v/>
      </c>
      <c r="R322">
        <f>MAX(-fyd_cc,MIN(fyd_cc,Es_cc*IF($E322&lt;=cc_D,0.0035*($E322-R$15)/$E322,0.002*($E322-R$15)/($E322-3*cc_D/7))))-fcd_cc*(1-(1-MAX(0,MIN(1,IF($E322&lt;=cc_D,0.0035*($E322-R$15)/$E322,0.002*($E322-R$15)/($E322-3*cc_D/7))/0.002)))^2)</f>
        <v/>
      </c>
      <c r="S322">
        <f>MAX(-fyd_cc,MIN(fyd_cc,Es_cc*IF($E322&lt;=cc_D,0.0035*($E322-S$15)/$E322,0.002*($E322-S$15)/($E322-3*cc_D/7))))-fcd_cc*(1-(1-MAX(0,MIN(1,IF($E322&lt;=cc_D,0.0035*($E322-S$15)/$E322,0.002*($E322-S$15)/($E322-3*cc_D/7))/0.002)))^2)</f>
        <v/>
      </c>
      <c r="T322">
        <f>MAX(-fyd_cc,MIN(fyd_cc,Es_cc*IF($E322&lt;=cc_D,0.0035*($E322-T$15)/$E322,0.002*($E322-T$15)/($E322-3*cc_D/7))))-fcd_cc*(1-(1-MAX(0,MIN(1,IF($E322&lt;=cc_D,0.0035*($E322-T$15)/$E322,0.002*($E322-T$15)/($E322-3*cc_D/7))/0.002)))^2)</f>
        <v/>
      </c>
      <c r="U322">
        <f>MAX(-fyd_cc,MIN(fyd_cc,Es_cc*IF($E322&lt;=cc_D,0.0035*($E322-U$15)/$E322,0.002*($E322-U$15)/($E322-3*cc_D/7))))-fcd_cc*(1-(1-MAX(0,MIN(1,IF($E322&lt;=cc_D,0.0035*($E322-U$15)/$E322,0.002*($E322-U$15)/($E322-3*cc_D/7))/0.002)))^2)</f>
        <v/>
      </c>
      <c r="V322">
        <f>MAX(-fyd_cc,MIN(fyd_cc,Es_cc*IF($E322&lt;=cc_D,0.0035*($E322-V$15)/$E322,0.002*($E322-V$15)/($E322-3*cc_D/7))))-fcd_cc*(1-(1-MAX(0,MIN(1,IF($E322&lt;=cc_D,0.0035*($E322-V$15)/$E322,0.002*($E322-V$15)/($E322-3*cc_D/7))/0.002)))^2)</f>
        <v/>
      </c>
      <c r="W322">
        <f>MAX(-fyd_cc,MIN(fyd_cc,Es_cc*IF($E322&lt;=cc_D,0.0035*($E322-W$15)/$E322,0.002*($E322-W$15)/($E322-3*cc_D/7))))-fcd_cc*(1-(1-MAX(0,MIN(1,IF($E322&lt;=cc_D,0.0035*($E322-W$15)/$E322,0.002*($E322-W$15)/($E322-3*cc_D/7))/0.002)))^2)</f>
        <v/>
      </c>
      <c r="X322">
        <f>MAX(-fyd_cc,MIN(fyd_cc,Es_cc*IF($E322&lt;=cc_D,0.0035*($E322-X$15)/$E322,0.002*($E322-X$15)/($E322-3*cc_D/7))))-fcd_cc*(1-(1-MAX(0,MIN(1,IF($E322&lt;=cc_D,0.0035*($E322-X$15)/$E322,0.002*($E322-X$15)/($E322-3*cc_D/7))/0.002)))^2)</f>
        <v/>
      </c>
      <c r="Y322">
        <f>MAX(-fyd_cc,MIN(fyd_cc,Es_cc*IF($E322&lt;=cc_D,0.0035*($E322-Y$15)/$E322,0.002*($E322-Y$15)/($E322-3*cc_D/7))))-fcd_cc*(1-(1-MAX(0,MIN(1,IF($E322&lt;=cc_D,0.0035*($E322-Y$15)/$E322,0.002*($E322-Y$15)/($E322-3*cc_D/7))/0.002)))^2)</f>
        <v/>
      </c>
      <c r="Z322">
        <f>MAX(-fyd_cc,MIN(fyd_cc,Es_cc*IF($E322&lt;=cc_D,0.0035*($E322-Z$15)/$E322,0.002*($E322-Z$15)/($E322-3*cc_D/7))))-fcd_cc*(1-(1-MAX(0,MIN(1,IF($E322&lt;=cc_D,0.0035*($E322-Z$15)/$E322,0.002*($E322-Z$15)/($E322-3*cc_D/7))/0.002)))^2)</f>
        <v/>
      </c>
      <c r="AA322">
        <f>MAX(-fyd_cc,MIN(fyd_cc,Es_cc*IF($E322&lt;=cc_D,0.0035*($E322-AA$15)/$E322,0.002*($E322-AA$15)/($E322-3*cc_D/7))))-fcd_cc*(1-(1-MAX(0,MIN(1,IF($E322&lt;=cc_D,0.0035*($E322-AA$15)/$E322,0.002*($E322-AA$15)/($E322-3*cc_D/7))/0.002)))^2)</f>
        <v/>
      </c>
      <c r="AB322">
        <f>MAX(-fyd_cc,MIN(fyd_cc,Es_cc*IF($E322&lt;=cc_D,0.0035*($E322-AB$15)/$E322,0.002*($E322-AB$15)/($E322-3*cc_D/7))))-fcd_cc*(1-(1-MAX(0,MIN(1,IF($E322&lt;=cc_D,0.0035*($E322-AB$15)/$E322,0.002*($E322-AB$15)/($E322-3*cc_D/7))/0.002)))^2)</f>
        <v/>
      </c>
      <c r="AC322">
        <f>MAX(-fyd_cc,MIN(fyd_cc,Es_cc*IF($E322&lt;=cc_D,0.0035*($E322-AC$15)/$E322,0.002*($E322-AC$15)/($E322-3*cc_D/7))))-fcd_cc*(1-(1-MAX(0,MIN(1,IF($E322&lt;=cc_D,0.0035*($E322-AC$15)/$E322,0.002*($E322-AC$15)/($E322-3*cc_D/7))/0.002)))^2)</f>
        <v/>
      </c>
      <c r="AD322">
        <f>MAX(-fyd_cc,MIN(fyd_cc,Es_cc*IF($E322&lt;=cc_D,0.0035*($E322-AD$15)/$E322,0.002*($E322-AD$15)/($E322-3*cc_D/7))))-fcd_cc*(1-(1-MAX(0,MIN(1,IF($E322&lt;=cc_D,0.0035*($E322-AD$15)/$E322,0.002*($E322-AD$15)/($E322-3*cc_D/7))/0.002)))^2)</f>
        <v/>
      </c>
      <c r="AE322">
        <f>MAX(-fyd_cc,MIN(fyd_cc,Es_cc*IF($E322&lt;=cc_D,0.0035*($E322-AE$15)/$E322,0.002*($E322-AE$15)/($E322-3*cc_D/7))))-fcd_cc*(1-(1-MAX(0,MIN(1,IF($E322&lt;=cc_D,0.0035*($E322-AE$15)/$E322,0.002*($E322-AE$15)/($E322-3*cc_D/7))/0.002)))^2)</f>
        <v/>
      </c>
      <c r="AF322">
        <f>MAX(-fyd_cc,MIN(fyd_cc,Es_cc*IF($E322&lt;=cc_D,0.0035*($E322-AF$15)/$E322,0.002*($E322-AF$15)/($E322-3*cc_D/7))))-fcd_cc*(1-(1-MAX(0,MIN(1,IF($E322&lt;=cc_D,0.0035*($E322-AF$15)/$E322,0.002*($E322-AF$15)/($E322-3*cc_D/7))/0.002)))^2)</f>
        <v/>
      </c>
      <c r="AG322">
        <f>MAX(-fyd_cc,MIN(fyd_cc,Es_cc*IF($E322&lt;=cc_D,0.0035*($E322-AG$15)/$E322,0.002*($E322-AG$15)/($E322-3*cc_D/7))))-fcd_cc*(1-(1-MAX(0,MIN(1,IF($E322&lt;=cc_D,0.0035*($E322-AG$15)/$E322,0.002*($E322-AG$15)/($E322-3*cc_D/7))/0.002)))^2)</f>
        <v/>
      </c>
      <c r="BF322">
        <f>3*MIN($E322,cc_D)/7</f>
        <v/>
      </c>
      <c r="BG322">
        <f>$E322-$BF322</f>
        <v/>
      </c>
      <c r="BH322">
        <f>ACOS(MAX(-1,MIN(1,1-$BF322/(cc_D/2))))</f>
        <v/>
      </c>
      <c r="BI322">
        <f>ACOS(MAX(-1,MIN(1,1-MIN($E322,cc_D)/(cc_D/2))))</f>
        <v/>
      </c>
      <c r="BJ322">
        <f>((cc_D/2*(1-COS(($BH322+0*($BI322-$BH322)/12)))-$BF322)/$BG322)^2*SIN(($BH322+0*($BI322-$BH322)/12))^2</f>
        <v/>
      </c>
      <c r="BK322">
        <f>((cc_D/2*(1-COS(($BH322+1*($BI322-$BH322)/12)))-$BF322)/$BG322)^2*SIN(($BH322+1*($BI322-$BH322)/12))^2</f>
        <v/>
      </c>
      <c r="BL322">
        <f>((cc_D/2*(1-COS(($BH322+2*($BI322-$BH322)/12)))-$BF322)/$BG322)^2*SIN(($BH322+2*($BI322-$BH322)/12))^2</f>
        <v/>
      </c>
      <c r="BM322">
        <f>((cc_D/2*(1-COS(($BH322+3*($BI322-$BH322)/12)))-$BF322)/$BG322)^2*SIN(($BH322+3*($BI322-$BH322)/12))^2</f>
        <v/>
      </c>
      <c r="BN322">
        <f>((cc_D/2*(1-COS(($BH322+4*($BI322-$BH322)/12)))-$BF322)/$BG322)^2*SIN(($BH322+4*($BI322-$BH322)/12))^2</f>
        <v/>
      </c>
      <c r="BO322">
        <f>((cc_D/2*(1-COS(($BH322+5*($BI322-$BH322)/12)))-$BF322)/$BG322)^2*SIN(($BH322+5*($BI322-$BH322)/12))^2</f>
        <v/>
      </c>
      <c r="BP322">
        <f>((cc_D/2*(1-COS(($BH322+6*($BI322-$BH322)/12)))-$BF322)/$BG322)^2*SIN(($BH322+6*($BI322-$BH322)/12))^2</f>
        <v/>
      </c>
      <c r="BQ322">
        <f>((cc_D/2*(1-COS(($BH322+7*($BI322-$BH322)/12)))-$BF322)/$BG322)^2*SIN(($BH322+7*($BI322-$BH322)/12))^2</f>
        <v/>
      </c>
      <c r="BR322">
        <f>((cc_D/2*(1-COS(($BH322+8*($BI322-$BH322)/12)))-$BF322)/$BG322)^2*SIN(($BH322+8*($BI322-$BH322)/12))^2</f>
        <v/>
      </c>
      <c r="BS322">
        <f>((cc_D/2*(1-COS(($BH322+9*($BI322-$BH322)/12)))-$BF322)/$BG322)^2*SIN(($BH322+9*($BI322-$BH322)/12))^2</f>
        <v/>
      </c>
      <c r="BT322">
        <f>((cc_D/2*(1-COS(($BH322+10*($BI322-$BH322)/12)))-$BF322)/$BG322)^2*SIN(($BH322+10*($BI322-$BH322)/12))^2</f>
        <v/>
      </c>
      <c r="BU322">
        <f>((cc_D/2*(1-COS(($BH322+11*($BI322-$BH322)/12)))-$BF322)/$BG322)^2*SIN(($BH322+11*($BI322-$BH322)/12))^2</f>
        <v/>
      </c>
      <c r="BV322">
        <f>((cc_D/2*(1-COS(($BH322+12*($BI322-$BH322)/12)))-$BF322)/$BG322)^2*SIN(($BH322+12*($BI322-$BH322)/12))^2</f>
        <v/>
      </c>
      <c r="BW322">
        <f>BJ322*COS(($BH322+0*($BI322-$BH322)/12))</f>
        <v/>
      </c>
      <c r="BX322">
        <f>BK322*COS(($BH322+1*($BI322-$BH322)/12))</f>
        <v/>
      </c>
      <c r="BY322">
        <f>BL322*COS(($BH322+2*($BI322-$BH322)/12))</f>
        <v/>
      </c>
      <c r="BZ322">
        <f>BM322*COS(($BH322+3*($BI322-$BH322)/12))</f>
        <v/>
      </c>
      <c r="CA322">
        <f>BN322*COS(($BH322+4*($BI322-$BH322)/12))</f>
        <v/>
      </c>
      <c r="CB322">
        <f>BO322*COS(($BH322+5*($BI322-$BH322)/12))</f>
        <v/>
      </c>
      <c r="CC322">
        <f>BP322*COS(($BH322+6*($BI322-$BH322)/12))</f>
        <v/>
      </c>
      <c r="CD322">
        <f>BQ322*COS(($BH322+7*($BI322-$BH322)/12))</f>
        <v/>
      </c>
      <c r="CE322">
        <f>BR322*COS(($BH322+8*($BI322-$BH322)/12))</f>
        <v/>
      </c>
      <c r="CF322">
        <f>BS322*COS(($BH322+9*($BI322-$BH322)/12))</f>
        <v/>
      </c>
      <c r="CG322">
        <f>BT322*COS(($BH322+10*($BI322-$BH322)/12))</f>
        <v/>
      </c>
      <c r="CH322">
        <f>BU322*COS(($BH322+11*($BI322-$BH322)/12))</f>
        <v/>
      </c>
      <c r="CI322">
        <f>BV322*COS(($BH322+12*($BI322-$BH322)/12))</f>
        <v/>
      </c>
    </row>
    <row r="323">
      <c r="B323" s="65" t="n">
        <v>45</v>
      </c>
      <c r="C323" s="66">
        <f>IF($G322&lt;cc_NEd-1E-9*ABS(cc_NEd),($C322+$D322)/2,$C322)</f>
        <v/>
      </c>
      <c r="D323" s="66">
        <f>IF($G322&lt;cc_NEd-1E-9*ABS(cc_NEd),$D322,($C322+$D322)/2)</f>
        <v/>
      </c>
      <c r="E323" s="67">
        <f>cc_D*(($C323+$D323)/2)/(1-(($C323+$D323)/2))</f>
        <v/>
      </c>
      <c r="F323" s="68">
        <f>IF($E323&lt;=cc_D,3.5,2*$E323/($E323-3*cc_D/7))</f>
        <v/>
      </c>
      <c r="G323" s="67">
        <f>(fcd_cc*((cc_D/2)^2*($BI323-COS($BI323)*SIN($BI323))-2*(cc_D/2)^2*($BI323-$BH323)/12/3*SUMPRODUCT($BJ$4:$BV$4,$BJ323:$BV323))+SUMPRODUCT($J$5:$AG$5,$J323:$AG323))/1000</f>
        <v/>
      </c>
      <c r="H323" s="67">
        <f>(fcd_cc*(2/3*(cc_D/2)^3*SIN($BI323)^3-2*(cc_D/2)^3*($BI323-$BH323)/12/3*SUMPRODUCT($BW$4:$CI$4,$BW323:$CI323))+SUMPRODUCT($J$5:$AG$5,$J323:$AG323,$J$16:$AG$16))/1E6</f>
        <v/>
      </c>
      <c r="I323" s="67">
        <f>SUMPRODUCT($J$5:$AG$5,$J323:$AG323,$J$17:$AG$17)/1E6</f>
        <v/>
      </c>
      <c r="J323">
        <f>MAX(-fyd_cc,MIN(fyd_cc,Es_cc*IF($E323&lt;=cc_D,0.0035*($E323-J$15)/$E323,0.002*($E323-J$15)/($E323-3*cc_D/7))))-fcd_cc*(1-(1-MAX(0,MIN(1,IF($E323&lt;=cc_D,0.0035*($E323-J$15)/$E323,0.002*($E323-J$15)/($E323-3*cc_D/7))/0.002)))^2)</f>
        <v/>
      </c>
      <c r="K323">
        <f>MAX(-fyd_cc,MIN(fyd_cc,Es_cc*IF($E323&lt;=cc_D,0.0035*($E323-K$15)/$E323,0.002*($E323-K$15)/($E323-3*cc_D/7))))-fcd_cc*(1-(1-MAX(0,MIN(1,IF($E323&lt;=cc_D,0.0035*($E323-K$15)/$E323,0.002*($E323-K$15)/($E323-3*cc_D/7))/0.002)))^2)</f>
        <v/>
      </c>
      <c r="L323">
        <f>MAX(-fyd_cc,MIN(fyd_cc,Es_cc*IF($E323&lt;=cc_D,0.0035*($E323-L$15)/$E323,0.002*($E323-L$15)/($E323-3*cc_D/7))))-fcd_cc*(1-(1-MAX(0,MIN(1,IF($E323&lt;=cc_D,0.0035*($E323-L$15)/$E323,0.002*($E323-L$15)/($E323-3*cc_D/7))/0.002)))^2)</f>
        <v/>
      </c>
      <c r="M323">
        <f>MAX(-fyd_cc,MIN(fyd_cc,Es_cc*IF($E323&lt;=cc_D,0.0035*($E323-M$15)/$E323,0.002*($E323-M$15)/($E323-3*cc_D/7))))-fcd_cc*(1-(1-MAX(0,MIN(1,IF($E323&lt;=cc_D,0.0035*($E323-M$15)/$E323,0.002*($E323-M$15)/($E323-3*cc_D/7))/0.002)))^2)</f>
        <v/>
      </c>
      <c r="N323">
        <f>MAX(-fyd_cc,MIN(fyd_cc,Es_cc*IF($E323&lt;=cc_D,0.0035*($E323-N$15)/$E323,0.002*($E323-N$15)/($E323-3*cc_D/7))))-fcd_cc*(1-(1-MAX(0,MIN(1,IF($E323&lt;=cc_D,0.0035*($E323-N$15)/$E323,0.002*($E323-N$15)/($E323-3*cc_D/7))/0.002)))^2)</f>
        <v/>
      </c>
      <c r="O323">
        <f>MAX(-fyd_cc,MIN(fyd_cc,Es_cc*IF($E323&lt;=cc_D,0.0035*($E323-O$15)/$E323,0.002*($E323-O$15)/($E323-3*cc_D/7))))-fcd_cc*(1-(1-MAX(0,MIN(1,IF($E323&lt;=cc_D,0.0035*($E323-O$15)/$E323,0.002*($E323-O$15)/($E323-3*cc_D/7))/0.002)))^2)</f>
        <v/>
      </c>
      <c r="P323">
        <f>MAX(-fyd_cc,MIN(fyd_cc,Es_cc*IF($E323&lt;=cc_D,0.0035*($E323-P$15)/$E323,0.002*($E323-P$15)/($E323-3*cc_D/7))))-fcd_cc*(1-(1-MAX(0,MIN(1,IF($E323&lt;=cc_D,0.0035*($E323-P$15)/$E323,0.002*($E323-P$15)/($E323-3*cc_D/7))/0.002)))^2)</f>
        <v/>
      </c>
      <c r="Q323">
        <f>MAX(-fyd_cc,MIN(fyd_cc,Es_cc*IF($E323&lt;=cc_D,0.0035*($E323-Q$15)/$E323,0.002*($E323-Q$15)/($E323-3*cc_D/7))))-fcd_cc*(1-(1-MAX(0,MIN(1,IF($E323&lt;=cc_D,0.0035*($E323-Q$15)/$E323,0.002*($E323-Q$15)/($E323-3*cc_D/7))/0.002)))^2)</f>
        <v/>
      </c>
      <c r="R323">
        <f>MAX(-fyd_cc,MIN(fyd_cc,Es_cc*IF($E323&lt;=cc_D,0.0035*($E323-R$15)/$E323,0.002*($E323-R$15)/($E323-3*cc_D/7))))-fcd_cc*(1-(1-MAX(0,MIN(1,IF($E323&lt;=cc_D,0.0035*($E323-R$15)/$E323,0.002*($E323-R$15)/($E323-3*cc_D/7))/0.002)))^2)</f>
        <v/>
      </c>
      <c r="S323">
        <f>MAX(-fyd_cc,MIN(fyd_cc,Es_cc*IF($E323&lt;=cc_D,0.0035*($E323-S$15)/$E323,0.002*($E323-S$15)/($E323-3*cc_D/7))))-fcd_cc*(1-(1-MAX(0,MIN(1,IF($E323&lt;=cc_D,0.0035*($E323-S$15)/$E323,0.002*($E323-S$15)/($E323-3*cc_D/7))/0.002)))^2)</f>
        <v/>
      </c>
      <c r="T323">
        <f>MAX(-fyd_cc,MIN(fyd_cc,Es_cc*IF($E323&lt;=cc_D,0.0035*($E323-T$15)/$E323,0.002*($E323-T$15)/($E323-3*cc_D/7))))-fcd_cc*(1-(1-MAX(0,MIN(1,IF($E323&lt;=cc_D,0.0035*($E323-T$15)/$E323,0.002*($E323-T$15)/($E323-3*cc_D/7))/0.002)))^2)</f>
        <v/>
      </c>
      <c r="U323">
        <f>MAX(-fyd_cc,MIN(fyd_cc,Es_cc*IF($E323&lt;=cc_D,0.0035*($E323-U$15)/$E323,0.002*($E323-U$15)/($E323-3*cc_D/7))))-fcd_cc*(1-(1-MAX(0,MIN(1,IF($E323&lt;=cc_D,0.0035*($E323-U$15)/$E323,0.002*($E323-U$15)/($E323-3*cc_D/7))/0.002)))^2)</f>
        <v/>
      </c>
      <c r="V323">
        <f>MAX(-fyd_cc,MIN(fyd_cc,Es_cc*IF($E323&lt;=cc_D,0.0035*($E323-V$15)/$E323,0.002*($E323-V$15)/($E323-3*cc_D/7))))-fcd_cc*(1-(1-MAX(0,MIN(1,IF($E323&lt;=cc_D,0.0035*($E323-V$15)/$E323,0.002*($E323-V$15)/($E323-3*cc_D/7))/0.002)))^2)</f>
        <v/>
      </c>
      <c r="W323">
        <f>MAX(-fyd_cc,MIN(fyd_cc,Es_cc*IF($E323&lt;=cc_D,0.0035*($E323-W$15)/$E323,0.002*($E323-W$15)/($E323-3*cc_D/7))))-fcd_cc*(1-(1-MAX(0,MIN(1,IF($E323&lt;=cc_D,0.0035*($E323-W$15)/$E323,0.002*($E323-W$15)/($E323-3*cc_D/7))/0.002)))^2)</f>
        <v/>
      </c>
      <c r="X323">
        <f>MAX(-fyd_cc,MIN(fyd_cc,Es_cc*IF($E323&lt;=cc_D,0.0035*($E323-X$15)/$E323,0.002*($E323-X$15)/($E323-3*cc_D/7))))-fcd_cc*(1-(1-MAX(0,MIN(1,IF($E323&lt;=cc_D,0.0035*($E323-X$15)/$E323,0.002*($E323-X$15)/($E323-3*cc_D/7))/0.002)))^2)</f>
        <v/>
      </c>
      <c r="Y323">
        <f>MAX(-fyd_cc,MIN(fyd_cc,Es_cc*IF($E323&lt;=cc_D,0.0035*($E323-Y$15)/$E323,0.002*($E323-Y$15)/($E323-3*cc_D/7))))-fcd_cc*(1-(1-MAX(0,MIN(1,IF($E323&lt;=cc_D,0.0035*($E323-Y$15)/$E323,0.002*($E323-Y$15)/($E323-3*cc_D/7))/0.002)))^2)</f>
        <v/>
      </c>
      <c r="Z323">
        <f>MAX(-fyd_cc,MIN(fyd_cc,Es_cc*IF($E323&lt;=cc_D,0.0035*($E323-Z$15)/$E323,0.002*($E323-Z$15)/($E323-3*cc_D/7))))-fcd_cc*(1-(1-MAX(0,MIN(1,IF($E323&lt;=cc_D,0.0035*($E323-Z$15)/$E323,0.002*($E323-Z$15)/($E323-3*cc_D/7))/0.002)))^2)</f>
        <v/>
      </c>
      <c r="AA323">
        <f>MAX(-fyd_cc,MIN(fyd_cc,Es_cc*IF($E323&lt;=cc_D,0.0035*($E323-AA$15)/$E323,0.002*($E323-AA$15)/($E323-3*cc_D/7))))-fcd_cc*(1-(1-MAX(0,MIN(1,IF($E323&lt;=cc_D,0.0035*($E323-AA$15)/$E323,0.002*($E323-AA$15)/($E323-3*cc_D/7))/0.002)))^2)</f>
        <v/>
      </c>
      <c r="AB323">
        <f>MAX(-fyd_cc,MIN(fyd_cc,Es_cc*IF($E323&lt;=cc_D,0.0035*($E323-AB$15)/$E323,0.002*($E323-AB$15)/($E323-3*cc_D/7))))-fcd_cc*(1-(1-MAX(0,MIN(1,IF($E323&lt;=cc_D,0.0035*($E323-AB$15)/$E323,0.002*($E323-AB$15)/($E323-3*cc_D/7))/0.002)))^2)</f>
        <v/>
      </c>
      <c r="AC323">
        <f>MAX(-fyd_cc,MIN(fyd_cc,Es_cc*IF($E323&lt;=cc_D,0.0035*($E323-AC$15)/$E323,0.002*($E323-AC$15)/($E323-3*cc_D/7))))-fcd_cc*(1-(1-MAX(0,MIN(1,IF($E323&lt;=cc_D,0.0035*($E323-AC$15)/$E323,0.002*($E323-AC$15)/($E323-3*cc_D/7))/0.002)))^2)</f>
        <v/>
      </c>
      <c r="AD323">
        <f>MAX(-fyd_cc,MIN(fyd_cc,Es_cc*IF($E323&lt;=cc_D,0.0035*($E323-AD$15)/$E323,0.002*($E323-AD$15)/($E323-3*cc_D/7))))-fcd_cc*(1-(1-MAX(0,MIN(1,IF($E323&lt;=cc_D,0.0035*($E323-AD$15)/$E323,0.002*($E323-AD$15)/($E323-3*cc_D/7))/0.002)))^2)</f>
        <v/>
      </c>
      <c r="AE323">
        <f>MAX(-fyd_cc,MIN(fyd_cc,Es_cc*IF($E323&lt;=cc_D,0.0035*($E323-AE$15)/$E323,0.002*($E323-AE$15)/($E323-3*cc_D/7))))-fcd_cc*(1-(1-MAX(0,MIN(1,IF($E323&lt;=cc_D,0.0035*($E323-AE$15)/$E323,0.002*($E323-AE$15)/($E323-3*cc_D/7))/0.002)))^2)</f>
        <v/>
      </c>
      <c r="AF323">
        <f>MAX(-fyd_cc,MIN(fyd_cc,Es_cc*IF($E323&lt;=cc_D,0.0035*($E323-AF$15)/$E323,0.002*($E323-AF$15)/($E323-3*cc_D/7))))-fcd_cc*(1-(1-MAX(0,MIN(1,IF($E323&lt;=cc_D,0.0035*($E323-AF$15)/$E323,0.002*($E323-AF$15)/($E323-3*cc_D/7))/0.002)))^2)</f>
        <v/>
      </c>
      <c r="AG323">
        <f>MAX(-fyd_cc,MIN(fyd_cc,Es_cc*IF($E323&lt;=cc_D,0.0035*($E323-AG$15)/$E323,0.002*($E323-AG$15)/($E323-3*cc_D/7))))-fcd_cc*(1-(1-MAX(0,MIN(1,IF($E323&lt;=cc_D,0.0035*($E323-AG$15)/$E323,0.002*($E323-AG$15)/($E323-3*cc_D/7))/0.002)))^2)</f>
        <v/>
      </c>
      <c r="BF323">
        <f>3*MIN($E323,cc_D)/7</f>
        <v/>
      </c>
      <c r="BG323">
        <f>$E323-$BF323</f>
        <v/>
      </c>
      <c r="BH323">
        <f>ACOS(MAX(-1,MIN(1,1-$BF323/(cc_D/2))))</f>
        <v/>
      </c>
      <c r="BI323">
        <f>ACOS(MAX(-1,MIN(1,1-MIN($E323,cc_D)/(cc_D/2))))</f>
        <v/>
      </c>
      <c r="BJ323">
        <f>((cc_D/2*(1-COS(($BH323+0*($BI323-$BH323)/12)))-$BF323)/$BG323)^2*SIN(($BH323+0*($BI323-$BH323)/12))^2</f>
        <v/>
      </c>
      <c r="BK323">
        <f>((cc_D/2*(1-COS(($BH323+1*($BI323-$BH323)/12)))-$BF323)/$BG323)^2*SIN(($BH323+1*($BI323-$BH323)/12))^2</f>
        <v/>
      </c>
      <c r="BL323">
        <f>((cc_D/2*(1-COS(($BH323+2*($BI323-$BH323)/12)))-$BF323)/$BG323)^2*SIN(($BH323+2*($BI323-$BH323)/12))^2</f>
        <v/>
      </c>
      <c r="BM323">
        <f>((cc_D/2*(1-COS(($BH323+3*($BI323-$BH323)/12)))-$BF323)/$BG323)^2*SIN(($BH323+3*($BI323-$BH323)/12))^2</f>
        <v/>
      </c>
      <c r="BN323">
        <f>((cc_D/2*(1-COS(($BH323+4*($BI323-$BH323)/12)))-$BF323)/$BG323)^2*SIN(($BH323+4*($BI323-$BH323)/12))^2</f>
        <v/>
      </c>
      <c r="BO323">
        <f>((cc_D/2*(1-COS(($BH323+5*($BI323-$BH323)/12)))-$BF323)/$BG323)^2*SIN(($BH323+5*($BI323-$BH323)/12))^2</f>
        <v/>
      </c>
      <c r="BP323">
        <f>((cc_D/2*(1-COS(($BH323+6*($BI323-$BH323)/12)))-$BF323)/$BG323)^2*SIN(($BH323+6*($BI323-$BH323)/12))^2</f>
        <v/>
      </c>
      <c r="BQ323">
        <f>((cc_D/2*(1-COS(($BH323+7*($BI323-$BH323)/12)))-$BF323)/$BG323)^2*SIN(($BH323+7*($BI323-$BH323)/12))^2</f>
        <v/>
      </c>
      <c r="BR323">
        <f>((cc_D/2*(1-COS(($BH323+8*($BI323-$BH323)/12)))-$BF323)/$BG323)^2*SIN(($BH323+8*($BI323-$BH323)/12))^2</f>
        <v/>
      </c>
      <c r="BS323">
        <f>((cc_D/2*(1-COS(($BH323+9*($BI323-$BH323)/12)))-$BF323)/$BG323)^2*SIN(($BH323+9*($BI323-$BH323)/12))^2</f>
        <v/>
      </c>
      <c r="BT323">
        <f>((cc_D/2*(1-COS(($BH323+10*($BI323-$BH323)/12)))-$BF323)/$BG323)^2*SIN(($BH323+10*($BI323-$BH323)/12))^2</f>
        <v/>
      </c>
      <c r="BU323">
        <f>((cc_D/2*(1-COS(($BH323+11*($BI323-$BH323)/12)))-$BF323)/$BG323)^2*SIN(($BH323+11*($BI323-$BH323)/12))^2</f>
        <v/>
      </c>
      <c r="BV323">
        <f>((cc_D/2*(1-COS(($BH323+12*($BI323-$BH323)/12)))-$BF323)/$BG323)^2*SIN(($BH323+12*($BI323-$BH323)/12))^2</f>
        <v/>
      </c>
      <c r="BW323">
        <f>BJ323*COS(($BH323+0*($BI323-$BH323)/12))</f>
        <v/>
      </c>
      <c r="BX323">
        <f>BK323*COS(($BH323+1*($BI323-$BH323)/12))</f>
        <v/>
      </c>
      <c r="BY323">
        <f>BL323*COS(($BH323+2*($BI323-$BH323)/12))</f>
        <v/>
      </c>
      <c r="BZ323">
        <f>BM323*COS(($BH323+3*($BI323-$BH323)/12))</f>
        <v/>
      </c>
      <c r="CA323">
        <f>BN323*COS(($BH323+4*($BI323-$BH323)/12))</f>
        <v/>
      </c>
      <c r="CB323">
        <f>BO323*COS(($BH323+5*($BI323-$BH323)/12))</f>
        <v/>
      </c>
      <c r="CC323">
        <f>BP323*COS(($BH323+6*($BI323-$BH323)/12))</f>
        <v/>
      </c>
      <c r="CD323">
        <f>BQ323*COS(($BH323+7*($BI323-$BH323)/12))</f>
        <v/>
      </c>
      <c r="CE323">
        <f>BR323*COS(($BH323+8*($BI323-$BH323)/12))</f>
        <v/>
      </c>
      <c r="CF323">
        <f>BS323*COS(($BH323+9*($BI323-$BH323)/12))</f>
        <v/>
      </c>
      <c r="CG323">
        <f>BT323*COS(($BH323+10*($BI323-$BH323)/12))</f>
        <v/>
      </c>
      <c r="CH323">
        <f>BU323*COS(($BH323+11*($BI323-$BH323)/12))</f>
        <v/>
      </c>
      <c r="CI323">
        <f>BV323*COS(($BH323+12*($BI323-$BH323)/12))</f>
        <v/>
      </c>
    </row>
    <row r="324">
      <c r="B324" s="65" t="n">
        <v>46</v>
      </c>
      <c r="C324" s="66">
        <f>IF($G323&lt;cc_NEd-1E-9*ABS(cc_NEd),($C323+$D323)/2,$C323)</f>
        <v/>
      </c>
      <c r="D324" s="66">
        <f>IF($G323&lt;cc_NEd-1E-9*ABS(cc_NEd),$D323,($C323+$D323)/2)</f>
        <v/>
      </c>
      <c r="E324" s="67">
        <f>cc_D*(($C324+$D324)/2)/(1-(($C324+$D324)/2))</f>
        <v/>
      </c>
      <c r="F324" s="68">
        <f>IF($E324&lt;=cc_D,3.5,2*$E324/($E324-3*cc_D/7))</f>
        <v/>
      </c>
      <c r="G324" s="67">
        <f>(fcd_cc*((cc_D/2)^2*($BI324-COS($BI324)*SIN($BI324))-2*(cc_D/2)^2*($BI324-$BH324)/12/3*SUMPRODUCT($BJ$4:$BV$4,$BJ324:$BV324))+SUMPRODUCT($J$5:$AG$5,$J324:$AG324))/1000</f>
        <v/>
      </c>
      <c r="H324" s="67">
        <f>(fcd_cc*(2/3*(cc_D/2)^3*SIN($BI324)^3-2*(cc_D/2)^3*($BI324-$BH324)/12/3*SUMPRODUCT($BW$4:$CI$4,$BW324:$CI324))+SUMPRODUCT($J$5:$AG$5,$J324:$AG324,$J$16:$AG$16))/1E6</f>
        <v/>
      </c>
      <c r="I324" s="67">
        <f>SUMPRODUCT($J$5:$AG$5,$J324:$AG324,$J$17:$AG$17)/1E6</f>
        <v/>
      </c>
      <c r="J324">
        <f>MAX(-fyd_cc,MIN(fyd_cc,Es_cc*IF($E324&lt;=cc_D,0.0035*($E324-J$15)/$E324,0.002*($E324-J$15)/($E324-3*cc_D/7))))-fcd_cc*(1-(1-MAX(0,MIN(1,IF($E324&lt;=cc_D,0.0035*($E324-J$15)/$E324,0.002*($E324-J$15)/($E324-3*cc_D/7))/0.002)))^2)</f>
        <v/>
      </c>
      <c r="K324">
        <f>MAX(-fyd_cc,MIN(fyd_cc,Es_cc*IF($E324&lt;=cc_D,0.0035*($E324-K$15)/$E324,0.002*($E324-K$15)/($E324-3*cc_D/7))))-fcd_cc*(1-(1-MAX(0,MIN(1,IF($E324&lt;=cc_D,0.0035*($E324-K$15)/$E324,0.002*($E324-K$15)/($E324-3*cc_D/7))/0.002)))^2)</f>
        <v/>
      </c>
      <c r="L324">
        <f>MAX(-fyd_cc,MIN(fyd_cc,Es_cc*IF($E324&lt;=cc_D,0.0035*($E324-L$15)/$E324,0.002*($E324-L$15)/($E324-3*cc_D/7))))-fcd_cc*(1-(1-MAX(0,MIN(1,IF($E324&lt;=cc_D,0.0035*($E324-L$15)/$E324,0.002*($E324-L$15)/($E324-3*cc_D/7))/0.002)))^2)</f>
        <v/>
      </c>
      <c r="M324">
        <f>MAX(-fyd_cc,MIN(fyd_cc,Es_cc*IF($E324&lt;=cc_D,0.0035*($E324-M$15)/$E324,0.002*($E324-M$15)/($E324-3*cc_D/7))))-fcd_cc*(1-(1-MAX(0,MIN(1,IF($E324&lt;=cc_D,0.0035*($E324-M$15)/$E324,0.002*($E324-M$15)/($E324-3*cc_D/7))/0.002)))^2)</f>
        <v/>
      </c>
      <c r="N324">
        <f>MAX(-fyd_cc,MIN(fyd_cc,Es_cc*IF($E324&lt;=cc_D,0.0035*($E324-N$15)/$E324,0.002*($E324-N$15)/($E324-3*cc_D/7))))-fcd_cc*(1-(1-MAX(0,MIN(1,IF($E324&lt;=cc_D,0.0035*($E324-N$15)/$E324,0.002*($E324-N$15)/($E324-3*cc_D/7))/0.002)))^2)</f>
        <v/>
      </c>
      <c r="O324">
        <f>MAX(-fyd_cc,MIN(fyd_cc,Es_cc*IF($E324&lt;=cc_D,0.0035*($E324-O$15)/$E324,0.002*($E324-O$15)/($E324-3*cc_D/7))))-fcd_cc*(1-(1-MAX(0,MIN(1,IF($E324&lt;=cc_D,0.0035*($E324-O$15)/$E324,0.002*($E324-O$15)/($E324-3*cc_D/7))/0.002)))^2)</f>
        <v/>
      </c>
      <c r="P324">
        <f>MAX(-fyd_cc,MIN(fyd_cc,Es_cc*IF($E324&lt;=cc_D,0.0035*($E324-P$15)/$E324,0.002*($E324-P$15)/($E324-3*cc_D/7))))-fcd_cc*(1-(1-MAX(0,MIN(1,IF($E324&lt;=cc_D,0.0035*($E324-P$15)/$E324,0.002*($E324-P$15)/($E324-3*cc_D/7))/0.002)))^2)</f>
        <v/>
      </c>
      <c r="Q324">
        <f>MAX(-fyd_cc,MIN(fyd_cc,Es_cc*IF($E324&lt;=cc_D,0.0035*($E324-Q$15)/$E324,0.002*($E324-Q$15)/($E324-3*cc_D/7))))-fcd_cc*(1-(1-MAX(0,MIN(1,IF($E324&lt;=cc_D,0.0035*($E324-Q$15)/$E324,0.002*($E324-Q$15)/($E324-3*cc_D/7))/0.002)))^2)</f>
        <v/>
      </c>
      <c r="R324">
        <f>MAX(-fyd_cc,MIN(fyd_cc,Es_cc*IF($E324&lt;=cc_D,0.0035*($E324-R$15)/$E324,0.002*($E324-R$15)/($E324-3*cc_D/7))))-fcd_cc*(1-(1-MAX(0,MIN(1,IF($E324&lt;=cc_D,0.0035*($E324-R$15)/$E324,0.002*($E324-R$15)/($E324-3*cc_D/7))/0.002)))^2)</f>
        <v/>
      </c>
      <c r="S324">
        <f>MAX(-fyd_cc,MIN(fyd_cc,Es_cc*IF($E324&lt;=cc_D,0.0035*($E324-S$15)/$E324,0.002*($E324-S$15)/($E324-3*cc_D/7))))-fcd_cc*(1-(1-MAX(0,MIN(1,IF($E324&lt;=cc_D,0.0035*($E324-S$15)/$E324,0.002*($E324-S$15)/($E324-3*cc_D/7))/0.002)))^2)</f>
        <v/>
      </c>
      <c r="T324">
        <f>MAX(-fyd_cc,MIN(fyd_cc,Es_cc*IF($E324&lt;=cc_D,0.0035*($E324-T$15)/$E324,0.002*($E324-T$15)/($E324-3*cc_D/7))))-fcd_cc*(1-(1-MAX(0,MIN(1,IF($E324&lt;=cc_D,0.0035*($E324-T$15)/$E324,0.002*($E324-T$15)/($E324-3*cc_D/7))/0.002)))^2)</f>
        <v/>
      </c>
      <c r="U324">
        <f>MAX(-fyd_cc,MIN(fyd_cc,Es_cc*IF($E324&lt;=cc_D,0.0035*($E324-U$15)/$E324,0.002*($E324-U$15)/($E324-3*cc_D/7))))-fcd_cc*(1-(1-MAX(0,MIN(1,IF($E324&lt;=cc_D,0.0035*($E324-U$15)/$E324,0.002*($E324-U$15)/($E324-3*cc_D/7))/0.002)))^2)</f>
        <v/>
      </c>
      <c r="V324">
        <f>MAX(-fyd_cc,MIN(fyd_cc,Es_cc*IF($E324&lt;=cc_D,0.0035*($E324-V$15)/$E324,0.002*($E324-V$15)/($E324-3*cc_D/7))))-fcd_cc*(1-(1-MAX(0,MIN(1,IF($E324&lt;=cc_D,0.0035*($E324-V$15)/$E324,0.002*($E324-V$15)/($E324-3*cc_D/7))/0.002)))^2)</f>
        <v/>
      </c>
      <c r="W324">
        <f>MAX(-fyd_cc,MIN(fyd_cc,Es_cc*IF($E324&lt;=cc_D,0.0035*($E324-W$15)/$E324,0.002*($E324-W$15)/($E324-3*cc_D/7))))-fcd_cc*(1-(1-MAX(0,MIN(1,IF($E324&lt;=cc_D,0.0035*($E324-W$15)/$E324,0.002*($E324-W$15)/($E324-3*cc_D/7))/0.002)))^2)</f>
        <v/>
      </c>
      <c r="X324">
        <f>MAX(-fyd_cc,MIN(fyd_cc,Es_cc*IF($E324&lt;=cc_D,0.0035*($E324-X$15)/$E324,0.002*($E324-X$15)/($E324-3*cc_D/7))))-fcd_cc*(1-(1-MAX(0,MIN(1,IF($E324&lt;=cc_D,0.0035*($E324-X$15)/$E324,0.002*($E324-X$15)/($E324-3*cc_D/7))/0.002)))^2)</f>
        <v/>
      </c>
      <c r="Y324">
        <f>MAX(-fyd_cc,MIN(fyd_cc,Es_cc*IF($E324&lt;=cc_D,0.0035*($E324-Y$15)/$E324,0.002*($E324-Y$15)/($E324-3*cc_D/7))))-fcd_cc*(1-(1-MAX(0,MIN(1,IF($E324&lt;=cc_D,0.0035*($E324-Y$15)/$E324,0.002*($E324-Y$15)/($E324-3*cc_D/7))/0.002)))^2)</f>
        <v/>
      </c>
      <c r="Z324">
        <f>MAX(-fyd_cc,MIN(fyd_cc,Es_cc*IF($E324&lt;=cc_D,0.0035*($E324-Z$15)/$E324,0.002*($E324-Z$15)/($E324-3*cc_D/7))))-fcd_cc*(1-(1-MAX(0,MIN(1,IF($E324&lt;=cc_D,0.0035*($E324-Z$15)/$E324,0.002*($E324-Z$15)/($E324-3*cc_D/7))/0.002)))^2)</f>
        <v/>
      </c>
      <c r="AA324">
        <f>MAX(-fyd_cc,MIN(fyd_cc,Es_cc*IF($E324&lt;=cc_D,0.0035*($E324-AA$15)/$E324,0.002*($E324-AA$15)/($E324-3*cc_D/7))))-fcd_cc*(1-(1-MAX(0,MIN(1,IF($E324&lt;=cc_D,0.0035*($E324-AA$15)/$E324,0.002*($E324-AA$15)/($E324-3*cc_D/7))/0.002)))^2)</f>
        <v/>
      </c>
      <c r="AB324">
        <f>MAX(-fyd_cc,MIN(fyd_cc,Es_cc*IF($E324&lt;=cc_D,0.0035*($E324-AB$15)/$E324,0.002*($E324-AB$15)/($E324-3*cc_D/7))))-fcd_cc*(1-(1-MAX(0,MIN(1,IF($E324&lt;=cc_D,0.0035*($E324-AB$15)/$E324,0.002*($E324-AB$15)/($E324-3*cc_D/7))/0.002)))^2)</f>
        <v/>
      </c>
      <c r="AC324">
        <f>MAX(-fyd_cc,MIN(fyd_cc,Es_cc*IF($E324&lt;=cc_D,0.0035*($E324-AC$15)/$E324,0.002*($E324-AC$15)/($E324-3*cc_D/7))))-fcd_cc*(1-(1-MAX(0,MIN(1,IF($E324&lt;=cc_D,0.0035*($E324-AC$15)/$E324,0.002*($E324-AC$15)/($E324-3*cc_D/7))/0.002)))^2)</f>
        <v/>
      </c>
      <c r="AD324">
        <f>MAX(-fyd_cc,MIN(fyd_cc,Es_cc*IF($E324&lt;=cc_D,0.0035*($E324-AD$15)/$E324,0.002*($E324-AD$15)/($E324-3*cc_D/7))))-fcd_cc*(1-(1-MAX(0,MIN(1,IF($E324&lt;=cc_D,0.0035*($E324-AD$15)/$E324,0.002*($E324-AD$15)/($E324-3*cc_D/7))/0.002)))^2)</f>
        <v/>
      </c>
      <c r="AE324">
        <f>MAX(-fyd_cc,MIN(fyd_cc,Es_cc*IF($E324&lt;=cc_D,0.0035*($E324-AE$15)/$E324,0.002*($E324-AE$15)/($E324-3*cc_D/7))))-fcd_cc*(1-(1-MAX(0,MIN(1,IF($E324&lt;=cc_D,0.0035*($E324-AE$15)/$E324,0.002*($E324-AE$15)/($E324-3*cc_D/7))/0.002)))^2)</f>
        <v/>
      </c>
      <c r="AF324">
        <f>MAX(-fyd_cc,MIN(fyd_cc,Es_cc*IF($E324&lt;=cc_D,0.0035*($E324-AF$15)/$E324,0.002*($E324-AF$15)/($E324-3*cc_D/7))))-fcd_cc*(1-(1-MAX(0,MIN(1,IF($E324&lt;=cc_D,0.0035*($E324-AF$15)/$E324,0.002*($E324-AF$15)/($E324-3*cc_D/7))/0.002)))^2)</f>
        <v/>
      </c>
      <c r="AG324">
        <f>MAX(-fyd_cc,MIN(fyd_cc,Es_cc*IF($E324&lt;=cc_D,0.0035*($E324-AG$15)/$E324,0.002*($E324-AG$15)/($E324-3*cc_D/7))))-fcd_cc*(1-(1-MAX(0,MIN(1,IF($E324&lt;=cc_D,0.0035*($E324-AG$15)/$E324,0.002*($E324-AG$15)/($E324-3*cc_D/7))/0.002)))^2)</f>
        <v/>
      </c>
      <c r="BF324">
        <f>3*MIN($E324,cc_D)/7</f>
        <v/>
      </c>
      <c r="BG324">
        <f>$E324-$BF324</f>
        <v/>
      </c>
      <c r="BH324">
        <f>ACOS(MAX(-1,MIN(1,1-$BF324/(cc_D/2))))</f>
        <v/>
      </c>
      <c r="BI324">
        <f>ACOS(MAX(-1,MIN(1,1-MIN($E324,cc_D)/(cc_D/2))))</f>
        <v/>
      </c>
      <c r="BJ324">
        <f>((cc_D/2*(1-COS(($BH324+0*($BI324-$BH324)/12)))-$BF324)/$BG324)^2*SIN(($BH324+0*($BI324-$BH324)/12))^2</f>
        <v/>
      </c>
      <c r="BK324">
        <f>((cc_D/2*(1-COS(($BH324+1*($BI324-$BH324)/12)))-$BF324)/$BG324)^2*SIN(($BH324+1*($BI324-$BH324)/12))^2</f>
        <v/>
      </c>
      <c r="BL324">
        <f>((cc_D/2*(1-COS(($BH324+2*($BI324-$BH324)/12)))-$BF324)/$BG324)^2*SIN(($BH324+2*($BI324-$BH324)/12))^2</f>
        <v/>
      </c>
      <c r="BM324">
        <f>((cc_D/2*(1-COS(($BH324+3*($BI324-$BH324)/12)))-$BF324)/$BG324)^2*SIN(($BH324+3*($BI324-$BH324)/12))^2</f>
        <v/>
      </c>
      <c r="BN324">
        <f>((cc_D/2*(1-COS(($BH324+4*($BI324-$BH324)/12)))-$BF324)/$BG324)^2*SIN(($BH324+4*($BI324-$BH324)/12))^2</f>
        <v/>
      </c>
      <c r="BO324">
        <f>((cc_D/2*(1-COS(($BH324+5*($BI324-$BH324)/12)))-$BF324)/$BG324)^2*SIN(($BH324+5*($BI324-$BH324)/12))^2</f>
        <v/>
      </c>
      <c r="BP324">
        <f>((cc_D/2*(1-COS(($BH324+6*($BI324-$BH324)/12)))-$BF324)/$BG324)^2*SIN(($BH324+6*($BI324-$BH324)/12))^2</f>
        <v/>
      </c>
      <c r="BQ324">
        <f>((cc_D/2*(1-COS(($BH324+7*($BI324-$BH324)/12)))-$BF324)/$BG324)^2*SIN(($BH324+7*($BI324-$BH324)/12))^2</f>
        <v/>
      </c>
      <c r="BR324">
        <f>((cc_D/2*(1-COS(($BH324+8*($BI324-$BH324)/12)))-$BF324)/$BG324)^2*SIN(($BH324+8*($BI324-$BH324)/12))^2</f>
        <v/>
      </c>
      <c r="BS324">
        <f>((cc_D/2*(1-COS(($BH324+9*($BI324-$BH324)/12)))-$BF324)/$BG324)^2*SIN(($BH324+9*($BI324-$BH324)/12))^2</f>
        <v/>
      </c>
      <c r="BT324">
        <f>((cc_D/2*(1-COS(($BH324+10*($BI324-$BH324)/12)))-$BF324)/$BG324)^2*SIN(($BH324+10*($BI324-$BH324)/12))^2</f>
        <v/>
      </c>
      <c r="BU324">
        <f>((cc_D/2*(1-COS(($BH324+11*($BI324-$BH324)/12)))-$BF324)/$BG324)^2*SIN(($BH324+11*($BI324-$BH324)/12))^2</f>
        <v/>
      </c>
      <c r="BV324">
        <f>((cc_D/2*(1-COS(($BH324+12*($BI324-$BH324)/12)))-$BF324)/$BG324)^2*SIN(($BH324+12*($BI324-$BH324)/12))^2</f>
        <v/>
      </c>
      <c r="BW324">
        <f>BJ324*COS(($BH324+0*($BI324-$BH324)/12))</f>
        <v/>
      </c>
      <c r="BX324">
        <f>BK324*COS(($BH324+1*($BI324-$BH324)/12))</f>
        <v/>
      </c>
      <c r="BY324">
        <f>BL324*COS(($BH324+2*($BI324-$BH324)/12))</f>
        <v/>
      </c>
      <c r="BZ324">
        <f>BM324*COS(($BH324+3*($BI324-$BH324)/12))</f>
        <v/>
      </c>
      <c r="CA324">
        <f>BN324*COS(($BH324+4*($BI324-$BH324)/12))</f>
        <v/>
      </c>
      <c r="CB324">
        <f>BO324*COS(($BH324+5*($BI324-$BH324)/12))</f>
        <v/>
      </c>
      <c r="CC324">
        <f>BP324*COS(($BH324+6*($BI324-$BH324)/12))</f>
        <v/>
      </c>
      <c r="CD324">
        <f>BQ324*COS(($BH324+7*($BI324-$BH324)/12))</f>
        <v/>
      </c>
      <c r="CE324">
        <f>BR324*COS(($BH324+8*($BI324-$BH324)/12))</f>
        <v/>
      </c>
      <c r="CF324">
        <f>BS324*COS(($BH324+9*($BI324-$BH324)/12))</f>
        <v/>
      </c>
      <c r="CG324">
        <f>BT324*COS(($BH324+10*($BI324-$BH324)/12))</f>
        <v/>
      </c>
      <c r="CH324">
        <f>BU324*COS(($BH324+11*($BI324-$BH324)/12))</f>
        <v/>
      </c>
      <c r="CI324">
        <f>BV324*COS(($BH324+12*($BI324-$BH324)/12))</f>
        <v/>
      </c>
    </row>
    <row r="325">
      <c r="B325" s="65" t="n">
        <v>47</v>
      </c>
      <c r="C325" s="66">
        <f>IF($G324&lt;cc_NEd-1E-9*ABS(cc_NEd),($C324+$D324)/2,$C324)</f>
        <v/>
      </c>
      <c r="D325" s="66">
        <f>IF($G324&lt;cc_NEd-1E-9*ABS(cc_NEd),$D324,($C324+$D324)/2)</f>
        <v/>
      </c>
      <c r="E325" s="67">
        <f>cc_D*(($C325+$D325)/2)/(1-(($C325+$D325)/2))</f>
        <v/>
      </c>
      <c r="F325" s="68">
        <f>IF($E325&lt;=cc_D,3.5,2*$E325/($E325-3*cc_D/7))</f>
        <v/>
      </c>
      <c r="G325" s="67">
        <f>(fcd_cc*((cc_D/2)^2*($BI325-COS($BI325)*SIN($BI325))-2*(cc_D/2)^2*($BI325-$BH325)/12/3*SUMPRODUCT($BJ$4:$BV$4,$BJ325:$BV325))+SUMPRODUCT($J$5:$AG$5,$J325:$AG325))/1000</f>
        <v/>
      </c>
      <c r="H325" s="67">
        <f>(fcd_cc*(2/3*(cc_D/2)^3*SIN($BI325)^3-2*(cc_D/2)^3*($BI325-$BH325)/12/3*SUMPRODUCT($BW$4:$CI$4,$BW325:$CI325))+SUMPRODUCT($J$5:$AG$5,$J325:$AG325,$J$16:$AG$16))/1E6</f>
        <v/>
      </c>
      <c r="I325" s="67">
        <f>SUMPRODUCT($J$5:$AG$5,$J325:$AG325,$J$17:$AG$17)/1E6</f>
        <v/>
      </c>
      <c r="J325">
        <f>MAX(-fyd_cc,MIN(fyd_cc,Es_cc*IF($E325&lt;=cc_D,0.0035*($E325-J$15)/$E325,0.002*($E325-J$15)/($E325-3*cc_D/7))))-fcd_cc*(1-(1-MAX(0,MIN(1,IF($E325&lt;=cc_D,0.0035*($E325-J$15)/$E325,0.002*($E325-J$15)/($E325-3*cc_D/7))/0.002)))^2)</f>
        <v/>
      </c>
      <c r="K325">
        <f>MAX(-fyd_cc,MIN(fyd_cc,Es_cc*IF($E325&lt;=cc_D,0.0035*($E325-K$15)/$E325,0.002*($E325-K$15)/($E325-3*cc_D/7))))-fcd_cc*(1-(1-MAX(0,MIN(1,IF($E325&lt;=cc_D,0.0035*($E325-K$15)/$E325,0.002*($E325-K$15)/($E325-3*cc_D/7))/0.002)))^2)</f>
        <v/>
      </c>
      <c r="L325">
        <f>MAX(-fyd_cc,MIN(fyd_cc,Es_cc*IF($E325&lt;=cc_D,0.0035*($E325-L$15)/$E325,0.002*($E325-L$15)/($E325-3*cc_D/7))))-fcd_cc*(1-(1-MAX(0,MIN(1,IF($E325&lt;=cc_D,0.0035*($E325-L$15)/$E325,0.002*($E325-L$15)/($E325-3*cc_D/7))/0.002)))^2)</f>
        <v/>
      </c>
      <c r="M325">
        <f>MAX(-fyd_cc,MIN(fyd_cc,Es_cc*IF($E325&lt;=cc_D,0.0035*($E325-M$15)/$E325,0.002*($E325-M$15)/($E325-3*cc_D/7))))-fcd_cc*(1-(1-MAX(0,MIN(1,IF($E325&lt;=cc_D,0.0035*($E325-M$15)/$E325,0.002*($E325-M$15)/($E325-3*cc_D/7))/0.002)))^2)</f>
        <v/>
      </c>
      <c r="N325">
        <f>MAX(-fyd_cc,MIN(fyd_cc,Es_cc*IF($E325&lt;=cc_D,0.0035*($E325-N$15)/$E325,0.002*($E325-N$15)/($E325-3*cc_D/7))))-fcd_cc*(1-(1-MAX(0,MIN(1,IF($E325&lt;=cc_D,0.0035*($E325-N$15)/$E325,0.002*($E325-N$15)/($E325-3*cc_D/7))/0.002)))^2)</f>
        <v/>
      </c>
      <c r="O325">
        <f>MAX(-fyd_cc,MIN(fyd_cc,Es_cc*IF($E325&lt;=cc_D,0.0035*($E325-O$15)/$E325,0.002*($E325-O$15)/($E325-3*cc_D/7))))-fcd_cc*(1-(1-MAX(0,MIN(1,IF($E325&lt;=cc_D,0.0035*($E325-O$15)/$E325,0.002*($E325-O$15)/($E325-3*cc_D/7))/0.002)))^2)</f>
        <v/>
      </c>
      <c r="P325">
        <f>MAX(-fyd_cc,MIN(fyd_cc,Es_cc*IF($E325&lt;=cc_D,0.0035*($E325-P$15)/$E325,0.002*($E325-P$15)/($E325-3*cc_D/7))))-fcd_cc*(1-(1-MAX(0,MIN(1,IF($E325&lt;=cc_D,0.0035*($E325-P$15)/$E325,0.002*($E325-P$15)/($E325-3*cc_D/7))/0.002)))^2)</f>
        <v/>
      </c>
      <c r="Q325">
        <f>MAX(-fyd_cc,MIN(fyd_cc,Es_cc*IF($E325&lt;=cc_D,0.0035*($E325-Q$15)/$E325,0.002*($E325-Q$15)/($E325-3*cc_D/7))))-fcd_cc*(1-(1-MAX(0,MIN(1,IF($E325&lt;=cc_D,0.0035*($E325-Q$15)/$E325,0.002*($E325-Q$15)/($E325-3*cc_D/7))/0.002)))^2)</f>
        <v/>
      </c>
      <c r="R325">
        <f>MAX(-fyd_cc,MIN(fyd_cc,Es_cc*IF($E325&lt;=cc_D,0.0035*($E325-R$15)/$E325,0.002*($E325-R$15)/($E325-3*cc_D/7))))-fcd_cc*(1-(1-MAX(0,MIN(1,IF($E325&lt;=cc_D,0.0035*($E325-R$15)/$E325,0.002*($E325-R$15)/($E325-3*cc_D/7))/0.002)))^2)</f>
        <v/>
      </c>
      <c r="S325">
        <f>MAX(-fyd_cc,MIN(fyd_cc,Es_cc*IF($E325&lt;=cc_D,0.0035*($E325-S$15)/$E325,0.002*($E325-S$15)/($E325-3*cc_D/7))))-fcd_cc*(1-(1-MAX(0,MIN(1,IF($E325&lt;=cc_D,0.0035*($E325-S$15)/$E325,0.002*($E325-S$15)/($E325-3*cc_D/7))/0.002)))^2)</f>
        <v/>
      </c>
      <c r="T325">
        <f>MAX(-fyd_cc,MIN(fyd_cc,Es_cc*IF($E325&lt;=cc_D,0.0035*($E325-T$15)/$E325,0.002*($E325-T$15)/($E325-3*cc_D/7))))-fcd_cc*(1-(1-MAX(0,MIN(1,IF($E325&lt;=cc_D,0.0035*($E325-T$15)/$E325,0.002*($E325-T$15)/($E325-3*cc_D/7))/0.002)))^2)</f>
        <v/>
      </c>
      <c r="U325">
        <f>MAX(-fyd_cc,MIN(fyd_cc,Es_cc*IF($E325&lt;=cc_D,0.0035*($E325-U$15)/$E325,0.002*($E325-U$15)/($E325-3*cc_D/7))))-fcd_cc*(1-(1-MAX(0,MIN(1,IF($E325&lt;=cc_D,0.0035*($E325-U$15)/$E325,0.002*($E325-U$15)/($E325-3*cc_D/7))/0.002)))^2)</f>
        <v/>
      </c>
      <c r="V325">
        <f>MAX(-fyd_cc,MIN(fyd_cc,Es_cc*IF($E325&lt;=cc_D,0.0035*($E325-V$15)/$E325,0.002*($E325-V$15)/($E325-3*cc_D/7))))-fcd_cc*(1-(1-MAX(0,MIN(1,IF($E325&lt;=cc_D,0.0035*($E325-V$15)/$E325,0.002*($E325-V$15)/($E325-3*cc_D/7))/0.002)))^2)</f>
        <v/>
      </c>
      <c r="W325">
        <f>MAX(-fyd_cc,MIN(fyd_cc,Es_cc*IF($E325&lt;=cc_D,0.0035*($E325-W$15)/$E325,0.002*($E325-W$15)/($E325-3*cc_D/7))))-fcd_cc*(1-(1-MAX(0,MIN(1,IF($E325&lt;=cc_D,0.0035*($E325-W$15)/$E325,0.002*($E325-W$15)/($E325-3*cc_D/7))/0.002)))^2)</f>
        <v/>
      </c>
      <c r="X325">
        <f>MAX(-fyd_cc,MIN(fyd_cc,Es_cc*IF($E325&lt;=cc_D,0.0035*($E325-X$15)/$E325,0.002*($E325-X$15)/($E325-3*cc_D/7))))-fcd_cc*(1-(1-MAX(0,MIN(1,IF($E325&lt;=cc_D,0.0035*($E325-X$15)/$E325,0.002*($E325-X$15)/($E325-3*cc_D/7))/0.002)))^2)</f>
        <v/>
      </c>
      <c r="Y325">
        <f>MAX(-fyd_cc,MIN(fyd_cc,Es_cc*IF($E325&lt;=cc_D,0.0035*($E325-Y$15)/$E325,0.002*($E325-Y$15)/($E325-3*cc_D/7))))-fcd_cc*(1-(1-MAX(0,MIN(1,IF($E325&lt;=cc_D,0.0035*($E325-Y$15)/$E325,0.002*($E325-Y$15)/($E325-3*cc_D/7))/0.002)))^2)</f>
        <v/>
      </c>
      <c r="Z325">
        <f>MAX(-fyd_cc,MIN(fyd_cc,Es_cc*IF($E325&lt;=cc_D,0.0035*($E325-Z$15)/$E325,0.002*($E325-Z$15)/($E325-3*cc_D/7))))-fcd_cc*(1-(1-MAX(0,MIN(1,IF($E325&lt;=cc_D,0.0035*($E325-Z$15)/$E325,0.002*($E325-Z$15)/($E325-3*cc_D/7))/0.002)))^2)</f>
        <v/>
      </c>
      <c r="AA325">
        <f>MAX(-fyd_cc,MIN(fyd_cc,Es_cc*IF($E325&lt;=cc_D,0.0035*($E325-AA$15)/$E325,0.002*($E325-AA$15)/($E325-3*cc_D/7))))-fcd_cc*(1-(1-MAX(0,MIN(1,IF($E325&lt;=cc_D,0.0035*($E325-AA$15)/$E325,0.002*($E325-AA$15)/($E325-3*cc_D/7))/0.002)))^2)</f>
        <v/>
      </c>
      <c r="AB325">
        <f>MAX(-fyd_cc,MIN(fyd_cc,Es_cc*IF($E325&lt;=cc_D,0.0035*($E325-AB$15)/$E325,0.002*($E325-AB$15)/($E325-3*cc_D/7))))-fcd_cc*(1-(1-MAX(0,MIN(1,IF($E325&lt;=cc_D,0.0035*($E325-AB$15)/$E325,0.002*($E325-AB$15)/($E325-3*cc_D/7))/0.002)))^2)</f>
        <v/>
      </c>
      <c r="AC325">
        <f>MAX(-fyd_cc,MIN(fyd_cc,Es_cc*IF($E325&lt;=cc_D,0.0035*($E325-AC$15)/$E325,0.002*($E325-AC$15)/($E325-3*cc_D/7))))-fcd_cc*(1-(1-MAX(0,MIN(1,IF($E325&lt;=cc_D,0.0035*($E325-AC$15)/$E325,0.002*($E325-AC$15)/($E325-3*cc_D/7))/0.002)))^2)</f>
        <v/>
      </c>
      <c r="AD325">
        <f>MAX(-fyd_cc,MIN(fyd_cc,Es_cc*IF($E325&lt;=cc_D,0.0035*($E325-AD$15)/$E325,0.002*($E325-AD$15)/($E325-3*cc_D/7))))-fcd_cc*(1-(1-MAX(0,MIN(1,IF($E325&lt;=cc_D,0.0035*($E325-AD$15)/$E325,0.002*($E325-AD$15)/($E325-3*cc_D/7))/0.002)))^2)</f>
        <v/>
      </c>
      <c r="AE325">
        <f>MAX(-fyd_cc,MIN(fyd_cc,Es_cc*IF($E325&lt;=cc_D,0.0035*($E325-AE$15)/$E325,0.002*($E325-AE$15)/($E325-3*cc_D/7))))-fcd_cc*(1-(1-MAX(0,MIN(1,IF($E325&lt;=cc_D,0.0035*($E325-AE$15)/$E325,0.002*($E325-AE$15)/($E325-3*cc_D/7))/0.002)))^2)</f>
        <v/>
      </c>
      <c r="AF325">
        <f>MAX(-fyd_cc,MIN(fyd_cc,Es_cc*IF($E325&lt;=cc_D,0.0035*($E325-AF$15)/$E325,0.002*($E325-AF$15)/($E325-3*cc_D/7))))-fcd_cc*(1-(1-MAX(0,MIN(1,IF($E325&lt;=cc_D,0.0035*($E325-AF$15)/$E325,0.002*($E325-AF$15)/($E325-3*cc_D/7))/0.002)))^2)</f>
        <v/>
      </c>
      <c r="AG325">
        <f>MAX(-fyd_cc,MIN(fyd_cc,Es_cc*IF($E325&lt;=cc_D,0.0035*($E325-AG$15)/$E325,0.002*($E325-AG$15)/($E325-3*cc_D/7))))-fcd_cc*(1-(1-MAX(0,MIN(1,IF($E325&lt;=cc_D,0.0035*($E325-AG$15)/$E325,0.002*($E325-AG$15)/($E325-3*cc_D/7))/0.002)))^2)</f>
        <v/>
      </c>
      <c r="BF325">
        <f>3*MIN($E325,cc_D)/7</f>
        <v/>
      </c>
      <c r="BG325">
        <f>$E325-$BF325</f>
        <v/>
      </c>
      <c r="BH325">
        <f>ACOS(MAX(-1,MIN(1,1-$BF325/(cc_D/2))))</f>
        <v/>
      </c>
      <c r="BI325">
        <f>ACOS(MAX(-1,MIN(1,1-MIN($E325,cc_D)/(cc_D/2))))</f>
        <v/>
      </c>
      <c r="BJ325">
        <f>((cc_D/2*(1-COS(($BH325+0*($BI325-$BH325)/12)))-$BF325)/$BG325)^2*SIN(($BH325+0*($BI325-$BH325)/12))^2</f>
        <v/>
      </c>
      <c r="BK325">
        <f>((cc_D/2*(1-COS(($BH325+1*($BI325-$BH325)/12)))-$BF325)/$BG325)^2*SIN(($BH325+1*($BI325-$BH325)/12))^2</f>
        <v/>
      </c>
      <c r="BL325">
        <f>((cc_D/2*(1-COS(($BH325+2*($BI325-$BH325)/12)))-$BF325)/$BG325)^2*SIN(($BH325+2*($BI325-$BH325)/12))^2</f>
        <v/>
      </c>
      <c r="BM325">
        <f>((cc_D/2*(1-COS(($BH325+3*($BI325-$BH325)/12)))-$BF325)/$BG325)^2*SIN(($BH325+3*($BI325-$BH325)/12))^2</f>
        <v/>
      </c>
      <c r="BN325">
        <f>((cc_D/2*(1-COS(($BH325+4*($BI325-$BH325)/12)))-$BF325)/$BG325)^2*SIN(($BH325+4*($BI325-$BH325)/12))^2</f>
        <v/>
      </c>
      <c r="BO325">
        <f>((cc_D/2*(1-COS(($BH325+5*($BI325-$BH325)/12)))-$BF325)/$BG325)^2*SIN(($BH325+5*($BI325-$BH325)/12))^2</f>
        <v/>
      </c>
      <c r="BP325">
        <f>((cc_D/2*(1-COS(($BH325+6*($BI325-$BH325)/12)))-$BF325)/$BG325)^2*SIN(($BH325+6*($BI325-$BH325)/12))^2</f>
        <v/>
      </c>
      <c r="BQ325">
        <f>((cc_D/2*(1-COS(($BH325+7*($BI325-$BH325)/12)))-$BF325)/$BG325)^2*SIN(($BH325+7*($BI325-$BH325)/12))^2</f>
        <v/>
      </c>
      <c r="BR325">
        <f>((cc_D/2*(1-COS(($BH325+8*($BI325-$BH325)/12)))-$BF325)/$BG325)^2*SIN(($BH325+8*($BI325-$BH325)/12))^2</f>
        <v/>
      </c>
      <c r="BS325">
        <f>((cc_D/2*(1-COS(($BH325+9*($BI325-$BH325)/12)))-$BF325)/$BG325)^2*SIN(($BH325+9*($BI325-$BH325)/12))^2</f>
        <v/>
      </c>
      <c r="BT325">
        <f>((cc_D/2*(1-COS(($BH325+10*($BI325-$BH325)/12)))-$BF325)/$BG325)^2*SIN(($BH325+10*($BI325-$BH325)/12))^2</f>
        <v/>
      </c>
      <c r="BU325">
        <f>((cc_D/2*(1-COS(($BH325+11*($BI325-$BH325)/12)))-$BF325)/$BG325)^2*SIN(($BH325+11*($BI325-$BH325)/12))^2</f>
        <v/>
      </c>
      <c r="BV325">
        <f>((cc_D/2*(1-COS(($BH325+12*($BI325-$BH325)/12)))-$BF325)/$BG325)^2*SIN(($BH325+12*($BI325-$BH325)/12))^2</f>
        <v/>
      </c>
      <c r="BW325">
        <f>BJ325*COS(($BH325+0*($BI325-$BH325)/12))</f>
        <v/>
      </c>
      <c r="BX325">
        <f>BK325*COS(($BH325+1*($BI325-$BH325)/12))</f>
        <v/>
      </c>
      <c r="BY325">
        <f>BL325*COS(($BH325+2*($BI325-$BH325)/12))</f>
        <v/>
      </c>
      <c r="BZ325">
        <f>BM325*COS(($BH325+3*($BI325-$BH325)/12))</f>
        <v/>
      </c>
      <c r="CA325">
        <f>BN325*COS(($BH325+4*($BI325-$BH325)/12))</f>
        <v/>
      </c>
      <c r="CB325">
        <f>BO325*COS(($BH325+5*($BI325-$BH325)/12))</f>
        <v/>
      </c>
      <c r="CC325">
        <f>BP325*COS(($BH325+6*($BI325-$BH325)/12))</f>
        <v/>
      </c>
      <c r="CD325">
        <f>BQ325*COS(($BH325+7*($BI325-$BH325)/12))</f>
        <v/>
      </c>
      <c r="CE325">
        <f>BR325*COS(($BH325+8*($BI325-$BH325)/12))</f>
        <v/>
      </c>
      <c r="CF325">
        <f>BS325*COS(($BH325+9*($BI325-$BH325)/12))</f>
        <v/>
      </c>
      <c r="CG325">
        <f>BT325*COS(($BH325+10*($BI325-$BH325)/12))</f>
        <v/>
      </c>
      <c r="CH325">
        <f>BU325*COS(($BH325+11*($BI325-$BH325)/12))</f>
        <v/>
      </c>
      <c r="CI325">
        <f>BV325*COS(($BH325+12*($BI325-$BH325)/12))</f>
        <v/>
      </c>
    </row>
    <row r="326">
      <c r="B326" s="65" t="n">
        <v>48</v>
      </c>
      <c r="C326" s="66">
        <f>IF($G325&lt;cc_NEd-1E-9*ABS(cc_NEd),($C325+$D325)/2,$C325)</f>
        <v/>
      </c>
      <c r="D326" s="66">
        <f>IF($G325&lt;cc_NEd-1E-9*ABS(cc_NEd),$D325,($C325+$D325)/2)</f>
        <v/>
      </c>
      <c r="E326" s="67">
        <f>cc_D*(($C326+$D326)/2)/(1-(($C326+$D326)/2))</f>
        <v/>
      </c>
      <c r="F326" s="68">
        <f>IF($E326&lt;=cc_D,3.5,2*$E326/($E326-3*cc_D/7))</f>
        <v/>
      </c>
      <c r="G326" s="67">
        <f>(fcd_cc*((cc_D/2)^2*($BI326-COS($BI326)*SIN($BI326))-2*(cc_D/2)^2*($BI326-$BH326)/12/3*SUMPRODUCT($BJ$4:$BV$4,$BJ326:$BV326))+SUMPRODUCT($J$5:$AG$5,$J326:$AG326))/1000</f>
        <v/>
      </c>
      <c r="H326" s="67">
        <f>(fcd_cc*(2/3*(cc_D/2)^3*SIN($BI326)^3-2*(cc_D/2)^3*($BI326-$BH326)/12/3*SUMPRODUCT($BW$4:$CI$4,$BW326:$CI326))+SUMPRODUCT($J$5:$AG$5,$J326:$AG326,$J$16:$AG$16))/1E6</f>
        <v/>
      </c>
      <c r="I326" s="67">
        <f>SUMPRODUCT($J$5:$AG$5,$J326:$AG326,$J$17:$AG$17)/1E6</f>
        <v/>
      </c>
      <c r="J326">
        <f>MAX(-fyd_cc,MIN(fyd_cc,Es_cc*IF($E326&lt;=cc_D,0.0035*($E326-J$15)/$E326,0.002*($E326-J$15)/($E326-3*cc_D/7))))-fcd_cc*(1-(1-MAX(0,MIN(1,IF($E326&lt;=cc_D,0.0035*($E326-J$15)/$E326,0.002*($E326-J$15)/($E326-3*cc_D/7))/0.002)))^2)</f>
        <v/>
      </c>
      <c r="K326">
        <f>MAX(-fyd_cc,MIN(fyd_cc,Es_cc*IF($E326&lt;=cc_D,0.0035*($E326-K$15)/$E326,0.002*($E326-K$15)/($E326-3*cc_D/7))))-fcd_cc*(1-(1-MAX(0,MIN(1,IF($E326&lt;=cc_D,0.0035*($E326-K$15)/$E326,0.002*($E326-K$15)/($E326-3*cc_D/7))/0.002)))^2)</f>
        <v/>
      </c>
      <c r="L326">
        <f>MAX(-fyd_cc,MIN(fyd_cc,Es_cc*IF($E326&lt;=cc_D,0.0035*($E326-L$15)/$E326,0.002*($E326-L$15)/($E326-3*cc_D/7))))-fcd_cc*(1-(1-MAX(0,MIN(1,IF($E326&lt;=cc_D,0.0035*($E326-L$15)/$E326,0.002*($E326-L$15)/($E326-3*cc_D/7))/0.002)))^2)</f>
        <v/>
      </c>
      <c r="M326">
        <f>MAX(-fyd_cc,MIN(fyd_cc,Es_cc*IF($E326&lt;=cc_D,0.0035*($E326-M$15)/$E326,0.002*($E326-M$15)/($E326-3*cc_D/7))))-fcd_cc*(1-(1-MAX(0,MIN(1,IF($E326&lt;=cc_D,0.0035*($E326-M$15)/$E326,0.002*($E326-M$15)/($E326-3*cc_D/7))/0.002)))^2)</f>
        <v/>
      </c>
      <c r="N326">
        <f>MAX(-fyd_cc,MIN(fyd_cc,Es_cc*IF($E326&lt;=cc_D,0.0035*($E326-N$15)/$E326,0.002*($E326-N$15)/($E326-3*cc_D/7))))-fcd_cc*(1-(1-MAX(0,MIN(1,IF($E326&lt;=cc_D,0.0035*($E326-N$15)/$E326,0.002*($E326-N$15)/($E326-3*cc_D/7))/0.002)))^2)</f>
        <v/>
      </c>
      <c r="O326">
        <f>MAX(-fyd_cc,MIN(fyd_cc,Es_cc*IF($E326&lt;=cc_D,0.0035*($E326-O$15)/$E326,0.002*($E326-O$15)/($E326-3*cc_D/7))))-fcd_cc*(1-(1-MAX(0,MIN(1,IF($E326&lt;=cc_D,0.0035*($E326-O$15)/$E326,0.002*($E326-O$15)/($E326-3*cc_D/7))/0.002)))^2)</f>
        <v/>
      </c>
      <c r="P326">
        <f>MAX(-fyd_cc,MIN(fyd_cc,Es_cc*IF($E326&lt;=cc_D,0.0035*($E326-P$15)/$E326,0.002*($E326-P$15)/($E326-3*cc_D/7))))-fcd_cc*(1-(1-MAX(0,MIN(1,IF($E326&lt;=cc_D,0.0035*($E326-P$15)/$E326,0.002*($E326-P$15)/($E326-3*cc_D/7))/0.002)))^2)</f>
        <v/>
      </c>
      <c r="Q326">
        <f>MAX(-fyd_cc,MIN(fyd_cc,Es_cc*IF($E326&lt;=cc_D,0.0035*($E326-Q$15)/$E326,0.002*($E326-Q$15)/($E326-3*cc_D/7))))-fcd_cc*(1-(1-MAX(0,MIN(1,IF($E326&lt;=cc_D,0.0035*($E326-Q$15)/$E326,0.002*($E326-Q$15)/($E326-3*cc_D/7))/0.002)))^2)</f>
        <v/>
      </c>
      <c r="R326">
        <f>MAX(-fyd_cc,MIN(fyd_cc,Es_cc*IF($E326&lt;=cc_D,0.0035*($E326-R$15)/$E326,0.002*($E326-R$15)/($E326-3*cc_D/7))))-fcd_cc*(1-(1-MAX(0,MIN(1,IF($E326&lt;=cc_D,0.0035*($E326-R$15)/$E326,0.002*($E326-R$15)/($E326-3*cc_D/7))/0.002)))^2)</f>
        <v/>
      </c>
      <c r="S326">
        <f>MAX(-fyd_cc,MIN(fyd_cc,Es_cc*IF($E326&lt;=cc_D,0.0035*($E326-S$15)/$E326,0.002*($E326-S$15)/($E326-3*cc_D/7))))-fcd_cc*(1-(1-MAX(0,MIN(1,IF($E326&lt;=cc_D,0.0035*($E326-S$15)/$E326,0.002*($E326-S$15)/($E326-3*cc_D/7))/0.002)))^2)</f>
        <v/>
      </c>
      <c r="T326">
        <f>MAX(-fyd_cc,MIN(fyd_cc,Es_cc*IF($E326&lt;=cc_D,0.0035*($E326-T$15)/$E326,0.002*($E326-T$15)/($E326-3*cc_D/7))))-fcd_cc*(1-(1-MAX(0,MIN(1,IF($E326&lt;=cc_D,0.0035*($E326-T$15)/$E326,0.002*($E326-T$15)/($E326-3*cc_D/7))/0.002)))^2)</f>
        <v/>
      </c>
      <c r="U326">
        <f>MAX(-fyd_cc,MIN(fyd_cc,Es_cc*IF($E326&lt;=cc_D,0.0035*($E326-U$15)/$E326,0.002*($E326-U$15)/($E326-3*cc_D/7))))-fcd_cc*(1-(1-MAX(0,MIN(1,IF($E326&lt;=cc_D,0.0035*($E326-U$15)/$E326,0.002*($E326-U$15)/($E326-3*cc_D/7))/0.002)))^2)</f>
        <v/>
      </c>
      <c r="V326">
        <f>MAX(-fyd_cc,MIN(fyd_cc,Es_cc*IF($E326&lt;=cc_D,0.0035*($E326-V$15)/$E326,0.002*($E326-V$15)/($E326-3*cc_D/7))))-fcd_cc*(1-(1-MAX(0,MIN(1,IF($E326&lt;=cc_D,0.0035*($E326-V$15)/$E326,0.002*($E326-V$15)/($E326-3*cc_D/7))/0.002)))^2)</f>
        <v/>
      </c>
      <c r="W326">
        <f>MAX(-fyd_cc,MIN(fyd_cc,Es_cc*IF($E326&lt;=cc_D,0.0035*($E326-W$15)/$E326,0.002*($E326-W$15)/($E326-3*cc_D/7))))-fcd_cc*(1-(1-MAX(0,MIN(1,IF($E326&lt;=cc_D,0.0035*($E326-W$15)/$E326,0.002*($E326-W$15)/($E326-3*cc_D/7))/0.002)))^2)</f>
        <v/>
      </c>
      <c r="X326">
        <f>MAX(-fyd_cc,MIN(fyd_cc,Es_cc*IF($E326&lt;=cc_D,0.0035*($E326-X$15)/$E326,0.002*($E326-X$15)/($E326-3*cc_D/7))))-fcd_cc*(1-(1-MAX(0,MIN(1,IF($E326&lt;=cc_D,0.0035*($E326-X$15)/$E326,0.002*($E326-X$15)/($E326-3*cc_D/7))/0.002)))^2)</f>
        <v/>
      </c>
      <c r="Y326">
        <f>MAX(-fyd_cc,MIN(fyd_cc,Es_cc*IF($E326&lt;=cc_D,0.0035*($E326-Y$15)/$E326,0.002*($E326-Y$15)/($E326-3*cc_D/7))))-fcd_cc*(1-(1-MAX(0,MIN(1,IF($E326&lt;=cc_D,0.0035*($E326-Y$15)/$E326,0.002*($E326-Y$15)/($E326-3*cc_D/7))/0.002)))^2)</f>
        <v/>
      </c>
      <c r="Z326">
        <f>MAX(-fyd_cc,MIN(fyd_cc,Es_cc*IF($E326&lt;=cc_D,0.0035*($E326-Z$15)/$E326,0.002*($E326-Z$15)/($E326-3*cc_D/7))))-fcd_cc*(1-(1-MAX(0,MIN(1,IF($E326&lt;=cc_D,0.0035*($E326-Z$15)/$E326,0.002*($E326-Z$15)/($E326-3*cc_D/7))/0.002)))^2)</f>
        <v/>
      </c>
      <c r="AA326">
        <f>MAX(-fyd_cc,MIN(fyd_cc,Es_cc*IF($E326&lt;=cc_D,0.0035*($E326-AA$15)/$E326,0.002*($E326-AA$15)/($E326-3*cc_D/7))))-fcd_cc*(1-(1-MAX(0,MIN(1,IF($E326&lt;=cc_D,0.0035*($E326-AA$15)/$E326,0.002*($E326-AA$15)/($E326-3*cc_D/7))/0.002)))^2)</f>
        <v/>
      </c>
      <c r="AB326">
        <f>MAX(-fyd_cc,MIN(fyd_cc,Es_cc*IF($E326&lt;=cc_D,0.0035*($E326-AB$15)/$E326,0.002*($E326-AB$15)/($E326-3*cc_D/7))))-fcd_cc*(1-(1-MAX(0,MIN(1,IF($E326&lt;=cc_D,0.0035*($E326-AB$15)/$E326,0.002*($E326-AB$15)/($E326-3*cc_D/7))/0.002)))^2)</f>
        <v/>
      </c>
      <c r="AC326">
        <f>MAX(-fyd_cc,MIN(fyd_cc,Es_cc*IF($E326&lt;=cc_D,0.0035*($E326-AC$15)/$E326,0.002*($E326-AC$15)/($E326-3*cc_D/7))))-fcd_cc*(1-(1-MAX(0,MIN(1,IF($E326&lt;=cc_D,0.0035*($E326-AC$15)/$E326,0.002*($E326-AC$15)/($E326-3*cc_D/7))/0.002)))^2)</f>
        <v/>
      </c>
      <c r="AD326">
        <f>MAX(-fyd_cc,MIN(fyd_cc,Es_cc*IF($E326&lt;=cc_D,0.0035*($E326-AD$15)/$E326,0.002*($E326-AD$15)/($E326-3*cc_D/7))))-fcd_cc*(1-(1-MAX(0,MIN(1,IF($E326&lt;=cc_D,0.0035*($E326-AD$15)/$E326,0.002*($E326-AD$15)/($E326-3*cc_D/7))/0.002)))^2)</f>
        <v/>
      </c>
      <c r="AE326">
        <f>MAX(-fyd_cc,MIN(fyd_cc,Es_cc*IF($E326&lt;=cc_D,0.0035*($E326-AE$15)/$E326,0.002*($E326-AE$15)/($E326-3*cc_D/7))))-fcd_cc*(1-(1-MAX(0,MIN(1,IF($E326&lt;=cc_D,0.0035*($E326-AE$15)/$E326,0.002*($E326-AE$15)/($E326-3*cc_D/7))/0.002)))^2)</f>
        <v/>
      </c>
      <c r="AF326">
        <f>MAX(-fyd_cc,MIN(fyd_cc,Es_cc*IF($E326&lt;=cc_D,0.0035*($E326-AF$15)/$E326,0.002*($E326-AF$15)/($E326-3*cc_D/7))))-fcd_cc*(1-(1-MAX(0,MIN(1,IF($E326&lt;=cc_D,0.0035*($E326-AF$15)/$E326,0.002*($E326-AF$15)/($E326-3*cc_D/7))/0.002)))^2)</f>
        <v/>
      </c>
      <c r="AG326">
        <f>MAX(-fyd_cc,MIN(fyd_cc,Es_cc*IF($E326&lt;=cc_D,0.0035*($E326-AG$15)/$E326,0.002*($E326-AG$15)/($E326-3*cc_D/7))))-fcd_cc*(1-(1-MAX(0,MIN(1,IF($E326&lt;=cc_D,0.0035*($E326-AG$15)/$E326,0.002*($E326-AG$15)/($E326-3*cc_D/7))/0.002)))^2)</f>
        <v/>
      </c>
      <c r="BF326">
        <f>3*MIN($E326,cc_D)/7</f>
        <v/>
      </c>
      <c r="BG326">
        <f>$E326-$BF326</f>
        <v/>
      </c>
      <c r="BH326">
        <f>ACOS(MAX(-1,MIN(1,1-$BF326/(cc_D/2))))</f>
        <v/>
      </c>
      <c r="BI326">
        <f>ACOS(MAX(-1,MIN(1,1-MIN($E326,cc_D)/(cc_D/2))))</f>
        <v/>
      </c>
      <c r="BJ326">
        <f>((cc_D/2*(1-COS(($BH326+0*($BI326-$BH326)/12)))-$BF326)/$BG326)^2*SIN(($BH326+0*($BI326-$BH326)/12))^2</f>
        <v/>
      </c>
      <c r="BK326">
        <f>((cc_D/2*(1-COS(($BH326+1*($BI326-$BH326)/12)))-$BF326)/$BG326)^2*SIN(($BH326+1*($BI326-$BH326)/12))^2</f>
        <v/>
      </c>
      <c r="BL326">
        <f>((cc_D/2*(1-COS(($BH326+2*($BI326-$BH326)/12)))-$BF326)/$BG326)^2*SIN(($BH326+2*($BI326-$BH326)/12))^2</f>
        <v/>
      </c>
      <c r="BM326">
        <f>((cc_D/2*(1-COS(($BH326+3*($BI326-$BH326)/12)))-$BF326)/$BG326)^2*SIN(($BH326+3*($BI326-$BH326)/12))^2</f>
        <v/>
      </c>
      <c r="BN326">
        <f>((cc_D/2*(1-COS(($BH326+4*($BI326-$BH326)/12)))-$BF326)/$BG326)^2*SIN(($BH326+4*($BI326-$BH326)/12))^2</f>
        <v/>
      </c>
      <c r="BO326">
        <f>((cc_D/2*(1-COS(($BH326+5*($BI326-$BH326)/12)))-$BF326)/$BG326)^2*SIN(($BH326+5*($BI326-$BH326)/12))^2</f>
        <v/>
      </c>
      <c r="BP326">
        <f>((cc_D/2*(1-COS(($BH326+6*($BI326-$BH326)/12)))-$BF326)/$BG326)^2*SIN(($BH326+6*($BI326-$BH326)/12))^2</f>
        <v/>
      </c>
      <c r="BQ326">
        <f>((cc_D/2*(1-COS(($BH326+7*($BI326-$BH326)/12)))-$BF326)/$BG326)^2*SIN(($BH326+7*($BI326-$BH326)/12))^2</f>
        <v/>
      </c>
      <c r="BR326">
        <f>((cc_D/2*(1-COS(($BH326+8*($BI326-$BH326)/12)))-$BF326)/$BG326)^2*SIN(($BH326+8*($BI326-$BH326)/12))^2</f>
        <v/>
      </c>
      <c r="BS326">
        <f>((cc_D/2*(1-COS(($BH326+9*($BI326-$BH326)/12)))-$BF326)/$BG326)^2*SIN(($BH326+9*($BI326-$BH326)/12))^2</f>
        <v/>
      </c>
      <c r="BT326">
        <f>((cc_D/2*(1-COS(($BH326+10*($BI326-$BH326)/12)))-$BF326)/$BG326)^2*SIN(($BH326+10*($BI326-$BH326)/12))^2</f>
        <v/>
      </c>
      <c r="BU326">
        <f>((cc_D/2*(1-COS(($BH326+11*($BI326-$BH326)/12)))-$BF326)/$BG326)^2*SIN(($BH326+11*($BI326-$BH326)/12))^2</f>
        <v/>
      </c>
      <c r="BV326">
        <f>((cc_D/2*(1-COS(($BH326+12*($BI326-$BH326)/12)))-$BF326)/$BG326)^2*SIN(($BH326+12*($BI326-$BH326)/12))^2</f>
        <v/>
      </c>
      <c r="BW326">
        <f>BJ326*COS(($BH326+0*($BI326-$BH326)/12))</f>
        <v/>
      </c>
      <c r="BX326">
        <f>BK326*COS(($BH326+1*($BI326-$BH326)/12))</f>
        <v/>
      </c>
      <c r="BY326">
        <f>BL326*COS(($BH326+2*($BI326-$BH326)/12))</f>
        <v/>
      </c>
      <c r="BZ326">
        <f>BM326*COS(($BH326+3*($BI326-$BH326)/12))</f>
        <v/>
      </c>
      <c r="CA326">
        <f>BN326*COS(($BH326+4*($BI326-$BH326)/12))</f>
        <v/>
      </c>
      <c r="CB326">
        <f>BO326*COS(($BH326+5*($BI326-$BH326)/12))</f>
        <v/>
      </c>
      <c r="CC326">
        <f>BP326*COS(($BH326+6*($BI326-$BH326)/12))</f>
        <v/>
      </c>
      <c r="CD326">
        <f>BQ326*COS(($BH326+7*($BI326-$BH326)/12))</f>
        <v/>
      </c>
      <c r="CE326">
        <f>BR326*COS(($BH326+8*($BI326-$BH326)/12))</f>
        <v/>
      </c>
      <c r="CF326">
        <f>BS326*COS(($BH326+9*($BI326-$BH326)/12))</f>
        <v/>
      </c>
      <c r="CG326">
        <f>BT326*COS(($BH326+10*($BI326-$BH326)/12))</f>
        <v/>
      </c>
      <c r="CH326">
        <f>BU326*COS(($BH326+11*($BI326-$BH326)/12))</f>
        <v/>
      </c>
      <c r="CI326">
        <f>BV326*COS(($BH326+12*($BI326-$BH326)/12))</f>
        <v/>
      </c>
    </row>
    <row r="327">
      <c r="B327" s="65" t="n">
        <v>49</v>
      </c>
      <c r="C327" s="66">
        <f>IF($G326&lt;cc_NEd-1E-9*ABS(cc_NEd),($C326+$D326)/2,$C326)</f>
        <v/>
      </c>
      <c r="D327" s="66">
        <f>IF($G326&lt;cc_NEd-1E-9*ABS(cc_NEd),$D326,($C326+$D326)/2)</f>
        <v/>
      </c>
      <c r="E327" s="67">
        <f>cc_D*(($C327+$D327)/2)/(1-(($C327+$D327)/2))</f>
        <v/>
      </c>
      <c r="F327" s="68">
        <f>IF($E327&lt;=cc_D,3.5,2*$E327/($E327-3*cc_D/7))</f>
        <v/>
      </c>
      <c r="G327" s="67">
        <f>(fcd_cc*((cc_D/2)^2*($BI327-COS($BI327)*SIN($BI327))-2*(cc_D/2)^2*($BI327-$BH327)/12/3*SUMPRODUCT($BJ$4:$BV$4,$BJ327:$BV327))+SUMPRODUCT($J$5:$AG$5,$J327:$AG327))/1000</f>
        <v/>
      </c>
      <c r="H327" s="67">
        <f>(fcd_cc*(2/3*(cc_D/2)^3*SIN($BI327)^3-2*(cc_D/2)^3*($BI327-$BH327)/12/3*SUMPRODUCT($BW$4:$CI$4,$BW327:$CI327))+SUMPRODUCT($J$5:$AG$5,$J327:$AG327,$J$16:$AG$16))/1E6</f>
        <v/>
      </c>
      <c r="I327" s="67">
        <f>SUMPRODUCT($J$5:$AG$5,$J327:$AG327,$J$17:$AG$17)/1E6</f>
        <v/>
      </c>
      <c r="J327">
        <f>MAX(-fyd_cc,MIN(fyd_cc,Es_cc*IF($E327&lt;=cc_D,0.0035*($E327-J$15)/$E327,0.002*($E327-J$15)/($E327-3*cc_D/7))))-fcd_cc*(1-(1-MAX(0,MIN(1,IF($E327&lt;=cc_D,0.0035*($E327-J$15)/$E327,0.002*($E327-J$15)/($E327-3*cc_D/7))/0.002)))^2)</f>
        <v/>
      </c>
      <c r="K327">
        <f>MAX(-fyd_cc,MIN(fyd_cc,Es_cc*IF($E327&lt;=cc_D,0.0035*($E327-K$15)/$E327,0.002*($E327-K$15)/($E327-3*cc_D/7))))-fcd_cc*(1-(1-MAX(0,MIN(1,IF($E327&lt;=cc_D,0.0035*($E327-K$15)/$E327,0.002*($E327-K$15)/($E327-3*cc_D/7))/0.002)))^2)</f>
        <v/>
      </c>
      <c r="L327">
        <f>MAX(-fyd_cc,MIN(fyd_cc,Es_cc*IF($E327&lt;=cc_D,0.0035*($E327-L$15)/$E327,0.002*($E327-L$15)/($E327-3*cc_D/7))))-fcd_cc*(1-(1-MAX(0,MIN(1,IF($E327&lt;=cc_D,0.0035*($E327-L$15)/$E327,0.002*($E327-L$15)/($E327-3*cc_D/7))/0.002)))^2)</f>
        <v/>
      </c>
      <c r="M327">
        <f>MAX(-fyd_cc,MIN(fyd_cc,Es_cc*IF($E327&lt;=cc_D,0.0035*($E327-M$15)/$E327,0.002*($E327-M$15)/($E327-3*cc_D/7))))-fcd_cc*(1-(1-MAX(0,MIN(1,IF($E327&lt;=cc_D,0.0035*($E327-M$15)/$E327,0.002*($E327-M$15)/($E327-3*cc_D/7))/0.002)))^2)</f>
        <v/>
      </c>
      <c r="N327">
        <f>MAX(-fyd_cc,MIN(fyd_cc,Es_cc*IF($E327&lt;=cc_D,0.0035*($E327-N$15)/$E327,0.002*($E327-N$15)/($E327-3*cc_D/7))))-fcd_cc*(1-(1-MAX(0,MIN(1,IF($E327&lt;=cc_D,0.0035*($E327-N$15)/$E327,0.002*($E327-N$15)/($E327-3*cc_D/7))/0.002)))^2)</f>
        <v/>
      </c>
      <c r="O327">
        <f>MAX(-fyd_cc,MIN(fyd_cc,Es_cc*IF($E327&lt;=cc_D,0.0035*($E327-O$15)/$E327,0.002*($E327-O$15)/($E327-3*cc_D/7))))-fcd_cc*(1-(1-MAX(0,MIN(1,IF($E327&lt;=cc_D,0.0035*($E327-O$15)/$E327,0.002*($E327-O$15)/($E327-3*cc_D/7))/0.002)))^2)</f>
        <v/>
      </c>
      <c r="P327">
        <f>MAX(-fyd_cc,MIN(fyd_cc,Es_cc*IF($E327&lt;=cc_D,0.0035*($E327-P$15)/$E327,0.002*($E327-P$15)/($E327-3*cc_D/7))))-fcd_cc*(1-(1-MAX(0,MIN(1,IF($E327&lt;=cc_D,0.0035*($E327-P$15)/$E327,0.002*($E327-P$15)/($E327-3*cc_D/7))/0.002)))^2)</f>
        <v/>
      </c>
      <c r="Q327">
        <f>MAX(-fyd_cc,MIN(fyd_cc,Es_cc*IF($E327&lt;=cc_D,0.0035*($E327-Q$15)/$E327,0.002*($E327-Q$15)/($E327-3*cc_D/7))))-fcd_cc*(1-(1-MAX(0,MIN(1,IF($E327&lt;=cc_D,0.0035*($E327-Q$15)/$E327,0.002*($E327-Q$15)/($E327-3*cc_D/7))/0.002)))^2)</f>
        <v/>
      </c>
      <c r="R327">
        <f>MAX(-fyd_cc,MIN(fyd_cc,Es_cc*IF($E327&lt;=cc_D,0.0035*($E327-R$15)/$E327,0.002*($E327-R$15)/($E327-3*cc_D/7))))-fcd_cc*(1-(1-MAX(0,MIN(1,IF($E327&lt;=cc_D,0.0035*($E327-R$15)/$E327,0.002*($E327-R$15)/($E327-3*cc_D/7))/0.002)))^2)</f>
        <v/>
      </c>
      <c r="S327">
        <f>MAX(-fyd_cc,MIN(fyd_cc,Es_cc*IF($E327&lt;=cc_D,0.0035*($E327-S$15)/$E327,0.002*($E327-S$15)/($E327-3*cc_D/7))))-fcd_cc*(1-(1-MAX(0,MIN(1,IF($E327&lt;=cc_D,0.0035*($E327-S$15)/$E327,0.002*($E327-S$15)/($E327-3*cc_D/7))/0.002)))^2)</f>
        <v/>
      </c>
      <c r="T327">
        <f>MAX(-fyd_cc,MIN(fyd_cc,Es_cc*IF($E327&lt;=cc_D,0.0035*($E327-T$15)/$E327,0.002*($E327-T$15)/($E327-3*cc_D/7))))-fcd_cc*(1-(1-MAX(0,MIN(1,IF($E327&lt;=cc_D,0.0035*($E327-T$15)/$E327,0.002*($E327-T$15)/($E327-3*cc_D/7))/0.002)))^2)</f>
        <v/>
      </c>
      <c r="U327">
        <f>MAX(-fyd_cc,MIN(fyd_cc,Es_cc*IF($E327&lt;=cc_D,0.0035*($E327-U$15)/$E327,0.002*($E327-U$15)/($E327-3*cc_D/7))))-fcd_cc*(1-(1-MAX(0,MIN(1,IF($E327&lt;=cc_D,0.0035*($E327-U$15)/$E327,0.002*($E327-U$15)/($E327-3*cc_D/7))/0.002)))^2)</f>
        <v/>
      </c>
      <c r="V327">
        <f>MAX(-fyd_cc,MIN(fyd_cc,Es_cc*IF($E327&lt;=cc_D,0.0035*($E327-V$15)/$E327,0.002*($E327-V$15)/($E327-3*cc_D/7))))-fcd_cc*(1-(1-MAX(0,MIN(1,IF($E327&lt;=cc_D,0.0035*($E327-V$15)/$E327,0.002*($E327-V$15)/($E327-3*cc_D/7))/0.002)))^2)</f>
        <v/>
      </c>
      <c r="W327">
        <f>MAX(-fyd_cc,MIN(fyd_cc,Es_cc*IF($E327&lt;=cc_D,0.0035*($E327-W$15)/$E327,0.002*($E327-W$15)/($E327-3*cc_D/7))))-fcd_cc*(1-(1-MAX(0,MIN(1,IF($E327&lt;=cc_D,0.0035*($E327-W$15)/$E327,0.002*($E327-W$15)/($E327-3*cc_D/7))/0.002)))^2)</f>
        <v/>
      </c>
      <c r="X327">
        <f>MAX(-fyd_cc,MIN(fyd_cc,Es_cc*IF($E327&lt;=cc_D,0.0035*($E327-X$15)/$E327,0.002*($E327-X$15)/($E327-3*cc_D/7))))-fcd_cc*(1-(1-MAX(0,MIN(1,IF($E327&lt;=cc_D,0.0035*($E327-X$15)/$E327,0.002*($E327-X$15)/($E327-3*cc_D/7))/0.002)))^2)</f>
        <v/>
      </c>
      <c r="Y327">
        <f>MAX(-fyd_cc,MIN(fyd_cc,Es_cc*IF($E327&lt;=cc_D,0.0035*($E327-Y$15)/$E327,0.002*($E327-Y$15)/($E327-3*cc_D/7))))-fcd_cc*(1-(1-MAX(0,MIN(1,IF($E327&lt;=cc_D,0.0035*($E327-Y$15)/$E327,0.002*($E327-Y$15)/($E327-3*cc_D/7))/0.002)))^2)</f>
        <v/>
      </c>
      <c r="Z327">
        <f>MAX(-fyd_cc,MIN(fyd_cc,Es_cc*IF($E327&lt;=cc_D,0.0035*($E327-Z$15)/$E327,0.002*($E327-Z$15)/($E327-3*cc_D/7))))-fcd_cc*(1-(1-MAX(0,MIN(1,IF($E327&lt;=cc_D,0.0035*($E327-Z$15)/$E327,0.002*($E327-Z$15)/($E327-3*cc_D/7))/0.002)))^2)</f>
        <v/>
      </c>
      <c r="AA327">
        <f>MAX(-fyd_cc,MIN(fyd_cc,Es_cc*IF($E327&lt;=cc_D,0.0035*($E327-AA$15)/$E327,0.002*($E327-AA$15)/($E327-3*cc_D/7))))-fcd_cc*(1-(1-MAX(0,MIN(1,IF($E327&lt;=cc_D,0.0035*($E327-AA$15)/$E327,0.002*($E327-AA$15)/($E327-3*cc_D/7))/0.002)))^2)</f>
        <v/>
      </c>
      <c r="AB327">
        <f>MAX(-fyd_cc,MIN(fyd_cc,Es_cc*IF($E327&lt;=cc_D,0.0035*($E327-AB$15)/$E327,0.002*($E327-AB$15)/($E327-3*cc_D/7))))-fcd_cc*(1-(1-MAX(0,MIN(1,IF($E327&lt;=cc_D,0.0035*($E327-AB$15)/$E327,0.002*($E327-AB$15)/($E327-3*cc_D/7))/0.002)))^2)</f>
        <v/>
      </c>
      <c r="AC327">
        <f>MAX(-fyd_cc,MIN(fyd_cc,Es_cc*IF($E327&lt;=cc_D,0.0035*($E327-AC$15)/$E327,0.002*($E327-AC$15)/($E327-3*cc_D/7))))-fcd_cc*(1-(1-MAX(0,MIN(1,IF($E327&lt;=cc_D,0.0035*($E327-AC$15)/$E327,0.002*($E327-AC$15)/($E327-3*cc_D/7))/0.002)))^2)</f>
        <v/>
      </c>
      <c r="AD327">
        <f>MAX(-fyd_cc,MIN(fyd_cc,Es_cc*IF($E327&lt;=cc_D,0.0035*($E327-AD$15)/$E327,0.002*($E327-AD$15)/($E327-3*cc_D/7))))-fcd_cc*(1-(1-MAX(0,MIN(1,IF($E327&lt;=cc_D,0.0035*($E327-AD$15)/$E327,0.002*($E327-AD$15)/($E327-3*cc_D/7))/0.002)))^2)</f>
        <v/>
      </c>
      <c r="AE327">
        <f>MAX(-fyd_cc,MIN(fyd_cc,Es_cc*IF($E327&lt;=cc_D,0.0035*($E327-AE$15)/$E327,0.002*($E327-AE$15)/($E327-3*cc_D/7))))-fcd_cc*(1-(1-MAX(0,MIN(1,IF($E327&lt;=cc_D,0.0035*($E327-AE$15)/$E327,0.002*($E327-AE$15)/($E327-3*cc_D/7))/0.002)))^2)</f>
        <v/>
      </c>
      <c r="AF327">
        <f>MAX(-fyd_cc,MIN(fyd_cc,Es_cc*IF($E327&lt;=cc_D,0.0035*($E327-AF$15)/$E327,0.002*($E327-AF$15)/($E327-3*cc_D/7))))-fcd_cc*(1-(1-MAX(0,MIN(1,IF($E327&lt;=cc_D,0.0035*($E327-AF$15)/$E327,0.002*($E327-AF$15)/($E327-3*cc_D/7))/0.002)))^2)</f>
        <v/>
      </c>
      <c r="AG327">
        <f>MAX(-fyd_cc,MIN(fyd_cc,Es_cc*IF($E327&lt;=cc_D,0.0035*($E327-AG$15)/$E327,0.002*($E327-AG$15)/($E327-3*cc_D/7))))-fcd_cc*(1-(1-MAX(0,MIN(1,IF($E327&lt;=cc_D,0.0035*($E327-AG$15)/$E327,0.002*($E327-AG$15)/($E327-3*cc_D/7))/0.002)))^2)</f>
        <v/>
      </c>
      <c r="BF327">
        <f>3*MIN($E327,cc_D)/7</f>
        <v/>
      </c>
      <c r="BG327">
        <f>$E327-$BF327</f>
        <v/>
      </c>
      <c r="BH327">
        <f>ACOS(MAX(-1,MIN(1,1-$BF327/(cc_D/2))))</f>
        <v/>
      </c>
      <c r="BI327">
        <f>ACOS(MAX(-1,MIN(1,1-MIN($E327,cc_D)/(cc_D/2))))</f>
        <v/>
      </c>
      <c r="BJ327">
        <f>((cc_D/2*(1-COS(($BH327+0*($BI327-$BH327)/12)))-$BF327)/$BG327)^2*SIN(($BH327+0*($BI327-$BH327)/12))^2</f>
        <v/>
      </c>
      <c r="BK327">
        <f>((cc_D/2*(1-COS(($BH327+1*($BI327-$BH327)/12)))-$BF327)/$BG327)^2*SIN(($BH327+1*($BI327-$BH327)/12))^2</f>
        <v/>
      </c>
      <c r="BL327">
        <f>((cc_D/2*(1-COS(($BH327+2*($BI327-$BH327)/12)))-$BF327)/$BG327)^2*SIN(($BH327+2*($BI327-$BH327)/12))^2</f>
        <v/>
      </c>
      <c r="BM327">
        <f>((cc_D/2*(1-COS(($BH327+3*($BI327-$BH327)/12)))-$BF327)/$BG327)^2*SIN(($BH327+3*($BI327-$BH327)/12))^2</f>
        <v/>
      </c>
      <c r="BN327">
        <f>((cc_D/2*(1-COS(($BH327+4*($BI327-$BH327)/12)))-$BF327)/$BG327)^2*SIN(($BH327+4*($BI327-$BH327)/12))^2</f>
        <v/>
      </c>
      <c r="BO327">
        <f>((cc_D/2*(1-COS(($BH327+5*($BI327-$BH327)/12)))-$BF327)/$BG327)^2*SIN(($BH327+5*($BI327-$BH327)/12))^2</f>
        <v/>
      </c>
      <c r="BP327">
        <f>((cc_D/2*(1-COS(($BH327+6*($BI327-$BH327)/12)))-$BF327)/$BG327)^2*SIN(($BH327+6*($BI327-$BH327)/12))^2</f>
        <v/>
      </c>
      <c r="BQ327">
        <f>((cc_D/2*(1-COS(($BH327+7*($BI327-$BH327)/12)))-$BF327)/$BG327)^2*SIN(($BH327+7*($BI327-$BH327)/12))^2</f>
        <v/>
      </c>
      <c r="BR327">
        <f>((cc_D/2*(1-COS(($BH327+8*($BI327-$BH327)/12)))-$BF327)/$BG327)^2*SIN(($BH327+8*($BI327-$BH327)/12))^2</f>
        <v/>
      </c>
      <c r="BS327">
        <f>((cc_D/2*(1-COS(($BH327+9*($BI327-$BH327)/12)))-$BF327)/$BG327)^2*SIN(($BH327+9*($BI327-$BH327)/12))^2</f>
        <v/>
      </c>
      <c r="BT327">
        <f>((cc_D/2*(1-COS(($BH327+10*($BI327-$BH327)/12)))-$BF327)/$BG327)^2*SIN(($BH327+10*($BI327-$BH327)/12))^2</f>
        <v/>
      </c>
      <c r="BU327">
        <f>((cc_D/2*(1-COS(($BH327+11*($BI327-$BH327)/12)))-$BF327)/$BG327)^2*SIN(($BH327+11*($BI327-$BH327)/12))^2</f>
        <v/>
      </c>
      <c r="BV327">
        <f>((cc_D/2*(1-COS(($BH327+12*($BI327-$BH327)/12)))-$BF327)/$BG327)^2*SIN(($BH327+12*($BI327-$BH327)/12))^2</f>
        <v/>
      </c>
      <c r="BW327">
        <f>BJ327*COS(($BH327+0*($BI327-$BH327)/12))</f>
        <v/>
      </c>
      <c r="BX327">
        <f>BK327*COS(($BH327+1*($BI327-$BH327)/12))</f>
        <v/>
      </c>
      <c r="BY327">
        <f>BL327*COS(($BH327+2*($BI327-$BH327)/12))</f>
        <v/>
      </c>
      <c r="BZ327">
        <f>BM327*COS(($BH327+3*($BI327-$BH327)/12))</f>
        <v/>
      </c>
      <c r="CA327">
        <f>BN327*COS(($BH327+4*($BI327-$BH327)/12))</f>
        <v/>
      </c>
      <c r="CB327">
        <f>BO327*COS(($BH327+5*($BI327-$BH327)/12))</f>
        <v/>
      </c>
      <c r="CC327">
        <f>BP327*COS(($BH327+6*($BI327-$BH327)/12))</f>
        <v/>
      </c>
      <c r="CD327">
        <f>BQ327*COS(($BH327+7*($BI327-$BH327)/12))</f>
        <v/>
      </c>
      <c r="CE327">
        <f>BR327*COS(($BH327+8*($BI327-$BH327)/12))</f>
        <v/>
      </c>
      <c r="CF327">
        <f>BS327*COS(($BH327+9*($BI327-$BH327)/12))</f>
        <v/>
      </c>
      <c r="CG327">
        <f>BT327*COS(($BH327+10*($BI327-$BH327)/12))</f>
        <v/>
      </c>
      <c r="CH327">
        <f>BU327*COS(($BH327+11*($BI327-$BH327)/12))</f>
        <v/>
      </c>
      <c r="CI327">
        <f>BV327*COS(($BH327+12*($BI327-$BH327)/12))</f>
        <v/>
      </c>
    </row>
    <row r="328">
      <c r="B328" s="65" t="n">
        <v>50</v>
      </c>
      <c r="C328" s="66">
        <f>IF($G327&lt;cc_NEd-1E-9*ABS(cc_NEd),($C327+$D327)/2,$C327)</f>
        <v/>
      </c>
      <c r="D328" s="66">
        <f>IF($G327&lt;cc_NEd-1E-9*ABS(cc_NEd),$D327,($C327+$D327)/2)</f>
        <v/>
      </c>
      <c r="E328" s="67">
        <f>cc_D*(($C328+$D328)/2)/(1-(($C328+$D328)/2))</f>
        <v/>
      </c>
      <c r="F328" s="68">
        <f>IF($E328&lt;=cc_D,3.5,2*$E328/($E328-3*cc_D/7))</f>
        <v/>
      </c>
      <c r="G328" s="67">
        <f>(fcd_cc*((cc_D/2)^2*($BI328-COS($BI328)*SIN($BI328))-2*(cc_D/2)^2*($BI328-$BH328)/12/3*SUMPRODUCT($BJ$4:$BV$4,$BJ328:$BV328))+SUMPRODUCT($J$5:$AG$5,$J328:$AG328))/1000</f>
        <v/>
      </c>
      <c r="H328" s="67">
        <f>(fcd_cc*(2/3*(cc_D/2)^3*SIN($BI328)^3-2*(cc_D/2)^3*($BI328-$BH328)/12/3*SUMPRODUCT($BW$4:$CI$4,$BW328:$CI328))+SUMPRODUCT($J$5:$AG$5,$J328:$AG328,$J$16:$AG$16))/1E6</f>
        <v/>
      </c>
      <c r="I328" s="67">
        <f>SUMPRODUCT($J$5:$AG$5,$J328:$AG328,$J$17:$AG$17)/1E6</f>
        <v/>
      </c>
      <c r="J328">
        <f>MAX(-fyd_cc,MIN(fyd_cc,Es_cc*IF($E328&lt;=cc_D,0.0035*($E328-J$15)/$E328,0.002*($E328-J$15)/($E328-3*cc_D/7))))-fcd_cc*(1-(1-MAX(0,MIN(1,IF($E328&lt;=cc_D,0.0035*($E328-J$15)/$E328,0.002*($E328-J$15)/($E328-3*cc_D/7))/0.002)))^2)</f>
        <v/>
      </c>
      <c r="K328">
        <f>MAX(-fyd_cc,MIN(fyd_cc,Es_cc*IF($E328&lt;=cc_D,0.0035*($E328-K$15)/$E328,0.002*($E328-K$15)/($E328-3*cc_D/7))))-fcd_cc*(1-(1-MAX(0,MIN(1,IF($E328&lt;=cc_D,0.0035*($E328-K$15)/$E328,0.002*($E328-K$15)/($E328-3*cc_D/7))/0.002)))^2)</f>
        <v/>
      </c>
      <c r="L328">
        <f>MAX(-fyd_cc,MIN(fyd_cc,Es_cc*IF($E328&lt;=cc_D,0.0035*($E328-L$15)/$E328,0.002*($E328-L$15)/($E328-3*cc_D/7))))-fcd_cc*(1-(1-MAX(0,MIN(1,IF($E328&lt;=cc_D,0.0035*($E328-L$15)/$E328,0.002*($E328-L$15)/($E328-3*cc_D/7))/0.002)))^2)</f>
        <v/>
      </c>
      <c r="M328">
        <f>MAX(-fyd_cc,MIN(fyd_cc,Es_cc*IF($E328&lt;=cc_D,0.0035*($E328-M$15)/$E328,0.002*($E328-M$15)/($E328-3*cc_D/7))))-fcd_cc*(1-(1-MAX(0,MIN(1,IF($E328&lt;=cc_D,0.0035*($E328-M$15)/$E328,0.002*($E328-M$15)/($E328-3*cc_D/7))/0.002)))^2)</f>
        <v/>
      </c>
      <c r="N328">
        <f>MAX(-fyd_cc,MIN(fyd_cc,Es_cc*IF($E328&lt;=cc_D,0.0035*($E328-N$15)/$E328,0.002*($E328-N$15)/($E328-3*cc_D/7))))-fcd_cc*(1-(1-MAX(0,MIN(1,IF($E328&lt;=cc_D,0.0035*($E328-N$15)/$E328,0.002*($E328-N$15)/($E328-3*cc_D/7))/0.002)))^2)</f>
        <v/>
      </c>
      <c r="O328">
        <f>MAX(-fyd_cc,MIN(fyd_cc,Es_cc*IF($E328&lt;=cc_D,0.0035*($E328-O$15)/$E328,0.002*($E328-O$15)/($E328-3*cc_D/7))))-fcd_cc*(1-(1-MAX(0,MIN(1,IF($E328&lt;=cc_D,0.0035*($E328-O$15)/$E328,0.002*($E328-O$15)/($E328-3*cc_D/7))/0.002)))^2)</f>
        <v/>
      </c>
      <c r="P328">
        <f>MAX(-fyd_cc,MIN(fyd_cc,Es_cc*IF($E328&lt;=cc_D,0.0035*($E328-P$15)/$E328,0.002*($E328-P$15)/($E328-3*cc_D/7))))-fcd_cc*(1-(1-MAX(0,MIN(1,IF($E328&lt;=cc_D,0.0035*($E328-P$15)/$E328,0.002*($E328-P$15)/($E328-3*cc_D/7))/0.002)))^2)</f>
        <v/>
      </c>
      <c r="Q328">
        <f>MAX(-fyd_cc,MIN(fyd_cc,Es_cc*IF($E328&lt;=cc_D,0.0035*($E328-Q$15)/$E328,0.002*($E328-Q$15)/($E328-3*cc_D/7))))-fcd_cc*(1-(1-MAX(0,MIN(1,IF($E328&lt;=cc_D,0.0035*($E328-Q$15)/$E328,0.002*($E328-Q$15)/($E328-3*cc_D/7))/0.002)))^2)</f>
        <v/>
      </c>
      <c r="R328">
        <f>MAX(-fyd_cc,MIN(fyd_cc,Es_cc*IF($E328&lt;=cc_D,0.0035*($E328-R$15)/$E328,0.002*($E328-R$15)/($E328-3*cc_D/7))))-fcd_cc*(1-(1-MAX(0,MIN(1,IF($E328&lt;=cc_D,0.0035*($E328-R$15)/$E328,0.002*($E328-R$15)/($E328-3*cc_D/7))/0.002)))^2)</f>
        <v/>
      </c>
      <c r="S328">
        <f>MAX(-fyd_cc,MIN(fyd_cc,Es_cc*IF($E328&lt;=cc_D,0.0035*($E328-S$15)/$E328,0.002*($E328-S$15)/($E328-3*cc_D/7))))-fcd_cc*(1-(1-MAX(0,MIN(1,IF($E328&lt;=cc_D,0.0035*($E328-S$15)/$E328,0.002*($E328-S$15)/($E328-3*cc_D/7))/0.002)))^2)</f>
        <v/>
      </c>
      <c r="T328">
        <f>MAX(-fyd_cc,MIN(fyd_cc,Es_cc*IF($E328&lt;=cc_D,0.0035*($E328-T$15)/$E328,0.002*($E328-T$15)/($E328-3*cc_D/7))))-fcd_cc*(1-(1-MAX(0,MIN(1,IF($E328&lt;=cc_D,0.0035*($E328-T$15)/$E328,0.002*($E328-T$15)/($E328-3*cc_D/7))/0.002)))^2)</f>
        <v/>
      </c>
      <c r="U328">
        <f>MAX(-fyd_cc,MIN(fyd_cc,Es_cc*IF($E328&lt;=cc_D,0.0035*($E328-U$15)/$E328,0.002*($E328-U$15)/($E328-3*cc_D/7))))-fcd_cc*(1-(1-MAX(0,MIN(1,IF($E328&lt;=cc_D,0.0035*($E328-U$15)/$E328,0.002*($E328-U$15)/($E328-3*cc_D/7))/0.002)))^2)</f>
        <v/>
      </c>
      <c r="V328">
        <f>MAX(-fyd_cc,MIN(fyd_cc,Es_cc*IF($E328&lt;=cc_D,0.0035*($E328-V$15)/$E328,0.002*($E328-V$15)/($E328-3*cc_D/7))))-fcd_cc*(1-(1-MAX(0,MIN(1,IF($E328&lt;=cc_D,0.0035*($E328-V$15)/$E328,0.002*($E328-V$15)/($E328-3*cc_D/7))/0.002)))^2)</f>
        <v/>
      </c>
      <c r="W328">
        <f>MAX(-fyd_cc,MIN(fyd_cc,Es_cc*IF($E328&lt;=cc_D,0.0035*($E328-W$15)/$E328,0.002*($E328-W$15)/($E328-3*cc_D/7))))-fcd_cc*(1-(1-MAX(0,MIN(1,IF($E328&lt;=cc_D,0.0035*($E328-W$15)/$E328,0.002*($E328-W$15)/($E328-3*cc_D/7))/0.002)))^2)</f>
        <v/>
      </c>
      <c r="X328">
        <f>MAX(-fyd_cc,MIN(fyd_cc,Es_cc*IF($E328&lt;=cc_D,0.0035*($E328-X$15)/$E328,0.002*($E328-X$15)/($E328-3*cc_D/7))))-fcd_cc*(1-(1-MAX(0,MIN(1,IF($E328&lt;=cc_D,0.0035*($E328-X$15)/$E328,0.002*($E328-X$15)/($E328-3*cc_D/7))/0.002)))^2)</f>
        <v/>
      </c>
      <c r="Y328">
        <f>MAX(-fyd_cc,MIN(fyd_cc,Es_cc*IF($E328&lt;=cc_D,0.0035*($E328-Y$15)/$E328,0.002*($E328-Y$15)/($E328-3*cc_D/7))))-fcd_cc*(1-(1-MAX(0,MIN(1,IF($E328&lt;=cc_D,0.0035*($E328-Y$15)/$E328,0.002*($E328-Y$15)/($E328-3*cc_D/7))/0.002)))^2)</f>
        <v/>
      </c>
      <c r="Z328">
        <f>MAX(-fyd_cc,MIN(fyd_cc,Es_cc*IF($E328&lt;=cc_D,0.0035*($E328-Z$15)/$E328,0.002*($E328-Z$15)/($E328-3*cc_D/7))))-fcd_cc*(1-(1-MAX(0,MIN(1,IF($E328&lt;=cc_D,0.0035*($E328-Z$15)/$E328,0.002*($E328-Z$15)/($E328-3*cc_D/7))/0.002)))^2)</f>
        <v/>
      </c>
      <c r="AA328">
        <f>MAX(-fyd_cc,MIN(fyd_cc,Es_cc*IF($E328&lt;=cc_D,0.0035*($E328-AA$15)/$E328,0.002*($E328-AA$15)/($E328-3*cc_D/7))))-fcd_cc*(1-(1-MAX(0,MIN(1,IF($E328&lt;=cc_D,0.0035*($E328-AA$15)/$E328,0.002*($E328-AA$15)/($E328-3*cc_D/7))/0.002)))^2)</f>
        <v/>
      </c>
      <c r="AB328">
        <f>MAX(-fyd_cc,MIN(fyd_cc,Es_cc*IF($E328&lt;=cc_D,0.0035*($E328-AB$15)/$E328,0.002*($E328-AB$15)/($E328-3*cc_D/7))))-fcd_cc*(1-(1-MAX(0,MIN(1,IF($E328&lt;=cc_D,0.0035*($E328-AB$15)/$E328,0.002*($E328-AB$15)/($E328-3*cc_D/7))/0.002)))^2)</f>
        <v/>
      </c>
      <c r="AC328">
        <f>MAX(-fyd_cc,MIN(fyd_cc,Es_cc*IF($E328&lt;=cc_D,0.0035*($E328-AC$15)/$E328,0.002*($E328-AC$15)/($E328-3*cc_D/7))))-fcd_cc*(1-(1-MAX(0,MIN(1,IF($E328&lt;=cc_D,0.0035*($E328-AC$15)/$E328,0.002*($E328-AC$15)/($E328-3*cc_D/7))/0.002)))^2)</f>
        <v/>
      </c>
      <c r="AD328">
        <f>MAX(-fyd_cc,MIN(fyd_cc,Es_cc*IF($E328&lt;=cc_D,0.0035*($E328-AD$15)/$E328,0.002*($E328-AD$15)/($E328-3*cc_D/7))))-fcd_cc*(1-(1-MAX(0,MIN(1,IF($E328&lt;=cc_D,0.0035*($E328-AD$15)/$E328,0.002*($E328-AD$15)/($E328-3*cc_D/7))/0.002)))^2)</f>
        <v/>
      </c>
      <c r="AE328">
        <f>MAX(-fyd_cc,MIN(fyd_cc,Es_cc*IF($E328&lt;=cc_D,0.0035*($E328-AE$15)/$E328,0.002*($E328-AE$15)/($E328-3*cc_D/7))))-fcd_cc*(1-(1-MAX(0,MIN(1,IF($E328&lt;=cc_D,0.0035*($E328-AE$15)/$E328,0.002*($E328-AE$15)/($E328-3*cc_D/7))/0.002)))^2)</f>
        <v/>
      </c>
      <c r="AF328">
        <f>MAX(-fyd_cc,MIN(fyd_cc,Es_cc*IF($E328&lt;=cc_D,0.0035*($E328-AF$15)/$E328,0.002*($E328-AF$15)/($E328-3*cc_D/7))))-fcd_cc*(1-(1-MAX(0,MIN(1,IF($E328&lt;=cc_D,0.0035*($E328-AF$15)/$E328,0.002*($E328-AF$15)/($E328-3*cc_D/7))/0.002)))^2)</f>
        <v/>
      </c>
      <c r="AG328">
        <f>MAX(-fyd_cc,MIN(fyd_cc,Es_cc*IF($E328&lt;=cc_D,0.0035*($E328-AG$15)/$E328,0.002*($E328-AG$15)/($E328-3*cc_D/7))))-fcd_cc*(1-(1-MAX(0,MIN(1,IF($E328&lt;=cc_D,0.0035*($E328-AG$15)/$E328,0.002*($E328-AG$15)/($E328-3*cc_D/7))/0.002)))^2)</f>
        <v/>
      </c>
      <c r="BF328">
        <f>3*MIN($E328,cc_D)/7</f>
        <v/>
      </c>
      <c r="BG328">
        <f>$E328-$BF328</f>
        <v/>
      </c>
      <c r="BH328">
        <f>ACOS(MAX(-1,MIN(1,1-$BF328/(cc_D/2))))</f>
        <v/>
      </c>
      <c r="BI328">
        <f>ACOS(MAX(-1,MIN(1,1-MIN($E328,cc_D)/(cc_D/2))))</f>
        <v/>
      </c>
      <c r="BJ328">
        <f>((cc_D/2*(1-COS(($BH328+0*($BI328-$BH328)/12)))-$BF328)/$BG328)^2*SIN(($BH328+0*($BI328-$BH328)/12))^2</f>
        <v/>
      </c>
      <c r="BK328">
        <f>((cc_D/2*(1-COS(($BH328+1*($BI328-$BH328)/12)))-$BF328)/$BG328)^2*SIN(($BH328+1*($BI328-$BH328)/12))^2</f>
        <v/>
      </c>
      <c r="BL328">
        <f>((cc_D/2*(1-COS(($BH328+2*($BI328-$BH328)/12)))-$BF328)/$BG328)^2*SIN(($BH328+2*($BI328-$BH328)/12))^2</f>
        <v/>
      </c>
      <c r="BM328">
        <f>((cc_D/2*(1-COS(($BH328+3*($BI328-$BH328)/12)))-$BF328)/$BG328)^2*SIN(($BH328+3*($BI328-$BH328)/12))^2</f>
        <v/>
      </c>
      <c r="BN328">
        <f>((cc_D/2*(1-COS(($BH328+4*($BI328-$BH328)/12)))-$BF328)/$BG328)^2*SIN(($BH328+4*($BI328-$BH328)/12))^2</f>
        <v/>
      </c>
      <c r="BO328">
        <f>((cc_D/2*(1-COS(($BH328+5*($BI328-$BH328)/12)))-$BF328)/$BG328)^2*SIN(($BH328+5*($BI328-$BH328)/12))^2</f>
        <v/>
      </c>
      <c r="BP328">
        <f>((cc_D/2*(1-COS(($BH328+6*($BI328-$BH328)/12)))-$BF328)/$BG328)^2*SIN(($BH328+6*($BI328-$BH328)/12))^2</f>
        <v/>
      </c>
      <c r="BQ328">
        <f>((cc_D/2*(1-COS(($BH328+7*($BI328-$BH328)/12)))-$BF328)/$BG328)^2*SIN(($BH328+7*($BI328-$BH328)/12))^2</f>
        <v/>
      </c>
      <c r="BR328">
        <f>((cc_D/2*(1-COS(($BH328+8*($BI328-$BH328)/12)))-$BF328)/$BG328)^2*SIN(($BH328+8*($BI328-$BH328)/12))^2</f>
        <v/>
      </c>
      <c r="BS328">
        <f>((cc_D/2*(1-COS(($BH328+9*($BI328-$BH328)/12)))-$BF328)/$BG328)^2*SIN(($BH328+9*($BI328-$BH328)/12))^2</f>
        <v/>
      </c>
      <c r="BT328">
        <f>((cc_D/2*(1-COS(($BH328+10*($BI328-$BH328)/12)))-$BF328)/$BG328)^2*SIN(($BH328+10*($BI328-$BH328)/12))^2</f>
        <v/>
      </c>
      <c r="BU328">
        <f>((cc_D/2*(1-COS(($BH328+11*($BI328-$BH328)/12)))-$BF328)/$BG328)^2*SIN(($BH328+11*($BI328-$BH328)/12))^2</f>
        <v/>
      </c>
      <c r="BV328">
        <f>((cc_D/2*(1-COS(($BH328+12*($BI328-$BH328)/12)))-$BF328)/$BG328)^2*SIN(($BH328+12*($BI328-$BH328)/12))^2</f>
        <v/>
      </c>
      <c r="BW328">
        <f>BJ328*COS(($BH328+0*($BI328-$BH328)/12))</f>
        <v/>
      </c>
      <c r="BX328">
        <f>BK328*COS(($BH328+1*($BI328-$BH328)/12))</f>
        <v/>
      </c>
      <c r="BY328">
        <f>BL328*COS(($BH328+2*($BI328-$BH328)/12))</f>
        <v/>
      </c>
      <c r="BZ328">
        <f>BM328*COS(($BH328+3*($BI328-$BH328)/12))</f>
        <v/>
      </c>
      <c r="CA328">
        <f>BN328*COS(($BH328+4*($BI328-$BH328)/12))</f>
        <v/>
      </c>
      <c r="CB328">
        <f>BO328*COS(($BH328+5*($BI328-$BH328)/12))</f>
        <v/>
      </c>
      <c r="CC328">
        <f>BP328*COS(($BH328+6*($BI328-$BH328)/12))</f>
        <v/>
      </c>
      <c r="CD328">
        <f>BQ328*COS(($BH328+7*($BI328-$BH328)/12))</f>
        <v/>
      </c>
      <c r="CE328">
        <f>BR328*COS(($BH328+8*($BI328-$BH328)/12))</f>
        <v/>
      </c>
      <c r="CF328">
        <f>BS328*COS(($BH328+9*($BI328-$BH328)/12))</f>
        <v/>
      </c>
      <c r="CG328">
        <f>BT328*COS(($BH328+10*($BI328-$BH328)/12))</f>
        <v/>
      </c>
      <c r="CH328">
        <f>BU328*COS(($BH328+11*($BI328-$BH328)/12))</f>
        <v/>
      </c>
      <c r="CI328">
        <f>BV328*COS(($BH328+12*($BI328-$BH328)/12))</f>
        <v/>
      </c>
    </row>
    <row r="329">
      <c r="B329" s="65" t="n">
        <v>51</v>
      </c>
      <c r="C329" s="66">
        <f>IF($G328&lt;cc_NEd-1E-9*ABS(cc_NEd),($C328+$D328)/2,$C328)</f>
        <v/>
      </c>
      <c r="D329" s="66">
        <f>IF($G328&lt;cc_NEd-1E-9*ABS(cc_NEd),$D328,($C328+$D328)/2)</f>
        <v/>
      </c>
      <c r="E329" s="67">
        <f>cc_D*(($C329+$D329)/2)/(1-(($C329+$D329)/2))</f>
        <v/>
      </c>
      <c r="F329" s="68">
        <f>IF($E329&lt;=cc_D,3.5,2*$E329/($E329-3*cc_D/7))</f>
        <v/>
      </c>
      <c r="G329" s="67">
        <f>(fcd_cc*((cc_D/2)^2*($BI329-COS($BI329)*SIN($BI329))-2*(cc_D/2)^2*($BI329-$BH329)/12/3*SUMPRODUCT($BJ$4:$BV$4,$BJ329:$BV329))+SUMPRODUCT($J$5:$AG$5,$J329:$AG329))/1000</f>
        <v/>
      </c>
      <c r="H329" s="67">
        <f>(fcd_cc*(2/3*(cc_D/2)^3*SIN($BI329)^3-2*(cc_D/2)^3*($BI329-$BH329)/12/3*SUMPRODUCT($BW$4:$CI$4,$BW329:$CI329))+SUMPRODUCT($J$5:$AG$5,$J329:$AG329,$J$16:$AG$16))/1E6</f>
        <v/>
      </c>
      <c r="I329" s="67">
        <f>SUMPRODUCT($J$5:$AG$5,$J329:$AG329,$J$17:$AG$17)/1E6</f>
        <v/>
      </c>
      <c r="J329">
        <f>MAX(-fyd_cc,MIN(fyd_cc,Es_cc*IF($E329&lt;=cc_D,0.0035*($E329-J$15)/$E329,0.002*($E329-J$15)/($E329-3*cc_D/7))))-fcd_cc*(1-(1-MAX(0,MIN(1,IF($E329&lt;=cc_D,0.0035*($E329-J$15)/$E329,0.002*($E329-J$15)/($E329-3*cc_D/7))/0.002)))^2)</f>
        <v/>
      </c>
      <c r="K329">
        <f>MAX(-fyd_cc,MIN(fyd_cc,Es_cc*IF($E329&lt;=cc_D,0.0035*($E329-K$15)/$E329,0.002*($E329-K$15)/($E329-3*cc_D/7))))-fcd_cc*(1-(1-MAX(0,MIN(1,IF($E329&lt;=cc_D,0.0035*($E329-K$15)/$E329,0.002*($E329-K$15)/($E329-3*cc_D/7))/0.002)))^2)</f>
        <v/>
      </c>
      <c r="L329">
        <f>MAX(-fyd_cc,MIN(fyd_cc,Es_cc*IF($E329&lt;=cc_D,0.0035*($E329-L$15)/$E329,0.002*($E329-L$15)/($E329-3*cc_D/7))))-fcd_cc*(1-(1-MAX(0,MIN(1,IF($E329&lt;=cc_D,0.0035*($E329-L$15)/$E329,0.002*($E329-L$15)/($E329-3*cc_D/7))/0.002)))^2)</f>
        <v/>
      </c>
      <c r="M329">
        <f>MAX(-fyd_cc,MIN(fyd_cc,Es_cc*IF($E329&lt;=cc_D,0.0035*($E329-M$15)/$E329,0.002*($E329-M$15)/($E329-3*cc_D/7))))-fcd_cc*(1-(1-MAX(0,MIN(1,IF($E329&lt;=cc_D,0.0035*($E329-M$15)/$E329,0.002*($E329-M$15)/($E329-3*cc_D/7))/0.002)))^2)</f>
        <v/>
      </c>
      <c r="N329">
        <f>MAX(-fyd_cc,MIN(fyd_cc,Es_cc*IF($E329&lt;=cc_D,0.0035*($E329-N$15)/$E329,0.002*($E329-N$15)/($E329-3*cc_D/7))))-fcd_cc*(1-(1-MAX(0,MIN(1,IF($E329&lt;=cc_D,0.0035*($E329-N$15)/$E329,0.002*($E329-N$15)/($E329-3*cc_D/7))/0.002)))^2)</f>
        <v/>
      </c>
      <c r="O329">
        <f>MAX(-fyd_cc,MIN(fyd_cc,Es_cc*IF($E329&lt;=cc_D,0.0035*($E329-O$15)/$E329,0.002*($E329-O$15)/($E329-3*cc_D/7))))-fcd_cc*(1-(1-MAX(0,MIN(1,IF($E329&lt;=cc_D,0.0035*($E329-O$15)/$E329,0.002*($E329-O$15)/($E329-3*cc_D/7))/0.002)))^2)</f>
        <v/>
      </c>
      <c r="P329">
        <f>MAX(-fyd_cc,MIN(fyd_cc,Es_cc*IF($E329&lt;=cc_D,0.0035*($E329-P$15)/$E329,0.002*($E329-P$15)/($E329-3*cc_D/7))))-fcd_cc*(1-(1-MAX(0,MIN(1,IF($E329&lt;=cc_D,0.0035*($E329-P$15)/$E329,0.002*($E329-P$15)/($E329-3*cc_D/7))/0.002)))^2)</f>
        <v/>
      </c>
      <c r="Q329">
        <f>MAX(-fyd_cc,MIN(fyd_cc,Es_cc*IF($E329&lt;=cc_D,0.0035*($E329-Q$15)/$E329,0.002*($E329-Q$15)/($E329-3*cc_D/7))))-fcd_cc*(1-(1-MAX(0,MIN(1,IF($E329&lt;=cc_D,0.0035*($E329-Q$15)/$E329,0.002*($E329-Q$15)/($E329-3*cc_D/7))/0.002)))^2)</f>
        <v/>
      </c>
      <c r="R329">
        <f>MAX(-fyd_cc,MIN(fyd_cc,Es_cc*IF($E329&lt;=cc_D,0.0035*($E329-R$15)/$E329,0.002*($E329-R$15)/($E329-3*cc_D/7))))-fcd_cc*(1-(1-MAX(0,MIN(1,IF($E329&lt;=cc_D,0.0035*($E329-R$15)/$E329,0.002*($E329-R$15)/($E329-3*cc_D/7))/0.002)))^2)</f>
        <v/>
      </c>
      <c r="S329">
        <f>MAX(-fyd_cc,MIN(fyd_cc,Es_cc*IF($E329&lt;=cc_D,0.0035*($E329-S$15)/$E329,0.002*($E329-S$15)/($E329-3*cc_D/7))))-fcd_cc*(1-(1-MAX(0,MIN(1,IF($E329&lt;=cc_D,0.0035*($E329-S$15)/$E329,0.002*($E329-S$15)/($E329-3*cc_D/7))/0.002)))^2)</f>
        <v/>
      </c>
      <c r="T329">
        <f>MAX(-fyd_cc,MIN(fyd_cc,Es_cc*IF($E329&lt;=cc_D,0.0035*($E329-T$15)/$E329,0.002*($E329-T$15)/($E329-3*cc_D/7))))-fcd_cc*(1-(1-MAX(0,MIN(1,IF($E329&lt;=cc_D,0.0035*($E329-T$15)/$E329,0.002*($E329-T$15)/($E329-3*cc_D/7))/0.002)))^2)</f>
        <v/>
      </c>
      <c r="U329">
        <f>MAX(-fyd_cc,MIN(fyd_cc,Es_cc*IF($E329&lt;=cc_D,0.0035*($E329-U$15)/$E329,0.002*($E329-U$15)/($E329-3*cc_D/7))))-fcd_cc*(1-(1-MAX(0,MIN(1,IF($E329&lt;=cc_D,0.0035*($E329-U$15)/$E329,0.002*($E329-U$15)/($E329-3*cc_D/7))/0.002)))^2)</f>
        <v/>
      </c>
      <c r="V329">
        <f>MAX(-fyd_cc,MIN(fyd_cc,Es_cc*IF($E329&lt;=cc_D,0.0035*($E329-V$15)/$E329,0.002*($E329-V$15)/($E329-3*cc_D/7))))-fcd_cc*(1-(1-MAX(0,MIN(1,IF($E329&lt;=cc_D,0.0035*($E329-V$15)/$E329,0.002*($E329-V$15)/($E329-3*cc_D/7))/0.002)))^2)</f>
        <v/>
      </c>
      <c r="W329">
        <f>MAX(-fyd_cc,MIN(fyd_cc,Es_cc*IF($E329&lt;=cc_D,0.0035*($E329-W$15)/$E329,0.002*($E329-W$15)/($E329-3*cc_D/7))))-fcd_cc*(1-(1-MAX(0,MIN(1,IF($E329&lt;=cc_D,0.0035*($E329-W$15)/$E329,0.002*($E329-W$15)/($E329-3*cc_D/7))/0.002)))^2)</f>
        <v/>
      </c>
      <c r="X329">
        <f>MAX(-fyd_cc,MIN(fyd_cc,Es_cc*IF($E329&lt;=cc_D,0.0035*($E329-X$15)/$E329,0.002*($E329-X$15)/($E329-3*cc_D/7))))-fcd_cc*(1-(1-MAX(0,MIN(1,IF($E329&lt;=cc_D,0.0035*($E329-X$15)/$E329,0.002*($E329-X$15)/($E329-3*cc_D/7))/0.002)))^2)</f>
        <v/>
      </c>
      <c r="Y329">
        <f>MAX(-fyd_cc,MIN(fyd_cc,Es_cc*IF($E329&lt;=cc_D,0.0035*($E329-Y$15)/$E329,0.002*($E329-Y$15)/($E329-3*cc_D/7))))-fcd_cc*(1-(1-MAX(0,MIN(1,IF($E329&lt;=cc_D,0.0035*($E329-Y$15)/$E329,0.002*($E329-Y$15)/($E329-3*cc_D/7))/0.002)))^2)</f>
        <v/>
      </c>
      <c r="Z329">
        <f>MAX(-fyd_cc,MIN(fyd_cc,Es_cc*IF($E329&lt;=cc_D,0.0035*($E329-Z$15)/$E329,0.002*($E329-Z$15)/($E329-3*cc_D/7))))-fcd_cc*(1-(1-MAX(0,MIN(1,IF($E329&lt;=cc_D,0.0035*($E329-Z$15)/$E329,0.002*($E329-Z$15)/($E329-3*cc_D/7))/0.002)))^2)</f>
        <v/>
      </c>
      <c r="AA329">
        <f>MAX(-fyd_cc,MIN(fyd_cc,Es_cc*IF($E329&lt;=cc_D,0.0035*($E329-AA$15)/$E329,0.002*($E329-AA$15)/($E329-3*cc_D/7))))-fcd_cc*(1-(1-MAX(0,MIN(1,IF($E329&lt;=cc_D,0.0035*($E329-AA$15)/$E329,0.002*($E329-AA$15)/($E329-3*cc_D/7))/0.002)))^2)</f>
        <v/>
      </c>
      <c r="AB329">
        <f>MAX(-fyd_cc,MIN(fyd_cc,Es_cc*IF($E329&lt;=cc_D,0.0035*($E329-AB$15)/$E329,0.002*($E329-AB$15)/($E329-3*cc_D/7))))-fcd_cc*(1-(1-MAX(0,MIN(1,IF($E329&lt;=cc_D,0.0035*($E329-AB$15)/$E329,0.002*($E329-AB$15)/($E329-3*cc_D/7))/0.002)))^2)</f>
        <v/>
      </c>
      <c r="AC329">
        <f>MAX(-fyd_cc,MIN(fyd_cc,Es_cc*IF($E329&lt;=cc_D,0.0035*($E329-AC$15)/$E329,0.002*($E329-AC$15)/($E329-3*cc_D/7))))-fcd_cc*(1-(1-MAX(0,MIN(1,IF($E329&lt;=cc_D,0.0035*($E329-AC$15)/$E329,0.002*($E329-AC$15)/($E329-3*cc_D/7))/0.002)))^2)</f>
        <v/>
      </c>
      <c r="AD329">
        <f>MAX(-fyd_cc,MIN(fyd_cc,Es_cc*IF($E329&lt;=cc_D,0.0035*($E329-AD$15)/$E329,0.002*($E329-AD$15)/($E329-3*cc_D/7))))-fcd_cc*(1-(1-MAX(0,MIN(1,IF($E329&lt;=cc_D,0.0035*($E329-AD$15)/$E329,0.002*($E329-AD$15)/($E329-3*cc_D/7))/0.002)))^2)</f>
        <v/>
      </c>
      <c r="AE329">
        <f>MAX(-fyd_cc,MIN(fyd_cc,Es_cc*IF($E329&lt;=cc_D,0.0035*($E329-AE$15)/$E329,0.002*($E329-AE$15)/($E329-3*cc_D/7))))-fcd_cc*(1-(1-MAX(0,MIN(1,IF($E329&lt;=cc_D,0.0035*($E329-AE$15)/$E329,0.002*($E329-AE$15)/($E329-3*cc_D/7))/0.002)))^2)</f>
        <v/>
      </c>
      <c r="AF329">
        <f>MAX(-fyd_cc,MIN(fyd_cc,Es_cc*IF($E329&lt;=cc_D,0.0035*($E329-AF$15)/$E329,0.002*($E329-AF$15)/($E329-3*cc_D/7))))-fcd_cc*(1-(1-MAX(0,MIN(1,IF($E329&lt;=cc_D,0.0035*($E329-AF$15)/$E329,0.002*($E329-AF$15)/($E329-3*cc_D/7))/0.002)))^2)</f>
        <v/>
      </c>
      <c r="AG329">
        <f>MAX(-fyd_cc,MIN(fyd_cc,Es_cc*IF($E329&lt;=cc_D,0.0035*($E329-AG$15)/$E329,0.002*($E329-AG$15)/($E329-3*cc_D/7))))-fcd_cc*(1-(1-MAX(0,MIN(1,IF($E329&lt;=cc_D,0.0035*($E329-AG$15)/$E329,0.002*($E329-AG$15)/($E329-3*cc_D/7))/0.002)))^2)</f>
        <v/>
      </c>
      <c r="BF329">
        <f>3*MIN($E329,cc_D)/7</f>
        <v/>
      </c>
      <c r="BG329">
        <f>$E329-$BF329</f>
        <v/>
      </c>
      <c r="BH329">
        <f>ACOS(MAX(-1,MIN(1,1-$BF329/(cc_D/2))))</f>
        <v/>
      </c>
      <c r="BI329">
        <f>ACOS(MAX(-1,MIN(1,1-MIN($E329,cc_D)/(cc_D/2))))</f>
        <v/>
      </c>
      <c r="BJ329">
        <f>((cc_D/2*(1-COS(($BH329+0*($BI329-$BH329)/12)))-$BF329)/$BG329)^2*SIN(($BH329+0*($BI329-$BH329)/12))^2</f>
        <v/>
      </c>
      <c r="BK329">
        <f>((cc_D/2*(1-COS(($BH329+1*($BI329-$BH329)/12)))-$BF329)/$BG329)^2*SIN(($BH329+1*($BI329-$BH329)/12))^2</f>
        <v/>
      </c>
      <c r="BL329">
        <f>((cc_D/2*(1-COS(($BH329+2*($BI329-$BH329)/12)))-$BF329)/$BG329)^2*SIN(($BH329+2*($BI329-$BH329)/12))^2</f>
        <v/>
      </c>
      <c r="BM329">
        <f>((cc_D/2*(1-COS(($BH329+3*($BI329-$BH329)/12)))-$BF329)/$BG329)^2*SIN(($BH329+3*($BI329-$BH329)/12))^2</f>
        <v/>
      </c>
      <c r="BN329">
        <f>((cc_D/2*(1-COS(($BH329+4*($BI329-$BH329)/12)))-$BF329)/$BG329)^2*SIN(($BH329+4*($BI329-$BH329)/12))^2</f>
        <v/>
      </c>
      <c r="BO329">
        <f>((cc_D/2*(1-COS(($BH329+5*($BI329-$BH329)/12)))-$BF329)/$BG329)^2*SIN(($BH329+5*($BI329-$BH329)/12))^2</f>
        <v/>
      </c>
      <c r="BP329">
        <f>((cc_D/2*(1-COS(($BH329+6*($BI329-$BH329)/12)))-$BF329)/$BG329)^2*SIN(($BH329+6*($BI329-$BH329)/12))^2</f>
        <v/>
      </c>
      <c r="BQ329">
        <f>((cc_D/2*(1-COS(($BH329+7*($BI329-$BH329)/12)))-$BF329)/$BG329)^2*SIN(($BH329+7*($BI329-$BH329)/12))^2</f>
        <v/>
      </c>
      <c r="BR329">
        <f>((cc_D/2*(1-COS(($BH329+8*($BI329-$BH329)/12)))-$BF329)/$BG329)^2*SIN(($BH329+8*($BI329-$BH329)/12))^2</f>
        <v/>
      </c>
      <c r="BS329">
        <f>((cc_D/2*(1-COS(($BH329+9*($BI329-$BH329)/12)))-$BF329)/$BG329)^2*SIN(($BH329+9*($BI329-$BH329)/12))^2</f>
        <v/>
      </c>
      <c r="BT329">
        <f>((cc_D/2*(1-COS(($BH329+10*($BI329-$BH329)/12)))-$BF329)/$BG329)^2*SIN(($BH329+10*($BI329-$BH329)/12))^2</f>
        <v/>
      </c>
      <c r="BU329">
        <f>((cc_D/2*(1-COS(($BH329+11*($BI329-$BH329)/12)))-$BF329)/$BG329)^2*SIN(($BH329+11*($BI329-$BH329)/12))^2</f>
        <v/>
      </c>
      <c r="BV329">
        <f>((cc_D/2*(1-COS(($BH329+12*($BI329-$BH329)/12)))-$BF329)/$BG329)^2*SIN(($BH329+12*($BI329-$BH329)/12))^2</f>
        <v/>
      </c>
      <c r="BW329">
        <f>BJ329*COS(($BH329+0*($BI329-$BH329)/12))</f>
        <v/>
      </c>
      <c r="BX329">
        <f>BK329*COS(($BH329+1*($BI329-$BH329)/12))</f>
        <v/>
      </c>
      <c r="BY329">
        <f>BL329*COS(($BH329+2*($BI329-$BH329)/12))</f>
        <v/>
      </c>
      <c r="BZ329">
        <f>BM329*COS(($BH329+3*($BI329-$BH329)/12))</f>
        <v/>
      </c>
      <c r="CA329">
        <f>BN329*COS(($BH329+4*($BI329-$BH329)/12))</f>
        <v/>
      </c>
      <c r="CB329">
        <f>BO329*COS(($BH329+5*($BI329-$BH329)/12))</f>
        <v/>
      </c>
      <c r="CC329">
        <f>BP329*COS(($BH329+6*($BI329-$BH329)/12))</f>
        <v/>
      </c>
      <c r="CD329">
        <f>BQ329*COS(($BH329+7*($BI329-$BH329)/12))</f>
        <v/>
      </c>
      <c r="CE329">
        <f>BR329*COS(($BH329+8*($BI329-$BH329)/12))</f>
        <v/>
      </c>
      <c r="CF329">
        <f>BS329*COS(($BH329+9*($BI329-$BH329)/12))</f>
        <v/>
      </c>
      <c r="CG329">
        <f>BT329*COS(($BH329+10*($BI329-$BH329)/12))</f>
        <v/>
      </c>
      <c r="CH329">
        <f>BU329*COS(($BH329+11*($BI329-$BH329)/12))</f>
        <v/>
      </c>
      <c r="CI329">
        <f>BV329*COS(($BH329+12*($BI329-$BH329)/12))</f>
        <v/>
      </c>
    </row>
    <row r="330">
      <c r="B330" s="65" t="n">
        <v>52</v>
      </c>
      <c r="C330" s="66">
        <f>IF($G329&lt;cc_NEd-1E-9*ABS(cc_NEd),($C329+$D329)/2,$C329)</f>
        <v/>
      </c>
      <c r="D330" s="66">
        <f>IF($G329&lt;cc_NEd-1E-9*ABS(cc_NEd),$D329,($C329+$D329)/2)</f>
        <v/>
      </c>
      <c r="E330" s="67">
        <f>cc_D*(($C330+$D330)/2)/(1-(($C330+$D330)/2))</f>
        <v/>
      </c>
      <c r="F330" s="68">
        <f>IF($E330&lt;=cc_D,3.5,2*$E330/($E330-3*cc_D/7))</f>
        <v/>
      </c>
      <c r="G330" s="67">
        <f>(fcd_cc*((cc_D/2)^2*($BI330-COS($BI330)*SIN($BI330))-2*(cc_D/2)^2*($BI330-$BH330)/12/3*SUMPRODUCT($BJ$4:$BV$4,$BJ330:$BV330))+SUMPRODUCT($J$5:$AG$5,$J330:$AG330))/1000</f>
        <v/>
      </c>
      <c r="H330" s="67">
        <f>(fcd_cc*(2/3*(cc_D/2)^3*SIN($BI330)^3-2*(cc_D/2)^3*($BI330-$BH330)/12/3*SUMPRODUCT($BW$4:$CI$4,$BW330:$CI330))+SUMPRODUCT($J$5:$AG$5,$J330:$AG330,$J$16:$AG$16))/1E6</f>
        <v/>
      </c>
      <c r="I330" s="67">
        <f>SUMPRODUCT($J$5:$AG$5,$J330:$AG330,$J$17:$AG$17)/1E6</f>
        <v/>
      </c>
      <c r="J330">
        <f>MAX(-fyd_cc,MIN(fyd_cc,Es_cc*IF($E330&lt;=cc_D,0.0035*($E330-J$15)/$E330,0.002*($E330-J$15)/($E330-3*cc_D/7))))-fcd_cc*(1-(1-MAX(0,MIN(1,IF($E330&lt;=cc_D,0.0035*($E330-J$15)/$E330,0.002*($E330-J$15)/($E330-3*cc_D/7))/0.002)))^2)</f>
        <v/>
      </c>
      <c r="K330">
        <f>MAX(-fyd_cc,MIN(fyd_cc,Es_cc*IF($E330&lt;=cc_D,0.0035*($E330-K$15)/$E330,0.002*($E330-K$15)/($E330-3*cc_D/7))))-fcd_cc*(1-(1-MAX(0,MIN(1,IF($E330&lt;=cc_D,0.0035*($E330-K$15)/$E330,0.002*($E330-K$15)/($E330-3*cc_D/7))/0.002)))^2)</f>
        <v/>
      </c>
      <c r="L330">
        <f>MAX(-fyd_cc,MIN(fyd_cc,Es_cc*IF($E330&lt;=cc_D,0.0035*($E330-L$15)/$E330,0.002*($E330-L$15)/($E330-3*cc_D/7))))-fcd_cc*(1-(1-MAX(0,MIN(1,IF($E330&lt;=cc_D,0.0035*($E330-L$15)/$E330,0.002*($E330-L$15)/($E330-3*cc_D/7))/0.002)))^2)</f>
        <v/>
      </c>
      <c r="M330">
        <f>MAX(-fyd_cc,MIN(fyd_cc,Es_cc*IF($E330&lt;=cc_D,0.0035*($E330-M$15)/$E330,0.002*($E330-M$15)/($E330-3*cc_D/7))))-fcd_cc*(1-(1-MAX(0,MIN(1,IF($E330&lt;=cc_D,0.0035*($E330-M$15)/$E330,0.002*($E330-M$15)/($E330-3*cc_D/7))/0.002)))^2)</f>
        <v/>
      </c>
      <c r="N330">
        <f>MAX(-fyd_cc,MIN(fyd_cc,Es_cc*IF($E330&lt;=cc_D,0.0035*($E330-N$15)/$E330,0.002*($E330-N$15)/($E330-3*cc_D/7))))-fcd_cc*(1-(1-MAX(0,MIN(1,IF($E330&lt;=cc_D,0.0035*($E330-N$15)/$E330,0.002*($E330-N$15)/($E330-3*cc_D/7))/0.002)))^2)</f>
        <v/>
      </c>
      <c r="O330">
        <f>MAX(-fyd_cc,MIN(fyd_cc,Es_cc*IF($E330&lt;=cc_D,0.0035*($E330-O$15)/$E330,0.002*($E330-O$15)/($E330-3*cc_D/7))))-fcd_cc*(1-(1-MAX(0,MIN(1,IF($E330&lt;=cc_D,0.0035*($E330-O$15)/$E330,0.002*($E330-O$15)/($E330-3*cc_D/7))/0.002)))^2)</f>
        <v/>
      </c>
      <c r="P330">
        <f>MAX(-fyd_cc,MIN(fyd_cc,Es_cc*IF($E330&lt;=cc_D,0.0035*($E330-P$15)/$E330,0.002*($E330-P$15)/($E330-3*cc_D/7))))-fcd_cc*(1-(1-MAX(0,MIN(1,IF($E330&lt;=cc_D,0.0035*($E330-P$15)/$E330,0.002*($E330-P$15)/($E330-3*cc_D/7))/0.002)))^2)</f>
        <v/>
      </c>
      <c r="Q330">
        <f>MAX(-fyd_cc,MIN(fyd_cc,Es_cc*IF($E330&lt;=cc_D,0.0035*($E330-Q$15)/$E330,0.002*($E330-Q$15)/($E330-3*cc_D/7))))-fcd_cc*(1-(1-MAX(0,MIN(1,IF($E330&lt;=cc_D,0.0035*($E330-Q$15)/$E330,0.002*($E330-Q$15)/($E330-3*cc_D/7))/0.002)))^2)</f>
        <v/>
      </c>
      <c r="R330">
        <f>MAX(-fyd_cc,MIN(fyd_cc,Es_cc*IF($E330&lt;=cc_D,0.0035*($E330-R$15)/$E330,0.002*($E330-R$15)/($E330-3*cc_D/7))))-fcd_cc*(1-(1-MAX(0,MIN(1,IF($E330&lt;=cc_D,0.0035*($E330-R$15)/$E330,0.002*($E330-R$15)/($E330-3*cc_D/7))/0.002)))^2)</f>
        <v/>
      </c>
      <c r="S330">
        <f>MAX(-fyd_cc,MIN(fyd_cc,Es_cc*IF($E330&lt;=cc_D,0.0035*($E330-S$15)/$E330,0.002*($E330-S$15)/($E330-3*cc_D/7))))-fcd_cc*(1-(1-MAX(0,MIN(1,IF($E330&lt;=cc_D,0.0035*($E330-S$15)/$E330,0.002*($E330-S$15)/($E330-3*cc_D/7))/0.002)))^2)</f>
        <v/>
      </c>
      <c r="T330">
        <f>MAX(-fyd_cc,MIN(fyd_cc,Es_cc*IF($E330&lt;=cc_D,0.0035*($E330-T$15)/$E330,0.002*($E330-T$15)/($E330-3*cc_D/7))))-fcd_cc*(1-(1-MAX(0,MIN(1,IF($E330&lt;=cc_D,0.0035*($E330-T$15)/$E330,0.002*($E330-T$15)/($E330-3*cc_D/7))/0.002)))^2)</f>
        <v/>
      </c>
      <c r="U330">
        <f>MAX(-fyd_cc,MIN(fyd_cc,Es_cc*IF($E330&lt;=cc_D,0.0035*($E330-U$15)/$E330,0.002*($E330-U$15)/($E330-3*cc_D/7))))-fcd_cc*(1-(1-MAX(0,MIN(1,IF($E330&lt;=cc_D,0.0035*($E330-U$15)/$E330,0.002*($E330-U$15)/($E330-3*cc_D/7))/0.002)))^2)</f>
        <v/>
      </c>
      <c r="V330">
        <f>MAX(-fyd_cc,MIN(fyd_cc,Es_cc*IF($E330&lt;=cc_D,0.0035*($E330-V$15)/$E330,0.002*($E330-V$15)/($E330-3*cc_D/7))))-fcd_cc*(1-(1-MAX(0,MIN(1,IF($E330&lt;=cc_D,0.0035*($E330-V$15)/$E330,0.002*($E330-V$15)/($E330-3*cc_D/7))/0.002)))^2)</f>
        <v/>
      </c>
      <c r="W330">
        <f>MAX(-fyd_cc,MIN(fyd_cc,Es_cc*IF($E330&lt;=cc_D,0.0035*($E330-W$15)/$E330,0.002*($E330-W$15)/($E330-3*cc_D/7))))-fcd_cc*(1-(1-MAX(0,MIN(1,IF($E330&lt;=cc_D,0.0035*($E330-W$15)/$E330,0.002*($E330-W$15)/($E330-3*cc_D/7))/0.002)))^2)</f>
        <v/>
      </c>
      <c r="X330">
        <f>MAX(-fyd_cc,MIN(fyd_cc,Es_cc*IF($E330&lt;=cc_D,0.0035*($E330-X$15)/$E330,0.002*($E330-X$15)/($E330-3*cc_D/7))))-fcd_cc*(1-(1-MAX(0,MIN(1,IF($E330&lt;=cc_D,0.0035*($E330-X$15)/$E330,0.002*($E330-X$15)/($E330-3*cc_D/7))/0.002)))^2)</f>
        <v/>
      </c>
      <c r="Y330">
        <f>MAX(-fyd_cc,MIN(fyd_cc,Es_cc*IF($E330&lt;=cc_D,0.0035*($E330-Y$15)/$E330,0.002*($E330-Y$15)/($E330-3*cc_D/7))))-fcd_cc*(1-(1-MAX(0,MIN(1,IF($E330&lt;=cc_D,0.0035*($E330-Y$15)/$E330,0.002*($E330-Y$15)/($E330-3*cc_D/7))/0.002)))^2)</f>
        <v/>
      </c>
      <c r="Z330">
        <f>MAX(-fyd_cc,MIN(fyd_cc,Es_cc*IF($E330&lt;=cc_D,0.0035*($E330-Z$15)/$E330,0.002*($E330-Z$15)/($E330-3*cc_D/7))))-fcd_cc*(1-(1-MAX(0,MIN(1,IF($E330&lt;=cc_D,0.0035*($E330-Z$15)/$E330,0.002*($E330-Z$15)/($E330-3*cc_D/7))/0.002)))^2)</f>
        <v/>
      </c>
      <c r="AA330">
        <f>MAX(-fyd_cc,MIN(fyd_cc,Es_cc*IF($E330&lt;=cc_D,0.0035*($E330-AA$15)/$E330,0.002*($E330-AA$15)/($E330-3*cc_D/7))))-fcd_cc*(1-(1-MAX(0,MIN(1,IF($E330&lt;=cc_D,0.0035*($E330-AA$15)/$E330,0.002*($E330-AA$15)/($E330-3*cc_D/7))/0.002)))^2)</f>
        <v/>
      </c>
      <c r="AB330">
        <f>MAX(-fyd_cc,MIN(fyd_cc,Es_cc*IF($E330&lt;=cc_D,0.0035*($E330-AB$15)/$E330,0.002*($E330-AB$15)/($E330-3*cc_D/7))))-fcd_cc*(1-(1-MAX(0,MIN(1,IF($E330&lt;=cc_D,0.0035*($E330-AB$15)/$E330,0.002*($E330-AB$15)/($E330-3*cc_D/7))/0.002)))^2)</f>
        <v/>
      </c>
      <c r="AC330">
        <f>MAX(-fyd_cc,MIN(fyd_cc,Es_cc*IF($E330&lt;=cc_D,0.0035*($E330-AC$15)/$E330,0.002*($E330-AC$15)/($E330-3*cc_D/7))))-fcd_cc*(1-(1-MAX(0,MIN(1,IF($E330&lt;=cc_D,0.0035*($E330-AC$15)/$E330,0.002*($E330-AC$15)/($E330-3*cc_D/7))/0.002)))^2)</f>
        <v/>
      </c>
      <c r="AD330">
        <f>MAX(-fyd_cc,MIN(fyd_cc,Es_cc*IF($E330&lt;=cc_D,0.0035*($E330-AD$15)/$E330,0.002*($E330-AD$15)/($E330-3*cc_D/7))))-fcd_cc*(1-(1-MAX(0,MIN(1,IF($E330&lt;=cc_D,0.0035*($E330-AD$15)/$E330,0.002*($E330-AD$15)/($E330-3*cc_D/7))/0.002)))^2)</f>
        <v/>
      </c>
      <c r="AE330">
        <f>MAX(-fyd_cc,MIN(fyd_cc,Es_cc*IF($E330&lt;=cc_D,0.0035*($E330-AE$15)/$E330,0.002*($E330-AE$15)/($E330-3*cc_D/7))))-fcd_cc*(1-(1-MAX(0,MIN(1,IF($E330&lt;=cc_D,0.0035*($E330-AE$15)/$E330,0.002*($E330-AE$15)/($E330-3*cc_D/7))/0.002)))^2)</f>
        <v/>
      </c>
      <c r="AF330">
        <f>MAX(-fyd_cc,MIN(fyd_cc,Es_cc*IF($E330&lt;=cc_D,0.0035*($E330-AF$15)/$E330,0.002*($E330-AF$15)/($E330-3*cc_D/7))))-fcd_cc*(1-(1-MAX(0,MIN(1,IF($E330&lt;=cc_D,0.0035*($E330-AF$15)/$E330,0.002*($E330-AF$15)/($E330-3*cc_D/7))/0.002)))^2)</f>
        <v/>
      </c>
      <c r="AG330">
        <f>MAX(-fyd_cc,MIN(fyd_cc,Es_cc*IF($E330&lt;=cc_D,0.0035*($E330-AG$15)/$E330,0.002*($E330-AG$15)/($E330-3*cc_D/7))))-fcd_cc*(1-(1-MAX(0,MIN(1,IF($E330&lt;=cc_D,0.0035*($E330-AG$15)/$E330,0.002*($E330-AG$15)/($E330-3*cc_D/7))/0.002)))^2)</f>
        <v/>
      </c>
      <c r="BF330">
        <f>3*MIN($E330,cc_D)/7</f>
        <v/>
      </c>
      <c r="BG330">
        <f>$E330-$BF330</f>
        <v/>
      </c>
      <c r="BH330">
        <f>ACOS(MAX(-1,MIN(1,1-$BF330/(cc_D/2))))</f>
        <v/>
      </c>
      <c r="BI330">
        <f>ACOS(MAX(-1,MIN(1,1-MIN($E330,cc_D)/(cc_D/2))))</f>
        <v/>
      </c>
      <c r="BJ330">
        <f>((cc_D/2*(1-COS(($BH330+0*($BI330-$BH330)/12)))-$BF330)/$BG330)^2*SIN(($BH330+0*($BI330-$BH330)/12))^2</f>
        <v/>
      </c>
      <c r="BK330">
        <f>((cc_D/2*(1-COS(($BH330+1*($BI330-$BH330)/12)))-$BF330)/$BG330)^2*SIN(($BH330+1*($BI330-$BH330)/12))^2</f>
        <v/>
      </c>
      <c r="BL330">
        <f>((cc_D/2*(1-COS(($BH330+2*($BI330-$BH330)/12)))-$BF330)/$BG330)^2*SIN(($BH330+2*($BI330-$BH330)/12))^2</f>
        <v/>
      </c>
      <c r="BM330">
        <f>((cc_D/2*(1-COS(($BH330+3*($BI330-$BH330)/12)))-$BF330)/$BG330)^2*SIN(($BH330+3*($BI330-$BH330)/12))^2</f>
        <v/>
      </c>
      <c r="BN330">
        <f>((cc_D/2*(1-COS(($BH330+4*($BI330-$BH330)/12)))-$BF330)/$BG330)^2*SIN(($BH330+4*($BI330-$BH330)/12))^2</f>
        <v/>
      </c>
      <c r="BO330">
        <f>((cc_D/2*(1-COS(($BH330+5*($BI330-$BH330)/12)))-$BF330)/$BG330)^2*SIN(($BH330+5*($BI330-$BH330)/12))^2</f>
        <v/>
      </c>
      <c r="BP330">
        <f>((cc_D/2*(1-COS(($BH330+6*($BI330-$BH330)/12)))-$BF330)/$BG330)^2*SIN(($BH330+6*($BI330-$BH330)/12))^2</f>
        <v/>
      </c>
      <c r="BQ330">
        <f>((cc_D/2*(1-COS(($BH330+7*($BI330-$BH330)/12)))-$BF330)/$BG330)^2*SIN(($BH330+7*($BI330-$BH330)/12))^2</f>
        <v/>
      </c>
      <c r="BR330">
        <f>((cc_D/2*(1-COS(($BH330+8*($BI330-$BH330)/12)))-$BF330)/$BG330)^2*SIN(($BH330+8*($BI330-$BH330)/12))^2</f>
        <v/>
      </c>
      <c r="BS330">
        <f>((cc_D/2*(1-COS(($BH330+9*($BI330-$BH330)/12)))-$BF330)/$BG330)^2*SIN(($BH330+9*($BI330-$BH330)/12))^2</f>
        <v/>
      </c>
      <c r="BT330">
        <f>((cc_D/2*(1-COS(($BH330+10*($BI330-$BH330)/12)))-$BF330)/$BG330)^2*SIN(($BH330+10*($BI330-$BH330)/12))^2</f>
        <v/>
      </c>
      <c r="BU330">
        <f>((cc_D/2*(1-COS(($BH330+11*($BI330-$BH330)/12)))-$BF330)/$BG330)^2*SIN(($BH330+11*($BI330-$BH330)/12))^2</f>
        <v/>
      </c>
      <c r="BV330">
        <f>((cc_D/2*(1-COS(($BH330+12*($BI330-$BH330)/12)))-$BF330)/$BG330)^2*SIN(($BH330+12*($BI330-$BH330)/12))^2</f>
        <v/>
      </c>
      <c r="BW330">
        <f>BJ330*COS(($BH330+0*($BI330-$BH330)/12))</f>
        <v/>
      </c>
      <c r="BX330">
        <f>BK330*COS(($BH330+1*($BI330-$BH330)/12))</f>
        <v/>
      </c>
      <c r="BY330">
        <f>BL330*COS(($BH330+2*($BI330-$BH330)/12))</f>
        <v/>
      </c>
      <c r="BZ330">
        <f>BM330*COS(($BH330+3*($BI330-$BH330)/12))</f>
        <v/>
      </c>
      <c r="CA330">
        <f>BN330*COS(($BH330+4*($BI330-$BH330)/12))</f>
        <v/>
      </c>
      <c r="CB330">
        <f>BO330*COS(($BH330+5*($BI330-$BH330)/12))</f>
        <v/>
      </c>
      <c r="CC330">
        <f>BP330*COS(($BH330+6*($BI330-$BH330)/12))</f>
        <v/>
      </c>
      <c r="CD330">
        <f>BQ330*COS(($BH330+7*($BI330-$BH330)/12))</f>
        <v/>
      </c>
      <c r="CE330">
        <f>BR330*COS(($BH330+8*($BI330-$BH330)/12))</f>
        <v/>
      </c>
      <c r="CF330">
        <f>BS330*COS(($BH330+9*($BI330-$BH330)/12))</f>
        <v/>
      </c>
      <c r="CG330">
        <f>BT330*COS(($BH330+10*($BI330-$BH330)/12))</f>
        <v/>
      </c>
      <c r="CH330">
        <f>BU330*COS(($BH330+11*($BI330-$BH330)/12))</f>
        <v/>
      </c>
      <c r="CI330">
        <f>BV330*COS(($BH330+12*($BI330-$BH330)/12))</f>
        <v/>
      </c>
    </row>
    <row r="331">
      <c r="B331" s="65" t="n">
        <v>53</v>
      </c>
      <c r="C331" s="66">
        <f>IF($G330&lt;cc_NEd-1E-9*ABS(cc_NEd),($C330+$D330)/2,$C330)</f>
        <v/>
      </c>
      <c r="D331" s="66">
        <f>IF($G330&lt;cc_NEd-1E-9*ABS(cc_NEd),$D330,($C330+$D330)/2)</f>
        <v/>
      </c>
      <c r="E331" s="67">
        <f>cc_D*(($C331+$D331)/2)/(1-(($C331+$D331)/2))</f>
        <v/>
      </c>
      <c r="F331" s="68">
        <f>IF($E331&lt;=cc_D,3.5,2*$E331/($E331-3*cc_D/7))</f>
        <v/>
      </c>
      <c r="G331" s="67">
        <f>(fcd_cc*((cc_D/2)^2*($BI331-COS($BI331)*SIN($BI331))-2*(cc_D/2)^2*($BI331-$BH331)/12/3*SUMPRODUCT($BJ$4:$BV$4,$BJ331:$BV331))+SUMPRODUCT($J$5:$AG$5,$J331:$AG331))/1000</f>
        <v/>
      </c>
      <c r="H331" s="67">
        <f>(fcd_cc*(2/3*(cc_D/2)^3*SIN($BI331)^3-2*(cc_D/2)^3*($BI331-$BH331)/12/3*SUMPRODUCT($BW$4:$CI$4,$BW331:$CI331))+SUMPRODUCT($J$5:$AG$5,$J331:$AG331,$J$16:$AG$16))/1E6</f>
        <v/>
      </c>
      <c r="I331" s="67">
        <f>SUMPRODUCT($J$5:$AG$5,$J331:$AG331,$J$17:$AG$17)/1E6</f>
        <v/>
      </c>
      <c r="J331">
        <f>MAX(-fyd_cc,MIN(fyd_cc,Es_cc*IF($E331&lt;=cc_D,0.0035*($E331-J$15)/$E331,0.002*($E331-J$15)/($E331-3*cc_D/7))))-fcd_cc*(1-(1-MAX(0,MIN(1,IF($E331&lt;=cc_D,0.0035*($E331-J$15)/$E331,0.002*($E331-J$15)/($E331-3*cc_D/7))/0.002)))^2)</f>
        <v/>
      </c>
      <c r="K331">
        <f>MAX(-fyd_cc,MIN(fyd_cc,Es_cc*IF($E331&lt;=cc_D,0.0035*($E331-K$15)/$E331,0.002*($E331-K$15)/($E331-3*cc_D/7))))-fcd_cc*(1-(1-MAX(0,MIN(1,IF($E331&lt;=cc_D,0.0035*($E331-K$15)/$E331,0.002*($E331-K$15)/($E331-3*cc_D/7))/0.002)))^2)</f>
        <v/>
      </c>
      <c r="L331">
        <f>MAX(-fyd_cc,MIN(fyd_cc,Es_cc*IF($E331&lt;=cc_D,0.0035*($E331-L$15)/$E331,0.002*($E331-L$15)/($E331-3*cc_D/7))))-fcd_cc*(1-(1-MAX(0,MIN(1,IF($E331&lt;=cc_D,0.0035*($E331-L$15)/$E331,0.002*($E331-L$15)/($E331-3*cc_D/7))/0.002)))^2)</f>
        <v/>
      </c>
      <c r="M331">
        <f>MAX(-fyd_cc,MIN(fyd_cc,Es_cc*IF($E331&lt;=cc_D,0.0035*($E331-M$15)/$E331,0.002*($E331-M$15)/($E331-3*cc_D/7))))-fcd_cc*(1-(1-MAX(0,MIN(1,IF($E331&lt;=cc_D,0.0035*($E331-M$15)/$E331,0.002*($E331-M$15)/($E331-3*cc_D/7))/0.002)))^2)</f>
        <v/>
      </c>
      <c r="N331">
        <f>MAX(-fyd_cc,MIN(fyd_cc,Es_cc*IF($E331&lt;=cc_D,0.0035*($E331-N$15)/$E331,0.002*($E331-N$15)/($E331-3*cc_D/7))))-fcd_cc*(1-(1-MAX(0,MIN(1,IF($E331&lt;=cc_D,0.0035*($E331-N$15)/$E331,0.002*($E331-N$15)/($E331-3*cc_D/7))/0.002)))^2)</f>
        <v/>
      </c>
      <c r="O331">
        <f>MAX(-fyd_cc,MIN(fyd_cc,Es_cc*IF($E331&lt;=cc_D,0.0035*($E331-O$15)/$E331,0.002*($E331-O$15)/($E331-3*cc_D/7))))-fcd_cc*(1-(1-MAX(0,MIN(1,IF($E331&lt;=cc_D,0.0035*($E331-O$15)/$E331,0.002*($E331-O$15)/($E331-3*cc_D/7))/0.002)))^2)</f>
        <v/>
      </c>
      <c r="P331">
        <f>MAX(-fyd_cc,MIN(fyd_cc,Es_cc*IF($E331&lt;=cc_D,0.0035*($E331-P$15)/$E331,0.002*($E331-P$15)/($E331-3*cc_D/7))))-fcd_cc*(1-(1-MAX(0,MIN(1,IF($E331&lt;=cc_D,0.0035*($E331-P$15)/$E331,0.002*($E331-P$15)/($E331-3*cc_D/7))/0.002)))^2)</f>
        <v/>
      </c>
      <c r="Q331">
        <f>MAX(-fyd_cc,MIN(fyd_cc,Es_cc*IF($E331&lt;=cc_D,0.0035*($E331-Q$15)/$E331,0.002*($E331-Q$15)/($E331-3*cc_D/7))))-fcd_cc*(1-(1-MAX(0,MIN(1,IF($E331&lt;=cc_D,0.0035*($E331-Q$15)/$E331,0.002*($E331-Q$15)/($E331-3*cc_D/7))/0.002)))^2)</f>
        <v/>
      </c>
      <c r="R331">
        <f>MAX(-fyd_cc,MIN(fyd_cc,Es_cc*IF($E331&lt;=cc_D,0.0035*($E331-R$15)/$E331,0.002*($E331-R$15)/($E331-3*cc_D/7))))-fcd_cc*(1-(1-MAX(0,MIN(1,IF($E331&lt;=cc_D,0.0035*($E331-R$15)/$E331,0.002*($E331-R$15)/($E331-3*cc_D/7))/0.002)))^2)</f>
        <v/>
      </c>
      <c r="S331">
        <f>MAX(-fyd_cc,MIN(fyd_cc,Es_cc*IF($E331&lt;=cc_D,0.0035*($E331-S$15)/$E331,0.002*($E331-S$15)/($E331-3*cc_D/7))))-fcd_cc*(1-(1-MAX(0,MIN(1,IF($E331&lt;=cc_D,0.0035*($E331-S$15)/$E331,0.002*($E331-S$15)/($E331-3*cc_D/7))/0.002)))^2)</f>
        <v/>
      </c>
      <c r="T331">
        <f>MAX(-fyd_cc,MIN(fyd_cc,Es_cc*IF($E331&lt;=cc_D,0.0035*($E331-T$15)/$E331,0.002*($E331-T$15)/($E331-3*cc_D/7))))-fcd_cc*(1-(1-MAX(0,MIN(1,IF($E331&lt;=cc_D,0.0035*($E331-T$15)/$E331,0.002*($E331-T$15)/($E331-3*cc_D/7))/0.002)))^2)</f>
        <v/>
      </c>
      <c r="U331">
        <f>MAX(-fyd_cc,MIN(fyd_cc,Es_cc*IF($E331&lt;=cc_D,0.0035*($E331-U$15)/$E331,0.002*($E331-U$15)/($E331-3*cc_D/7))))-fcd_cc*(1-(1-MAX(0,MIN(1,IF($E331&lt;=cc_D,0.0035*($E331-U$15)/$E331,0.002*($E331-U$15)/($E331-3*cc_D/7))/0.002)))^2)</f>
        <v/>
      </c>
      <c r="V331">
        <f>MAX(-fyd_cc,MIN(fyd_cc,Es_cc*IF($E331&lt;=cc_D,0.0035*($E331-V$15)/$E331,0.002*($E331-V$15)/($E331-3*cc_D/7))))-fcd_cc*(1-(1-MAX(0,MIN(1,IF($E331&lt;=cc_D,0.0035*($E331-V$15)/$E331,0.002*($E331-V$15)/($E331-3*cc_D/7))/0.002)))^2)</f>
        <v/>
      </c>
      <c r="W331">
        <f>MAX(-fyd_cc,MIN(fyd_cc,Es_cc*IF($E331&lt;=cc_D,0.0035*($E331-W$15)/$E331,0.002*($E331-W$15)/($E331-3*cc_D/7))))-fcd_cc*(1-(1-MAX(0,MIN(1,IF($E331&lt;=cc_D,0.0035*($E331-W$15)/$E331,0.002*($E331-W$15)/($E331-3*cc_D/7))/0.002)))^2)</f>
        <v/>
      </c>
      <c r="X331">
        <f>MAX(-fyd_cc,MIN(fyd_cc,Es_cc*IF($E331&lt;=cc_D,0.0035*($E331-X$15)/$E331,0.002*($E331-X$15)/($E331-3*cc_D/7))))-fcd_cc*(1-(1-MAX(0,MIN(1,IF($E331&lt;=cc_D,0.0035*($E331-X$15)/$E331,0.002*($E331-X$15)/($E331-3*cc_D/7))/0.002)))^2)</f>
        <v/>
      </c>
      <c r="Y331">
        <f>MAX(-fyd_cc,MIN(fyd_cc,Es_cc*IF($E331&lt;=cc_D,0.0035*($E331-Y$15)/$E331,0.002*($E331-Y$15)/($E331-3*cc_D/7))))-fcd_cc*(1-(1-MAX(0,MIN(1,IF($E331&lt;=cc_D,0.0035*($E331-Y$15)/$E331,0.002*($E331-Y$15)/($E331-3*cc_D/7))/0.002)))^2)</f>
        <v/>
      </c>
      <c r="Z331">
        <f>MAX(-fyd_cc,MIN(fyd_cc,Es_cc*IF($E331&lt;=cc_D,0.0035*($E331-Z$15)/$E331,0.002*($E331-Z$15)/($E331-3*cc_D/7))))-fcd_cc*(1-(1-MAX(0,MIN(1,IF($E331&lt;=cc_D,0.0035*($E331-Z$15)/$E331,0.002*($E331-Z$15)/($E331-3*cc_D/7))/0.002)))^2)</f>
        <v/>
      </c>
      <c r="AA331">
        <f>MAX(-fyd_cc,MIN(fyd_cc,Es_cc*IF($E331&lt;=cc_D,0.0035*($E331-AA$15)/$E331,0.002*($E331-AA$15)/($E331-3*cc_D/7))))-fcd_cc*(1-(1-MAX(0,MIN(1,IF($E331&lt;=cc_D,0.0035*($E331-AA$15)/$E331,0.002*($E331-AA$15)/($E331-3*cc_D/7))/0.002)))^2)</f>
        <v/>
      </c>
      <c r="AB331">
        <f>MAX(-fyd_cc,MIN(fyd_cc,Es_cc*IF($E331&lt;=cc_D,0.0035*($E331-AB$15)/$E331,0.002*($E331-AB$15)/($E331-3*cc_D/7))))-fcd_cc*(1-(1-MAX(0,MIN(1,IF($E331&lt;=cc_D,0.0035*($E331-AB$15)/$E331,0.002*($E331-AB$15)/($E331-3*cc_D/7))/0.002)))^2)</f>
        <v/>
      </c>
      <c r="AC331">
        <f>MAX(-fyd_cc,MIN(fyd_cc,Es_cc*IF($E331&lt;=cc_D,0.0035*($E331-AC$15)/$E331,0.002*($E331-AC$15)/($E331-3*cc_D/7))))-fcd_cc*(1-(1-MAX(0,MIN(1,IF($E331&lt;=cc_D,0.0035*($E331-AC$15)/$E331,0.002*($E331-AC$15)/($E331-3*cc_D/7))/0.002)))^2)</f>
        <v/>
      </c>
      <c r="AD331">
        <f>MAX(-fyd_cc,MIN(fyd_cc,Es_cc*IF($E331&lt;=cc_D,0.0035*($E331-AD$15)/$E331,0.002*($E331-AD$15)/($E331-3*cc_D/7))))-fcd_cc*(1-(1-MAX(0,MIN(1,IF($E331&lt;=cc_D,0.0035*($E331-AD$15)/$E331,0.002*($E331-AD$15)/($E331-3*cc_D/7))/0.002)))^2)</f>
        <v/>
      </c>
      <c r="AE331">
        <f>MAX(-fyd_cc,MIN(fyd_cc,Es_cc*IF($E331&lt;=cc_D,0.0035*($E331-AE$15)/$E331,0.002*($E331-AE$15)/($E331-3*cc_D/7))))-fcd_cc*(1-(1-MAX(0,MIN(1,IF($E331&lt;=cc_D,0.0035*($E331-AE$15)/$E331,0.002*($E331-AE$15)/($E331-3*cc_D/7))/0.002)))^2)</f>
        <v/>
      </c>
      <c r="AF331">
        <f>MAX(-fyd_cc,MIN(fyd_cc,Es_cc*IF($E331&lt;=cc_D,0.0035*($E331-AF$15)/$E331,0.002*($E331-AF$15)/($E331-3*cc_D/7))))-fcd_cc*(1-(1-MAX(0,MIN(1,IF($E331&lt;=cc_D,0.0035*($E331-AF$15)/$E331,0.002*($E331-AF$15)/($E331-3*cc_D/7))/0.002)))^2)</f>
        <v/>
      </c>
      <c r="AG331">
        <f>MAX(-fyd_cc,MIN(fyd_cc,Es_cc*IF($E331&lt;=cc_D,0.0035*($E331-AG$15)/$E331,0.002*($E331-AG$15)/($E331-3*cc_D/7))))-fcd_cc*(1-(1-MAX(0,MIN(1,IF($E331&lt;=cc_D,0.0035*($E331-AG$15)/$E331,0.002*($E331-AG$15)/($E331-3*cc_D/7))/0.002)))^2)</f>
        <v/>
      </c>
      <c r="BF331">
        <f>3*MIN($E331,cc_D)/7</f>
        <v/>
      </c>
      <c r="BG331">
        <f>$E331-$BF331</f>
        <v/>
      </c>
      <c r="BH331">
        <f>ACOS(MAX(-1,MIN(1,1-$BF331/(cc_D/2))))</f>
        <v/>
      </c>
      <c r="BI331">
        <f>ACOS(MAX(-1,MIN(1,1-MIN($E331,cc_D)/(cc_D/2))))</f>
        <v/>
      </c>
      <c r="BJ331">
        <f>((cc_D/2*(1-COS(($BH331+0*($BI331-$BH331)/12)))-$BF331)/$BG331)^2*SIN(($BH331+0*($BI331-$BH331)/12))^2</f>
        <v/>
      </c>
      <c r="BK331">
        <f>((cc_D/2*(1-COS(($BH331+1*($BI331-$BH331)/12)))-$BF331)/$BG331)^2*SIN(($BH331+1*($BI331-$BH331)/12))^2</f>
        <v/>
      </c>
      <c r="BL331">
        <f>((cc_D/2*(1-COS(($BH331+2*($BI331-$BH331)/12)))-$BF331)/$BG331)^2*SIN(($BH331+2*($BI331-$BH331)/12))^2</f>
        <v/>
      </c>
      <c r="BM331">
        <f>((cc_D/2*(1-COS(($BH331+3*($BI331-$BH331)/12)))-$BF331)/$BG331)^2*SIN(($BH331+3*($BI331-$BH331)/12))^2</f>
        <v/>
      </c>
      <c r="BN331">
        <f>((cc_D/2*(1-COS(($BH331+4*($BI331-$BH331)/12)))-$BF331)/$BG331)^2*SIN(($BH331+4*($BI331-$BH331)/12))^2</f>
        <v/>
      </c>
      <c r="BO331">
        <f>((cc_D/2*(1-COS(($BH331+5*($BI331-$BH331)/12)))-$BF331)/$BG331)^2*SIN(($BH331+5*($BI331-$BH331)/12))^2</f>
        <v/>
      </c>
      <c r="BP331">
        <f>((cc_D/2*(1-COS(($BH331+6*($BI331-$BH331)/12)))-$BF331)/$BG331)^2*SIN(($BH331+6*($BI331-$BH331)/12))^2</f>
        <v/>
      </c>
      <c r="BQ331">
        <f>((cc_D/2*(1-COS(($BH331+7*($BI331-$BH331)/12)))-$BF331)/$BG331)^2*SIN(($BH331+7*($BI331-$BH331)/12))^2</f>
        <v/>
      </c>
      <c r="BR331">
        <f>((cc_D/2*(1-COS(($BH331+8*($BI331-$BH331)/12)))-$BF331)/$BG331)^2*SIN(($BH331+8*($BI331-$BH331)/12))^2</f>
        <v/>
      </c>
      <c r="BS331">
        <f>((cc_D/2*(1-COS(($BH331+9*($BI331-$BH331)/12)))-$BF331)/$BG331)^2*SIN(($BH331+9*($BI331-$BH331)/12))^2</f>
        <v/>
      </c>
      <c r="BT331">
        <f>((cc_D/2*(1-COS(($BH331+10*($BI331-$BH331)/12)))-$BF331)/$BG331)^2*SIN(($BH331+10*($BI331-$BH331)/12))^2</f>
        <v/>
      </c>
      <c r="BU331">
        <f>((cc_D/2*(1-COS(($BH331+11*($BI331-$BH331)/12)))-$BF331)/$BG331)^2*SIN(($BH331+11*($BI331-$BH331)/12))^2</f>
        <v/>
      </c>
      <c r="BV331">
        <f>((cc_D/2*(1-COS(($BH331+12*($BI331-$BH331)/12)))-$BF331)/$BG331)^2*SIN(($BH331+12*($BI331-$BH331)/12))^2</f>
        <v/>
      </c>
      <c r="BW331">
        <f>BJ331*COS(($BH331+0*($BI331-$BH331)/12))</f>
        <v/>
      </c>
      <c r="BX331">
        <f>BK331*COS(($BH331+1*($BI331-$BH331)/12))</f>
        <v/>
      </c>
      <c r="BY331">
        <f>BL331*COS(($BH331+2*($BI331-$BH331)/12))</f>
        <v/>
      </c>
      <c r="BZ331">
        <f>BM331*COS(($BH331+3*($BI331-$BH331)/12))</f>
        <v/>
      </c>
      <c r="CA331">
        <f>BN331*COS(($BH331+4*($BI331-$BH331)/12))</f>
        <v/>
      </c>
      <c r="CB331">
        <f>BO331*COS(($BH331+5*($BI331-$BH331)/12))</f>
        <v/>
      </c>
      <c r="CC331">
        <f>BP331*COS(($BH331+6*($BI331-$BH331)/12))</f>
        <v/>
      </c>
      <c r="CD331">
        <f>BQ331*COS(($BH331+7*($BI331-$BH331)/12))</f>
        <v/>
      </c>
      <c r="CE331">
        <f>BR331*COS(($BH331+8*($BI331-$BH331)/12))</f>
        <v/>
      </c>
      <c r="CF331">
        <f>BS331*COS(($BH331+9*($BI331-$BH331)/12))</f>
        <v/>
      </c>
      <c r="CG331">
        <f>BT331*COS(($BH331+10*($BI331-$BH331)/12))</f>
        <v/>
      </c>
      <c r="CH331">
        <f>BU331*COS(($BH331+11*($BI331-$BH331)/12))</f>
        <v/>
      </c>
      <c r="CI331">
        <f>BV331*COS(($BH331+12*($BI331-$BH331)/12))</f>
        <v/>
      </c>
    </row>
    <row r="332">
      <c r="B332" s="65" t="n">
        <v>54</v>
      </c>
      <c r="C332" s="66">
        <f>IF($G331&lt;cc_NEd-1E-9*ABS(cc_NEd),($C331+$D331)/2,$C331)</f>
        <v/>
      </c>
      <c r="D332" s="66">
        <f>IF($G331&lt;cc_NEd-1E-9*ABS(cc_NEd),$D331,($C331+$D331)/2)</f>
        <v/>
      </c>
      <c r="E332" s="67">
        <f>cc_D*(($C332+$D332)/2)/(1-(($C332+$D332)/2))</f>
        <v/>
      </c>
      <c r="F332" s="68">
        <f>IF($E332&lt;=cc_D,3.5,2*$E332/($E332-3*cc_D/7))</f>
        <v/>
      </c>
      <c r="G332" s="67">
        <f>(fcd_cc*((cc_D/2)^2*($BI332-COS($BI332)*SIN($BI332))-2*(cc_D/2)^2*($BI332-$BH332)/12/3*SUMPRODUCT($BJ$4:$BV$4,$BJ332:$BV332))+SUMPRODUCT($J$5:$AG$5,$J332:$AG332))/1000</f>
        <v/>
      </c>
      <c r="H332" s="67">
        <f>(fcd_cc*(2/3*(cc_D/2)^3*SIN($BI332)^3-2*(cc_D/2)^3*($BI332-$BH332)/12/3*SUMPRODUCT($BW$4:$CI$4,$BW332:$CI332))+SUMPRODUCT($J$5:$AG$5,$J332:$AG332,$J$16:$AG$16))/1E6</f>
        <v/>
      </c>
      <c r="I332" s="67">
        <f>SUMPRODUCT($J$5:$AG$5,$J332:$AG332,$J$17:$AG$17)/1E6</f>
        <v/>
      </c>
      <c r="J332">
        <f>MAX(-fyd_cc,MIN(fyd_cc,Es_cc*IF($E332&lt;=cc_D,0.0035*($E332-J$15)/$E332,0.002*($E332-J$15)/($E332-3*cc_D/7))))-fcd_cc*(1-(1-MAX(0,MIN(1,IF($E332&lt;=cc_D,0.0035*($E332-J$15)/$E332,0.002*($E332-J$15)/($E332-3*cc_D/7))/0.002)))^2)</f>
        <v/>
      </c>
      <c r="K332">
        <f>MAX(-fyd_cc,MIN(fyd_cc,Es_cc*IF($E332&lt;=cc_D,0.0035*($E332-K$15)/$E332,0.002*($E332-K$15)/($E332-3*cc_D/7))))-fcd_cc*(1-(1-MAX(0,MIN(1,IF($E332&lt;=cc_D,0.0035*($E332-K$15)/$E332,0.002*($E332-K$15)/($E332-3*cc_D/7))/0.002)))^2)</f>
        <v/>
      </c>
      <c r="L332">
        <f>MAX(-fyd_cc,MIN(fyd_cc,Es_cc*IF($E332&lt;=cc_D,0.0035*($E332-L$15)/$E332,0.002*($E332-L$15)/($E332-3*cc_D/7))))-fcd_cc*(1-(1-MAX(0,MIN(1,IF($E332&lt;=cc_D,0.0035*($E332-L$15)/$E332,0.002*($E332-L$15)/($E332-3*cc_D/7))/0.002)))^2)</f>
        <v/>
      </c>
      <c r="M332">
        <f>MAX(-fyd_cc,MIN(fyd_cc,Es_cc*IF($E332&lt;=cc_D,0.0035*($E332-M$15)/$E332,0.002*($E332-M$15)/($E332-3*cc_D/7))))-fcd_cc*(1-(1-MAX(0,MIN(1,IF($E332&lt;=cc_D,0.0035*($E332-M$15)/$E332,0.002*($E332-M$15)/($E332-3*cc_D/7))/0.002)))^2)</f>
        <v/>
      </c>
      <c r="N332">
        <f>MAX(-fyd_cc,MIN(fyd_cc,Es_cc*IF($E332&lt;=cc_D,0.0035*($E332-N$15)/$E332,0.002*($E332-N$15)/($E332-3*cc_D/7))))-fcd_cc*(1-(1-MAX(0,MIN(1,IF($E332&lt;=cc_D,0.0035*($E332-N$15)/$E332,0.002*($E332-N$15)/($E332-3*cc_D/7))/0.002)))^2)</f>
        <v/>
      </c>
      <c r="O332">
        <f>MAX(-fyd_cc,MIN(fyd_cc,Es_cc*IF($E332&lt;=cc_D,0.0035*($E332-O$15)/$E332,0.002*($E332-O$15)/($E332-3*cc_D/7))))-fcd_cc*(1-(1-MAX(0,MIN(1,IF($E332&lt;=cc_D,0.0035*($E332-O$15)/$E332,0.002*($E332-O$15)/($E332-3*cc_D/7))/0.002)))^2)</f>
        <v/>
      </c>
      <c r="P332">
        <f>MAX(-fyd_cc,MIN(fyd_cc,Es_cc*IF($E332&lt;=cc_D,0.0035*($E332-P$15)/$E332,0.002*($E332-P$15)/($E332-3*cc_D/7))))-fcd_cc*(1-(1-MAX(0,MIN(1,IF($E332&lt;=cc_D,0.0035*($E332-P$15)/$E332,0.002*($E332-P$15)/($E332-3*cc_D/7))/0.002)))^2)</f>
        <v/>
      </c>
      <c r="Q332">
        <f>MAX(-fyd_cc,MIN(fyd_cc,Es_cc*IF($E332&lt;=cc_D,0.0035*($E332-Q$15)/$E332,0.002*($E332-Q$15)/($E332-3*cc_D/7))))-fcd_cc*(1-(1-MAX(0,MIN(1,IF($E332&lt;=cc_D,0.0035*($E332-Q$15)/$E332,0.002*($E332-Q$15)/($E332-3*cc_D/7))/0.002)))^2)</f>
        <v/>
      </c>
      <c r="R332">
        <f>MAX(-fyd_cc,MIN(fyd_cc,Es_cc*IF($E332&lt;=cc_D,0.0035*($E332-R$15)/$E332,0.002*($E332-R$15)/($E332-3*cc_D/7))))-fcd_cc*(1-(1-MAX(0,MIN(1,IF($E332&lt;=cc_D,0.0035*($E332-R$15)/$E332,0.002*($E332-R$15)/($E332-3*cc_D/7))/0.002)))^2)</f>
        <v/>
      </c>
      <c r="S332">
        <f>MAX(-fyd_cc,MIN(fyd_cc,Es_cc*IF($E332&lt;=cc_D,0.0035*($E332-S$15)/$E332,0.002*($E332-S$15)/($E332-3*cc_D/7))))-fcd_cc*(1-(1-MAX(0,MIN(1,IF($E332&lt;=cc_D,0.0035*($E332-S$15)/$E332,0.002*($E332-S$15)/($E332-3*cc_D/7))/0.002)))^2)</f>
        <v/>
      </c>
      <c r="T332">
        <f>MAX(-fyd_cc,MIN(fyd_cc,Es_cc*IF($E332&lt;=cc_D,0.0035*($E332-T$15)/$E332,0.002*($E332-T$15)/($E332-3*cc_D/7))))-fcd_cc*(1-(1-MAX(0,MIN(1,IF($E332&lt;=cc_D,0.0035*($E332-T$15)/$E332,0.002*($E332-T$15)/($E332-3*cc_D/7))/0.002)))^2)</f>
        <v/>
      </c>
      <c r="U332">
        <f>MAX(-fyd_cc,MIN(fyd_cc,Es_cc*IF($E332&lt;=cc_D,0.0035*($E332-U$15)/$E332,0.002*($E332-U$15)/($E332-3*cc_D/7))))-fcd_cc*(1-(1-MAX(0,MIN(1,IF($E332&lt;=cc_D,0.0035*($E332-U$15)/$E332,0.002*($E332-U$15)/($E332-3*cc_D/7))/0.002)))^2)</f>
        <v/>
      </c>
      <c r="V332">
        <f>MAX(-fyd_cc,MIN(fyd_cc,Es_cc*IF($E332&lt;=cc_D,0.0035*($E332-V$15)/$E332,0.002*($E332-V$15)/($E332-3*cc_D/7))))-fcd_cc*(1-(1-MAX(0,MIN(1,IF($E332&lt;=cc_D,0.0035*($E332-V$15)/$E332,0.002*($E332-V$15)/($E332-3*cc_D/7))/0.002)))^2)</f>
        <v/>
      </c>
      <c r="W332">
        <f>MAX(-fyd_cc,MIN(fyd_cc,Es_cc*IF($E332&lt;=cc_D,0.0035*($E332-W$15)/$E332,0.002*($E332-W$15)/($E332-3*cc_D/7))))-fcd_cc*(1-(1-MAX(0,MIN(1,IF($E332&lt;=cc_D,0.0035*($E332-W$15)/$E332,0.002*($E332-W$15)/($E332-3*cc_D/7))/0.002)))^2)</f>
        <v/>
      </c>
      <c r="X332">
        <f>MAX(-fyd_cc,MIN(fyd_cc,Es_cc*IF($E332&lt;=cc_D,0.0035*($E332-X$15)/$E332,0.002*($E332-X$15)/($E332-3*cc_D/7))))-fcd_cc*(1-(1-MAX(0,MIN(1,IF($E332&lt;=cc_D,0.0035*($E332-X$15)/$E332,0.002*($E332-X$15)/($E332-3*cc_D/7))/0.002)))^2)</f>
        <v/>
      </c>
      <c r="Y332">
        <f>MAX(-fyd_cc,MIN(fyd_cc,Es_cc*IF($E332&lt;=cc_D,0.0035*($E332-Y$15)/$E332,0.002*($E332-Y$15)/($E332-3*cc_D/7))))-fcd_cc*(1-(1-MAX(0,MIN(1,IF($E332&lt;=cc_D,0.0035*($E332-Y$15)/$E332,0.002*($E332-Y$15)/($E332-3*cc_D/7))/0.002)))^2)</f>
        <v/>
      </c>
      <c r="Z332">
        <f>MAX(-fyd_cc,MIN(fyd_cc,Es_cc*IF($E332&lt;=cc_D,0.0035*($E332-Z$15)/$E332,0.002*($E332-Z$15)/($E332-3*cc_D/7))))-fcd_cc*(1-(1-MAX(0,MIN(1,IF($E332&lt;=cc_D,0.0035*($E332-Z$15)/$E332,0.002*($E332-Z$15)/($E332-3*cc_D/7))/0.002)))^2)</f>
        <v/>
      </c>
      <c r="AA332">
        <f>MAX(-fyd_cc,MIN(fyd_cc,Es_cc*IF($E332&lt;=cc_D,0.0035*($E332-AA$15)/$E332,0.002*($E332-AA$15)/($E332-3*cc_D/7))))-fcd_cc*(1-(1-MAX(0,MIN(1,IF($E332&lt;=cc_D,0.0035*($E332-AA$15)/$E332,0.002*($E332-AA$15)/($E332-3*cc_D/7))/0.002)))^2)</f>
        <v/>
      </c>
      <c r="AB332">
        <f>MAX(-fyd_cc,MIN(fyd_cc,Es_cc*IF($E332&lt;=cc_D,0.0035*($E332-AB$15)/$E332,0.002*($E332-AB$15)/($E332-3*cc_D/7))))-fcd_cc*(1-(1-MAX(0,MIN(1,IF($E332&lt;=cc_D,0.0035*($E332-AB$15)/$E332,0.002*($E332-AB$15)/($E332-3*cc_D/7))/0.002)))^2)</f>
        <v/>
      </c>
      <c r="AC332">
        <f>MAX(-fyd_cc,MIN(fyd_cc,Es_cc*IF($E332&lt;=cc_D,0.0035*($E332-AC$15)/$E332,0.002*($E332-AC$15)/($E332-3*cc_D/7))))-fcd_cc*(1-(1-MAX(0,MIN(1,IF($E332&lt;=cc_D,0.0035*($E332-AC$15)/$E332,0.002*($E332-AC$15)/($E332-3*cc_D/7))/0.002)))^2)</f>
        <v/>
      </c>
      <c r="AD332">
        <f>MAX(-fyd_cc,MIN(fyd_cc,Es_cc*IF($E332&lt;=cc_D,0.0035*($E332-AD$15)/$E332,0.002*($E332-AD$15)/($E332-3*cc_D/7))))-fcd_cc*(1-(1-MAX(0,MIN(1,IF($E332&lt;=cc_D,0.0035*($E332-AD$15)/$E332,0.002*($E332-AD$15)/($E332-3*cc_D/7))/0.002)))^2)</f>
        <v/>
      </c>
      <c r="AE332">
        <f>MAX(-fyd_cc,MIN(fyd_cc,Es_cc*IF($E332&lt;=cc_D,0.0035*($E332-AE$15)/$E332,0.002*($E332-AE$15)/($E332-3*cc_D/7))))-fcd_cc*(1-(1-MAX(0,MIN(1,IF($E332&lt;=cc_D,0.0035*($E332-AE$15)/$E332,0.002*($E332-AE$15)/($E332-3*cc_D/7))/0.002)))^2)</f>
        <v/>
      </c>
      <c r="AF332">
        <f>MAX(-fyd_cc,MIN(fyd_cc,Es_cc*IF($E332&lt;=cc_D,0.0035*($E332-AF$15)/$E332,0.002*($E332-AF$15)/($E332-3*cc_D/7))))-fcd_cc*(1-(1-MAX(0,MIN(1,IF($E332&lt;=cc_D,0.0035*($E332-AF$15)/$E332,0.002*($E332-AF$15)/($E332-3*cc_D/7))/0.002)))^2)</f>
        <v/>
      </c>
      <c r="AG332">
        <f>MAX(-fyd_cc,MIN(fyd_cc,Es_cc*IF($E332&lt;=cc_D,0.0035*($E332-AG$15)/$E332,0.002*($E332-AG$15)/($E332-3*cc_D/7))))-fcd_cc*(1-(1-MAX(0,MIN(1,IF($E332&lt;=cc_D,0.0035*($E332-AG$15)/$E332,0.002*($E332-AG$15)/($E332-3*cc_D/7))/0.002)))^2)</f>
        <v/>
      </c>
      <c r="BF332">
        <f>3*MIN($E332,cc_D)/7</f>
        <v/>
      </c>
      <c r="BG332">
        <f>$E332-$BF332</f>
        <v/>
      </c>
      <c r="BH332">
        <f>ACOS(MAX(-1,MIN(1,1-$BF332/(cc_D/2))))</f>
        <v/>
      </c>
      <c r="BI332">
        <f>ACOS(MAX(-1,MIN(1,1-MIN($E332,cc_D)/(cc_D/2))))</f>
        <v/>
      </c>
      <c r="BJ332">
        <f>((cc_D/2*(1-COS(($BH332+0*($BI332-$BH332)/12)))-$BF332)/$BG332)^2*SIN(($BH332+0*($BI332-$BH332)/12))^2</f>
        <v/>
      </c>
      <c r="BK332">
        <f>((cc_D/2*(1-COS(($BH332+1*($BI332-$BH332)/12)))-$BF332)/$BG332)^2*SIN(($BH332+1*($BI332-$BH332)/12))^2</f>
        <v/>
      </c>
      <c r="BL332">
        <f>((cc_D/2*(1-COS(($BH332+2*($BI332-$BH332)/12)))-$BF332)/$BG332)^2*SIN(($BH332+2*($BI332-$BH332)/12))^2</f>
        <v/>
      </c>
      <c r="BM332">
        <f>((cc_D/2*(1-COS(($BH332+3*($BI332-$BH332)/12)))-$BF332)/$BG332)^2*SIN(($BH332+3*($BI332-$BH332)/12))^2</f>
        <v/>
      </c>
      <c r="BN332">
        <f>((cc_D/2*(1-COS(($BH332+4*($BI332-$BH332)/12)))-$BF332)/$BG332)^2*SIN(($BH332+4*($BI332-$BH332)/12))^2</f>
        <v/>
      </c>
      <c r="BO332">
        <f>((cc_D/2*(1-COS(($BH332+5*($BI332-$BH332)/12)))-$BF332)/$BG332)^2*SIN(($BH332+5*($BI332-$BH332)/12))^2</f>
        <v/>
      </c>
      <c r="BP332">
        <f>((cc_D/2*(1-COS(($BH332+6*($BI332-$BH332)/12)))-$BF332)/$BG332)^2*SIN(($BH332+6*($BI332-$BH332)/12))^2</f>
        <v/>
      </c>
      <c r="BQ332">
        <f>((cc_D/2*(1-COS(($BH332+7*($BI332-$BH332)/12)))-$BF332)/$BG332)^2*SIN(($BH332+7*($BI332-$BH332)/12))^2</f>
        <v/>
      </c>
      <c r="BR332">
        <f>((cc_D/2*(1-COS(($BH332+8*($BI332-$BH332)/12)))-$BF332)/$BG332)^2*SIN(($BH332+8*($BI332-$BH332)/12))^2</f>
        <v/>
      </c>
      <c r="BS332">
        <f>((cc_D/2*(1-COS(($BH332+9*($BI332-$BH332)/12)))-$BF332)/$BG332)^2*SIN(($BH332+9*($BI332-$BH332)/12))^2</f>
        <v/>
      </c>
      <c r="BT332">
        <f>((cc_D/2*(1-COS(($BH332+10*($BI332-$BH332)/12)))-$BF332)/$BG332)^2*SIN(($BH332+10*($BI332-$BH332)/12))^2</f>
        <v/>
      </c>
      <c r="BU332">
        <f>((cc_D/2*(1-COS(($BH332+11*($BI332-$BH332)/12)))-$BF332)/$BG332)^2*SIN(($BH332+11*($BI332-$BH332)/12))^2</f>
        <v/>
      </c>
      <c r="BV332">
        <f>((cc_D/2*(1-COS(($BH332+12*($BI332-$BH332)/12)))-$BF332)/$BG332)^2*SIN(($BH332+12*($BI332-$BH332)/12))^2</f>
        <v/>
      </c>
      <c r="BW332">
        <f>BJ332*COS(($BH332+0*($BI332-$BH332)/12))</f>
        <v/>
      </c>
      <c r="BX332">
        <f>BK332*COS(($BH332+1*($BI332-$BH332)/12))</f>
        <v/>
      </c>
      <c r="BY332">
        <f>BL332*COS(($BH332+2*($BI332-$BH332)/12))</f>
        <v/>
      </c>
      <c r="BZ332">
        <f>BM332*COS(($BH332+3*($BI332-$BH332)/12))</f>
        <v/>
      </c>
      <c r="CA332">
        <f>BN332*COS(($BH332+4*($BI332-$BH332)/12))</f>
        <v/>
      </c>
      <c r="CB332">
        <f>BO332*COS(($BH332+5*($BI332-$BH332)/12))</f>
        <v/>
      </c>
      <c r="CC332">
        <f>BP332*COS(($BH332+6*($BI332-$BH332)/12))</f>
        <v/>
      </c>
      <c r="CD332">
        <f>BQ332*COS(($BH332+7*($BI332-$BH332)/12))</f>
        <v/>
      </c>
      <c r="CE332">
        <f>BR332*COS(($BH332+8*($BI332-$BH332)/12))</f>
        <v/>
      </c>
      <c r="CF332">
        <f>BS332*COS(($BH332+9*($BI332-$BH332)/12))</f>
        <v/>
      </c>
      <c r="CG332">
        <f>BT332*COS(($BH332+10*($BI332-$BH332)/12))</f>
        <v/>
      </c>
      <c r="CH332">
        <f>BU332*COS(($BH332+11*($BI332-$BH332)/12))</f>
        <v/>
      </c>
      <c r="CI332">
        <f>BV332*COS(($BH332+12*($BI332-$BH332)/12))</f>
        <v/>
      </c>
    </row>
    <row r="333">
      <c r="B333" s="65" t="n">
        <v>55</v>
      </c>
      <c r="C333" s="66">
        <f>IF($G332&lt;cc_NEd-1E-9*ABS(cc_NEd),($C332+$D332)/2,$C332)</f>
        <v/>
      </c>
      <c r="D333" s="66">
        <f>IF($G332&lt;cc_NEd-1E-9*ABS(cc_NEd),$D332,($C332+$D332)/2)</f>
        <v/>
      </c>
      <c r="E333" s="67">
        <f>cc_D*(($C333+$D333)/2)/(1-(($C333+$D333)/2))</f>
        <v/>
      </c>
      <c r="F333" s="68">
        <f>IF($E333&lt;=cc_D,3.5,2*$E333/($E333-3*cc_D/7))</f>
        <v/>
      </c>
      <c r="G333" s="67">
        <f>(fcd_cc*((cc_D/2)^2*($BI333-COS($BI333)*SIN($BI333))-2*(cc_D/2)^2*($BI333-$BH333)/12/3*SUMPRODUCT($BJ$4:$BV$4,$BJ333:$BV333))+SUMPRODUCT($J$5:$AG$5,$J333:$AG333))/1000</f>
        <v/>
      </c>
      <c r="H333" s="67">
        <f>(fcd_cc*(2/3*(cc_D/2)^3*SIN($BI333)^3-2*(cc_D/2)^3*($BI333-$BH333)/12/3*SUMPRODUCT($BW$4:$CI$4,$BW333:$CI333))+SUMPRODUCT($J$5:$AG$5,$J333:$AG333,$J$16:$AG$16))/1E6</f>
        <v/>
      </c>
      <c r="I333" s="67">
        <f>SUMPRODUCT($J$5:$AG$5,$J333:$AG333,$J$17:$AG$17)/1E6</f>
        <v/>
      </c>
      <c r="J333">
        <f>MAX(-fyd_cc,MIN(fyd_cc,Es_cc*IF($E333&lt;=cc_D,0.0035*($E333-J$15)/$E333,0.002*($E333-J$15)/($E333-3*cc_D/7))))-fcd_cc*(1-(1-MAX(0,MIN(1,IF($E333&lt;=cc_D,0.0035*($E333-J$15)/$E333,0.002*($E333-J$15)/($E333-3*cc_D/7))/0.002)))^2)</f>
        <v/>
      </c>
      <c r="K333">
        <f>MAX(-fyd_cc,MIN(fyd_cc,Es_cc*IF($E333&lt;=cc_D,0.0035*($E333-K$15)/$E333,0.002*($E333-K$15)/($E333-3*cc_D/7))))-fcd_cc*(1-(1-MAX(0,MIN(1,IF($E333&lt;=cc_D,0.0035*($E333-K$15)/$E333,0.002*($E333-K$15)/($E333-3*cc_D/7))/0.002)))^2)</f>
        <v/>
      </c>
      <c r="L333">
        <f>MAX(-fyd_cc,MIN(fyd_cc,Es_cc*IF($E333&lt;=cc_D,0.0035*($E333-L$15)/$E333,0.002*($E333-L$15)/($E333-3*cc_D/7))))-fcd_cc*(1-(1-MAX(0,MIN(1,IF($E333&lt;=cc_D,0.0035*($E333-L$15)/$E333,0.002*($E333-L$15)/($E333-3*cc_D/7))/0.002)))^2)</f>
        <v/>
      </c>
      <c r="M333">
        <f>MAX(-fyd_cc,MIN(fyd_cc,Es_cc*IF($E333&lt;=cc_D,0.0035*($E333-M$15)/$E333,0.002*($E333-M$15)/($E333-3*cc_D/7))))-fcd_cc*(1-(1-MAX(0,MIN(1,IF($E333&lt;=cc_D,0.0035*($E333-M$15)/$E333,0.002*($E333-M$15)/($E333-3*cc_D/7))/0.002)))^2)</f>
        <v/>
      </c>
      <c r="N333">
        <f>MAX(-fyd_cc,MIN(fyd_cc,Es_cc*IF($E333&lt;=cc_D,0.0035*($E333-N$15)/$E333,0.002*($E333-N$15)/($E333-3*cc_D/7))))-fcd_cc*(1-(1-MAX(0,MIN(1,IF($E333&lt;=cc_D,0.0035*($E333-N$15)/$E333,0.002*($E333-N$15)/($E333-3*cc_D/7))/0.002)))^2)</f>
        <v/>
      </c>
      <c r="O333">
        <f>MAX(-fyd_cc,MIN(fyd_cc,Es_cc*IF($E333&lt;=cc_D,0.0035*($E333-O$15)/$E333,0.002*($E333-O$15)/($E333-3*cc_D/7))))-fcd_cc*(1-(1-MAX(0,MIN(1,IF($E333&lt;=cc_D,0.0035*($E333-O$15)/$E333,0.002*($E333-O$15)/($E333-3*cc_D/7))/0.002)))^2)</f>
        <v/>
      </c>
      <c r="P333">
        <f>MAX(-fyd_cc,MIN(fyd_cc,Es_cc*IF($E333&lt;=cc_D,0.0035*($E333-P$15)/$E333,0.002*($E333-P$15)/($E333-3*cc_D/7))))-fcd_cc*(1-(1-MAX(0,MIN(1,IF($E333&lt;=cc_D,0.0035*($E333-P$15)/$E333,0.002*($E333-P$15)/($E333-3*cc_D/7))/0.002)))^2)</f>
        <v/>
      </c>
      <c r="Q333">
        <f>MAX(-fyd_cc,MIN(fyd_cc,Es_cc*IF($E333&lt;=cc_D,0.0035*($E333-Q$15)/$E333,0.002*($E333-Q$15)/($E333-3*cc_D/7))))-fcd_cc*(1-(1-MAX(0,MIN(1,IF($E333&lt;=cc_D,0.0035*($E333-Q$15)/$E333,0.002*($E333-Q$15)/($E333-3*cc_D/7))/0.002)))^2)</f>
        <v/>
      </c>
      <c r="R333">
        <f>MAX(-fyd_cc,MIN(fyd_cc,Es_cc*IF($E333&lt;=cc_D,0.0035*($E333-R$15)/$E333,0.002*($E333-R$15)/($E333-3*cc_D/7))))-fcd_cc*(1-(1-MAX(0,MIN(1,IF($E333&lt;=cc_D,0.0035*($E333-R$15)/$E333,0.002*($E333-R$15)/($E333-3*cc_D/7))/0.002)))^2)</f>
        <v/>
      </c>
      <c r="S333">
        <f>MAX(-fyd_cc,MIN(fyd_cc,Es_cc*IF($E333&lt;=cc_D,0.0035*($E333-S$15)/$E333,0.002*($E333-S$15)/($E333-3*cc_D/7))))-fcd_cc*(1-(1-MAX(0,MIN(1,IF($E333&lt;=cc_D,0.0035*($E333-S$15)/$E333,0.002*($E333-S$15)/($E333-3*cc_D/7))/0.002)))^2)</f>
        <v/>
      </c>
      <c r="T333">
        <f>MAX(-fyd_cc,MIN(fyd_cc,Es_cc*IF($E333&lt;=cc_D,0.0035*($E333-T$15)/$E333,0.002*($E333-T$15)/($E333-3*cc_D/7))))-fcd_cc*(1-(1-MAX(0,MIN(1,IF($E333&lt;=cc_D,0.0035*($E333-T$15)/$E333,0.002*($E333-T$15)/($E333-3*cc_D/7))/0.002)))^2)</f>
        <v/>
      </c>
      <c r="U333">
        <f>MAX(-fyd_cc,MIN(fyd_cc,Es_cc*IF($E333&lt;=cc_D,0.0035*($E333-U$15)/$E333,0.002*($E333-U$15)/($E333-3*cc_D/7))))-fcd_cc*(1-(1-MAX(0,MIN(1,IF($E333&lt;=cc_D,0.0035*($E333-U$15)/$E333,0.002*($E333-U$15)/($E333-3*cc_D/7))/0.002)))^2)</f>
        <v/>
      </c>
      <c r="V333">
        <f>MAX(-fyd_cc,MIN(fyd_cc,Es_cc*IF($E333&lt;=cc_D,0.0035*($E333-V$15)/$E333,0.002*($E333-V$15)/($E333-3*cc_D/7))))-fcd_cc*(1-(1-MAX(0,MIN(1,IF($E333&lt;=cc_D,0.0035*($E333-V$15)/$E333,0.002*($E333-V$15)/($E333-3*cc_D/7))/0.002)))^2)</f>
        <v/>
      </c>
      <c r="W333">
        <f>MAX(-fyd_cc,MIN(fyd_cc,Es_cc*IF($E333&lt;=cc_D,0.0035*($E333-W$15)/$E333,0.002*($E333-W$15)/($E333-3*cc_D/7))))-fcd_cc*(1-(1-MAX(0,MIN(1,IF($E333&lt;=cc_D,0.0035*($E333-W$15)/$E333,0.002*($E333-W$15)/($E333-3*cc_D/7))/0.002)))^2)</f>
        <v/>
      </c>
      <c r="X333">
        <f>MAX(-fyd_cc,MIN(fyd_cc,Es_cc*IF($E333&lt;=cc_D,0.0035*($E333-X$15)/$E333,0.002*($E333-X$15)/($E333-3*cc_D/7))))-fcd_cc*(1-(1-MAX(0,MIN(1,IF($E333&lt;=cc_D,0.0035*($E333-X$15)/$E333,0.002*($E333-X$15)/($E333-3*cc_D/7))/0.002)))^2)</f>
        <v/>
      </c>
      <c r="Y333">
        <f>MAX(-fyd_cc,MIN(fyd_cc,Es_cc*IF($E333&lt;=cc_D,0.0035*($E333-Y$15)/$E333,0.002*($E333-Y$15)/($E333-3*cc_D/7))))-fcd_cc*(1-(1-MAX(0,MIN(1,IF($E333&lt;=cc_D,0.0035*($E333-Y$15)/$E333,0.002*($E333-Y$15)/($E333-3*cc_D/7))/0.002)))^2)</f>
        <v/>
      </c>
      <c r="Z333">
        <f>MAX(-fyd_cc,MIN(fyd_cc,Es_cc*IF($E333&lt;=cc_D,0.0035*($E333-Z$15)/$E333,0.002*($E333-Z$15)/($E333-3*cc_D/7))))-fcd_cc*(1-(1-MAX(0,MIN(1,IF($E333&lt;=cc_D,0.0035*($E333-Z$15)/$E333,0.002*($E333-Z$15)/($E333-3*cc_D/7))/0.002)))^2)</f>
        <v/>
      </c>
      <c r="AA333">
        <f>MAX(-fyd_cc,MIN(fyd_cc,Es_cc*IF($E333&lt;=cc_D,0.0035*($E333-AA$15)/$E333,0.002*($E333-AA$15)/($E333-3*cc_D/7))))-fcd_cc*(1-(1-MAX(0,MIN(1,IF($E333&lt;=cc_D,0.0035*($E333-AA$15)/$E333,0.002*($E333-AA$15)/($E333-3*cc_D/7))/0.002)))^2)</f>
        <v/>
      </c>
      <c r="AB333">
        <f>MAX(-fyd_cc,MIN(fyd_cc,Es_cc*IF($E333&lt;=cc_D,0.0035*($E333-AB$15)/$E333,0.002*($E333-AB$15)/($E333-3*cc_D/7))))-fcd_cc*(1-(1-MAX(0,MIN(1,IF($E333&lt;=cc_D,0.0035*($E333-AB$15)/$E333,0.002*($E333-AB$15)/($E333-3*cc_D/7))/0.002)))^2)</f>
        <v/>
      </c>
      <c r="AC333">
        <f>MAX(-fyd_cc,MIN(fyd_cc,Es_cc*IF($E333&lt;=cc_D,0.0035*($E333-AC$15)/$E333,0.002*($E333-AC$15)/($E333-3*cc_D/7))))-fcd_cc*(1-(1-MAX(0,MIN(1,IF($E333&lt;=cc_D,0.0035*($E333-AC$15)/$E333,0.002*($E333-AC$15)/($E333-3*cc_D/7))/0.002)))^2)</f>
        <v/>
      </c>
      <c r="AD333">
        <f>MAX(-fyd_cc,MIN(fyd_cc,Es_cc*IF($E333&lt;=cc_D,0.0035*($E333-AD$15)/$E333,0.002*($E333-AD$15)/($E333-3*cc_D/7))))-fcd_cc*(1-(1-MAX(0,MIN(1,IF($E333&lt;=cc_D,0.0035*($E333-AD$15)/$E333,0.002*($E333-AD$15)/($E333-3*cc_D/7))/0.002)))^2)</f>
        <v/>
      </c>
      <c r="AE333">
        <f>MAX(-fyd_cc,MIN(fyd_cc,Es_cc*IF($E333&lt;=cc_D,0.0035*($E333-AE$15)/$E333,0.002*($E333-AE$15)/($E333-3*cc_D/7))))-fcd_cc*(1-(1-MAX(0,MIN(1,IF($E333&lt;=cc_D,0.0035*($E333-AE$15)/$E333,0.002*($E333-AE$15)/($E333-3*cc_D/7))/0.002)))^2)</f>
        <v/>
      </c>
      <c r="AF333">
        <f>MAX(-fyd_cc,MIN(fyd_cc,Es_cc*IF($E333&lt;=cc_D,0.0035*($E333-AF$15)/$E333,0.002*($E333-AF$15)/($E333-3*cc_D/7))))-fcd_cc*(1-(1-MAX(0,MIN(1,IF($E333&lt;=cc_D,0.0035*($E333-AF$15)/$E333,0.002*($E333-AF$15)/($E333-3*cc_D/7))/0.002)))^2)</f>
        <v/>
      </c>
      <c r="AG333">
        <f>MAX(-fyd_cc,MIN(fyd_cc,Es_cc*IF($E333&lt;=cc_D,0.0035*($E333-AG$15)/$E333,0.002*($E333-AG$15)/($E333-3*cc_D/7))))-fcd_cc*(1-(1-MAX(0,MIN(1,IF($E333&lt;=cc_D,0.0035*($E333-AG$15)/$E333,0.002*($E333-AG$15)/($E333-3*cc_D/7))/0.002)))^2)</f>
        <v/>
      </c>
      <c r="BF333">
        <f>3*MIN($E333,cc_D)/7</f>
        <v/>
      </c>
      <c r="BG333">
        <f>$E333-$BF333</f>
        <v/>
      </c>
      <c r="BH333">
        <f>ACOS(MAX(-1,MIN(1,1-$BF333/(cc_D/2))))</f>
        <v/>
      </c>
      <c r="BI333">
        <f>ACOS(MAX(-1,MIN(1,1-MIN($E333,cc_D)/(cc_D/2))))</f>
        <v/>
      </c>
      <c r="BJ333">
        <f>((cc_D/2*(1-COS(($BH333+0*($BI333-$BH333)/12)))-$BF333)/$BG333)^2*SIN(($BH333+0*($BI333-$BH333)/12))^2</f>
        <v/>
      </c>
      <c r="BK333">
        <f>((cc_D/2*(1-COS(($BH333+1*($BI333-$BH333)/12)))-$BF333)/$BG333)^2*SIN(($BH333+1*($BI333-$BH333)/12))^2</f>
        <v/>
      </c>
      <c r="BL333">
        <f>((cc_D/2*(1-COS(($BH333+2*($BI333-$BH333)/12)))-$BF333)/$BG333)^2*SIN(($BH333+2*($BI333-$BH333)/12))^2</f>
        <v/>
      </c>
      <c r="BM333">
        <f>((cc_D/2*(1-COS(($BH333+3*($BI333-$BH333)/12)))-$BF333)/$BG333)^2*SIN(($BH333+3*($BI333-$BH333)/12))^2</f>
        <v/>
      </c>
      <c r="BN333">
        <f>((cc_D/2*(1-COS(($BH333+4*($BI333-$BH333)/12)))-$BF333)/$BG333)^2*SIN(($BH333+4*($BI333-$BH333)/12))^2</f>
        <v/>
      </c>
      <c r="BO333">
        <f>((cc_D/2*(1-COS(($BH333+5*($BI333-$BH333)/12)))-$BF333)/$BG333)^2*SIN(($BH333+5*($BI333-$BH333)/12))^2</f>
        <v/>
      </c>
      <c r="BP333">
        <f>((cc_D/2*(1-COS(($BH333+6*($BI333-$BH333)/12)))-$BF333)/$BG333)^2*SIN(($BH333+6*($BI333-$BH333)/12))^2</f>
        <v/>
      </c>
      <c r="BQ333">
        <f>((cc_D/2*(1-COS(($BH333+7*($BI333-$BH333)/12)))-$BF333)/$BG333)^2*SIN(($BH333+7*($BI333-$BH333)/12))^2</f>
        <v/>
      </c>
      <c r="BR333">
        <f>((cc_D/2*(1-COS(($BH333+8*($BI333-$BH333)/12)))-$BF333)/$BG333)^2*SIN(($BH333+8*($BI333-$BH333)/12))^2</f>
        <v/>
      </c>
      <c r="BS333">
        <f>((cc_D/2*(1-COS(($BH333+9*($BI333-$BH333)/12)))-$BF333)/$BG333)^2*SIN(($BH333+9*($BI333-$BH333)/12))^2</f>
        <v/>
      </c>
      <c r="BT333">
        <f>((cc_D/2*(1-COS(($BH333+10*($BI333-$BH333)/12)))-$BF333)/$BG333)^2*SIN(($BH333+10*($BI333-$BH333)/12))^2</f>
        <v/>
      </c>
      <c r="BU333">
        <f>((cc_D/2*(1-COS(($BH333+11*($BI333-$BH333)/12)))-$BF333)/$BG333)^2*SIN(($BH333+11*($BI333-$BH333)/12))^2</f>
        <v/>
      </c>
      <c r="BV333">
        <f>((cc_D/2*(1-COS(($BH333+12*($BI333-$BH333)/12)))-$BF333)/$BG333)^2*SIN(($BH333+12*($BI333-$BH333)/12))^2</f>
        <v/>
      </c>
      <c r="BW333">
        <f>BJ333*COS(($BH333+0*($BI333-$BH333)/12))</f>
        <v/>
      </c>
      <c r="BX333">
        <f>BK333*COS(($BH333+1*($BI333-$BH333)/12))</f>
        <v/>
      </c>
      <c r="BY333">
        <f>BL333*COS(($BH333+2*($BI333-$BH333)/12))</f>
        <v/>
      </c>
      <c r="BZ333">
        <f>BM333*COS(($BH333+3*($BI333-$BH333)/12))</f>
        <v/>
      </c>
      <c r="CA333">
        <f>BN333*COS(($BH333+4*($BI333-$BH333)/12))</f>
        <v/>
      </c>
      <c r="CB333">
        <f>BO333*COS(($BH333+5*($BI333-$BH333)/12))</f>
        <v/>
      </c>
      <c r="CC333">
        <f>BP333*COS(($BH333+6*($BI333-$BH333)/12))</f>
        <v/>
      </c>
      <c r="CD333">
        <f>BQ333*COS(($BH333+7*($BI333-$BH333)/12))</f>
        <v/>
      </c>
      <c r="CE333">
        <f>BR333*COS(($BH333+8*($BI333-$BH333)/12))</f>
        <v/>
      </c>
      <c r="CF333">
        <f>BS333*COS(($BH333+9*($BI333-$BH333)/12))</f>
        <v/>
      </c>
      <c r="CG333">
        <f>BT333*COS(($BH333+10*($BI333-$BH333)/12))</f>
        <v/>
      </c>
      <c r="CH333">
        <f>BU333*COS(($BH333+11*($BI333-$BH333)/12))</f>
        <v/>
      </c>
      <c r="CI333">
        <f>BV333*COS(($BH333+12*($BI333-$BH333)/12))</f>
        <v/>
      </c>
    </row>
    <row r="334">
      <c r="B334" s="65" t="n">
        <v>56</v>
      </c>
      <c r="C334" s="66">
        <f>IF($G333&lt;cc_NEd-1E-9*ABS(cc_NEd),($C333+$D333)/2,$C333)</f>
        <v/>
      </c>
      <c r="D334" s="66">
        <f>IF($G333&lt;cc_NEd-1E-9*ABS(cc_NEd),$D333,($C333+$D333)/2)</f>
        <v/>
      </c>
      <c r="E334" s="67">
        <f>cc_D*(($C334+$D334)/2)/(1-(($C334+$D334)/2))</f>
        <v/>
      </c>
      <c r="F334" s="68">
        <f>IF($E334&lt;=cc_D,3.5,2*$E334/($E334-3*cc_D/7))</f>
        <v/>
      </c>
      <c r="G334" s="67">
        <f>(fcd_cc*((cc_D/2)^2*($BI334-COS($BI334)*SIN($BI334))-2*(cc_D/2)^2*($BI334-$BH334)/12/3*SUMPRODUCT($BJ$4:$BV$4,$BJ334:$BV334))+SUMPRODUCT($J$5:$AG$5,$J334:$AG334))/1000</f>
        <v/>
      </c>
      <c r="H334" s="67">
        <f>(fcd_cc*(2/3*(cc_D/2)^3*SIN($BI334)^3-2*(cc_D/2)^3*($BI334-$BH334)/12/3*SUMPRODUCT($BW$4:$CI$4,$BW334:$CI334))+SUMPRODUCT($J$5:$AG$5,$J334:$AG334,$J$16:$AG$16))/1E6</f>
        <v/>
      </c>
      <c r="I334" s="67">
        <f>SUMPRODUCT($J$5:$AG$5,$J334:$AG334,$J$17:$AG$17)/1E6</f>
        <v/>
      </c>
      <c r="J334">
        <f>MAX(-fyd_cc,MIN(fyd_cc,Es_cc*IF($E334&lt;=cc_D,0.0035*($E334-J$15)/$E334,0.002*($E334-J$15)/($E334-3*cc_D/7))))-fcd_cc*(1-(1-MAX(0,MIN(1,IF($E334&lt;=cc_D,0.0035*($E334-J$15)/$E334,0.002*($E334-J$15)/($E334-3*cc_D/7))/0.002)))^2)</f>
        <v/>
      </c>
      <c r="K334">
        <f>MAX(-fyd_cc,MIN(fyd_cc,Es_cc*IF($E334&lt;=cc_D,0.0035*($E334-K$15)/$E334,0.002*($E334-K$15)/($E334-3*cc_D/7))))-fcd_cc*(1-(1-MAX(0,MIN(1,IF($E334&lt;=cc_D,0.0035*($E334-K$15)/$E334,0.002*($E334-K$15)/($E334-3*cc_D/7))/0.002)))^2)</f>
        <v/>
      </c>
      <c r="L334">
        <f>MAX(-fyd_cc,MIN(fyd_cc,Es_cc*IF($E334&lt;=cc_D,0.0035*($E334-L$15)/$E334,0.002*($E334-L$15)/($E334-3*cc_D/7))))-fcd_cc*(1-(1-MAX(0,MIN(1,IF($E334&lt;=cc_D,0.0035*($E334-L$15)/$E334,0.002*($E334-L$15)/($E334-3*cc_D/7))/0.002)))^2)</f>
        <v/>
      </c>
      <c r="M334">
        <f>MAX(-fyd_cc,MIN(fyd_cc,Es_cc*IF($E334&lt;=cc_D,0.0035*($E334-M$15)/$E334,0.002*($E334-M$15)/($E334-3*cc_D/7))))-fcd_cc*(1-(1-MAX(0,MIN(1,IF($E334&lt;=cc_D,0.0035*($E334-M$15)/$E334,0.002*($E334-M$15)/($E334-3*cc_D/7))/0.002)))^2)</f>
        <v/>
      </c>
      <c r="N334">
        <f>MAX(-fyd_cc,MIN(fyd_cc,Es_cc*IF($E334&lt;=cc_D,0.0035*($E334-N$15)/$E334,0.002*($E334-N$15)/($E334-3*cc_D/7))))-fcd_cc*(1-(1-MAX(0,MIN(1,IF($E334&lt;=cc_D,0.0035*($E334-N$15)/$E334,0.002*($E334-N$15)/($E334-3*cc_D/7))/0.002)))^2)</f>
        <v/>
      </c>
      <c r="O334">
        <f>MAX(-fyd_cc,MIN(fyd_cc,Es_cc*IF($E334&lt;=cc_D,0.0035*($E334-O$15)/$E334,0.002*($E334-O$15)/($E334-3*cc_D/7))))-fcd_cc*(1-(1-MAX(0,MIN(1,IF($E334&lt;=cc_D,0.0035*($E334-O$15)/$E334,0.002*($E334-O$15)/($E334-3*cc_D/7))/0.002)))^2)</f>
        <v/>
      </c>
      <c r="P334">
        <f>MAX(-fyd_cc,MIN(fyd_cc,Es_cc*IF($E334&lt;=cc_D,0.0035*($E334-P$15)/$E334,0.002*($E334-P$15)/($E334-3*cc_D/7))))-fcd_cc*(1-(1-MAX(0,MIN(1,IF($E334&lt;=cc_D,0.0035*($E334-P$15)/$E334,0.002*($E334-P$15)/($E334-3*cc_D/7))/0.002)))^2)</f>
        <v/>
      </c>
      <c r="Q334">
        <f>MAX(-fyd_cc,MIN(fyd_cc,Es_cc*IF($E334&lt;=cc_D,0.0035*($E334-Q$15)/$E334,0.002*($E334-Q$15)/($E334-3*cc_D/7))))-fcd_cc*(1-(1-MAX(0,MIN(1,IF($E334&lt;=cc_D,0.0035*($E334-Q$15)/$E334,0.002*($E334-Q$15)/($E334-3*cc_D/7))/0.002)))^2)</f>
        <v/>
      </c>
      <c r="R334">
        <f>MAX(-fyd_cc,MIN(fyd_cc,Es_cc*IF($E334&lt;=cc_D,0.0035*($E334-R$15)/$E334,0.002*($E334-R$15)/($E334-3*cc_D/7))))-fcd_cc*(1-(1-MAX(0,MIN(1,IF($E334&lt;=cc_D,0.0035*($E334-R$15)/$E334,0.002*($E334-R$15)/($E334-3*cc_D/7))/0.002)))^2)</f>
        <v/>
      </c>
      <c r="S334">
        <f>MAX(-fyd_cc,MIN(fyd_cc,Es_cc*IF($E334&lt;=cc_D,0.0035*($E334-S$15)/$E334,0.002*($E334-S$15)/($E334-3*cc_D/7))))-fcd_cc*(1-(1-MAX(0,MIN(1,IF($E334&lt;=cc_D,0.0035*($E334-S$15)/$E334,0.002*($E334-S$15)/($E334-3*cc_D/7))/0.002)))^2)</f>
        <v/>
      </c>
      <c r="T334">
        <f>MAX(-fyd_cc,MIN(fyd_cc,Es_cc*IF($E334&lt;=cc_D,0.0035*($E334-T$15)/$E334,0.002*($E334-T$15)/($E334-3*cc_D/7))))-fcd_cc*(1-(1-MAX(0,MIN(1,IF($E334&lt;=cc_D,0.0035*($E334-T$15)/$E334,0.002*($E334-T$15)/($E334-3*cc_D/7))/0.002)))^2)</f>
        <v/>
      </c>
      <c r="U334">
        <f>MAX(-fyd_cc,MIN(fyd_cc,Es_cc*IF($E334&lt;=cc_D,0.0035*($E334-U$15)/$E334,0.002*($E334-U$15)/($E334-3*cc_D/7))))-fcd_cc*(1-(1-MAX(0,MIN(1,IF($E334&lt;=cc_D,0.0035*($E334-U$15)/$E334,0.002*($E334-U$15)/($E334-3*cc_D/7))/0.002)))^2)</f>
        <v/>
      </c>
      <c r="V334">
        <f>MAX(-fyd_cc,MIN(fyd_cc,Es_cc*IF($E334&lt;=cc_D,0.0035*($E334-V$15)/$E334,0.002*($E334-V$15)/($E334-3*cc_D/7))))-fcd_cc*(1-(1-MAX(0,MIN(1,IF($E334&lt;=cc_D,0.0035*($E334-V$15)/$E334,0.002*($E334-V$15)/($E334-3*cc_D/7))/0.002)))^2)</f>
        <v/>
      </c>
      <c r="W334">
        <f>MAX(-fyd_cc,MIN(fyd_cc,Es_cc*IF($E334&lt;=cc_D,0.0035*($E334-W$15)/$E334,0.002*($E334-W$15)/($E334-3*cc_D/7))))-fcd_cc*(1-(1-MAX(0,MIN(1,IF($E334&lt;=cc_D,0.0035*($E334-W$15)/$E334,0.002*($E334-W$15)/($E334-3*cc_D/7))/0.002)))^2)</f>
        <v/>
      </c>
      <c r="X334">
        <f>MAX(-fyd_cc,MIN(fyd_cc,Es_cc*IF($E334&lt;=cc_D,0.0035*($E334-X$15)/$E334,0.002*($E334-X$15)/($E334-3*cc_D/7))))-fcd_cc*(1-(1-MAX(0,MIN(1,IF($E334&lt;=cc_D,0.0035*($E334-X$15)/$E334,0.002*($E334-X$15)/($E334-3*cc_D/7))/0.002)))^2)</f>
        <v/>
      </c>
      <c r="Y334">
        <f>MAX(-fyd_cc,MIN(fyd_cc,Es_cc*IF($E334&lt;=cc_D,0.0035*($E334-Y$15)/$E334,0.002*($E334-Y$15)/($E334-3*cc_D/7))))-fcd_cc*(1-(1-MAX(0,MIN(1,IF($E334&lt;=cc_D,0.0035*($E334-Y$15)/$E334,0.002*($E334-Y$15)/($E334-3*cc_D/7))/0.002)))^2)</f>
        <v/>
      </c>
      <c r="Z334">
        <f>MAX(-fyd_cc,MIN(fyd_cc,Es_cc*IF($E334&lt;=cc_D,0.0035*($E334-Z$15)/$E334,0.002*($E334-Z$15)/($E334-3*cc_D/7))))-fcd_cc*(1-(1-MAX(0,MIN(1,IF($E334&lt;=cc_D,0.0035*($E334-Z$15)/$E334,0.002*($E334-Z$15)/($E334-3*cc_D/7))/0.002)))^2)</f>
        <v/>
      </c>
      <c r="AA334">
        <f>MAX(-fyd_cc,MIN(fyd_cc,Es_cc*IF($E334&lt;=cc_D,0.0035*($E334-AA$15)/$E334,0.002*($E334-AA$15)/($E334-3*cc_D/7))))-fcd_cc*(1-(1-MAX(0,MIN(1,IF($E334&lt;=cc_D,0.0035*($E334-AA$15)/$E334,0.002*($E334-AA$15)/($E334-3*cc_D/7))/0.002)))^2)</f>
        <v/>
      </c>
      <c r="AB334">
        <f>MAX(-fyd_cc,MIN(fyd_cc,Es_cc*IF($E334&lt;=cc_D,0.0035*($E334-AB$15)/$E334,0.002*($E334-AB$15)/($E334-3*cc_D/7))))-fcd_cc*(1-(1-MAX(0,MIN(1,IF($E334&lt;=cc_D,0.0035*($E334-AB$15)/$E334,0.002*($E334-AB$15)/($E334-3*cc_D/7))/0.002)))^2)</f>
        <v/>
      </c>
      <c r="AC334">
        <f>MAX(-fyd_cc,MIN(fyd_cc,Es_cc*IF($E334&lt;=cc_D,0.0035*($E334-AC$15)/$E334,0.002*($E334-AC$15)/($E334-3*cc_D/7))))-fcd_cc*(1-(1-MAX(0,MIN(1,IF($E334&lt;=cc_D,0.0035*($E334-AC$15)/$E334,0.002*($E334-AC$15)/($E334-3*cc_D/7))/0.002)))^2)</f>
        <v/>
      </c>
      <c r="AD334">
        <f>MAX(-fyd_cc,MIN(fyd_cc,Es_cc*IF($E334&lt;=cc_D,0.0035*($E334-AD$15)/$E334,0.002*($E334-AD$15)/($E334-3*cc_D/7))))-fcd_cc*(1-(1-MAX(0,MIN(1,IF($E334&lt;=cc_D,0.0035*($E334-AD$15)/$E334,0.002*($E334-AD$15)/($E334-3*cc_D/7))/0.002)))^2)</f>
        <v/>
      </c>
      <c r="AE334">
        <f>MAX(-fyd_cc,MIN(fyd_cc,Es_cc*IF($E334&lt;=cc_D,0.0035*($E334-AE$15)/$E334,0.002*($E334-AE$15)/($E334-3*cc_D/7))))-fcd_cc*(1-(1-MAX(0,MIN(1,IF($E334&lt;=cc_D,0.0035*($E334-AE$15)/$E334,0.002*($E334-AE$15)/($E334-3*cc_D/7))/0.002)))^2)</f>
        <v/>
      </c>
      <c r="AF334">
        <f>MAX(-fyd_cc,MIN(fyd_cc,Es_cc*IF($E334&lt;=cc_D,0.0035*($E334-AF$15)/$E334,0.002*($E334-AF$15)/($E334-3*cc_D/7))))-fcd_cc*(1-(1-MAX(0,MIN(1,IF($E334&lt;=cc_D,0.0035*($E334-AF$15)/$E334,0.002*($E334-AF$15)/($E334-3*cc_D/7))/0.002)))^2)</f>
        <v/>
      </c>
      <c r="AG334">
        <f>MAX(-fyd_cc,MIN(fyd_cc,Es_cc*IF($E334&lt;=cc_D,0.0035*($E334-AG$15)/$E334,0.002*($E334-AG$15)/($E334-3*cc_D/7))))-fcd_cc*(1-(1-MAX(0,MIN(1,IF($E334&lt;=cc_D,0.0035*($E334-AG$15)/$E334,0.002*($E334-AG$15)/($E334-3*cc_D/7))/0.002)))^2)</f>
        <v/>
      </c>
      <c r="BF334">
        <f>3*MIN($E334,cc_D)/7</f>
        <v/>
      </c>
      <c r="BG334">
        <f>$E334-$BF334</f>
        <v/>
      </c>
      <c r="BH334">
        <f>ACOS(MAX(-1,MIN(1,1-$BF334/(cc_D/2))))</f>
        <v/>
      </c>
      <c r="BI334">
        <f>ACOS(MAX(-1,MIN(1,1-MIN($E334,cc_D)/(cc_D/2))))</f>
        <v/>
      </c>
      <c r="BJ334">
        <f>((cc_D/2*(1-COS(($BH334+0*($BI334-$BH334)/12)))-$BF334)/$BG334)^2*SIN(($BH334+0*($BI334-$BH334)/12))^2</f>
        <v/>
      </c>
      <c r="BK334">
        <f>((cc_D/2*(1-COS(($BH334+1*($BI334-$BH334)/12)))-$BF334)/$BG334)^2*SIN(($BH334+1*($BI334-$BH334)/12))^2</f>
        <v/>
      </c>
      <c r="BL334">
        <f>((cc_D/2*(1-COS(($BH334+2*($BI334-$BH334)/12)))-$BF334)/$BG334)^2*SIN(($BH334+2*($BI334-$BH334)/12))^2</f>
        <v/>
      </c>
      <c r="BM334">
        <f>((cc_D/2*(1-COS(($BH334+3*($BI334-$BH334)/12)))-$BF334)/$BG334)^2*SIN(($BH334+3*($BI334-$BH334)/12))^2</f>
        <v/>
      </c>
      <c r="BN334">
        <f>((cc_D/2*(1-COS(($BH334+4*($BI334-$BH334)/12)))-$BF334)/$BG334)^2*SIN(($BH334+4*($BI334-$BH334)/12))^2</f>
        <v/>
      </c>
      <c r="BO334">
        <f>((cc_D/2*(1-COS(($BH334+5*($BI334-$BH334)/12)))-$BF334)/$BG334)^2*SIN(($BH334+5*($BI334-$BH334)/12))^2</f>
        <v/>
      </c>
      <c r="BP334">
        <f>((cc_D/2*(1-COS(($BH334+6*($BI334-$BH334)/12)))-$BF334)/$BG334)^2*SIN(($BH334+6*($BI334-$BH334)/12))^2</f>
        <v/>
      </c>
      <c r="BQ334">
        <f>((cc_D/2*(1-COS(($BH334+7*($BI334-$BH334)/12)))-$BF334)/$BG334)^2*SIN(($BH334+7*($BI334-$BH334)/12))^2</f>
        <v/>
      </c>
      <c r="BR334">
        <f>((cc_D/2*(1-COS(($BH334+8*($BI334-$BH334)/12)))-$BF334)/$BG334)^2*SIN(($BH334+8*($BI334-$BH334)/12))^2</f>
        <v/>
      </c>
      <c r="BS334">
        <f>((cc_D/2*(1-COS(($BH334+9*($BI334-$BH334)/12)))-$BF334)/$BG334)^2*SIN(($BH334+9*($BI334-$BH334)/12))^2</f>
        <v/>
      </c>
      <c r="BT334">
        <f>((cc_D/2*(1-COS(($BH334+10*($BI334-$BH334)/12)))-$BF334)/$BG334)^2*SIN(($BH334+10*($BI334-$BH334)/12))^2</f>
        <v/>
      </c>
      <c r="BU334">
        <f>((cc_D/2*(1-COS(($BH334+11*($BI334-$BH334)/12)))-$BF334)/$BG334)^2*SIN(($BH334+11*($BI334-$BH334)/12))^2</f>
        <v/>
      </c>
      <c r="BV334">
        <f>((cc_D/2*(1-COS(($BH334+12*($BI334-$BH334)/12)))-$BF334)/$BG334)^2*SIN(($BH334+12*($BI334-$BH334)/12))^2</f>
        <v/>
      </c>
      <c r="BW334">
        <f>BJ334*COS(($BH334+0*($BI334-$BH334)/12))</f>
        <v/>
      </c>
      <c r="BX334">
        <f>BK334*COS(($BH334+1*($BI334-$BH334)/12))</f>
        <v/>
      </c>
      <c r="BY334">
        <f>BL334*COS(($BH334+2*($BI334-$BH334)/12))</f>
        <v/>
      </c>
      <c r="BZ334">
        <f>BM334*COS(($BH334+3*($BI334-$BH334)/12))</f>
        <v/>
      </c>
      <c r="CA334">
        <f>BN334*COS(($BH334+4*($BI334-$BH334)/12))</f>
        <v/>
      </c>
      <c r="CB334">
        <f>BO334*COS(($BH334+5*($BI334-$BH334)/12))</f>
        <v/>
      </c>
      <c r="CC334">
        <f>BP334*COS(($BH334+6*($BI334-$BH334)/12))</f>
        <v/>
      </c>
      <c r="CD334">
        <f>BQ334*COS(($BH334+7*($BI334-$BH334)/12))</f>
        <v/>
      </c>
      <c r="CE334">
        <f>BR334*COS(($BH334+8*($BI334-$BH334)/12))</f>
        <v/>
      </c>
      <c r="CF334">
        <f>BS334*COS(($BH334+9*($BI334-$BH334)/12))</f>
        <v/>
      </c>
      <c r="CG334">
        <f>BT334*COS(($BH334+10*($BI334-$BH334)/12))</f>
        <v/>
      </c>
      <c r="CH334">
        <f>BU334*COS(($BH334+11*($BI334-$BH334)/12))</f>
        <v/>
      </c>
      <c r="CI334">
        <f>BV334*COS(($BH334+12*($BI334-$BH334)/12))</f>
        <v/>
      </c>
    </row>
    <row r="335">
      <c r="B335" s="65" t="n">
        <v>57</v>
      </c>
      <c r="C335" s="66">
        <f>IF($G334&lt;cc_NEd-1E-9*ABS(cc_NEd),($C334+$D334)/2,$C334)</f>
        <v/>
      </c>
      <c r="D335" s="66">
        <f>IF($G334&lt;cc_NEd-1E-9*ABS(cc_NEd),$D334,($C334+$D334)/2)</f>
        <v/>
      </c>
      <c r="E335" s="67">
        <f>cc_D*(($C335+$D335)/2)/(1-(($C335+$D335)/2))</f>
        <v/>
      </c>
      <c r="F335" s="68">
        <f>IF($E335&lt;=cc_D,3.5,2*$E335/($E335-3*cc_D/7))</f>
        <v/>
      </c>
      <c r="G335" s="67">
        <f>(fcd_cc*((cc_D/2)^2*($BI335-COS($BI335)*SIN($BI335))-2*(cc_D/2)^2*($BI335-$BH335)/12/3*SUMPRODUCT($BJ$4:$BV$4,$BJ335:$BV335))+SUMPRODUCT($J$5:$AG$5,$J335:$AG335))/1000</f>
        <v/>
      </c>
      <c r="H335" s="67">
        <f>(fcd_cc*(2/3*(cc_D/2)^3*SIN($BI335)^3-2*(cc_D/2)^3*($BI335-$BH335)/12/3*SUMPRODUCT($BW$4:$CI$4,$BW335:$CI335))+SUMPRODUCT($J$5:$AG$5,$J335:$AG335,$J$16:$AG$16))/1E6</f>
        <v/>
      </c>
      <c r="I335" s="67">
        <f>SUMPRODUCT($J$5:$AG$5,$J335:$AG335,$J$17:$AG$17)/1E6</f>
        <v/>
      </c>
      <c r="J335">
        <f>MAX(-fyd_cc,MIN(fyd_cc,Es_cc*IF($E335&lt;=cc_D,0.0035*($E335-J$15)/$E335,0.002*($E335-J$15)/($E335-3*cc_D/7))))-fcd_cc*(1-(1-MAX(0,MIN(1,IF($E335&lt;=cc_D,0.0035*($E335-J$15)/$E335,0.002*($E335-J$15)/($E335-3*cc_D/7))/0.002)))^2)</f>
        <v/>
      </c>
      <c r="K335">
        <f>MAX(-fyd_cc,MIN(fyd_cc,Es_cc*IF($E335&lt;=cc_D,0.0035*($E335-K$15)/$E335,0.002*($E335-K$15)/($E335-3*cc_D/7))))-fcd_cc*(1-(1-MAX(0,MIN(1,IF($E335&lt;=cc_D,0.0035*($E335-K$15)/$E335,0.002*($E335-K$15)/($E335-3*cc_D/7))/0.002)))^2)</f>
        <v/>
      </c>
      <c r="L335">
        <f>MAX(-fyd_cc,MIN(fyd_cc,Es_cc*IF($E335&lt;=cc_D,0.0035*($E335-L$15)/$E335,0.002*($E335-L$15)/($E335-3*cc_D/7))))-fcd_cc*(1-(1-MAX(0,MIN(1,IF($E335&lt;=cc_D,0.0035*($E335-L$15)/$E335,0.002*($E335-L$15)/($E335-3*cc_D/7))/0.002)))^2)</f>
        <v/>
      </c>
      <c r="M335">
        <f>MAX(-fyd_cc,MIN(fyd_cc,Es_cc*IF($E335&lt;=cc_D,0.0035*($E335-M$15)/$E335,0.002*($E335-M$15)/($E335-3*cc_D/7))))-fcd_cc*(1-(1-MAX(0,MIN(1,IF($E335&lt;=cc_D,0.0035*($E335-M$15)/$E335,0.002*($E335-M$15)/($E335-3*cc_D/7))/0.002)))^2)</f>
        <v/>
      </c>
      <c r="N335">
        <f>MAX(-fyd_cc,MIN(fyd_cc,Es_cc*IF($E335&lt;=cc_D,0.0035*($E335-N$15)/$E335,0.002*($E335-N$15)/($E335-3*cc_D/7))))-fcd_cc*(1-(1-MAX(0,MIN(1,IF($E335&lt;=cc_D,0.0035*($E335-N$15)/$E335,0.002*($E335-N$15)/($E335-3*cc_D/7))/0.002)))^2)</f>
        <v/>
      </c>
      <c r="O335">
        <f>MAX(-fyd_cc,MIN(fyd_cc,Es_cc*IF($E335&lt;=cc_D,0.0035*($E335-O$15)/$E335,0.002*($E335-O$15)/($E335-3*cc_D/7))))-fcd_cc*(1-(1-MAX(0,MIN(1,IF($E335&lt;=cc_D,0.0035*($E335-O$15)/$E335,0.002*($E335-O$15)/($E335-3*cc_D/7))/0.002)))^2)</f>
        <v/>
      </c>
      <c r="P335">
        <f>MAX(-fyd_cc,MIN(fyd_cc,Es_cc*IF($E335&lt;=cc_D,0.0035*($E335-P$15)/$E335,0.002*($E335-P$15)/($E335-3*cc_D/7))))-fcd_cc*(1-(1-MAX(0,MIN(1,IF($E335&lt;=cc_D,0.0035*($E335-P$15)/$E335,0.002*($E335-P$15)/($E335-3*cc_D/7))/0.002)))^2)</f>
        <v/>
      </c>
      <c r="Q335">
        <f>MAX(-fyd_cc,MIN(fyd_cc,Es_cc*IF($E335&lt;=cc_D,0.0035*($E335-Q$15)/$E335,0.002*($E335-Q$15)/($E335-3*cc_D/7))))-fcd_cc*(1-(1-MAX(0,MIN(1,IF($E335&lt;=cc_D,0.0035*($E335-Q$15)/$E335,0.002*($E335-Q$15)/($E335-3*cc_D/7))/0.002)))^2)</f>
        <v/>
      </c>
      <c r="R335">
        <f>MAX(-fyd_cc,MIN(fyd_cc,Es_cc*IF($E335&lt;=cc_D,0.0035*($E335-R$15)/$E335,0.002*($E335-R$15)/($E335-3*cc_D/7))))-fcd_cc*(1-(1-MAX(0,MIN(1,IF($E335&lt;=cc_D,0.0035*($E335-R$15)/$E335,0.002*($E335-R$15)/($E335-3*cc_D/7))/0.002)))^2)</f>
        <v/>
      </c>
      <c r="S335">
        <f>MAX(-fyd_cc,MIN(fyd_cc,Es_cc*IF($E335&lt;=cc_D,0.0035*($E335-S$15)/$E335,0.002*($E335-S$15)/($E335-3*cc_D/7))))-fcd_cc*(1-(1-MAX(0,MIN(1,IF($E335&lt;=cc_D,0.0035*($E335-S$15)/$E335,0.002*($E335-S$15)/($E335-3*cc_D/7))/0.002)))^2)</f>
        <v/>
      </c>
      <c r="T335">
        <f>MAX(-fyd_cc,MIN(fyd_cc,Es_cc*IF($E335&lt;=cc_D,0.0035*($E335-T$15)/$E335,0.002*($E335-T$15)/($E335-3*cc_D/7))))-fcd_cc*(1-(1-MAX(0,MIN(1,IF($E335&lt;=cc_D,0.0035*($E335-T$15)/$E335,0.002*($E335-T$15)/($E335-3*cc_D/7))/0.002)))^2)</f>
        <v/>
      </c>
      <c r="U335">
        <f>MAX(-fyd_cc,MIN(fyd_cc,Es_cc*IF($E335&lt;=cc_D,0.0035*($E335-U$15)/$E335,0.002*($E335-U$15)/($E335-3*cc_D/7))))-fcd_cc*(1-(1-MAX(0,MIN(1,IF($E335&lt;=cc_D,0.0035*($E335-U$15)/$E335,0.002*($E335-U$15)/($E335-3*cc_D/7))/0.002)))^2)</f>
        <v/>
      </c>
      <c r="V335">
        <f>MAX(-fyd_cc,MIN(fyd_cc,Es_cc*IF($E335&lt;=cc_D,0.0035*($E335-V$15)/$E335,0.002*($E335-V$15)/($E335-3*cc_D/7))))-fcd_cc*(1-(1-MAX(0,MIN(1,IF($E335&lt;=cc_D,0.0035*($E335-V$15)/$E335,0.002*($E335-V$15)/($E335-3*cc_D/7))/0.002)))^2)</f>
        <v/>
      </c>
      <c r="W335">
        <f>MAX(-fyd_cc,MIN(fyd_cc,Es_cc*IF($E335&lt;=cc_D,0.0035*($E335-W$15)/$E335,0.002*($E335-W$15)/($E335-3*cc_D/7))))-fcd_cc*(1-(1-MAX(0,MIN(1,IF($E335&lt;=cc_D,0.0035*($E335-W$15)/$E335,0.002*($E335-W$15)/($E335-3*cc_D/7))/0.002)))^2)</f>
        <v/>
      </c>
      <c r="X335">
        <f>MAX(-fyd_cc,MIN(fyd_cc,Es_cc*IF($E335&lt;=cc_D,0.0035*($E335-X$15)/$E335,0.002*($E335-X$15)/($E335-3*cc_D/7))))-fcd_cc*(1-(1-MAX(0,MIN(1,IF($E335&lt;=cc_D,0.0035*($E335-X$15)/$E335,0.002*($E335-X$15)/($E335-3*cc_D/7))/0.002)))^2)</f>
        <v/>
      </c>
      <c r="Y335">
        <f>MAX(-fyd_cc,MIN(fyd_cc,Es_cc*IF($E335&lt;=cc_D,0.0035*($E335-Y$15)/$E335,0.002*($E335-Y$15)/($E335-3*cc_D/7))))-fcd_cc*(1-(1-MAX(0,MIN(1,IF($E335&lt;=cc_D,0.0035*($E335-Y$15)/$E335,0.002*($E335-Y$15)/($E335-3*cc_D/7))/0.002)))^2)</f>
        <v/>
      </c>
      <c r="Z335">
        <f>MAX(-fyd_cc,MIN(fyd_cc,Es_cc*IF($E335&lt;=cc_D,0.0035*($E335-Z$15)/$E335,0.002*($E335-Z$15)/($E335-3*cc_D/7))))-fcd_cc*(1-(1-MAX(0,MIN(1,IF($E335&lt;=cc_D,0.0035*($E335-Z$15)/$E335,0.002*($E335-Z$15)/($E335-3*cc_D/7))/0.002)))^2)</f>
        <v/>
      </c>
      <c r="AA335">
        <f>MAX(-fyd_cc,MIN(fyd_cc,Es_cc*IF($E335&lt;=cc_D,0.0035*($E335-AA$15)/$E335,0.002*($E335-AA$15)/($E335-3*cc_D/7))))-fcd_cc*(1-(1-MAX(0,MIN(1,IF($E335&lt;=cc_D,0.0035*($E335-AA$15)/$E335,0.002*($E335-AA$15)/($E335-3*cc_D/7))/0.002)))^2)</f>
        <v/>
      </c>
      <c r="AB335">
        <f>MAX(-fyd_cc,MIN(fyd_cc,Es_cc*IF($E335&lt;=cc_D,0.0035*($E335-AB$15)/$E335,0.002*($E335-AB$15)/($E335-3*cc_D/7))))-fcd_cc*(1-(1-MAX(0,MIN(1,IF($E335&lt;=cc_D,0.0035*($E335-AB$15)/$E335,0.002*($E335-AB$15)/($E335-3*cc_D/7))/0.002)))^2)</f>
        <v/>
      </c>
      <c r="AC335">
        <f>MAX(-fyd_cc,MIN(fyd_cc,Es_cc*IF($E335&lt;=cc_D,0.0035*($E335-AC$15)/$E335,0.002*($E335-AC$15)/($E335-3*cc_D/7))))-fcd_cc*(1-(1-MAX(0,MIN(1,IF($E335&lt;=cc_D,0.0035*($E335-AC$15)/$E335,0.002*($E335-AC$15)/($E335-3*cc_D/7))/0.002)))^2)</f>
        <v/>
      </c>
      <c r="AD335">
        <f>MAX(-fyd_cc,MIN(fyd_cc,Es_cc*IF($E335&lt;=cc_D,0.0035*($E335-AD$15)/$E335,0.002*($E335-AD$15)/($E335-3*cc_D/7))))-fcd_cc*(1-(1-MAX(0,MIN(1,IF($E335&lt;=cc_D,0.0035*($E335-AD$15)/$E335,0.002*($E335-AD$15)/($E335-3*cc_D/7))/0.002)))^2)</f>
        <v/>
      </c>
      <c r="AE335">
        <f>MAX(-fyd_cc,MIN(fyd_cc,Es_cc*IF($E335&lt;=cc_D,0.0035*($E335-AE$15)/$E335,0.002*($E335-AE$15)/($E335-3*cc_D/7))))-fcd_cc*(1-(1-MAX(0,MIN(1,IF($E335&lt;=cc_D,0.0035*($E335-AE$15)/$E335,0.002*($E335-AE$15)/($E335-3*cc_D/7))/0.002)))^2)</f>
        <v/>
      </c>
      <c r="AF335">
        <f>MAX(-fyd_cc,MIN(fyd_cc,Es_cc*IF($E335&lt;=cc_D,0.0035*($E335-AF$15)/$E335,0.002*($E335-AF$15)/($E335-3*cc_D/7))))-fcd_cc*(1-(1-MAX(0,MIN(1,IF($E335&lt;=cc_D,0.0035*($E335-AF$15)/$E335,0.002*($E335-AF$15)/($E335-3*cc_D/7))/0.002)))^2)</f>
        <v/>
      </c>
      <c r="AG335">
        <f>MAX(-fyd_cc,MIN(fyd_cc,Es_cc*IF($E335&lt;=cc_D,0.0035*($E335-AG$15)/$E335,0.002*($E335-AG$15)/($E335-3*cc_D/7))))-fcd_cc*(1-(1-MAX(0,MIN(1,IF($E335&lt;=cc_D,0.0035*($E335-AG$15)/$E335,0.002*($E335-AG$15)/($E335-3*cc_D/7))/0.002)))^2)</f>
        <v/>
      </c>
      <c r="BF335">
        <f>3*MIN($E335,cc_D)/7</f>
        <v/>
      </c>
      <c r="BG335">
        <f>$E335-$BF335</f>
        <v/>
      </c>
      <c r="BH335">
        <f>ACOS(MAX(-1,MIN(1,1-$BF335/(cc_D/2))))</f>
        <v/>
      </c>
      <c r="BI335">
        <f>ACOS(MAX(-1,MIN(1,1-MIN($E335,cc_D)/(cc_D/2))))</f>
        <v/>
      </c>
      <c r="BJ335">
        <f>((cc_D/2*(1-COS(($BH335+0*($BI335-$BH335)/12)))-$BF335)/$BG335)^2*SIN(($BH335+0*($BI335-$BH335)/12))^2</f>
        <v/>
      </c>
      <c r="BK335">
        <f>((cc_D/2*(1-COS(($BH335+1*($BI335-$BH335)/12)))-$BF335)/$BG335)^2*SIN(($BH335+1*($BI335-$BH335)/12))^2</f>
        <v/>
      </c>
      <c r="BL335">
        <f>((cc_D/2*(1-COS(($BH335+2*($BI335-$BH335)/12)))-$BF335)/$BG335)^2*SIN(($BH335+2*($BI335-$BH335)/12))^2</f>
        <v/>
      </c>
      <c r="BM335">
        <f>((cc_D/2*(1-COS(($BH335+3*($BI335-$BH335)/12)))-$BF335)/$BG335)^2*SIN(($BH335+3*($BI335-$BH335)/12))^2</f>
        <v/>
      </c>
      <c r="BN335">
        <f>((cc_D/2*(1-COS(($BH335+4*($BI335-$BH335)/12)))-$BF335)/$BG335)^2*SIN(($BH335+4*($BI335-$BH335)/12))^2</f>
        <v/>
      </c>
      <c r="BO335">
        <f>((cc_D/2*(1-COS(($BH335+5*($BI335-$BH335)/12)))-$BF335)/$BG335)^2*SIN(($BH335+5*($BI335-$BH335)/12))^2</f>
        <v/>
      </c>
      <c r="BP335">
        <f>((cc_D/2*(1-COS(($BH335+6*($BI335-$BH335)/12)))-$BF335)/$BG335)^2*SIN(($BH335+6*($BI335-$BH335)/12))^2</f>
        <v/>
      </c>
      <c r="BQ335">
        <f>((cc_D/2*(1-COS(($BH335+7*($BI335-$BH335)/12)))-$BF335)/$BG335)^2*SIN(($BH335+7*($BI335-$BH335)/12))^2</f>
        <v/>
      </c>
      <c r="BR335">
        <f>((cc_D/2*(1-COS(($BH335+8*($BI335-$BH335)/12)))-$BF335)/$BG335)^2*SIN(($BH335+8*($BI335-$BH335)/12))^2</f>
        <v/>
      </c>
      <c r="BS335">
        <f>((cc_D/2*(1-COS(($BH335+9*($BI335-$BH335)/12)))-$BF335)/$BG335)^2*SIN(($BH335+9*($BI335-$BH335)/12))^2</f>
        <v/>
      </c>
      <c r="BT335">
        <f>((cc_D/2*(1-COS(($BH335+10*($BI335-$BH335)/12)))-$BF335)/$BG335)^2*SIN(($BH335+10*($BI335-$BH335)/12))^2</f>
        <v/>
      </c>
      <c r="BU335">
        <f>((cc_D/2*(1-COS(($BH335+11*($BI335-$BH335)/12)))-$BF335)/$BG335)^2*SIN(($BH335+11*($BI335-$BH335)/12))^2</f>
        <v/>
      </c>
      <c r="BV335">
        <f>((cc_D/2*(1-COS(($BH335+12*($BI335-$BH335)/12)))-$BF335)/$BG335)^2*SIN(($BH335+12*($BI335-$BH335)/12))^2</f>
        <v/>
      </c>
      <c r="BW335">
        <f>BJ335*COS(($BH335+0*($BI335-$BH335)/12))</f>
        <v/>
      </c>
      <c r="BX335">
        <f>BK335*COS(($BH335+1*($BI335-$BH335)/12))</f>
        <v/>
      </c>
      <c r="BY335">
        <f>BL335*COS(($BH335+2*($BI335-$BH335)/12))</f>
        <v/>
      </c>
      <c r="BZ335">
        <f>BM335*COS(($BH335+3*($BI335-$BH335)/12))</f>
        <v/>
      </c>
      <c r="CA335">
        <f>BN335*COS(($BH335+4*($BI335-$BH335)/12))</f>
        <v/>
      </c>
      <c r="CB335">
        <f>BO335*COS(($BH335+5*($BI335-$BH335)/12))</f>
        <v/>
      </c>
      <c r="CC335">
        <f>BP335*COS(($BH335+6*($BI335-$BH335)/12))</f>
        <v/>
      </c>
      <c r="CD335">
        <f>BQ335*COS(($BH335+7*($BI335-$BH335)/12))</f>
        <v/>
      </c>
      <c r="CE335">
        <f>BR335*COS(($BH335+8*($BI335-$BH335)/12))</f>
        <v/>
      </c>
      <c r="CF335">
        <f>BS335*COS(($BH335+9*($BI335-$BH335)/12))</f>
        <v/>
      </c>
      <c r="CG335">
        <f>BT335*COS(($BH335+10*($BI335-$BH335)/12))</f>
        <v/>
      </c>
      <c r="CH335">
        <f>BU335*COS(($BH335+11*($BI335-$BH335)/12))</f>
        <v/>
      </c>
      <c r="CI335">
        <f>BV335*COS(($BH335+12*($BI335-$BH335)/12))</f>
        <v/>
      </c>
    </row>
    <row r="336">
      <c r="B336" s="65" t="n">
        <v>58</v>
      </c>
      <c r="C336" s="66">
        <f>IF($G335&lt;cc_NEd-1E-9*ABS(cc_NEd),($C335+$D335)/2,$C335)</f>
        <v/>
      </c>
      <c r="D336" s="66">
        <f>IF($G335&lt;cc_NEd-1E-9*ABS(cc_NEd),$D335,($C335+$D335)/2)</f>
        <v/>
      </c>
      <c r="E336" s="67">
        <f>cc_D*(($C336+$D336)/2)/(1-(($C336+$D336)/2))</f>
        <v/>
      </c>
      <c r="F336" s="68">
        <f>IF($E336&lt;=cc_D,3.5,2*$E336/($E336-3*cc_D/7))</f>
        <v/>
      </c>
      <c r="G336" s="67">
        <f>(fcd_cc*((cc_D/2)^2*($BI336-COS($BI336)*SIN($BI336))-2*(cc_D/2)^2*($BI336-$BH336)/12/3*SUMPRODUCT($BJ$4:$BV$4,$BJ336:$BV336))+SUMPRODUCT($J$5:$AG$5,$J336:$AG336))/1000</f>
        <v/>
      </c>
      <c r="H336" s="67">
        <f>(fcd_cc*(2/3*(cc_D/2)^3*SIN($BI336)^3-2*(cc_D/2)^3*($BI336-$BH336)/12/3*SUMPRODUCT($BW$4:$CI$4,$BW336:$CI336))+SUMPRODUCT($J$5:$AG$5,$J336:$AG336,$J$16:$AG$16))/1E6</f>
        <v/>
      </c>
      <c r="I336" s="67">
        <f>SUMPRODUCT($J$5:$AG$5,$J336:$AG336,$J$17:$AG$17)/1E6</f>
        <v/>
      </c>
      <c r="J336">
        <f>MAX(-fyd_cc,MIN(fyd_cc,Es_cc*IF($E336&lt;=cc_D,0.0035*($E336-J$15)/$E336,0.002*($E336-J$15)/($E336-3*cc_D/7))))-fcd_cc*(1-(1-MAX(0,MIN(1,IF($E336&lt;=cc_D,0.0035*($E336-J$15)/$E336,0.002*($E336-J$15)/($E336-3*cc_D/7))/0.002)))^2)</f>
        <v/>
      </c>
      <c r="K336">
        <f>MAX(-fyd_cc,MIN(fyd_cc,Es_cc*IF($E336&lt;=cc_D,0.0035*($E336-K$15)/$E336,0.002*($E336-K$15)/($E336-3*cc_D/7))))-fcd_cc*(1-(1-MAX(0,MIN(1,IF($E336&lt;=cc_D,0.0035*($E336-K$15)/$E336,0.002*($E336-K$15)/($E336-3*cc_D/7))/0.002)))^2)</f>
        <v/>
      </c>
      <c r="L336">
        <f>MAX(-fyd_cc,MIN(fyd_cc,Es_cc*IF($E336&lt;=cc_D,0.0035*($E336-L$15)/$E336,0.002*($E336-L$15)/($E336-3*cc_D/7))))-fcd_cc*(1-(1-MAX(0,MIN(1,IF($E336&lt;=cc_D,0.0035*($E336-L$15)/$E336,0.002*($E336-L$15)/($E336-3*cc_D/7))/0.002)))^2)</f>
        <v/>
      </c>
      <c r="M336">
        <f>MAX(-fyd_cc,MIN(fyd_cc,Es_cc*IF($E336&lt;=cc_D,0.0035*($E336-M$15)/$E336,0.002*($E336-M$15)/($E336-3*cc_D/7))))-fcd_cc*(1-(1-MAX(0,MIN(1,IF($E336&lt;=cc_D,0.0035*($E336-M$15)/$E336,0.002*($E336-M$15)/($E336-3*cc_D/7))/0.002)))^2)</f>
        <v/>
      </c>
      <c r="N336">
        <f>MAX(-fyd_cc,MIN(fyd_cc,Es_cc*IF($E336&lt;=cc_D,0.0035*($E336-N$15)/$E336,0.002*($E336-N$15)/($E336-3*cc_D/7))))-fcd_cc*(1-(1-MAX(0,MIN(1,IF($E336&lt;=cc_D,0.0035*($E336-N$15)/$E336,0.002*($E336-N$15)/($E336-3*cc_D/7))/0.002)))^2)</f>
        <v/>
      </c>
      <c r="O336">
        <f>MAX(-fyd_cc,MIN(fyd_cc,Es_cc*IF($E336&lt;=cc_D,0.0035*($E336-O$15)/$E336,0.002*($E336-O$15)/($E336-3*cc_D/7))))-fcd_cc*(1-(1-MAX(0,MIN(1,IF($E336&lt;=cc_D,0.0035*($E336-O$15)/$E336,0.002*($E336-O$15)/($E336-3*cc_D/7))/0.002)))^2)</f>
        <v/>
      </c>
      <c r="P336">
        <f>MAX(-fyd_cc,MIN(fyd_cc,Es_cc*IF($E336&lt;=cc_D,0.0035*($E336-P$15)/$E336,0.002*($E336-P$15)/($E336-3*cc_D/7))))-fcd_cc*(1-(1-MAX(0,MIN(1,IF($E336&lt;=cc_D,0.0035*($E336-P$15)/$E336,0.002*($E336-P$15)/($E336-3*cc_D/7))/0.002)))^2)</f>
        <v/>
      </c>
      <c r="Q336">
        <f>MAX(-fyd_cc,MIN(fyd_cc,Es_cc*IF($E336&lt;=cc_D,0.0035*($E336-Q$15)/$E336,0.002*($E336-Q$15)/($E336-3*cc_D/7))))-fcd_cc*(1-(1-MAX(0,MIN(1,IF($E336&lt;=cc_D,0.0035*($E336-Q$15)/$E336,0.002*($E336-Q$15)/($E336-3*cc_D/7))/0.002)))^2)</f>
        <v/>
      </c>
      <c r="R336">
        <f>MAX(-fyd_cc,MIN(fyd_cc,Es_cc*IF($E336&lt;=cc_D,0.0035*($E336-R$15)/$E336,0.002*($E336-R$15)/($E336-3*cc_D/7))))-fcd_cc*(1-(1-MAX(0,MIN(1,IF($E336&lt;=cc_D,0.0035*($E336-R$15)/$E336,0.002*($E336-R$15)/($E336-3*cc_D/7))/0.002)))^2)</f>
        <v/>
      </c>
      <c r="S336">
        <f>MAX(-fyd_cc,MIN(fyd_cc,Es_cc*IF($E336&lt;=cc_D,0.0035*($E336-S$15)/$E336,0.002*($E336-S$15)/($E336-3*cc_D/7))))-fcd_cc*(1-(1-MAX(0,MIN(1,IF($E336&lt;=cc_D,0.0035*($E336-S$15)/$E336,0.002*($E336-S$15)/($E336-3*cc_D/7))/0.002)))^2)</f>
        <v/>
      </c>
      <c r="T336">
        <f>MAX(-fyd_cc,MIN(fyd_cc,Es_cc*IF($E336&lt;=cc_D,0.0035*($E336-T$15)/$E336,0.002*($E336-T$15)/($E336-3*cc_D/7))))-fcd_cc*(1-(1-MAX(0,MIN(1,IF($E336&lt;=cc_D,0.0035*($E336-T$15)/$E336,0.002*($E336-T$15)/($E336-3*cc_D/7))/0.002)))^2)</f>
        <v/>
      </c>
      <c r="U336">
        <f>MAX(-fyd_cc,MIN(fyd_cc,Es_cc*IF($E336&lt;=cc_D,0.0035*($E336-U$15)/$E336,0.002*($E336-U$15)/($E336-3*cc_D/7))))-fcd_cc*(1-(1-MAX(0,MIN(1,IF($E336&lt;=cc_D,0.0035*($E336-U$15)/$E336,0.002*($E336-U$15)/($E336-3*cc_D/7))/0.002)))^2)</f>
        <v/>
      </c>
      <c r="V336">
        <f>MAX(-fyd_cc,MIN(fyd_cc,Es_cc*IF($E336&lt;=cc_D,0.0035*($E336-V$15)/$E336,0.002*($E336-V$15)/($E336-3*cc_D/7))))-fcd_cc*(1-(1-MAX(0,MIN(1,IF($E336&lt;=cc_D,0.0035*($E336-V$15)/$E336,0.002*($E336-V$15)/($E336-3*cc_D/7))/0.002)))^2)</f>
        <v/>
      </c>
      <c r="W336">
        <f>MAX(-fyd_cc,MIN(fyd_cc,Es_cc*IF($E336&lt;=cc_D,0.0035*($E336-W$15)/$E336,0.002*($E336-W$15)/($E336-3*cc_D/7))))-fcd_cc*(1-(1-MAX(0,MIN(1,IF($E336&lt;=cc_D,0.0035*($E336-W$15)/$E336,0.002*($E336-W$15)/($E336-3*cc_D/7))/0.002)))^2)</f>
        <v/>
      </c>
      <c r="X336">
        <f>MAX(-fyd_cc,MIN(fyd_cc,Es_cc*IF($E336&lt;=cc_D,0.0035*($E336-X$15)/$E336,0.002*($E336-X$15)/($E336-3*cc_D/7))))-fcd_cc*(1-(1-MAX(0,MIN(1,IF($E336&lt;=cc_D,0.0035*($E336-X$15)/$E336,0.002*($E336-X$15)/($E336-3*cc_D/7))/0.002)))^2)</f>
        <v/>
      </c>
      <c r="Y336">
        <f>MAX(-fyd_cc,MIN(fyd_cc,Es_cc*IF($E336&lt;=cc_D,0.0035*($E336-Y$15)/$E336,0.002*($E336-Y$15)/($E336-3*cc_D/7))))-fcd_cc*(1-(1-MAX(0,MIN(1,IF($E336&lt;=cc_D,0.0035*($E336-Y$15)/$E336,0.002*($E336-Y$15)/($E336-3*cc_D/7))/0.002)))^2)</f>
        <v/>
      </c>
      <c r="Z336">
        <f>MAX(-fyd_cc,MIN(fyd_cc,Es_cc*IF($E336&lt;=cc_D,0.0035*($E336-Z$15)/$E336,0.002*($E336-Z$15)/($E336-3*cc_D/7))))-fcd_cc*(1-(1-MAX(0,MIN(1,IF($E336&lt;=cc_D,0.0035*($E336-Z$15)/$E336,0.002*($E336-Z$15)/($E336-3*cc_D/7))/0.002)))^2)</f>
        <v/>
      </c>
      <c r="AA336">
        <f>MAX(-fyd_cc,MIN(fyd_cc,Es_cc*IF($E336&lt;=cc_D,0.0035*($E336-AA$15)/$E336,0.002*($E336-AA$15)/($E336-3*cc_D/7))))-fcd_cc*(1-(1-MAX(0,MIN(1,IF($E336&lt;=cc_D,0.0035*($E336-AA$15)/$E336,0.002*($E336-AA$15)/($E336-3*cc_D/7))/0.002)))^2)</f>
        <v/>
      </c>
      <c r="AB336">
        <f>MAX(-fyd_cc,MIN(fyd_cc,Es_cc*IF($E336&lt;=cc_D,0.0035*($E336-AB$15)/$E336,0.002*($E336-AB$15)/($E336-3*cc_D/7))))-fcd_cc*(1-(1-MAX(0,MIN(1,IF($E336&lt;=cc_D,0.0035*($E336-AB$15)/$E336,0.002*($E336-AB$15)/($E336-3*cc_D/7))/0.002)))^2)</f>
        <v/>
      </c>
      <c r="AC336">
        <f>MAX(-fyd_cc,MIN(fyd_cc,Es_cc*IF($E336&lt;=cc_D,0.0035*($E336-AC$15)/$E336,0.002*($E336-AC$15)/($E336-3*cc_D/7))))-fcd_cc*(1-(1-MAX(0,MIN(1,IF($E336&lt;=cc_D,0.0035*($E336-AC$15)/$E336,0.002*($E336-AC$15)/($E336-3*cc_D/7))/0.002)))^2)</f>
        <v/>
      </c>
      <c r="AD336">
        <f>MAX(-fyd_cc,MIN(fyd_cc,Es_cc*IF($E336&lt;=cc_D,0.0035*($E336-AD$15)/$E336,0.002*($E336-AD$15)/($E336-3*cc_D/7))))-fcd_cc*(1-(1-MAX(0,MIN(1,IF($E336&lt;=cc_D,0.0035*($E336-AD$15)/$E336,0.002*($E336-AD$15)/($E336-3*cc_D/7))/0.002)))^2)</f>
        <v/>
      </c>
      <c r="AE336">
        <f>MAX(-fyd_cc,MIN(fyd_cc,Es_cc*IF($E336&lt;=cc_D,0.0035*($E336-AE$15)/$E336,0.002*($E336-AE$15)/($E336-3*cc_D/7))))-fcd_cc*(1-(1-MAX(0,MIN(1,IF($E336&lt;=cc_D,0.0035*($E336-AE$15)/$E336,0.002*($E336-AE$15)/($E336-3*cc_D/7))/0.002)))^2)</f>
        <v/>
      </c>
      <c r="AF336">
        <f>MAX(-fyd_cc,MIN(fyd_cc,Es_cc*IF($E336&lt;=cc_D,0.0035*($E336-AF$15)/$E336,0.002*($E336-AF$15)/($E336-3*cc_D/7))))-fcd_cc*(1-(1-MAX(0,MIN(1,IF($E336&lt;=cc_D,0.0035*($E336-AF$15)/$E336,0.002*($E336-AF$15)/($E336-3*cc_D/7))/0.002)))^2)</f>
        <v/>
      </c>
      <c r="AG336">
        <f>MAX(-fyd_cc,MIN(fyd_cc,Es_cc*IF($E336&lt;=cc_D,0.0035*($E336-AG$15)/$E336,0.002*($E336-AG$15)/($E336-3*cc_D/7))))-fcd_cc*(1-(1-MAX(0,MIN(1,IF($E336&lt;=cc_D,0.0035*($E336-AG$15)/$E336,0.002*($E336-AG$15)/($E336-3*cc_D/7))/0.002)))^2)</f>
        <v/>
      </c>
      <c r="BF336">
        <f>3*MIN($E336,cc_D)/7</f>
        <v/>
      </c>
      <c r="BG336">
        <f>$E336-$BF336</f>
        <v/>
      </c>
      <c r="BH336">
        <f>ACOS(MAX(-1,MIN(1,1-$BF336/(cc_D/2))))</f>
        <v/>
      </c>
      <c r="BI336">
        <f>ACOS(MAX(-1,MIN(1,1-MIN($E336,cc_D)/(cc_D/2))))</f>
        <v/>
      </c>
      <c r="BJ336">
        <f>((cc_D/2*(1-COS(($BH336+0*($BI336-$BH336)/12)))-$BF336)/$BG336)^2*SIN(($BH336+0*($BI336-$BH336)/12))^2</f>
        <v/>
      </c>
      <c r="BK336">
        <f>((cc_D/2*(1-COS(($BH336+1*($BI336-$BH336)/12)))-$BF336)/$BG336)^2*SIN(($BH336+1*($BI336-$BH336)/12))^2</f>
        <v/>
      </c>
      <c r="BL336">
        <f>((cc_D/2*(1-COS(($BH336+2*($BI336-$BH336)/12)))-$BF336)/$BG336)^2*SIN(($BH336+2*($BI336-$BH336)/12))^2</f>
        <v/>
      </c>
      <c r="BM336">
        <f>((cc_D/2*(1-COS(($BH336+3*($BI336-$BH336)/12)))-$BF336)/$BG336)^2*SIN(($BH336+3*($BI336-$BH336)/12))^2</f>
        <v/>
      </c>
      <c r="BN336">
        <f>((cc_D/2*(1-COS(($BH336+4*($BI336-$BH336)/12)))-$BF336)/$BG336)^2*SIN(($BH336+4*($BI336-$BH336)/12))^2</f>
        <v/>
      </c>
      <c r="BO336">
        <f>((cc_D/2*(1-COS(($BH336+5*($BI336-$BH336)/12)))-$BF336)/$BG336)^2*SIN(($BH336+5*($BI336-$BH336)/12))^2</f>
        <v/>
      </c>
      <c r="BP336">
        <f>((cc_D/2*(1-COS(($BH336+6*($BI336-$BH336)/12)))-$BF336)/$BG336)^2*SIN(($BH336+6*($BI336-$BH336)/12))^2</f>
        <v/>
      </c>
      <c r="BQ336">
        <f>((cc_D/2*(1-COS(($BH336+7*($BI336-$BH336)/12)))-$BF336)/$BG336)^2*SIN(($BH336+7*($BI336-$BH336)/12))^2</f>
        <v/>
      </c>
      <c r="BR336">
        <f>((cc_D/2*(1-COS(($BH336+8*($BI336-$BH336)/12)))-$BF336)/$BG336)^2*SIN(($BH336+8*($BI336-$BH336)/12))^2</f>
        <v/>
      </c>
      <c r="BS336">
        <f>((cc_D/2*(1-COS(($BH336+9*($BI336-$BH336)/12)))-$BF336)/$BG336)^2*SIN(($BH336+9*($BI336-$BH336)/12))^2</f>
        <v/>
      </c>
      <c r="BT336">
        <f>((cc_D/2*(1-COS(($BH336+10*($BI336-$BH336)/12)))-$BF336)/$BG336)^2*SIN(($BH336+10*($BI336-$BH336)/12))^2</f>
        <v/>
      </c>
      <c r="BU336">
        <f>((cc_D/2*(1-COS(($BH336+11*($BI336-$BH336)/12)))-$BF336)/$BG336)^2*SIN(($BH336+11*($BI336-$BH336)/12))^2</f>
        <v/>
      </c>
      <c r="BV336">
        <f>((cc_D/2*(1-COS(($BH336+12*($BI336-$BH336)/12)))-$BF336)/$BG336)^2*SIN(($BH336+12*($BI336-$BH336)/12))^2</f>
        <v/>
      </c>
      <c r="BW336">
        <f>BJ336*COS(($BH336+0*($BI336-$BH336)/12))</f>
        <v/>
      </c>
      <c r="BX336">
        <f>BK336*COS(($BH336+1*($BI336-$BH336)/12))</f>
        <v/>
      </c>
      <c r="BY336">
        <f>BL336*COS(($BH336+2*($BI336-$BH336)/12))</f>
        <v/>
      </c>
      <c r="BZ336">
        <f>BM336*COS(($BH336+3*($BI336-$BH336)/12))</f>
        <v/>
      </c>
      <c r="CA336">
        <f>BN336*COS(($BH336+4*($BI336-$BH336)/12))</f>
        <v/>
      </c>
      <c r="CB336">
        <f>BO336*COS(($BH336+5*($BI336-$BH336)/12))</f>
        <v/>
      </c>
      <c r="CC336">
        <f>BP336*COS(($BH336+6*($BI336-$BH336)/12))</f>
        <v/>
      </c>
      <c r="CD336">
        <f>BQ336*COS(($BH336+7*($BI336-$BH336)/12))</f>
        <v/>
      </c>
      <c r="CE336">
        <f>BR336*COS(($BH336+8*($BI336-$BH336)/12))</f>
        <v/>
      </c>
      <c r="CF336">
        <f>BS336*COS(($BH336+9*($BI336-$BH336)/12))</f>
        <v/>
      </c>
      <c r="CG336">
        <f>BT336*COS(($BH336+10*($BI336-$BH336)/12))</f>
        <v/>
      </c>
      <c r="CH336">
        <f>BU336*COS(($BH336+11*($BI336-$BH336)/12))</f>
        <v/>
      </c>
      <c r="CI336">
        <f>BV336*COS(($BH336+12*($BI336-$BH336)/12))</f>
        <v/>
      </c>
    </row>
    <row r="337">
      <c r="B337" s="65" t="n">
        <v>59</v>
      </c>
      <c r="C337" s="66">
        <f>IF($G336&lt;cc_NEd-1E-9*ABS(cc_NEd),($C336+$D336)/2,$C336)</f>
        <v/>
      </c>
      <c r="D337" s="66">
        <f>IF($G336&lt;cc_NEd-1E-9*ABS(cc_NEd),$D336,($C336+$D336)/2)</f>
        <v/>
      </c>
      <c r="E337" s="67">
        <f>cc_D*(($C337+$D337)/2)/(1-(($C337+$D337)/2))</f>
        <v/>
      </c>
      <c r="F337" s="68">
        <f>IF($E337&lt;=cc_D,3.5,2*$E337/($E337-3*cc_D/7))</f>
        <v/>
      </c>
      <c r="G337" s="67">
        <f>(fcd_cc*((cc_D/2)^2*($BI337-COS($BI337)*SIN($BI337))-2*(cc_D/2)^2*($BI337-$BH337)/12/3*SUMPRODUCT($BJ$4:$BV$4,$BJ337:$BV337))+SUMPRODUCT($J$5:$AG$5,$J337:$AG337))/1000</f>
        <v/>
      </c>
      <c r="H337" s="67">
        <f>(fcd_cc*(2/3*(cc_D/2)^3*SIN($BI337)^3-2*(cc_D/2)^3*($BI337-$BH337)/12/3*SUMPRODUCT($BW$4:$CI$4,$BW337:$CI337))+SUMPRODUCT($J$5:$AG$5,$J337:$AG337,$J$16:$AG$16))/1E6</f>
        <v/>
      </c>
      <c r="I337" s="67">
        <f>SUMPRODUCT($J$5:$AG$5,$J337:$AG337,$J$17:$AG$17)/1E6</f>
        <v/>
      </c>
      <c r="J337">
        <f>MAX(-fyd_cc,MIN(fyd_cc,Es_cc*IF($E337&lt;=cc_D,0.0035*($E337-J$15)/$E337,0.002*($E337-J$15)/($E337-3*cc_D/7))))-fcd_cc*(1-(1-MAX(0,MIN(1,IF($E337&lt;=cc_D,0.0035*($E337-J$15)/$E337,0.002*($E337-J$15)/($E337-3*cc_D/7))/0.002)))^2)</f>
        <v/>
      </c>
      <c r="K337">
        <f>MAX(-fyd_cc,MIN(fyd_cc,Es_cc*IF($E337&lt;=cc_D,0.0035*($E337-K$15)/$E337,0.002*($E337-K$15)/($E337-3*cc_D/7))))-fcd_cc*(1-(1-MAX(0,MIN(1,IF($E337&lt;=cc_D,0.0035*($E337-K$15)/$E337,0.002*($E337-K$15)/($E337-3*cc_D/7))/0.002)))^2)</f>
        <v/>
      </c>
      <c r="L337">
        <f>MAX(-fyd_cc,MIN(fyd_cc,Es_cc*IF($E337&lt;=cc_D,0.0035*($E337-L$15)/$E337,0.002*($E337-L$15)/($E337-3*cc_D/7))))-fcd_cc*(1-(1-MAX(0,MIN(1,IF($E337&lt;=cc_D,0.0035*($E337-L$15)/$E337,0.002*($E337-L$15)/($E337-3*cc_D/7))/0.002)))^2)</f>
        <v/>
      </c>
      <c r="M337">
        <f>MAX(-fyd_cc,MIN(fyd_cc,Es_cc*IF($E337&lt;=cc_D,0.0035*($E337-M$15)/$E337,0.002*($E337-M$15)/($E337-3*cc_D/7))))-fcd_cc*(1-(1-MAX(0,MIN(1,IF($E337&lt;=cc_D,0.0035*($E337-M$15)/$E337,0.002*($E337-M$15)/($E337-3*cc_D/7))/0.002)))^2)</f>
        <v/>
      </c>
      <c r="N337">
        <f>MAX(-fyd_cc,MIN(fyd_cc,Es_cc*IF($E337&lt;=cc_D,0.0035*($E337-N$15)/$E337,0.002*($E337-N$15)/($E337-3*cc_D/7))))-fcd_cc*(1-(1-MAX(0,MIN(1,IF($E337&lt;=cc_D,0.0035*($E337-N$15)/$E337,0.002*($E337-N$15)/($E337-3*cc_D/7))/0.002)))^2)</f>
        <v/>
      </c>
      <c r="O337">
        <f>MAX(-fyd_cc,MIN(fyd_cc,Es_cc*IF($E337&lt;=cc_D,0.0035*($E337-O$15)/$E337,0.002*($E337-O$15)/($E337-3*cc_D/7))))-fcd_cc*(1-(1-MAX(0,MIN(1,IF($E337&lt;=cc_D,0.0035*($E337-O$15)/$E337,0.002*($E337-O$15)/($E337-3*cc_D/7))/0.002)))^2)</f>
        <v/>
      </c>
      <c r="P337">
        <f>MAX(-fyd_cc,MIN(fyd_cc,Es_cc*IF($E337&lt;=cc_D,0.0035*($E337-P$15)/$E337,0.002*($E337-P$15)/($E337-3*cc_D/7))))-fcd_cc*(1-(1-MAX(0,MIN(1,IF($E337&lt;=cc_D,0.0035*($E337-P$15)/$E337,0.002*($E337-P$15)/($E337-3*cc_D/7))/0.002)))^2)</f>
        <v/>
      </c>
      <c r="Q337">
        <f>MAX(-fyd_cc,MIN(fyd_cc,Es_cc*IF($E337&lt;=cc_D,0.0035*($E337-Q$15)/$E337,0.002*($E337-Q$15)/($E337-3*cc_D/7))))-fcd_cc*(1-(1-MAX(0,MIN(1,IF($E337&lt;=cc_D,0.0035*($E337-Q$15)/$E337,0.002*($E337-Q$15)/($E337-3*cc_D/7))/0.002)))^2)</f>
        <v/>
      </c>
      <c r="R337">
        <f>MAX(-fyd_cc,MIN(fyd_cc,Es_cc*IF($E337&lt;=cc_D,0.0035*($E337-R$15)/$E337,0.002*($E337-R$15)/($E337-3*cc_D/7))))-fcd_cc*(1-(1-MAX(0,MIN(1,IF($E337&lt;=cc_D,0.0035*($E337-R$15)/$E337,0.002*($E337-R$15)/($E337-3*cc_D/7))/0.002)))^2)</f>
        <v/>
      </c>
      <c r="S337">
        <f>MAX(-fyd_cc,MIN(fyd_cc,Es_cc*IF($E337&lt;=cc_D,0.0035*($E337-S$15)/$E337,0.002*($E337-S$15)/($E337-3*cc_D/7))))-fcd_cc*(1-(1-MAX(0,MIN(1,IF($E337&lt;=cc_D,0.0035*($E337-S$15)/$E337,0.002*($E337-S$15)/($E337-3*cc_D/7))/0.002)))^2)</f>
        <v/>
      </c>
      <c r="T337">
        <f>MAX(-fyd_cc,MIN(fyd_cc,Es_cc*IF($E337&lt;=cc_D,0.0035*($E337-T$15)/$E337,0.002*($E337-T$15)/($E337-3*cc_D/7))))-fcd_cc*(1-(1-MAX(0,MIN(1,IF($E337&lt;=cc_D,0.0035*($E337-T$15)/$E337,0.002*($E337-T$15)/($E337-3*cc_D/7))/0.002)))^2)</f>
        <v/>
      </c>
      <c r="U337">
        <f>MAX(-fyd_cc,MIN(fyd_cc,Es_cc*IF($E337&lt;=cc_D,0.0035*($E337-U$15)/$E337,0.002*($E337-U$15)/($E337-3*cc_D/7))))-fcd_cc*(1-(1-MAX(0,MIN(1,IF($E337&lt;=cc_D,0.0035*($E337-U$15)/$E337,0.002*($E337-U$15)/($E337-3*cc_D/7))/0.002)))^2)</f>
        <v/>
      </c>
      <c r="V337">
        <f>MAX(-fyd_cc,MIN(fyd_cc,Es_cc*IF($E337&lt;=cc_D,0.0035*($E337-V$15)/$E337,0.002*($E337-V$15)/($E337-3*cc_D/7))))-fcd_cc*(1-(1-MAX(0,MIN(1,IF($E337&lt;=cc_D,0.0035*($E337-V$15)/$E337,0.002*($E337-V$15)/($E337-3*cc_D/7))/0.002)))^2)</f>
        <v/>
      </c>
      <c r="W337">
        <f>MAX(-fyd_cc,MIN(fyd_cc,Es_cc*IF($E337&lt;=cc_D,0.0035*($E337-W$15)/$E337,0.002*($E337-W$15)/($E337-3*cc_D/7))))-fcd_cc*(1-(1-MAX(0,MIN(1,IF($E337&lt;=cc_D,0.0035*($E337-W$15)/$E337,0.002*($E337-W$15)/($E337-3*cc_D/7))/0.002)))^2)</f>
        <v/>
      </c>
      <c r="X337">
        <f>MAX(-fyd_cc,MIN(fyd_cc,Es_cc*IF($E337&lt;=cc_D,0.0035*($E337-X$15)/$E337,0.002*($E337-X$15)/($E337-3*cc_D/7))))-fcd_cc*(1-(1-MAX(0,MIN(1,IF($E337&lt;=cc_D,0.0035*($E337-X$15)/$E337,0.002*($E337-X$15)/($E337-3*cc_D/7))/0.002)))^2)</f>
        <v/>
      </c>
      <c r="Y337">
        <f>MAX(-fyd_cc,MIN(fyd_cc,Es_cc*IF($E337&lt;=cc_D,0.0035*($E337-Y$15)/$E337,0.002*($E337-Y$15)/($E337-3*cc_D/7))))-fcd_cc*(1-(1-MAX(0,MIN(1,IF($E337&lt;=cc_D,0.0035*($E337-Y$15)/$E337,0.002*($E337-Y$15)/($E337-3*cc_D/7))/0.002)))^2)</f>
        <v/>
      </c>
      <c r="Z337">
        <f>MAX(-fyd_cc,MIN(fyd_cc,Es_cc*IF($E337&lt;=cc_D,0.0035*($E337-Z$15)/$E337,0.002*($E337-Z$15)/($E337-3*cc_D/7))))-fcd_cc*(1-(1-MAX(0,MIN(1,IF($E337&lt;=cc_D,0.0035*($E337-Z$15)/$E337,0.002*($E337-Z$15)/($E337-3*cc_D/7))/0.002)))^2)</f>
        <v/>
      </c>
      <c r="AA337">
        <f>MAX(-fyd_cc,MIN(fyd_cc,Es_cc*IF($E337&lt;=cc_D,0.0035*($E337-AA$15)/$E337,0.002*($E337-AA$15)/($E337-3*cc_D/7))))-fcd_cc*(1-(1-MAX(0,MIN(1,IF($E337&lt;=cc_D,0.0035*($E337-AA$15)/$E337,0.002*($E337-AA$15)/($E337-3*cc_D/7))/0.002)))^2)</f>
        <v/>
      </c>
      <c r="AB337">
        <f>MAX(-fyd_cc,MIN(fyd_cc,Es_cc*IF($E337&lt;=cc_D,0.0035*($E337-AB$15)/$E337,0.002*($E337-AB$15)/($E337-3*cc_D/7))))-fcd_cc*(1-(1-MAX(0,MIN(1,IF($E337&lt;=cc_D,0.0035*($E337-AB$15)/$E337,0.002*($E337-AB$15)/($E337-3*cc_D/7))/0.002)))^2)</f>
        <v/>
      </c>
      <c r="AC337">
        <f>MAX(-fyd_cc,MIN(fyd_cc,Es_cc*IF($E337&lt;=cc_D,0.0035*($E337-AC$15)/$E337,0.002*($E337-AC$15)/($E337-3*cc_D/7))))-fcd_cc*(1-(1-MAX(0,MIN(1,IF($E337&lt;=cc_D,0.0035*($E337-AC$15)/$E337,0.002*($E337-AC$15)/($E337-3*cc_D/7))/0.002)))^2)</f>
        <v/>
      </c>
      <c r="AD337">
        <f>MAX(-fyd_cc,MIN(fyd_cc,Es_cc*IF($E337&lt;=cc_D,0.0035*($E337-AD$15)/$E337,0.002*($E337-AD$15)/($E337-3*cc_D/7))))-fcd_cc*(1-(1-MAX(0,MIN(1,IF($E337&lt;=cc_D,0.0035*($E337-AD$15)/$E337,0.002*($E337-AD$15)/($E337-3*cc_D/7))/0.002)))^2)</f>
        <v/>
      </c>
      <c r="AE337">
        <f>MAX(-fyd_cc,MIN(fyd_cc,Es_cc*IF($E337&lt;=cc_D,0.0035*($E337-AE$15)/$E337,0.002*($E337-AE$15)/($E337-3*cc_D/7))))-fcd_cc*(1-(1-MAX(0,MIN(1,IF($E337&lt;=cc_D,0.0035*($E337-AE$15)/$E337,0.002*($E337-AE$15)/($E337-3*cc_D/7))/0.002)))^2)</f>
        <v/>
      </c>
      <c r="AF337">
        <f>MAX(-fyd_cc,MIN(fyd_cc,Es_cc*IF($E337&lt;=cc_D,0.0035*($E337-AF$15)/$E337,0.002*($E337-AF$15)/($E337-3*cc_D/7))))-fcd_cc*(1-(1-MAX(0,MIN(1,IF($E337&lt;=cc_D,0.0035*($E337-AF$15)/$E337,0.002*($E337-AF$15)/($E337-3*cc_D/7))/0.002)))^2)</f>
        <v/>
      </c>
      <c r="AG337">
        <f>MAX(-fyd_cc,MIN(fyd_cc,Es_cc*IF($E337&lt;=cc_D,0.0035*($E337-AG$15)/$E337,0.002*($E337-AG$15)/($E337-3*cc_D/7))))-fcd_cc*(1-(1-MAX(0,MIN(1,IF($E337&lt;=cc_D,0.0035*($E337-AG$15)/$E337,0.002*($E337-AG$15)/($E337-3*cc_D/7))/0.002)))^2)</f>
        <v/>
      </c>
      <c r="BF337">
        <f>3*MIN($E337,cc_D)/7</f>
        <v/>
      </c>
      <c r="BG337">
        <f>$E337-$BF337</f>
        <v/>
      </c>
      <c r="BH337">
        <f>ACOS(MAX(-1,MIN(1,1-$BF337/(cc_D/2))))</f>
        <v/>
      </c>
      <c r="BI337">
        <f>ACOS(MAX(-1,MIN(1,1-MIN($E337,cc_D)/(cc_D/2))))</f>
        <v/>
      </c>
      <c r="BJ337">
        <f>((cc_D/2*(1-COS(($BH337+0*($BI337-$BH337)/12)))-$BF337)/$BG337)^2*SIN(($BH337+0*($BI337-$BH337)/12))^2</f>
        <v/>
      </c>
      <c r="BK337">
        <f>((cc_D/2*(1-COS(($BH337+1*($BI337-$BH337)/12)))-$BF337)/$BG337)^2*SIN(($BH337+1*($BI337-$BH337)/12))^2</f>
        <v/>
      </c>
      <c r="BL337">
        <f>((cc_D/2*(1-COS(($BH337+2*($BI337-$BH337)/12)))-$BF337)/$BG337)^2*SIN(($BH337+2*($BI337-$BH337)/12))^2</f>
        <v/>
      </c>
      <c r="BM337">
        <f>((cc_D/2*(1-COS(($BH337+3*($BI337-$BH337)/12)))-$BF337)/$BG337)^2*SIN(($BH337+3*($BI337-$BH337)/12))^2</f>
        <v/>
      </c>
      <c r="BN337">
        <f>((cc_D/2*(1-COS(($BH337+4*($BI337-$BH337)/12)))-$BF337)/$BG337)^2*SIN(($BH337+4*($BI337-$BH337)/12))^2</f>
        <v/>
      </c>
      <c r="BO337">
        <f>((cc_D/2*(1-COS(($BH337+5*($BI337-$BH337)/12)))-$BF337)/$BG337)^2*SIN(($BH337+5*($BI337-$BH337)/12))^2</f>
        <v/>
      </c>
      <c r="BP337">
        <f>((cc_D/2*(1-COS(($BH337+6*($BI337-$BH337)/12)))-$BF337)/$BG337)^2*SIN(($BH337+6*($BI337-$BH337)/12))^2</f>
        <v/>
      </c>
      <c r="BQ337">
        <f>((cc_D/2*(1-COS(($BH337+7*($BI337-$BH337)/12)))-$BF337)/$BG337)^2*SIN(($BH337+7*($BI337-$BH337)/12))^2</f>
        <v/>
      </c>
      <c r="BR337">
        <f>((cc_D/2*(1-COS(($BH337+8*($BI337-$BH337)/12)))-$BF337)/$BG337)^2*SIN(($BH337+8*($BI337-$BH337)/12))^2</f>
        <v/>
      </c>
      <c r="BS337">
        <f>((cc_D/2*(1-COS(($BH337+9*($BI337-$BH337)/12)))-$BF337)/$BG337)^2*SIN(($BH337+9*($BI337-$BH337)/12))^2</f>
        <v/>
      </c>
      <c r="BT337">
        <f>((cc_D/2*(1-COS(($BH337+10*($BI337-$BH337)/12)))-$BF337)/$BG337)^2*SIN(($BH337+10*($BI337-$BH337)/12))^2</f>
        <v/>
      </c>
      <c r="BU337">
        <f>((cc_D/2*(1-COS(($BH337+11*($BI337-$BH337)/12)))-$BF337)/$BG337)^2*SIN(($BH337+11*($BI337-$BH337)/12))^2</f>
        <v/>
      </c>
      <c r="BV337">
        <f>((cc_D/2*(1-COS(($BH337+12*($BI337-$BH337)/12)))-$BF337)/$BG337)^2*SIN(($BH337+12*($BI337-$BH337)/12))^2</f>
        <v/>
      </c>
      <c r="BW337">
        <f>BJ337*COS(($BH337+0*($BI337-$BH337)/12))</f>
        <v/>
      </c>
      <c r="BX337">
        <f>BK337*COS(($BH337+1*($BI337-$BH337)/12))</f>
        <v/>
      </c>
      <c r="BY337">
        <f>BL337*COS(($BH337+2*($BI337-$BH337)/12))</f>
        <v/>
      </c>
      <c r="BZ337">
        <f>BM337*COS(($BH337+3*($BI337-$BH337)/12))</f>
        <v/>
      </c>
      <c r="CA337">
        <f>BN337*COS(($BH337+4*($BI337-$BH337)/12))</f>
        <v/>
      </c>
      <c r="CB337">
        <f>BO337*COS(($BH337+5*($BI337-$BH337)/12))</f>
        <v/>
      </c>
      <c r="CC337">
        <f>BP337*COS(($BH337+6*($BI337-$BH337)/12))</f>
        <v/>
      </c>
      <c r="CD337">
        <f>BQ337*COS(($BH337+7*($BI337-$BH337)/12))</f>
        <v/>
      </c>
      <c r="CE337">
        <f>BR337*COS(($BH337+8*($BI337-$BH337)/12))</f>
        <v/>
      </c>
      <c r="CF337">
        <f>BS337*COS(($BH337+9*($BI337-$BH337)/12))</f>
        <v/>
      </c>
      <c r="CG337">
        <f>BT337*COS(($BH337+10*($BI337-$BH337)/12))</f>
        <v/>
      </c>
      <c r="CH337">
        <f>BU337*COS(($BH337+11*($BI337-$BH337)/12))</f>
        <v/>
      </c>
      <c r="CI337">
        <f>BV337*COS(($BH337+12*($BI337-$BH337)/12))</f>
        <v/>
      </c>
    </row>
    <row r="338">
      <c r="B338" s="65" t="n">
        <v>60</v>
      </c>
      <c r="C338" s="66">
        <f>IF($G337&lt;cc_NEd-1E-9*ABS(cc_NEd),($C337+$D337)/2,$C337)</f>
        <v/>
      </c>
      <c r="D338" s="66">
        <f>IF($G337&lt;cc_NEd-1E-9*ABS(cc_NEd),$D337,($C337+$D337)/2)</f>
        <v/>
      </c>
      <c r="E338" s="67">
        <f>cc_D*(($C338+$D338)/2)/(1-(($C338+$D338)/2))</f>
        <v/>
      </c>
      <c r="F338" s="68">
        <f>IF($E338&lt;=cc_D,3.5,2*$E338/($E338-3*cc_D/7))</f>
        <v/>
      </c>
      <c r="G338" s="67">
        <f>(fcd_cc*((cc_D/2)^2*($BI338-COS($BI338)*SIN($BI338))-2*(cc_D/2)^2*($BI338-$BH338)/12/3*SUMPRODUCT($BJ$4:$BV$4,$BJ338:$BV338))+SUMPRODUCT($J$5:$AG$5,$J338:$AG338))/1000</f>
        <v/>
      </c>
      <c r="H338" s="67">
        <f>(fcd_cc*(2/3*(cc_D/2)^3*SIN($BI338)^3-2*(cc_D/2)^3*($BI338-$BH338)/12/3*SUMPRODUCT($BW$4:$CI$4,$BW338:$CI338))+SUMPRODUCT($J$5:$AG$5,$J338:$AG338,$J$16:$AG$16))/1E6</f>
        <v/>
      </c>
      <c r="I338" s="67">
        <f>SUMPRODUCT($J$5:$AG$5,$J338:$AG338,$J$17:$AG$17)/1E6</f>
        <v/>
      </c>
      <c r="J338">
        <f>MAX(-fyd_cc,MIN(fyd_cc,Es_cc*IF($E338&lt;=cc_D,0.0035*($E338-J$15)/$E338,0.002*($E338-J$15)/($E338-3*cc_D/7))))-fcd_cc*(1-(1-MAX(0,MIN(1,IF($E338&lt;=cc_D,0.0035*($E338-J$15)/$E338,0.002*($E338-J$15)/($E338-3*cc_D/7))/0.002)))^2)</f>
        <v/>
      </c>
      <c r="K338">
        <f>MAX(-fyd_cc,MIN(fyd_cc,Es_cc*IF($E338&lt;=cc_D,0.0035*($E338-K$15)/$E338,0.002*($E338-K$15)/($E338-3*cc_D/7))))-fcd_cc*(1-(1-MAX(0,MIN(1,IF($E338&lt;=cc_D,0.0035*($E338-K$15)/$E338,0.002*($E338-K$15)/($E338-3*cc_D/7))/0.002)))^2)</f>
        <v/>
      </c>
      <c r="L338">
        <f>MAX(-fyd_cc,MIN(fyd_cc,Es_cc*IF($E338&lt;=cc_D,0.0035*($E338-L$15)/$E338,0.002*($E338-L$15)/($E338-3*cc_D/7))))-fcd_cc*(1-(1-MAX(0,MIN(1,IF($E338&lt;=cc_D,0.0035*($E338-L$15)/$E338,0.002*($E338-L$15)/($E338-3*cc_D/7))/0.002)))^2)</f>
        <v/>
      </c>
      <c r="M338">
        <f>MAX(-fyd_cc,MIN(fyd_cc,Es_cc*IF($E338&lt;=cc_D,0.0035*($E338-M$15)/$E338,0.002*($E338-M$15)/($E338-3*cc_D/7))))-fcd_cc*(1-(1-MAX(0,MIN(1,IF($E338&lt;=cc_D,0.0035*($E338-M$15)/$E338,0.002*($E338-M$15)/($E338-3*cc_D/7))/0.002)))^2)</f>
        <v/>
      </c>
      <c r="N338">
        <f>MAX(-fyd_cc,MIN(fyd_cc,Es_cc*IF($E338&lt;=cc_D,0.0035*($E338-N$15)/$E338,0.002*($E338-N$15)/($E338-3*cc_D/7))))-fcd_cc*(1-(1-MAX(0,MIN(1,IF($E338&lt;=cc_D,0.0035*($E338-N$15)/$E338,0.002*($E338-N$15)/($E338-3*cc_D/7))/0.002)))^2)</f>
        <v/>
      </c>
      <c r="O338">
        <f>MAX(-fyd_cc,MIN(fyd_cc,Es_cc*IF($E338&lt;=cc_D,0.0035*($E338-O$15)/$E338,0.002*($E338-O$15)/($E338-3*cc_D/7))))-fcd_cc*(1-(1-MAX(0,MIN(1,IF($E338&lt;=cc_D,0.0035*($E338-O$15)/$E338,0.002*($E338-O$15)/($E338-3*cc_D/7))/0.002)))^2)</f>
        <v/>
      </c>
      <c r="P338">
        <f>MAX(-fyd_cc,MIN(fyd_cc,Es_cc*IF($E338&lt;=cc_D,0.0035*($E338-P$15)/$E338,0.002*($E338-P$15)/($E338-3*cc_D/7))))-fcd_cc*(1-(1-MAX(0,MIN(1,IF($E338&lt;=cc_D,0.0035*($E338-P$15)/$E338,0.002*($E338-P$15)/($E338-3*cc_D/7))/0.002)))^2)</f>
        <v/>
      </c>
      <c r="Q338">
        <f>MAX(-fyd_cc,MIN(fyd_cc,Es_cc*IF($E338&lt;=cc_D,0.0035*($E338-Q$15)/$E338,0.002*($E338-Q$15)/($E338-3*cc_D/7))))-fcd_cc*(1-(1-MAX(0,MIN(1,IF($E338&lt;=cc_D,0.0035*($E338-Q$15)/$E338,0.002*($E338-Q$15)/($E338-3*cc_D/7))/0.002)))^2)</f>
        <v/>
      </c>
      <c r="R338">
        <f>MAX(-fyd_cc,MIN(fyd_cc,Es_cc*IF($E338&lt;=cc_D,0.0035*($E338-R$15)/$E338,0.002*($E338-R$15)/($E338-3*cc_D/7))))-fcd_cc*(1-(1-MAX(0,MIN(1,IF($E338&lt;=cc_D,0.0035*($E338-R$15)/$E338,0.002*($E338-R$15)/($E338-3*cc_D/7))/0.002)))^2)</f>
        <v/>
      </c>
      <c r="S338">
        <f>MAX(-fyd_cc,MIN(fyd_cc,Es_cc*IF($E338&lt;=cc_D,0.0035*($E338-S$15)/$E338,0.002*($E338-S$15)/($E338-3*cc_D/7))))-fcd_cc*(1-(1-MAX(0,MIN(1,IF($E338&lt;=cc_D,0.0035*($E338-S$15)/$E338,0.002*($E338-S$15)/($E338-3*cc_D/7))/0.002)))^2)</f>
        <v/>
      </c>
      <c r="T338">
        <f>MAX(-fyd_cc,MIN(fyd_cc,Es_cc*IF($E338&lt;=cc_D,0.0035*($E338-T$15)/$E338,0.002*($E338-T$15)/($E338-3*cc_D/7))))-fcd_cc*(1-(1-MAX(0,MIN(1,IF($E338&lt;=cc_D,0.0035*($E338-T$15)/$E338,0.002*($E338-T$15)/($E338-3*cc_D/7))/0.002)))^2)</f>
        <v/>
      </c>
      <c r="U338">
        <f>MAX(-fyd_cc,MIN(fyd_cc,Es_cc*IF($E338&lt;=cc_D,0.0035*($E338-U$15)/$E338,0.002*($E338-U$15)/($E338-3*cc_D/7))))-fcd_cc*(1-(1-MAX(0,MIN(1,IF($E338&lt;=cc_D,0.0035*($E338-U$15)/$E338,0.002*($E338-U$15)/($E338-3*cc_D/7))/0.002)))^2)</f>
        <v/>
      </c>
      <c r="V338">
        <f>MAX(-fyd_cc,MIN(fyd_cc,Es_cc*IF($E338&lt;=cc_D,0.0035*($E338-V$15)/$E338,0.002*($E338-V$15)/($E338-3*cc_D/7))))-fcd_cc*(1-(1-MAX(0,MIN(1,IF($E338&lt;=cc_D,0.0035*($E338-V$15)/$E338,0.002*($E338-V$15)/($E338-3*cc_D/7))/0.002)))^2)</f>
        <v/>
      </c>
      <c r="W338">
        <f>MAX(-fyd_cc,MIN(fyd_cc,Es_cc*IF($E338&lt;=cc_D,0.0035*($E338-W$15)/$E338,0.002*($E338-W$15)/($E338-3*cc_D/7))))-fcd_cc*(1-(1-MAX(0,MIN(1,IF($E338&lt;=cc_D,0.0035*($E338-W$15)/$E338,0.002*($E338-W$15)/($E338-3*cc_D/7))/0.002)))^2)</f>
        <v/>
      </c>
      <c r="X338">
        <f>MAX(-fyd_cc,MIN(fyd_cc,Es_cc*IF($E338&lt;=cc_D,0.0035*($E338-X$15)/$E338,0.002*($E338-X$15)/($E338-3*cc_D/7))))-fcd_cc*(1-(1-MAX(0,MIN(1,IF($E338&lt;=cc_D,0.0035*($E338-X$15)/$E338,0.002*($E338-X$15)/($E338-3*cc_D/7))/0.002)))^2)</f>
        <v/>
      </c>
      <c r="Y338">
        <f>MAX(-fyd_cc,MIN(fyd_cc,Es_cc*IF($E338&lt;=cc_D,0.0035*($E338-Y$15)/$E338,0.002*($E338-Y$15)/($E338-3*cc_D/7))))-fcd_cc*(1-(1-MAX(0,MIN(1,IF($E338&lt;=cc_D,0.0035*($E338-Y$15)/$E338,0.002*($E338-Y$15)/($E338-3*cc_D/7))/0.002)))^2)</f>
        <v/>
      </c>
      <c r="Z338">
        <f>MAX(-fyd_cc,MIN(fyd_cc,Es_cc*IF($E338&lt;=cc_D,0.0035*($E338-Z$15)/$E338,0.002*($E338-Z$15)/($E338-3*cc_D/7))))-fcd_cc*(1-(1-MAX(0,MIN(1,IF($E338&lt;=cc_D,0.0035*($E338-Z$15)/$E338,0.002*($E338-Z$15)/($E338-3*cc_D/7))/0.002)))^2)</f>
        <v/>
      </c>
      <c r="AA338">
        <f>MAX(-fyd_cc,MIN(fyd_cc,Es_cc*IF($E338&lt;=cc_D,0.0035*($E338-AA$15)/$E338,0.002*($E338-AA$15)/($E338-3*cc_D/7))))-fcd_cc*(1-(1-MAX(0,MIN(1,IF($E338&lt;=cc_D,0.0035*($E338-AA$15)/$E338,0.002*($E338-AA$15)/($E338-3*cc_D/7))/0.002)))^2)</f>
        <v/>
      </c>
      <c r="AB338">
        <f>MAX(-fyd_cc,MIN(fyd_cc,Es_cc*IF($E338&lt;=cc_D,0.0035*($E338-AB$15)/$E338,0.002*($E338-AB$15)/($E338-3*cc_D/7))))-fcd_cc*(1-(1-MAX(0,MIN(1,IF($E338&lt;=cc_D,0.0035*($E338-AB$15)/$E338,0.002*($E338-AB$15)/($E338-3*cc_D/7))/0.002)))^2)</f>
        <v/>
      </c>
      <c r="AC338">
        <f>MAX(-fyd_cc,MIN(fyd_cc,Es_cc*IF($E338&lt;=cc_D,0.0035*($E338-AC$15)/$E338,0.002*($E338-AC$15)/($E338-3*cc_D/7))))-fcd_cc*(1-(1-MAX(0,MIN(1,IF($E338&lt;=cc_D,0.0035*($E338-AC$15)/$E338,0.002*($E338-AC$15)/($E338-3*cc_D/7))/0.002)))^2)</f>
        <v/>
      </c>
      <c r="AD338">
        <f>MAX(-fyd_cc,MIN(fyd_cc,Es_cc*IF($E338&lt;=cc_D,0.0035*($E338-AD$15)/$E338,0.002*($E338-AD$15)/($E338-3*cc_D/7))))-fcd_cc*(1-(1-MAX(0,MIN(1,IF($E338&lt;=cc_D,0.0035*($E338-AD$15)/$E338,0.002*($E338-AD$15)/($E338-3*cc_D/7))/0.002)))^2)</f>
        <v/>
      </c>
      <c r="AE338">
        <f>MAX(-fyd_cc,MIN(fyd_cc,Es_cc*IF($E338&lt;=cc_D,0.0035*($E338-AE$15)/$E338,0.002*($E338-AE$15)/($E338-3*cc_D/7))))-fcd_cc*(1-(1-MAX(0,MIN(1,IF($E338&lt;=cc_D,0.0035*($E338-AE$15)/$E338,0.002*($E338-AE$15)/($E338-3*cc_D/7))/0.002)))^2)</f>
        <v/>
      </c>
      <c r="AF338">
        <f>MAX(-fyd_cc,MIN(fyd_cc,Es_cc*IF($E338&lt;=cc_D,0.0035*($E338-AF$15)/$E338,0.002*($E338-AF$15)/($E338-3*cc_D/7))))-fcd_cc*(1-(1-MAX(0,MIN(1,IF($E338&lt;=cc_D,0.0035*($E338-AF$15)/$E338,0.002*($E338-AF$15)/($E338-3*cc_D/7))/0.002)))^2)</f>
        <v/>
      </c>
      <c r="AG338">
        <f>MAX(-fyd_cc,MIN(fyd_cc,Es_cc*IF($E338&lt;=cc_D,0.0035*($E338-AG$15)/$E338,0.002*($E338-AG$15)/($E338-3*cc_D/7))))-fcd_cc*(1-(1-MAX(0,MIN(1,IF($E338&lt;=cc_D,0.0035*($E338-AG$15)/$E338,0.002*($E338-AG$15)/($E338-3*cc_D/7))/0.002)))^2)</f>
        <v/>
      </c>
      <c r="BF338">
        <f>3*MIN($E338,cc_D)/7</f>
        <v/>
      </c>
      <c r="BG338">
        <f>$E338-$BF338</f>
        <v/>
      </c>
      <c r="BH338">
        <f>ACOS(MAX(-1,MIN(1,1-$BF338/(cc_D/2))))</f>
        <v/>
      </c>
      <c r="BI338">
        <f>ACOS(MAX(-1,MIN(1,1-MIN($E338,cc_D)/(cc_D/2))))</f>
        <v/>
      </c>
      <c r="BJ338">
        <f>((cc_D/2*(1-COS(($BH338+0*($BI338-$BH338)/12)))-$BF338)/$BG338)^2*SIN(($BH338+0*($BI338-$BH338)/12))^2</f>
        <v/>
      </c>
      <c r="BK338">
        <f>((cc_D/2*(1-COS(($BH338+1*($BI338-$BH338)/12)))-$BF338)/$BG338)^2*SIN(($BH338+1*($BI338-$BH338)/12))^2</f>
        <v/>
      </c>
      <c r="BL338">
        <f>((cc_D/2*(1-COS(($BH338+2*($BI338-$BH338)/12)))-$BF338)/$BG338)^2*SIN(($BH338+2*($BI338-$BH338)/12))^2</f>
        <v/>
      </c>
      <c r="BM338">
        <f>((cc_D/2*(1-COS(($BH338+3*($BI338-$BH338)/12)))-$BF338)/$BG338)^2*SIN(($BH338+3*($BI338-$BH338)/12))^2</f>
        <v/>
      </c>
      <c r="BN338">
        <f>((cc_D/2*(1-COS(($BH338+4*($BI338-$BH338)/12)))-$BF338)/$BG338)^2*SIN(($BH338+4*($BI338-$BH338)/12))^2</f>
        <v/>
      </c>
      <c r="BO338">
        <f>((cc_D/2*(1-COS(($BH338+5*($BI338-$BH338)/12)))-$BF338)/$BG338)^2*SIN(($BH338+5*($BI338-$BH338)/12))^2</f>
        <v/>
      </c>
      <c r="BP338">
        <f>((cc_D/2*(1-COS(($BH338+6*($BI338-$BH338)/12)))-$BF338)/$BG338)^2*SIN(($BH338+6*($BI338-$BH338)/12))^2</f>
        <v/>
      </c>
      <c r="BQ338">
        <f>((cc_D/2*(1-COS(($BH338+7*($BI338-$BH338)/12)))-$BF338)/$BG338)^2*SIN(($BH338+7*($BI338-$BH338)/12))^2</f>
        <v/>
      </c>
      <c r="BR338">
        <f>((cc_D/2*(1-COS(($BH338+8*($BI338-$BH338)/12)))-$BF338)/$BG338)^2*SIN(($BH338+8*($BI338-$BH338)/12))^2</f>
        <v/>
      </c>
      <c r="BS338">
        <f>((cc_D/2*(1-COS(($BH338+9*($BI338-$BH338)/12)))-$BF338)/$BG338)^2*SIN(($BH338+9*($BI338-$BH338)/12))^2</f>
        <v/>
      </c>
      <c r="BT338">
        <f>((cc_D/2*(1-COS(($BH338+10*($BI338-$BH338)/12)))-$BF338)/$BG338)^2*SIN(($BH338+10*($BI338-$BH338)/12))^2</f>
        <v/>
      </c>
      <c r="BU338">
        <f>((cc_D/2*(1-COS(($BH338+11*($BI338-$BH338)/12)))-$BF338)/$BG338)^2*SIN(($BH338+11*($BI338-$BH338)/12))^2</f>
        <v/>
      </c>
      <c r="BV338">
        <f>((cc_D/2*(1-COS(($BH338+12*($BI338-$BH338)/12)))-$BF338)/$BG338)^2*SIN(($BH338+12*($BI338-$BH338)/12))^2</f>
        <v/>
      </c>
      <c r="BW338">
        <f>BJ338*COS(($BH338+0*($BI338-$BH338)/12))</f>
        <v/>
      </c>
      <c r="BX338">
        <f>BK338*COS(($BH338+1*($BI338-$BH338)/12))</f>
        <v/>
      </c>
      <c r="BY338">
        <f>BL338*COS(($BH338+2*($BI338-$BH338)/12))</f>
        <v/>
      </c>
      <c r="BZ338">
        <f>BM338*COS(($BH338+3*($BI338-$BH338)/12))</f>
        <v/>
      </c>
      <c r="CA338">
        <f>BN338*COS(($BH338+4*($BI338-$BH338)/12))</f>
        <v/>
      </c>
      <c r="CB338">
        <f>BO338*COS(($BH338+5*($BI338-$BH338)/12))</f>
        <v/>
      </c>
      <c r="CC338">
        <f>BP338*COS(($BH338+6*($BI338-$BH338)/12))</f>
        <v/>
      </c>
      <c r="CD338">
        <f>BQ338*COS(($BH338+7*($BI338-$BH338)/12))</f>
        <v/>
      </c>
      <c r="CE338">
        <f>BR338*COS(($BH338+8*($BI338-$BH338)/12))</f>
        <v/>
      </c>
      <c r="CF338">
        <f>BS338*COS(($BH338+9*($BI338-$BH338)/12))</f>
        <v/>
      </c>
      <c r="CG338">
        <f>BT338*COS(($BH338+10*($BI338-$BH338)/12))</f>
        <v/>
      </c>
      <c r="CH338">
        <f>BU338*COS(($BH338+11*($BI338-$BH338)/12))</f>
        <v/>
      </c>
      <c r="CI338">
        <f>BV338*COS(($BH338+12*($BI338-$BH338)/12))</f>
        <v/>
      </c>
    </row>
    <row r="340">
      <c r="B340" s="59" t="inlineStr">
        <is>
          <t>Orientation B  ·  turned by 1 π/n</t>
        </is>
      </c>
    </row>
    <row r="341">
      <c r="B341" s="52" t="inlineStr">
        <is>
          <t>step</t>
        </is>
      </c>
      <c r="C341" s="52" t="inlineStr">
        <is>
          <t>u low</t>
        </is>
      </c>
      <c r="D341" s="52" t="inlineStr">
        <is>
          <t>u high</t>
        </is>
      </c>
      <c r="E341" s="52" t="inlineStr">
        <is>
          <t>x (mm)</t>
        </is>
      </c>
      <c r="F341" s="52" t="inlineStr">
        <is>
          <t>εc top (‰)</t>
        </is>
      </c>
      <c r="G341" s="52" t="inlineStr">
        <is>
          <t>N (kN)</t>
        </is>
      </c>
      <c r="H341" s="52" t="inlineStr">
        <is>
          <t>M (kNm)</t>
        </is>
      </c>
      <c r="I341" s="52" t="inlineStr">
        <is>
          <t>M⊥ (kNm)</t>
        </is>
      </c>
    </row>
    <row r="342">
      <c r="B342" s="65" t="n">
        <v>1</v>
      </c>
      <c r="C342" s="66" t="n">
        <v>0</v>
      </c>
      <c r="D342" s="66">
        <f>1-1E-12</f>
        <v/>
      </c>
      <c r="E342" s="67">
        <f>cc_D*(($C342+$D342)/2)/(1-(($C342+$D342)/2))</f>
        <v/>
      </c>
      <c r="F342" s="68">
        <f>IF($E342&lt;=cc_D,3.5,2*$E342/($E342-3*cc_D/7))</f>
        <v/>
      </c>
      <c r="G342" s="67">
        <f>(fcd_cc*((cc_D/2)^2*($BI342-COS($BI342)*SIN($BI342))-2*(cc_D/2)^2*($BI342-$BH342)/12/3*SUMPRODUCT($BJ$4:$BV$4,$BJ342:$BV342))+SUMPRODUCT($J$5:$AG$5,$J342:$AG342))/1000</f>
        <v/>
      </c>
      <c r="H342" s="67">
        <f>(fcd_cc*(2/3*(cc_D/2)^3*SIN($BI342)^3-2*(cc_D/2)^3*($BI342-$BH342)/12/3*SUMPRODUCT($BW$4:$CI$4,$BW342:$CI342))+SUMPRODUCT($J$5:$AG$5,$J342:$AG342,$J$19:$AG$19))/1E6</f>
        <v/>
      </c>
      <c r="I342" s="67">
        <f>SUMPRODUCT($J$5:$AG$5,$J342:$AG342,$J$20:$AG$20)/1E6</f>
        <v/>
      </c>
      <c r="J342">
        <f>MAX(-fyd_cc,MIN(fyd_cc,Es_cc*IF($E342&lt;=cc_D,0.0035*($E342-J$18)/$E342,0.002*($E342-J$18)/($E342-3*cc_D/7))))-fcd_cc*(1-(1-MAX(0,MIN(1,IF($E342&lt;=cc_D,0.0035*($E342-J$18)/$E342,0.002*($E342-J$18)/($E342-3*cc_D/7))/0.002)))^2)</f>
        <v/>
      </c>
      <c r="K342">
        <f>MAX(-fyd_cc,MIN(fyd_cc,Es_cc*IF($E342&lt;=cc_D,0.0035*($E342-K$18)/$E342,0.002*($E342-K$18)/($E342-3*cc_D/7))))-fcd_cc*(1-(1-MAX(0,MIN(1,IF($E342&lt;=cc_D,0.0035*($E342-K$18)/$E342,0.002*($E342-K$18)/($E342-3*cc_D/7))/0.002)))^2)</f>
        <v/>
      </c>
      <c r="L342">
        <f>MAX(-fyd_cc,MIN(fyd_cc,Es_cc*IF($E342&lt;=cc_D,0.0035*($E342-L$18)/$E342,0.002*($E342-L$18)/($E342-3*cc_D/7))))-fcd_cc*(1-(1-MAX(0,MIN(1,IF($E342&lt;=cc_D,0.0035*($E342-L$18)/$E342,0.002*($E342-L$18)/($E342-3*cc_D/7))/0.002)))^2)</f>
        <v/>
      </c>
      <c r="M342">
        <f>MAX(-fyd_cc,MIN(fyd_cc,Es_cc*IF($E342&lt;=cc_D,0.0035*($E342-M$18)/$E342,0.002*($E342-M$18)/($E342-3*cc_D/7))))-fcd_cc*(1-(1-MAX(0,MIN(1,IF($E342&lt;=cc_D,0.0035*($E342-M$18)/$E342,0.002*($E342-M$18)/($E342-3*cc_D/7))/0.002)))^2)</f>
        <v/>
      </c>
      <c r="N342">
        <f>MAX(-fyd_cc,MIN(fyd_cc,Es_cc*IF($E342&lt;=cc_D,0.0035*($E342-N$18)/$E342,0.002*($E342-N$18)/($E342-3*cc_D/7))))-fcd_cc*(1-(1-MAX(0,MIN(1,IF($E342&lt;=cc_D,0.0035*($E342-N$18)/$E342,0.002*($E342-N$18)/($E342-3*cc_D/7))/0.002)))^2)</f>
        <v/>
      </c>
      <c r="O342">
        <f>MAX(-fyd_cc,MIN(fyd_cc,Es_cc*IF($E342&lt;=cc_D,0.0035*($E342-O$18)/$E342,0.002*($E342-O$18)/($E342-3*cc_D/7))))-fcd_cc*(1-(1-MAX(0,MIN(1,IF($E342&lt;=cc_D,0.0035*($E342-O$18)/$E342,0.002*($E342-O$18)/($E342-3*cc_D/7))/0.002)))^2)</f>
        <v/>
      </c>
      <c r="P342">
        <f>MAX(-fyd_cc,MIN(fyd_cc,Es_cc*IF($E342&lt;=cc_D,0.0035*($E342-P$18)/$E342,0.002*($E342-P$18)/($E342-3*cc_D/7))))-fcd_cc*(1-(1-MAX(0,MIN(1,IF($E342&lt;=cc_D,0.0035*($E342-P$18)/$E342,0.002*($E342-P$18)/($E342-3*cc_D/7))/0.002)))^2)</f>
        <v/>
      </c>
      <c r="Q342">
        <f>MAX(-fyd_cc,MIN(fyd_cc,Es_cc*IF($E342&lt;=cc_D,0.0035*($E342-Q$18)/$E342,0.002*($E342-Q$18)/($E342-3*cc_D/7))))-fcd_cc*(1-(1-MAX(0,MIN(1,IF($E342&lt;=cc_D,0.0035*($E342-Q$18)/$E342,0.002*($E342-Q$18)/($E342-3*cc_D/7))/0.002)))^2)</f>
        <v/>
      </c>
      <c r="R342">
        <f>MAX(-fyd_cc,MIN(fyd_cc,Es_cc*IF($E342&lt;=cc_D,0.0035*($E342-R$18)/$E342,0.002*($E342-R$18)/($E342-3*cc_D/7))))-fcd_cc*(1-(1-MAX(0,MIN(1,IF($E342&lt;=cc_D,0.0035*($E342-R$18)/$E342,0.002*($E342-R$18)/($E342-3*cc_D/7))/0.002)))^2)</f>
        <v/>
      </c>
      <c r="S342">
        <f>MAX(-fyd_cc,MIN(fyd_cc,Es_cc*IF($E342&lt;=cc_D,0.0035*($E342-S$18)/$E342,0.002*($E342-S$18)/($E342-3*cc_D/7))))-fcd_cc*(1-(1-MAX(0,MIN(1,IF($E342&lt;=cc_D,0.0035*($E342-S$18)/$E342,0.002*($E342-S$18)/($E342-3*cc_D/7))/0.002)))^2)</f>
        <v/>
      </c>
      <c r="T342">
        <f>MAX(-fyd_cc,MIN(fyd_cc,Es_cc*IF($E342&lt;=cc_D,0.0035*($E342-T$18)/$E342,0.002*($E342-T$18)/($E342-3*cc_D/7))))-fcd_cc*(1-(1-MAX(0,MIN(1,IF($E342&lt;=cc_D,0.0035*($E342-T$18)/$E342,0.002*($E342-T$18)/($E342-3*cc_D/7))/0.002)))^2)</f>
        <v/>
      </c>
      <c r="U342">
        <f>MAX(-fyd_cc,MIN(fyd_cc,Es_cc*IF($E342&lt;=cc_D,0.0035*($E342-U$18)/$E342,0.002*($E342-U$18)/($E342-3*cc_D/7))))-fcd_cc*(1-(1-MAX(0,MIN(1,IF($E342&lt;=cc_D,0.0035*($E342-U$18)/$E342,0.002*($E342-U$18)/($E342-3*cc_D/7))/0.002)))^2)</f>
        <v/>
      </c>
      <c r="V342">
        <f>MAX(-fyd_cc,MIN(fyd_cc,Es_cc*IF($E342&lt;=cc_D,0.0035*($E342-V$18)/$E342,0.002*($E342-V$18)/($E342-3*cc_D/7))))-fcd_cc*(1-(1-MAX(0,MIN(1,IF($E342&lt;=cc_D,0.0035*($E342-V$18)/$E342,0.002*($E342-V$18)/($E342-3*cc_D/7))/0.002)))^2)</f>
        <v/>
      </c>
      <c r="W342">
        <f>MAX(-fyd_cc,MIN(fyd_cc,Es_cc*IF($E342&lt;=cc_D,0.0035*($E342-W$18)/$E342,0.002*($E342-W$18)/($E342-3*cc_D/7))))-fcd_cc*(1-(1-MAX(0,MIN(1,IF($E342&lt;=cc_D,0.0035*($E342-W$18)/$E342,0.002*($E342-W$18)/($E342-3*cc_D/7))/0.002)))^2)</f>
        <v/>
      </c>
      <c r="X342">
        <f>MAX(-fyd_cc,MIN(fyd_cc,Es_cc*IF($E342&lt;=cc_D,0.0035*($E342-X$18)/$E342,0.002*($E342-X$18)/($E342-3*cc_D/7))))-fcd_cc*(1-(1-MAX(0,MIN(1,IF($E342&lt;=cc_D,0.0035*($E342-X$18)/$E342,0.002*($E342-X$18)/($E342-3*cc_D/7))/0.002)))^2)</f>
        <v/>
      </c>
      <c r="Y342">
        <f>MAX(-fyd_cc,MIN(fyd_cc,Es_cc*IF($E342&lt;=cc_D,0.0035*($E342-Y$18)/$E342,0.002*($E342-Y$18)/($E342-3*cc_D/7))))-fcd_cc*(1-(1-MAX(0,MIN(1,IF($E342&lt;=cc_D,0.0035*($E342-Y$18)/$E342,0.002*($E342-Y$18)/($E342-3*cc_D/7))/0.002)))^2)</f>
        <v/>
      </c>
      <c r="Z342">
        <f>MAX(-fyd_cc,MIN(fyd_cc,Es_cc*IF($E342&lt;=cc_D,0.0035*($E342-Z$18)/$E342,0.002*($E342-Z$18)/($E342-3*cc_D/7))))-fcd_cc*(1-(1-MAX(0,MIN(1,IF($E342&lt;=cc_D,0.0035*($E342-Z$18)/$E342,0.002*($E342-Z$18)/($E342-3*cc_D/7))/0.002)))^2)</f>
        <v/>
      </c>
      <c r="AA342">
        <f>MAX(-fyd_cc,MIN(fyd_cc,Es_cc*IF($E342&lt;=cc_D,0.0035*($E342-AA$18)/$E342,0.002*($E342-AA$18)/($E342-3*cc_D/7))))-fcd_cc*(1-(1-MAX(0,MIN(1,IF($E342&lt;=cc_D,0.0035*($E342-AA$18)/$E342,0.002*($E342-AA$18)/($E342-3*cc_D/7))/0.002)))^2)</f>
        <v/>
      </c>
      <c r="AB342">
        <f>MAX(-fyd_cc,MIN(fyd_cc,Es_cc*IF($E342&lt;=cc_D,0.0035*($E342-AB$18)/$E342,0.002*($E342-AB$18)/($E342-3*cc_D/7))))-fcd_cc*(1-(1-MAX(0,MIN(1,IF($E342&lt;=cc_D,0.0035*($E342-AB$18)/$E342,0.002*($E342-AB$18)/($E342-3*cc_D/7))/0.002)))^2)</f>
        <v/>
      </c>
      <c r="AC342">
        <f>MAX(-fyd_cc,MIN(fyd_cc,Es_cc*IF($E342&lt;=cc_D,0.0035*($E342-AC$18)/$E342,0.002*($E342-AC$18)/($E342-3*cc_D/7))))-fcd_cc*(1-(1-MAX(0,MIN(1,IF($E342&lt;=cc_D,0.0035*($E342-AC$18)/$E342,0.002*($E342-AC$18)/($E342-3*cc_D/7))/0.002)))^2)</f>
        <v/>
      </c>
      <c r="AD342">
        <f>MAX(-fyd_cc,MIN(fyd_cc,Es_cc*IF($E342&lt;=cc_D,0.0035*($E342-AD$18)/$E342,0.002*($E342-AD$18)/($E342-3*cc_D/7))))-fcd_cc*(1-(1-MAX(0,MIN(1,IF($E342&lt;=cc_D,0.0035*($E342-AD$18)/$E342,0.002*($E342-AD$18)/($E342-3*cc_D/7))/0.002)))^2)</f>
        <v/>
      </c>
      <c r="AE342">
        <f>MAX(-fyd_cc,MIN(fyd_cc,Es_cc*IF($E342&lt;=cc_D,0.0035*($E342-AE$18)/$E342,0.002*($E342-AE$18)/($E342-3*cc_D/7))))-fcd_cc*(1-(1-MAX(0,MIN(1,IF($E342&lt;=cc_D,0.0035*($E342-AE$18)/$E342,0.002*($E342-AE$18)/($E342-3*cc_D/7))/0.002)))^2)</f>
        <v/>
      </c>
      <c r="AF342">
        <f>MAX(-fyd_cc,MIN(fyd_cc,Es_cc*IF($E342&lt;=cc_D,0.0035*($E342-AF$18)/$E342,0.002*($E342-AF$18)/($E342-3*cc_D/7))))-fcd_cc*(1-(1-MAX(0,MIN(1,IF($E342&lt;=cc_D,0.0035*($E342-AF$18)/$E342,0.002*($E342-AF$18)/($E342-3*cc_D/7))/0.002)))^2)</f>
        <v/>
      </c>
      <c r="AG342">
        <f>MAX(-fyd_cc,MIN(fyd_cc,Es_cc*IF($E342&lt;=cc_D,0.0035*($E342-AG$18)/$E342,0.002*($E342-AG$18)/($E342-3*cc_D/7))))-fcd_cc*(1-(1-MAX(0,MIN(1,IF($E342&lt;=cc_D,0.0035*($E342-AG$18)/$E342,0.002*($E342-AG$18)/($E342-3*cc_D/7))/0.002)))^2)</f>
        <v/>
      </c>
      <c r="BF342">
        <f>3*MIN($E342,cc_D)/7</f>
        <v/>
      </c>
      <c r="BG342">
        <f>$E342-$BF342</f>
        <v/>
      </c>
      <c r="BH342">
        <f>ACOS(MAX(-1,MIN(1,1-$BF342/(cc_D/2))))</f>
        <v/>
      </c>
      <c r="BI342">
        <f>ACOS(MAX(-1,MIN(1,1-MIN($E342,cc_D)/(cc_D/2))))</f>
        <v/>
      </c>
      <c r="BJ342">
        <f>((cc_D/2*(1-COS(($BH342+0*($BI342-$BH342)/12)))-$BF342)/$BG342)^2*SIN(($BH342+0*($BI342-$BH342)/12))^2</f>
        <v/>
      </c>
      <c r="BK342">
        <f>((cc_D/2*(1-COS(($BH342+1*($BI342-$BH342)/12)))-$BF342)/$BG342)^2*SIN(($BH342+1*($BI342-$BH342)/12))^2</f>
        <v/>
      </c>
      <c r="BL342">
        <f>((cc_D/2*(1-COS(($BH342+2*($BI342-$BH342)/12)))-$BF342)/$BG342)^2*SIN(($BH342+2*($BI342-$BH342)/12))^2</f>
        <v/>
      </c>
      <c r="BM342">
        <f>((cc_D/2*(1-COS(($BH342+3*($BI342-$BH342)/12)))-$BF342)/$BG342)^2*SIN(($BH342+3*($BI342-$BH342)/12))^2</f>
        <v/>
      </c>
      <c r="BN342">
        <f>((cc_D/2*(1-COS(($BH342+4*($BI342-$BH342)/12)))-$BF342)/$BG342)^2*SIN(($BH342+4*($BI342-$BH342)/12))^2</f>
        <v/>
      </c>
      <c r="BO342">
        <f>((cc_D/2*(1-COS(($BH342+5*($BI342-$BH342)/12)))-$BF342)/$BG342)^2*SIN(($BH342+5*($BI342-$BH342)/12))^2</f>
        <v/>
      </c>
      <c r="BP342">
        <f>((cc_D/2*(1-COS(($BH342+6*($BI342-$BH342)/12)))-$BF342)/$BG342)^2*SIN(($BH342+6*($BI342-$BH342)/12))^2</f>
        <v/>
      </c>
      <c r="BQ342">
        <f>((cc_D/2*(1-COS(($BH342+7*($BI342-$BH342)/12)))-$BF342)/$BG342)^2*SIN(($BH342+7*($BI342-$BH342)/12))^2</f>
        <v/>
      </c>
      <c r="BR342">
        <f>((cc_D/2*(1-COS(($BH342+8*($BI342-$BH342)/12)))-$BF342)/$BG342)^2*SIN(($BH342+8*($BI342-$BH342)/12))^2</f>
        <v/>
      </c>
      <c r="BS342">
        <f>((cc_D/2*(1-COS(($BH342+9*($BI342-$BH342)/12)))-$BF342)/$BG342)^2*SIN(($BH342+9*($BI342-$BH342)/12))^2</f>
        <v/>
      </c>
      <c r="BT342">
        <f>((cc_D/2*(1-COS(($BH342+10*($BI342-$BH342)/12)))-$BF342)/$BG342)^2*SIN(($BH342+10*($BI342-$BH342)/12))^2</f>
        <v/>
      </c>
      <c r="BU342">
        <f>((cc_D/2*(1-COS(($BH342+11*($BI342-$BH342)/12)))-$BF342)/$BG342)^2*SIN(($BH342+11*($BI342-$BH342)/12))^2</f>
        <v/>
      </c>
      <c r="BV342">
        <f>((cc_D/2*(1-COS(($BH342+12*($BI342-$BH342)/12)))-$BF342)/$BG342)^2*SIN(($BH342+12*($BI342-$BH342)/12))^2</f>
        <v/>
      </c>
      <c r="BW342">
        <f>BJ342*COS(($BH342+0*($BI342-$BH342)/12))</f>
        <v/>
      </c>
      <c r="BX342">
        <f>BK342*COS(($BH342+1*($BI342-$BH342)/12))</f>
        <v/>
      </c>
      <c r="BY342">
        <f>BL342*COS(($BH342+2*($BI342-$BH342)/12))</f>
        <v/>
      </c>
      <c r="BZ342">
        <f>BM342*COS(($BH342+3*($BI342-$BH342)/12))</f>
        <v/>
      </c>
      <c r="CA342">
        <f>BN342*COS(($BH342+4*($BI342-$BH342)/12))</f>
        <v/>
      </c>
      <c r="CB342">
        <f>BO342*COS(($BH342+5*($BI342-$BH342)/12))</f>
        <v/>
      </c>
      <c r="CC342">
        <f>BP342*COS(($BH342+6*($BI342-$BH342)/12))</f>
        <v/>
      </c>
      <c r="CD342">
        <f>BQ342*COS(($BH342+7*($BI342-$BH342)/12))</f>
        <v/>
      </c>
      <c r="CE342">
        <f>BR342*COS(($BH342+8*($BI342-$BH342)/12))</f>
        <v/>
      </c>
      <c r="CF342">
        <f>BS342*COS(($BH342+9*($BI342-$BH342)/12))</f>
        <v/>
      </c>
      <c r="CG342">
        <f>BT342*COS(($BH342+10*($BI342-$BH342)/12))</f>
        <v/>
      </c>
      <c r="CH342">
        <f>BU342*COS(($BH342+11*($BI342-$BH342)/12))</f>
        <v/>
      </c>
      <c r="CI342">
        <f>BV342*COS(($BH342+12*($BI342-$BH342)/12))</f>
        <v/>
      </c>
    </row>
    <row r="343">
      <c r="B343" s="65" t="n">
        <v>2</v>
      </c>
      <c r="C343" s="66">
        <f>IF($G342&lt;cc_NEd-1E-9*ABS(cc_NEd),($C342+$D342)/2,$C342)</f>
        <v/>
      </c>
      <c r="D343" s="66">
        <f>IF($G342&lt;cc_NEd-1E-9*ABS(cc_NEd),$D342,($C342+$D342)/2)</f>
        <v/>
      </c>
      <c r="E343" s="67">
        <f>cc_D*(($C343+$D343)/2)/(1-(($C343+$D343)/2))</f>
        <v/>
      </c>
      <c r="F343" s="68">
        <f>IF($E343&lt;=cc_D,3.5,2*$E343/($E343-3*cc_D/7))</f>
        <v/>
      </c>
      <c r="G343" s="67">
        <f>(fcd_cc*((cc_D/2)^2*($BI343-COS($BI343)*SIN($BI343))-2*(cc_D/2)^2*($BI343-$BH343)/12/3*SUMPRODUCT($BJ$4:$BV$4,$BJ343:$BV343))+SUMPRODUCT($J$5:$AG$5,$J343:$AG343))/1000</f>
        <v/>
      </c>
      <c r="H343" s="67">
        <f>(fcd_cc*(2/3*(cc_D/2)^3*SIN($BI343)^3-2*(cc_D/2)^3*($BI343-$BH343)/12/3*SUMPRODUCT($BW$4:$CI$4,$BW343:$CI343))+SUMPRODUCT($J$5:$AG$5,$J343:$AG343,$J$19:$AG$19))/1E6</f>
        <v/>
      </c>
      <c r="I343" s="67">
        <f>SUMPRODUCT($J$5:$AG$5,$J343:$AG343,$J$20:$AG$20)/1E6</f>
        <v/>
      </c>
      <c r="J343">
        <f>MAX(-fyd_cc,MIN(fyd_cc,Es_cc*IF($E343&lt;=cc_D,0.0035*($E343-J$18)/$E343,0.002*($E343-J$18)/($E343-3*cc_D/7))))-fcd_cc*(1-(1-MAX(0,MIN(1,IF($E343&lt;=cc_D,0.0035*($E343-J$18)/$E343,0.002*($E343-J$18)/($E343-3*cc_D/7))/0.002)))^2)</f>
        <v/>
      </c>
      <c r="K343">
        <f>MAX(-fyd_cc,MIN(fyd_cc,Es_cc*IF($E343&lt;=cc_D,0.0035*($E343-K$18)/$E343,0.002*($E343-K$18)/($E343-3*cc_D/7))))-fcd_cc*(1-(1-MAX(0,MIN(1,IF($E343&lt;=cc_D,0.0035*($E343-K$18)/$E343,0.002*($E343-K$18)/($E343-3*cc_D/7))/0.002)))^2)</f>
        <v/>
      </c>
      <c r="L343">
        <f>MAX(-fyd_cc,MIN(fyd_cc,Es_cc*IF($E343&lt;=cc_D,0.0035*($E343-L$18)/$E343,0.002*($E343-L$18)/($E343-3*cc_D/7))))-fcd_cc*(1-(1-MAX(0,MIN(1,IF($E343&lt;=cc_D,0.0035*($E343-L$18)/$E343,0.002*($E343-L$18)/($E343-3*cc_D/7))/0.002)))^2)</f>
        <v/>
      </c>
      <c r="M343">
        <f>MAX(-fyd_cc,MIN(fyd_cc,Es_cc*IF($E343&lt;=cc_D,0.0035*($E343-M$18)/$E343,0.002*($E343-M$18)/($E343-3*cc_D/7))))-fcd_cc*(1-(1-MAX(0,MIN(1,IF($E343&lt;=cc_D,0.0035*($E343-M$18)/$E343,0.002*($E343-M$18)/($E343-3*cc_D/7))/0.002)))^2)</f>
        <v/>
      </c>
      <c r="N343">
        <f>MAX(-fyd_cc,MIN(fyd_cc,Es_cc*IF($E343&lt;=cc_D,0.0035*($E343-N$18)/$E343,0.002*($E343-N$18)/($E343-3*cc_D/7))))-fcd_cc*(1-(1-MAX(0,MIN(1,IF($E343&lt;=cc_D,0.0035*($E343-N$18)/$E343,0.002*($E343-N$18)/($E343-3*cc_D/7))/0.002)))^2)</f>
        <v/>
      </c>
      <c r="O343">
        <f>MAX(-fyd_cc,MIN(fyd_cc,Es_cc*IF($E343&lt;=cc_D,0.0035*($E343-O$18)/$E343,0.002*($E343-O$18)/($E343-3*cc_D/7))))-fcd_cc*(1-(1-MAX(0,MIN(1,IF($E343&lt;=cc_D,0.0035*($E343-O$18)/$E343,0.002*($E343-O$18)/($E343-3*cc_D/7))/0.002)))^2)</f>
        <v/>
      </c>
      <c r="P343">
        <f>MAX(-fyd_cc,MIN(fyd_cc,Es_cc*IF($E343&lt;=cc_D,0.0035*($E343-P$18)/$E343,0.002*($E343-P$18)/($E343-3*cc_D/7))))-fcd_cc*(1-(1-MAX(0,MIN(1,IF($E343&lt;=cc_D,0.0035*($E343-P$18)/$E343,0.002*($E343-P$18)/($E343-3*cc_D/7))/0.002)))^2)</f>
        <v/>
      </c>
      <c r="Q343">
        <f>MAX(-fyd_cc,MIN(fyd_cc,Es_cc*IF($E343&lt;=cc_D,0.0035*($E343-Q$18)/$E343,0.002*($E343-Q$18)/($E343-3*cc_D/7))))-fcd_cc*(1-(1-MAX(0,MIN(1,IF($E343&lt;=cc_D,0.0035*($E343-Q$18)/$E343,0.002*($E343-Q$18)/($E343-3*cc_D/7))/0.002)))^2)</f>
        <v/>
      </c>
      <c r="R343">
        <f>MAX(-fyd_cc,MIN(fyd_cc,Es_cc*IF($E343&lt;=cc_D,0.0035*($E343-R$18)/$E343,0.002*($E343-R$18)/($E343-3*cc_D/7))))-fcd_cc*(1-(1-MAX(0,MIN(1,IF($E343&lt;=cc_D,0.0035*($E343-R$18)/$E343,0.002*($E343-R$18)/($E343-3*cc_D/7))/0.002)))^2)</f>
        <v/>
      </c>
      <c r="S343">
        <f>MAX(-fyd_cc,MIN(fyd_cc,Es_cc*IF($E343&lt;=cc_D,0.0035*($E343-S$18)/$E343,0.002*($E343-S$18)/($E343-3*cc_D/7))))-fcd_cc*(1-(1-MAX(0,MIN(1,IF($E343&lt;=cc_D,0.0035*($E343-S$18)/$E343,0.002*($E343-S$18)/($E343-3*cc_D/7))/0.002)))^2)</f>
        <v/>
      </c>
      <c r="T343">
        <f>MAX(-fyd_cc,MIN(fyd_cc,Es_cc*IF($E343&lt;=cc_D,0.0035*($E343-T$18)/$E343,0.002*($E343-T$18)/($E343-3*cc_D/7))))-fcd_cc*(1-(1-MAX(0,MIN(1,IF($E343&lt;=cc_D,0.0035*($E343-T$18)/$E343,0.002*($E343-T$18)/($E343-3*cc_D/7))/0.002)))^2)</f>
        <v/>
      </c>
      <c r="U343">
        <f>MAX(-fyd_cc,MIN(fyd_cc,Es_cc*IF($E343&lt;=cc_D,0.0035*($E343-U$18)/$E343,0.002*($E343-U$18)/($E343-3*cc_D/7))))-fcd_cc*(1-(1-MAX(0,MIN(1,IF($E343&lt;=cc_D,0.0035*($E343-U$18)/$E343,0.002*($E343-U$18)/($E343-3*cc_D/7))/0.002)))^2)</f>
        <v/>
      </c>
      <c r="V343">
        <f>MAX(-fyd_cc,MIN(fyd_cc,Es_cc*IF($E343&lt;=cc_D,0.0035*($E343-V$18)/$E343,0.002*($E343-V$18)/($E343-3*cc_D/7))))-fcd_cc*(1-(1-MAX(0,MIN(1,IF($E343&lt;=cc_D,0.0035*($E343-V$18)/$E343,0.002*($E343-V$18)/($E343-3*cc_D/7))/0.002)))^2)</f>
        <v/>
      </c>
      <c r="W343">
        <f>MAX(-fyd_cc,MIN(fyd_cc,Es_cc*IF($E343&lt;=cc_D,0.0035*($E343-W$18)/$E343,0.002*($E343-W$18)/($E343-3*cc_D/7))))-fcd_cc*(1-(1-MAX(0,MIN(1,IF($E343&lt;=cc_D,0.0035*($E343-W$18)/$E343,0.002*($E343-W$18)/($E343-3*cc_D/7))/0.002)))^2)</f>
        <v/>
      </c>
      <c r="X343">
        <f>MAX(-fyd_cc,MIN(fyd_cc,Es_cc*IF($E343&lt;=cc_D,0.0035*($E343-X$18)/$E343,0.002*($E343-X$18)/($E343-3*cc_D/7))))-fcd_cc*(1-(1-MAX(0,MIN(1,IF($E343&lt;=cc_D,0.0035*($E343-X$18)/$E343,0.002*($E343-X$18)/($E343-3*cc_D/7))/0.002)))^2)</f>
        <v/>
      </c>
      <c r="Y343">
        <f>MAX(-fyd_cc,MIN(fyd_cc,Es_cc*IF($E343&lt;=cc_D,0.0035*($E343-Y$18)/$E343,0.002*($E343-Y$18)/($E343-3*cc_D/7))))-fcd_cc*(1-(1-MAX(0,MIN(1,IF($E343&lt;=cc_D,0.0035*($E343-Y$18)/$E343,0.002*($E343-Y$18)/($E343-3*cc_D/7))/0.002)))^2)</f>
        <v/>
      </c>
      <c r="Z343">
        <f>MAX(-fyd_cc,MIN(fyd_cc,Es_cc*IF($E343&lt;=cc_D,0.0035*($E343-Z$18)/$E343,0.002*($E343-Z$18)/($E343-3*cc_D/7))))-fcd_cc*(1-(1-MAX(0,MIN(1,IF($E343&lt;=cc_D,0.0035*($E343-Z$18)/$E343,0.002*($E343-Z$18)/($E343-3*cc_D/7))/0.002)))^2)</f>
        <v/>
      </c>
      <c r="AA343">
        <f>MAX(-fyd_cc,MIN(fyd_cc,Es_cc*IF($E343&lt;=cc_D,0.0035*($E343-AA$18)/$E343,0.002*($E343-AA$18)/($E343-3*cc_D/7))))-fcd_cc*(1-(1-MAX(0,MIN(1,IF($E343&lt;=cc_D,0.0035*($E343-AA$18)/$E343,0.002*($E343-AA$18)/($E343-3*cc_D/7))/0.002)))^2)</f>
        <v/>
      </c>
      <c r="AB343">
        <f>MAX(-fyd_cc,MIN(fyd_cc,Es_cc*IF($E343&lt;=cc_D,0.0035*($E343-AB$18)/$E343,0.002*($E343-AB$18)/($E343-3*cc_D/7))))-fcd_cc*(1-(1-MAX(0,MIN(1,IF($E343&lt;=cc_D,0.0035*($E343-AB$18)/$E343,0.002*($E343-AB$18)/($E343-3*cc_D/7))/0.002)))^2)</f>
        <v/>
      </c>
      <c r="AC343">
        <f>MAX(-fyd_cc,MIN(fyd_cc,Es_cc*IF($E343&lt;=cc_D,0.0035*($E343-AC$18)/$E343,0.002*($E343-AC$18)/($E343-3*cc_D/7))))-fcd_cc*(1-(1-MAX(0,MIN(1,IF($E343&lt;=cc_D,0.0035*($E343-AC$18)/$E343,0.002*($E343-AC$18)/($E343-3*cc_D/7))/0.002)))^2)</f>
        <v/>
      </c>
      <c r="AD343">
        <f>MAX(-fyd_cc,MIN(fyd_cc,Es_cc*IF($E343&lt;=cc_D,0.0035*($E343-AD$18)/$E343,0.002*($E343-AD$18)/($E343-3*cc_D/7))))-fcd_cc*(1-(1-MAX(0,MIN(1,IF($E343&lt;=cc_D,0.0035*($E343-AD$18)/$E343,0.002*($E343-AD$18)/($E343-3*cc_D/7))/0.002)))^2)</f>
        <v/>
      </c>
      <c r="AE343">
        <f>MAX(-fyd_cc,MIN(fyd_cc,Es_cc*IF($E343&lt;=cc_D,0.0035*($E343-AE$18)/$E343,0.002*($E343-AE$18)/($E343-3*cc_D/7))))-fcd_cc*(1-(1-MAX(0,MIN(1,IF($E343&lt;=cc_D,0.0035*($E343-AE$18)/$E343,0.002*($E343-AE$18)/($E343-3*cc_D/7))/0.002)))^2)</f>
        <v/>
      </c>
      <c r="AF343">
        <f>MAX(-fyd_cc,MIN(fyd_cc,Es_cc*IF($E343&lt;=cc_D,0.0035*($E343-AF$18)/$E343,0.002*($E343-AF$18)/($E343-3*cc_D/7))))-fcd_cc*(1-(1-MAX(0,MIN(1,IF($E343&lt;=cc_D,0.0035*($E343-AF$18)/$E343,0.002*($E343-AF$18)/($E343-3*cc_D/7))/0.002)))^2)</f>
        <v/>
      </c>
      <c r="AG343">
        <f>MAX(-fyd_cc,MIN(fyd_cc,Es_cc*IF($E343&lt;=cc_D,0.0035*($E343-AG$18)/$E343,0.002*($E343-AG$18)/($E343-3*cc_D/7))))-fcd_cc*(1-(1-MAX(0,MIN(1,IF($E343&lt;=cc_D,0.0035*($E343-AG$18)/$E343,0.002*($E343-AG$18)/($E343-3*cc_D/7))/0.002)))^2)</f>
        <v/>
      </c>
      <c r="BF343">
        <f>3*MIN($E343,cc_D)/7</f>
        <v/>
      </c>
      <c r="BG343">
        <f>$E343-$BF343</f>
        <v/>
      </c>
      <c r="BH343">
        <f>ACOS(MAX(-1,MIN(1,1-$BF343/(cc_D/2))))</f>
        <v/>
      </c>
      <c r="BI343">
        <f>ACOS(MAX(-1,MIN(1,1-MIN($E343,cc_D)/(cc_D/2))))</f>
        <v/>
      </c>
      <c r="BJ343">
        <f>((cc_D/2*(1-COS(($BH343+0*($BI343-$BH343)/12)))-$BF343)/$BG343)^2*SIN(($BH343+0*($BI343-$BH343)/12))^2</f>
        <v/>
      </c>
      <c r="BK343">
        <f>((cc_D/2*(1-COS(($BH343+1*($BI343-$BH343)/12)))-$BF343)/$BG343)^2*SIN(($BH343+1*($BI343-$BH343)/12))^2</f>
        <v/>
      </c>
      <c r="BL343">
        <f>((cc_D/2*(1-COS(($BH343+2*($BI343-$BH343)/12)))-$BF343)/$BG343)^2*SIN(($BH343+2*($BI343-$BH343)/12))^2</f>
        <v/>
      </c>
      <c r="BM343">
        <f>((cc_D/2*(1-COS(($BH343+3*($BI343-$BH343)/12)))-$BF343)/$BG343)^2*SIN(($BH343+3*($BI343-$BH343)/12))^2</f>
        <v/>
      </c>
      <c r="BN343">
        <f>((cc_D/2*(1-COS(($BH343+4*($BI343-$BH343)/12)))-$BF343)/$BG343)^2*SIN(($BH343+4*($BI343-$BH343)/12))^2</f>
        <v/>
      </c>
      <c r="BO343">
        <f>((cc_D/2*(1-COS(($BH343+5*($BI343-$BH343)/12)))-$BF343)/$BG343)^2*SIN(($BH343+5*($BI343-$BH343)/12))^2</f>
        <v/>
      </c>
      <c r="BP343">
        <f>((cc_D/2*(1-COS(($BH343+6*($BI343-$BH343)/12)))-$BF343)/$BG343)^2*SIN(($BH343+6*($BI343-$BH343)/12))^2</f>
        <v/>
      </c>
      <c r="BQ343">
        <f>((cc_D/2*(1-COS(($BH343+7*($BI343-$BH343)/12)))-$BF343)/$BG343)^2*SIN(($BH343+7*($BI343-$BH343)/12))^2</f>
        <v/>
      </c>
      <c r="BR343">
        <f>((cc_D/2*(1-COS(($BH343+8*($BI343-$BH343)/12)))-$BF343)/$BG343)^2*SIN(($BH343+8*($BI343-$BH343)/12))^2</f>
        <v/>
      </c>
      <c r="BS343">
        <f>((cc_D/2*(1-COS(($BH343+9*($BI343-$BH343)/12)))-$BF343)/$BG343)^2*SIN(($BH343+9*($BI343-$BH343)/12))^2</f>
        <v/>
      </c>
      <c r="BT343">
        <f>((cc_D/2*(1-COS(($BH343+10*($BI343-$BH343)/12)))-$BF343)/$BG343)^2*SIN(($BH343+10*($BI343-$BH343)/12))^2</f>
        <v/>
      </c>
      <c r="BU343">
        <f>((cc_D/2*(1-COS(($BH343+11*($BI343-$BH343)/12)))-$BF343)/$BG343)^2*SIN(($BH343+11*($BI343-$BH343)/12))^2</f>
        <v/>
      </c>
      <c r="BV343">
        <f>((cc_D/2*(1-COS(($BH343+12*($BI343-$BH343)/12)))-$BF343)/$BG343)^2*SIN(($BH343+12*($BI343-$BH343)/12))^2</f>
        <v/>
      </c>
      <c r="BW343">
        <f>BJ343*COS(($BH343+0*($BI343-$BH343)/12))</f>
        <v/>
      </c>
      <c r="BX343">
        <f>BK343*COS(($BH343+1*($BI343-$BH343)/12))</f>
        <v/>
      </c>
      <c r="BY343">
        <f>BL343*COS(($BH343+2*($BI343-$BH343)/12))</f>
        <v/>
      </c>
      <c r="BZ343">
        <f>BM343*COS(($BH343+3*($BI343-$BH343)/12))</f>
        <v/>
      </c>
      <c r="CA343">
        <f>BN343*COS(($BH343+4*($BI343-$BH343)/12))</f>
        <v/>
      </c>
      <c r="CB343">
        <f>BO343*COS(($BH343+5*($BI343-$BH343)/12))</f>
        <v/>
      </c>
      <c r="CC343">
        <f>BP343*COS(($BH343+6*($BI343-$BH343)/12))</f>
        <v/>
      </c>
      <c r="CD343">
        <f>BQ343*COS(($BH343+7*($BI343-$BH343)/12))</f>
        <v/>
      </c>
      <c r="CE343">
        <f>BR343*COS(($BH343+8*($BI343-$BH343)/12))</f>
        <v/>
      </c>
      <c r="CF343">
        <f>BS343*COS(($BH343+9*($BI343-$BH343)/12))</f>
        <v/>
      </c>
      <c r="CG343">
        <f>BT343*COS(($BH343+10*($BI343-$BH343)/12))</f>
        <v/>
      </c>
      <c r="CH343">
        <f>BU343*COS(($BH343+11*($BI343-$BH343)/12))</f>
        <v/>
      </c>
      <c r="CI343">
        <f>BV343*COS(($BH343+12*($BI343-$BH343)/12))</f>
        <v/>
      </c>
    </row>
    <row r="344">
      <c r="B344" s="65" t="n">
        <v>3</v>
      </c>
      <c r="C344" s="66">
        <f>IF($G343&lt;cc_NEd-1E-9*ABS(cc_NEd),($C343+$D343)/2,$C343)</f>
        <v/>
      </c>
      <c r="D344" s="66">
        <f>IF($G343&lt;cc_NEd-1E-9*ABS(cc_NEd),$D343,($C343+$D343)/2)</f>
        <v/>
      </c>
      <c r="E344" s="67">
        <f>cc_D*(($C344+$D344)/2)/(1-(($C344+$D344)/2))</f>
        <v/>
      </c>
      <c r="F344" s="68">
        <f>IF($E344&lt;=cc_D,3.5,2*$E344/($E344-3*cc_D/7))</f>
        <v/>
      </c>
      <c r="G344" s="67">
        <f>(fcd_cc*((cc_D/2)^2*($BI344-COS($BI344)*SIN($BI344))-2*(cc_D/2)^2*($BI344-$BH344)/12/3*SUMPRODUCT($BJ$4:$BV$4,$BJ344:$BV344))+SUMPRODUCT($J$5:$AG$5,$J344:$AG344))/1000</f>
        <v/>
      </c>
      <c r="H344" s="67">
        <f>(fcd_cc*(2/3*(cc_D/2)^3*SIN($BI344)^3-2*(cc_D/2)^3*($BI344-$BH344)/12/3*SUMPRODUCT($BW$4:$CI$4,$BW344:$CI344))+SUMPRODUCT($J$5:$AG$5,$J344:$AG344,$J$19:$AG$19))/1E6</f>
        <v/>
      </c>
      <c r="I344" s="67">
        <f>SUMPRODUCT($J$5:$AG$5,$J344:$AG344,$J$20:$AG$20)/1E6</f>
        <v/>
      </c>
      <c r="J344">
        <f>MAX(-fyd_cc,MIN(fyd_cc,Es_cc*IF($E344&lt;=cc_D,0.0035*($E344-J$18)/$E344,0.002*($E344-J$18)/($E344-3*cc_D/7))))-fcd_cc*(1-(1-MAX(0,MIN(1,IF($E344&lt;=cc_D,0.0035*($E344-J$18)/$E344,0.002*($E344-J$18)/($E344-3*cc_D/7))/0.002)))^2)</f>
        <v/>
      </c>
      <c r="K344">
        <f>MAX(-fyd_cc,MIN(fyd_cc,Es_cc*IF($E344&lt;=cc_D,0.0035*($E344-K$18)/$E344,0.002*($E344-K$18)/($E344-3*cc_D/7))))-fcd_cc*(1-(1-MAX(0,MIN(1,IF($E344&lt;=cc_D,0.0035*($E344-K$18)/$E344,0.002*($E344-K$18)/($E344-3*cc_D/7))/0.002)))^2)</f>
        <v/>
      </c>
      <c r="L344">
        <f>MAX(-fyd_cc,MIN(fyd_cc,Es_cc*IF($E344&lt;=cc_D,0.0035*($E344-L$18)/$E344,0.002*($E344-L$18)/($E344-3*cc_D/7))))-fcd_cc*(1-(1-MAX(0,MIN(1,IF($E344&lt;=cc_D,0.0035*($E344-L$18)/$E344,0.002*($E344-L$18)/($E344-3*cc_D/7))/0.002)))^2)</f>
        <v/>
      </c>
      <c r="M344">
        <f>MAX(-fyd_cc,MIN(fyd_cc,Es_cc*IF($E344&lt;=cc_D,0.0035*($E344-M$18)/$E344,0.002*($E344-M$18)/($E344-3*cc_D/7))))-fcd_cc*(1-(1-MAX(0,MIN(1,IF($E344&lt;=cc_D,0.0035*($E344-M$18)/$E344,0.002*($E344-M$18)/($E344-3*cc_D/7))/0.002)))^2)</f>
        <v/>
      </c>
      <c r="N344">
        <f>MAX(-fyd_cc,MIN(fyd_cc,Es_cc*IF($E344&lt;=cc_D,0.0035*($E344-N$18)/$E344,0.002*($E344-N$18)/($E344-3*cc_D/7))))-fcd_cc*(1-(1-MAX(0,MIN(1,IF($E344&lt;=cc_D,0.0035*($E344-N$18)/$E344,0.002*($E344-N$18)/($E344-3*cc_D/7))/0.002)))^2)</f>
        <v/>
      </c>
      <c r="O344">
        <f>MAX(-fyd_cc,MIN(fyd_cc,Es_cc*IF($E344&lt;=cc_D,0.0035*($E344-O$18)/$E344,0.002*($E344-O$18)/($E344-3*cc_D/7))))-fcd_cc*(1-(1-MAX(0,MIN(1,IF($E344&lt;=cc_D,0.0035*($E344-O$18)/$E344,0.002*($E344-O$18)/($E344-3*cc_D/7))/0.002)))^2)</f>
        <v/>
      </c>
      <c r="P344">
        <f>MAX(-fyd_cc,MIN(fyd_cc,Es_cc*IF($E344&lt;=cc_D,0.0035*($E344-P$18)/$E344,0.002*($E344-P$18)/($E344-3*cc_D/7))))-fcd_cc*(1-(1-MAX(0,MIN(1,IF($E344&lt;=cc_D,0.0035*($E344-P$18)/$E344,0.002*($E344-P$18)/($E344-3*cc_D/7))/0.002)))^2)</f>
        <v/>
      </c>
      <c r="Q344">
        <f>MAX(-fyd_cc,MIN(fyd_cc,Es_cc*IF($E344&lt;=cc_D,0.0035*($E344-Q$18)/$E344,0.002*($E344-Q$18)/($E344-3*cc_D/7))))-fcd_cc*(1-(1-MAX(0,MIN(1,IF($E344&lt;=cc_D,0.0035*($E344-Q$18)/$E344,0.002*($E344-Q$18)/($E344-3*cc_D/7))/0.002)))^2)</f>
        <v/>
      </c>
      <c r="R344">
        <f>MAX(-fyd_cc,MIN(fyd_cc,Es_cc*IF($E344&lt;=cc_D,0.0035*($E344-R$18)/$E344,0.002*($E344-R$18)/($E344-3*cc_D/7))))-fcd_cc*(1-(1-MAX(0,MIN(1,IF($E344&lt;=cc_D,0.0035*($E344-R$18)/$E344,0.002*($E344-R$18)/($E344-3*cc_D/7))/0.002)))^2)</f>
        <v/>
      </c>
      <c r="S344">
        <f>MAX(-fyd_cc,MIN(fyd_cc,Es_cc*IF($E344&lt;=cc_D,0.0035*($E344-S$18)/$E344,0.002*($E344-S$18)/($E344-3*cc_D/7))))-fcd_cc*(1-(1-MAX(0,MIN(1,IF($E344&lt;=cc_D,0.0035*($E344-S$18)/$E344,0.002*($E344-S$18)/($E344-3*cc_D/7))/0.002)))^2)</f>
        <v/>
      </c>
      <c r="T344">
        <f>MAX(-fyd_cc,MIN(fyd_cc,Es_cc*IF($E344&lt;=cc_D,0.0035*($E344-T$18)/$E344,0.002*($E344-T$18)/($E344-3*cc_D/7))))-fcd_cc*(1-(1-MAX(0,MIN(1,IF($E344&lt;=cc_D,0.0035*($E344-T$18)/$E344,0.002*($E344-T$18)/($E344-3*cc_D/7))/0.002)))^2)</f>
        <v/>
      </c>
      <c r="U344">
        <f>MAX(-fyd_cc,MIN(fyd_cc,Es_cc*IF($E344&lt;=cc_D,0.0035*($E344-U$18)/$E344,0.002*($E344-U$18)/($E344-3*cc_D/7))))-fcd_cc*(1-(1-MAX(0,MIN(1,IF($E344&lt;=cc_D,0.0035*($E344-U$18)/$E344,0.002*($E344-U$18)/($E344-3*cc_D/7))/0.002)))^2)</f>
        <v/>
      </c>
      <c r="V344">
        <f>MAX(-fyd_cc,MIN(fyd_cc,Es_cc*IF($E344&lt;=cc_D,0.0035*($E344-V$18)/$E344,0.002*($E344-V$18)/($E344-3*cc_D/7))))-fcd_cc*(1-(1-MAX(0,MIN(1,IF($E344&lt;=cc_D,0.0035*($E344-V$18)/$E344,0.002*($E344-V$18)/($E344-3*cc_D/7))/0.002)))^2)</f>
        <v/>
      </c>
      <c r="W344">
        <f>MAX(-fyd_cc,MIN(fyd_cc,Es_cc*IF($E344&lt;=cc_D,0.0035*($E344-W$18)/$E344,0.002*($E344-W$18)/($E344-3*cc_D/7))))-fcd_cc*(1-(1-MAX(0,MIN(1,IF($E344&lt;=cc_D,0.0035*($E344-W$18)/$E344,0.002*($E344-W$18)/($E344-3*cc_D/7))/0.002)))^2)</f>
        <v/>
      </c>
      <c r="X344">
        <f>MAX(-fyd_cc,MIN(fyd_cc,Es_cc*IF($E344&lt;=cc_D,0.0035*($E344-X$18)/$E344,0.002*($E344-X$18)/($E344-3*cc_D/7))))-fcd_cc*(1-(1-MAX(0,MIN(1,IF($E344&lt;=cc_D,0.0035*($E344-X$18)/$E344,0.002*($E344-X$18)/($E344-3*cc_D/7))/0.002)))^2)</f>
        <v/>
      </c>
      <c r="Y344">
        <f>MAX(-fyd_cc,MIN(fyd_cc,Es_cc*IF($E344&lt;=cc_D,0.0035*($E344-Y$18)/$E344,0.002*($E344-Y$18)/($E344-3*cc_D/7))))-fcd_cc*(1-(1-MAX(0,MIN(1,IF($E344&lt;=cc_D,0.0035*($E344-Y$18)/$E344,0.002*($E344-Y$18)/($E344-3*cc_D/7))/0.002)))^2)</f>
        <v/>
      </c>
      <c r="Z344">
        <f>MAX(-fyd_cc,MIN(fyd_cc,Es_cc*IF($E344&lt;=cc_D,0.0035*($E344-Z$18)/$E344,0.002*($E344-Z$18)/($E344-3*cc_D/7))))-fcd_cc*(1-(1-MAX(0,MIN(1,IF($E344&lt;=cc_D,0.0035*($E344-Z$18)/$E344,0.002*($E344-Z$18)/($E344-3*cc_D/7))/0.002)))^2)</f>
        <v/>
      </c>
      <c r="AA344">
        <f>MAX(-fyd_cc,MIN(fyd_cc,Es_cc*IF($E344&lt;=cc_D,0.0035*($E344-AA$18)/$E344,0.002*($E344-AA$18)/($E344-3*cc_D/7))))-fcd_cc*(1-(1-MAX(0,MIN(1,IF($E344&lt;=cc_D,0.0035*($E344-AA$18)/$E344,0.002*($E344-AA$18)/($E344-3*cc_D/7))/0.002)))^2)</f>
        <v/>
      </c>
      <c r="AB344">
        <f>MAX(-fyd_cc,MIN(fyd_cc,Es_cc*IF($E344&lt;=cc_D,0.0035*($E344-AB$18)/$E344,0.002*($E344-AB$18)/($E344-3*cc_D/7))))-fcd_cc*(1-(1-MAX(0,MIN(1,IF($E344&lt;=cc_D,0.0035*($E344-AB$18)/$E344,0.002*($E344-AB$18)/($E344-3*cc_D/7))/0.002)))^2)</f>
        <v/>
      </c>
      <c r="AC344">
        <f>MAX(-fyd_cc,MIN(fyd_cc,Es_cc*IF($E344&lt;=cc_D,0.0035*($E344-AC$18)/$E344,0.002*($E344-AC$18)/($E344-3*cc_D/7))))-fcd_cc*(1-(1-MAX(0,MIN(1,IF($E344&lt;=cc_D,0.0035*($E344-AC$18)/$E344,0.002*($E344-AC$18)/($E344-3*cc_D/7))/0.002)))^2)</f>
        <v/>
      </c>
      <c r="AD344">
        <f>MAX(-fyd_cc,MIN(fyd_cc,Es_cc*IF($E344&lt;=cc_D,0.0035*($E344-AD$18)/$E344,0.002*($E344-AD$18)/($E344-3*cc_D/7))))-fcd_cc*(1-(1-MAX(0,MIN(1,IF($E344&lt;=cc_D,0.0035*($E344-AD$18)/$E344,0.002*($E344-AD$18)/($E344-3*cc_D/7))/0.002)))^2)</f>
        <v/>
      </c>
      <c r="AE344">
        <f>MAX(-fyd_cc,MIN(fyd_cc,Es_cc*IF($E344&lt;=cc_D,0.0035*($E344-AE$18)/$E344,0.002*($E344-AE$18)/($E344-3*cc_D/7))))-fcd_cc*(1-(1-MAX(0,MIN(1,IF($E344&lt;=cc_D,0.0035*($E344-AE$18)/$E344,0.002*($E344-AE$18)/($E344-3*cc_D/7))/0.002)))^2)</f>
        <v/>
      </c>
      <c r="AF344">
        <f>MAX(-fyd_cc,MIN(fyd_cc,Es_cc*IF($E344&lt;=cc_D,0.0035*($E344-AF$18)/$E344,0.002*($E344-AF$18)/($E344-3*cc_D/7))))-fcd_cc*(1-(1-MAX(0,MIN(1,IF($E344&lt;=cc_D,0.0035*($E344-AF$18)/$E344,0.002*($E344-AF$18)/($E344-3*cc_D/7))/0.002)))^2)</f>
        <v/>
      </c>
      <c r="AG344">
        <f>MAX(-fyd_cc,MIN(fyd_cc,Es_cc*IF($E344&lt;=cc_D,0.0035*($E344-AG$18)/$E344,0.002*($E344-AG$18)/($E344-3*cc_D/7))))-fcd_cc*(1-(1-MAX(0,MIN(1,IF($E344&lt;=cc_D,0.0035*($E344-AG$18)/$E344,0.002*($E344-AG$18)/($E344-3*cc_D/7))/0.002)))^2)</f>
        <v/>
      </c>
      <c r="BF344">
        <f>3*MIN($E344,cc_D)/7</f>
        <v/>
      </c>
      <c r="BG344">
        <f>$E344-$BF344</f>
        <v/>
      </c>
      <c r="BH344">
        <f>ACOS(MAX(-1,MIN(1,1-$BF344/(cc_D/2))))</f>
        <v/>
      </c>
      <c r="BI344">
        <f>ACOS(MAX(-1,MIN(1,1-MIN($E344,cc_D)/(cc_D/2))))</f>
        <v/>
      </c>
      <c r="BJ344">
        <f>((cc_D/2*(1-COS(($BH344+0*($BI344-$BH344)/12)))-$BF344)/$BG344)^2*SIN(($BH344+0*($BI344-$BH344)/12))^2</f>
        <v/>
      </c>
      <c r="BK344">
        <f>((cc_D/2*(1-COS(($BH344+1*($BI344-$BH344)/12)))-$BF344)/$BG344)^2*SIN(($BH344+1*($BI344-$BH344)/12))^2</f>
        <v/>
      </c>
      <c r="BL344">
        <f>((cc_D/2*(1-COS(($BH344+2*($BI344-$BH344)/12)))-$BF344)/$BG344)^2*SIN(($BH344+2*($BI344-$BH344)/12))^2</f>
        <v/>
      </c>
      <c r="BM344">
        <f>((cc_D/2*(1-COS(($BH344+3*($BI344-$BH344)/12)))-$BF344)/$BG344)^2*SIN(($BH344+3*($BI344-$BH344)/12))^2</f>
        <v/>
      </c>
      <c r="BN344">
        <f>((cc_D/2*(1-COS(($BH344+4*($BI344-$BH344)/12)))-$BF344)/$BG344)^2*SIN(($BH344+4*($BI344-$BH344)/12))^2</f>
        <v/>
      </c>
      <c r="BO344">
        <f>((cc_D/2*(1-COS(($BH344+5*($BI344-$BH344)/12)))-$BF344)/$BG344)^2*SIN(($BH344+5*($BI344-$BH344)/12))^2</f>
        <v/>
      </c>
      <c r="BP344">
        <f>((cc_D/2*(1-COS(($BH344+6*($BI344-$BH344)/12)))-$BF344)/$BG344)^2*SIN(($BH344+6*($BI344-$BH344)/12))^2</f>
        <v/>
      </c>
      <c r="BQ344">
        <f>((cc_D/2*(1-COS(($BH344+7*($BI344-$BH344)/12)))-$BF344)/$BG344)^2*SIN(($BH344+7*($BI344-$BH344)/12))^2</f>
        <v/>
      </c>
      <c r="BR344">
        <f>((cc_D/2*(1-COS(($BH344+8*($BI344-$BH344)/12)))-$BF344)/$BG344)^2*SIN(($BH344+8*($BI344-$BH344)/12))^2</f>
        <v/>
      </c>
      <c r="BS344">
        <f>((cc_D/2*(1-COS(($BH344+9*($BI344-$BH344)/12)))-$BF344)/$BG344)^2*SIN(($BH344+9*($BI344-$BH344)/12))^2</f>
        <v/>
      </c>
      <c r="BT344">
        <f>((cc_D/2*(1-COS(($BH344+10*($BI344-$BH344)/12)))-$BF344)/$BG344)^2*SIN(($BH344+10*($BI344-$BH344)/12))^2</f>
        <v/>
      </c>
      <c r="BU344">
        <f>((cc_D/2*(1-COS(($BH344+11*($BI344-$BH344)/12)))-$BF344)/$BG344)^2*SIN(($BH344+11*($BI344-$BH344)/12))^2</f>
        <v/>
      </c>
      <c r="BV344">
        <f>((cc_D/2*(1-COS(($BH344+12*($BI344-$BH344)/12)))-$BF344)/$BG344)^2*SIN(($BH344+12*($BI344-$BH344)/12))^2</f>
        <v/>
      </c>
      <c r="BW344">
        <f>BJ344*COS(($BH344+0*($BI344-$BH344)/12))</f>
        <v/>
      </c>
      <c r="BX344">
        <f>BK344*COS(($BH344+1*($BI344-$BH344)/12))</f>
        <v/>
      </c>
      <c r="BY344">
        <f>BL344*COS(($BH344+2*($BI344-$BH344)/12))</f>
        <v/>
      </c>
      <c r="BZ344">
        <f>BM344*COS(($BH344+3*($BI344-$BH344)/12))</f>
        <v/>
      </c>
      <c r="CA344">
        <f>BN344*COS(($BH344+4*($BI344-$BH344)/12))</f>
        <v/>
      </c>
      <c r="CB344">
        <f>BO344*COS(($BH344+5*($BI344-$BH344)/12))</f>
        <v/>
      </c>
      <c r="CC344">
        <f>BP344*COS(($BH344+6*($BI344-$BH344)/12))</f>
        <v/>
      </c>
      <c r="CD344">
        <f>BQ344*COS(($BH344+7*($BI344-$BH344)/12))</f>
        <v/>
      </c>
      <c r="CE344">
        <f>BR344*COS(($BH344+8*($BI344-$BH344)/12))</f>
        <v/>
      </c>
      <c r="CF344">
        <f>BS344*COS(($BH344+9*($BI344-$BH344)/12))</f>
        <v/>
      </c>
      <c r="CG344">
        <f>BT344*COS(($BH344+10*($BI344-$BH344)/12))</f>
        <v/>
      </c>
      <c r="CH344">
        <f>BU344*COS(($BH344+11*($BI344-$BH344)/12))</f>
        <v/>
      </c>
      <c r="CI344">
        <f>BV344*COS(($BH344+12*($BI344-$BH344)/12))</f>
        <v/>
      </c>
    </row>
    <row r="345">
      <c r="B345" s="65" t="n">
        <v>4</v>
      </c>
      <c r="C345" s="66">
        <f>IF($G344&lt;cc_NEd-1E-9*ABS(cc_NEd),($C344+$D344)/2,$C344)</f>
        <v/>
      </c>
      <c r="D345" s="66">
        <f>IF($G344&lt;cc_NEd-1E-9*ABS(cc_NEd),$D344,($C344+$D344)/2)</f>
        <v/>
      </c>
      <c r="E345" s="67">
        <f>cc_D*(($C345+$D345)/2)/(1-(($C345+$D345)/2))</f>
        <v/>
      </c>
      <c r="F345" s="68">
        <f>IF($E345&lt;=cc_D,3.5,2*$E345/($E345-3*cc_D/7))</f>
        <v/>
      </c>
      <c r="G345" s="67">
        <f>(fcd_cc*((cc_D/2)^2*($BI345-COS($BI345)*SIN($BI345))-2*(cc_D/2)^2*($BI345-$BH345)/12/3*SUMPRODUCT($BJ$4:$BV$4,$BJ345:$BV345))+SUMPRODUCT($J$5:$AG$5,$J345:$AG345))/1000</f>
        <v/>
      </c>
      <c r="H345" s="67">
        <f>(fcd_cc*(2/3*(cc_D/2)^3*SIN($BI345)^3-2*(cc_D/2)^3*($BI345-$BH345)/12/3*SUMPRODUCT($BW$4:$CI$4,$BW345:$CI345))+SUMPRODUCT($J$5:$AG$5,$J345:$AG345,$J$19:$AG$19))/1E6</f>
        <v/>
      </c>
      <c r="I345" s="67">
        <f>SUMPRODUCT($J$5:$AG$5,$J345:$AG345,$J$20:$AG$20)/1E6</f>
        <v/>
      </c>
      <c r="J345">
        <f>MAX(-fyd_cc,MIN(fyd_cc,Es_cc*IF($E345&lt;=cc_D,0.0035*($E345-J$18)/$E345,0.002*($E345-J$18)/($E345-3*cc_D/7))))-fcd_cc*(1-(1-MAX(0,MIN(1,IF($E345&lt;=cc_D,0.0035*($E345-J$18)/$E345,0.002*($E345-J$18)/($E345-3*cc_D/7))/0.002)))^2)</f>
        <v/>
      </c>
      <c r="K345">
        <f>MAX(-fyd_cc,MIN(fyd_cc,Es_cc*IF($E345&lt;=cc_D,0.0035*($E345-K$18)/$E345,0.002*($E345-K$18)/($E345-3*cc_D/7))))-fcd_cc*(1-(1-MAX(0,MIN(1,IF($E345&lt;=cc_D,0.0035*($E345-K$18)/$E345,0.002*($E345-K$18)/($E345-3*cc_D/7))/0.002)))^2)</f>
        <v/>
      </c>
      <c r="L345">
        <f>MAX(-fyd_cc,MIN(fyd_cc,Es_cc*IF($E345&lt;=cc_D,0.0035*($E345-L$18)/$E345,0.002*($E345-L$18)/($E345-3*cc_D/7))))-fcd_cc*(1-(1-MAX(0,MIN(1,IF($E345&lt;=cc_D,0.0035*($E345-L$18)/$E345,0.002*($E345-L$18)/($E345-3*cc_D/7))/0.002)))^2)</f>
        <v/>
      </c>
      <c r="M345">
        <f>MAX(-fyd_cc,MIN(fyd_cc,Es_cc*IF($E345&lt;=cc_D,0.0035*($E345-M$18)/$E345,0.002*($E345-M$18)/($E345-3*cc_D/7))))-fcd_cc*(1-(1-MAX(0,MIN(1,IF($E345&lt;=cc_D,0.0035*($E345-M$18)/$E345,0.002*($E345-M$18)/($E345-3*cc_D/7))/0.002)))^2)</f>
        <v/>
      </c>
      <c r="N345">
        <f>MAX(-fyd_cc,MIN(fyd_cc,Es_cc*IF($E345&lt;=cc_D,0.0035*($E345-N$18)/$E345,0.002*($E345-N$18)/($E345-3*cc_D/7))))-fcd_cc*(1-(1-MAX(0,MIN(1,IF($E345&lt;=cc_D,0.0035*($E345-N$18)/$E345,0.002*($E345-N$18)/($E345-3*cc_D/7))/0.002)))^2)</f>
        <v/>
      </c>
      <c r="O345">
        <f>MAX(-fyd_cc,MIN(fyd_cc,Es_cc*IF($E345&lt;=cc_D,0.0035*($E345-O$18)/$E345,0.002*($E345-O$18)/($E345-3*cc_D/7))))-fcd_cc*(1-(1-MAX(0,MIN(1,IF($E345&lt;=cc_D,0.0035*($E345-O$18)/$E345,0.002*($E345-O$18)/($E345-3*cc_D/7))/0.002)))^2)</f>
        <v/>
      </c>
      <c r="P345">
        <f>MAX(-fyd_cc,MIN(fyd_cc,Es_cc*IF($E345&lt;=cc_D,0.0035*($E345-P$18)/$E345,0.002*($E345-P$18)/($E345-3*cc_D/7))))-fcd_cc*(1-(1-MAX(0,MIN(1,IF($E345&lt;=cc_D,0.0035*($E345-P$18)/$E345,0.002*($E345-P$18)/($E345-3*cc_D/7))/0.002)))^2)</f>
        <v/>
      </c>
      <c r="Q345">
        <f>MAX(-fyd_cc,MIN(fyd_cc,Es_cc*IF($E345&lt;=cc_D,0.0035*($E345-Q$18)/$E345,0.002*($E345-Q$18)/($E345-3*cc_D/7))))-fcd_cc*(1-(1-MAX(0,MIN(1,IF($E345&lt;=cc_D,0.0035*($E345-Q$18)/$E345,0.002*($E345-Q$18)/($E345-3*cc_D/7))/0.002)))^2)</f>
        <v/>
      </c>
      <c r="R345">
        <f>MAX(-fyd_cc,MIN(fyd_cc,Es_cc*IF($E345&lt;=cc_D,0.0035*($E345-R$18)/$E345,0.002*($E345-R$18)/($E345-3*cc_D/7))))-fcd_cc*(1-(1-MAX(0,MIN(1,IF($E345&lt;=cc_D,0.0035*($E345-R$18)/$E345,0.002*($E345-R$18)/($E345-3*cc_D/7))/0.002)))^2)</f>
        <v/>
      </c>
      <c r="S345">
        <f>MAX(-fyd_cc,MIN(fyd_cc,Es_cc*IF($E345&lt;=cc_D,0.0035*($E345-S$18)/$E345,0.002*($E345-S$18)/($E345-3*cc_D/7))))-fcd_cc*(1-(1-MAX(0,MIN(1,IF($E345&lt;=cc_D,0.0035*($E345-S$18)/$E345,0.002*($E345-S$18)/($E345-3*cc_D/7))/0.002)))^2)</f>
        <v/>
      </c>
      <c r="T345">
        <f>MAX(-fyd_cc,MIN(fyd_cc,Es_cc*IF($E345&lt;=cc_D,0.0035*($E345-T$18)/$E345,0.002*($E345-T$18)/($E345-3*cc_D/7))))-fcd_cc*(1-(1-MAX(0,MIN(1,IF($E345&lt;=cc_D,0.0035*($E345-T$18)/$E345,0.002*($E345-T$18)/($E345-3*cc_D/7))/0.002)))^2)</f>
        <v/>
      </c>
      <c r="U345">
        <f>MAX(-fyd_cc,MIN(fyd_cc,Es_cc*IF($E345&lt;=cc_D,0.0035*($E345-U$18)/$E345,0.002*($E345-U$18)/($E345-3*cc_D/7))))-fcd_cc*(1-(1-MAX(0,MIN(1,IF($E345&lt;=cc_D,0.0035*($E345-U$18)/$E345,0.002*($E345-U$18)/($E345-3*cc_D/7))/0.002)))^2)</f>
        <v/>
      </c>
      <c r="V345">
        <f>MAX(-fyd_cc,MIN(fyd_cc,Es_cc*IF($E345&lt;=cc_D,0.0035*($E345-V$18)/$E345,0.002*($E345-V$18)/($E345-3*cc_D/7))))-fcd_cc*(1-(1-MAX(0,MIN(1,IF($E345&lt;=cc_D,0.0035*($E345-V$18)/$E345,0.002*($E345-V$18)/($E345-3*cc_D/7))/0.002)))^2)</f>
        <v/>
      </c>
      <c r="W345">
        <f>MAX(-fyd_cc,MIN(fyd_cc,Es_cc*IF($E345&lt;=cc_D,0.0035*($E345-W$18)/$E345,0.002*($E345-W$18)/($E345-3*cc_D/7))))-fcd_cc*(1-(1-MAX(0,MIN(1,IF($E345&lt;=cc_D,0.0035*($E345-W$18)/$E345,0.002*($E345-W$18)/($E345-3*cc_D/7))/0.002)))^2)</f>
        <v/>
      </c>
      <c r="X345">
        <f>MAX(-fyd_cc,MIN(fyd_cc,Es_cc*IF($E345&lt;=cc_D,0.0035*($E345-X$18)/$E345,0.002*($E345-X$18)/($E345-3*cc_D/7))))-fcd_cc*(1-(1-MAX(0,MIN(1,IF($E345&lt;=cc_D,0.0035*($E345-X$18)/$E345,0.002*($E345-X$18)/($E345-3*cc_D/7))/0.002)))^2)</f>
        <v/>
      </c>
      <c r="Y345">
        <f>MAX(-fyd_cc,MIN(fyd_cc,Es_cc*IF($E345&lt;=cc_D,0.0035*($E345-Y$18)/$E345,0.002*($E345-Y$18)/($E345-3*cc_D/7))))-fcd_cc*(1-(1-MAX(0,MIN(1,IF($E345&lt;=cc_D,0.0035*($E345-Y$18)/$E345,0.002*($E345-Y$18)/($E345-3*cc_D/7))/0.002)))^2)</f>
        <v/>
      </c>
      <c r="Z345">
        <f>MAX(-fyd_cc,MIN(fyd_cc,Es_cc*IF($E345&lt;=cc_D,0.0035*($E345-Z$18)/$E345,0.002*($E345-Z$18)/($E345-3*cc_D/7))))-fcd_cc*(1-(1-MAX(0,MIN(1,IF($E345&lt;=cc_D,0.0035*($E345-Z$18)/$E345,0.002*($E345-Z$18)/($E345-3*cc_D/7))/0.002)))^2)</f>
        <v/>
      </c>
      <c r="AA345">
        <f>MAX(-fyd_cc,MIN(fyd_cc,Es_cc*IF($E345&lt;=cc_D,0.0035*($E345-AA$18)/$E345,0.002*($E345-AA$18)/($E345-3*cc_D/7))))-fcd_cc*(1-(1-MAX(0,MIN(1,IF($E345&lt;=cc_D,0.0035*($E345-AA$18)/$E345,0.002*($E345-AA$18)/($E345-3*cc_D/7))/0.002)))^2)</f>
        <v/>
      </c>
      <c r="AB345">
        <f>MAX(-fyd_cc,MIN(fyd_cc,Es_cc*IF($E345&lt;=cc_D,0.0035*($E345-AB$18)/$E345,0.002*($E345-AB$18)/($E345-3*cc_D/7))))-fcd_cc*(1-(1-MAX(0,MIN(1,IF($E345&lt;=cc_D,0.0035*($E345-AB$18)/$E345,0.002*($E345-AB$18)/($E345-3*cc_D/7))/0.002)))^2)</f>
        <v/>
      </c>
      <c r="AC345">
        <f>MAX(-fyd_cc,MIN(fyd_cc,Es_cc*IF($E345&lt;=cc_D,0.0035*($E345-AC$18)/$E345,0.002*($E345-AC$18)/($E345-3*cc_D/7))))-fcd_cc*(1-(1-MAX(0,MIN(1,IF($E345&lt;=cc_D,0.0035*($E345-AC$18)/$E345,0.002*($E345-AC$18)/($E345-3*cc_D/7))/0.002)))^2)</f>
        <v/>
      </c>
      <c r="AD345">
        <f>MAX(-fyd_cc,MIN(fyd_cc,Es_cc*IF($E345&lt;=cc_D,0.0035*($E345-AD$18)/$E345,0.002*($E345-AD$18)/($E345-3*cc_D/7))))-fcd_cc*(1-(1-MAX(0,MIN(1,IF($E345&lt;=cc_D,0.0035*($E345-AD$18)/$E345,0.002*($E345-AD$18)/($E345-3*cc_D/7))/0.002)))^2)</f>
        <v/>
      </c>
      <c r="AE345">
        <f>MAX(-fyd_cc,MIN(fyd_cc,Es_cc*IF($E345&lt;=cc_D,0.0035*($E345-AE$18)/$E345,0.002*($E345-AE$18)/($E345-3*cc_D/7))))-fcd_cc*(1-(1-MAX(0,MIN(1,IF($E345&lt;=cc_D,0.0035*($E345-AE$18)/$E345,0.002*($E345-AE$18)/($E345-3*cc_D/7))/0.002)))^2)</f>
        <v/>
      </c>
      <c r="AF345">
        <f>MAX(-fyd_cc,MIN(fyd_cc,Es_cc*IF($E345&lt;=cc_D,0.0035*($E345-AF$18)/$E345,0.002*($E345-AF$18)/($E345-3*cc_D/7))))-fcd_cc*(1-(1-MAX(0,MIN(1,IF($E345&lt;=cc_D,0.0035*($E345-AF$18)/$E345,0.002*($E345-AF$18)/($E345-3*cc_D/7))/0.002)))^2)</f>
        <v/>
      </c>
      <c r="AG345">
        <f>MAX(-fyd_cc,MIN(fyd_cc,Es_cc*IF($E345&lt;=cc_D,0.0035*($E345-AG$18)/$E345,0.002*($E345-AG$18)/($E345-3*cc_D/7))))-fcd_cc*(1-(1-MAX(0,MIN(1,IF($E345&lt;=cc_D,0.0035*($E345-AG$18)/$E345,0.002*($E345-AG$18)/($E345-3*cc_D/7))/0.002)))^2)</f>
        <v/>
      </c>
      <c r="BF345">
        <f>3*MIN($E345,cc_D)/7</f>
        <v/>
      </c>
      <c r="BG345">
        <f>$E345-$BF345</f>
        <v/>
      </c>
      <c r="BH345">
        <f>ACOS(MAX(-1,MIN(1,1-$BF345/(cc_D/2))))</f>
        <v/>
      </c>
      <c r="BI345">
        <f>ACOS(MAX(-1,MIN(1,1-MIN($E345,cc_D)/(cc_D/2))))</f>
        <v/>
      </c>
      <c r="BJ345">
        <f>((cc_D/2*(1-COS(($BH345+0*($BI345-$BH345)/12)))-$BF345)/$BG345)^2*SIN(($BH345+0*($BI345-$BH345)/12))^2</f>
        <v/>
      </c>
      <c r="BK345">
        <f>((cc_D/2*(1-COS(($BH345+1*($BI345-$BH345)/12)))-$BF345)/$BG345)^2*SIN(($BH345+1*($BI345-$BH345)/12))^2</f>
        <v/>
      </c>
      <c r="BL345">
        <f>((cc_D/2*(1-COS(($BH345+2*($BI345-$BH345)/12)))-$BF345)/$BG345)^2*SIN(($BH345+2*($BI345-$BH345)/12))^2</f>
        <v/>
      </c>
      <c r="BM345">
        <f>((cc_D/2*(1-COS(($BH345+3*($BI345-$BH345)/12)))-$BF345)/$BG345)^2*SIN(($BH345+3*($BI345-$BH345)/12))^2</f>
        <v/>
      </c>
      <c r="BN345">
        <f>((cc_D/2*(1-COS(($BH345+4*($BI345-$BH345)/12)))-$BF345)/$BG345)^2*SIN(($BH345+4*($BI345-$BH345)/12))^2</f>
        <v/>
      </c>
      <c r="BO345">
        <f>((cc_D/2*(1-COS(($BH345+5*($BI345-$BH345)/12)))-$BF345)/$BG345)^2*SIN(($BH345+5*($BI345-$BH345)/12))^2</f>
        <v/>
      </c>
      <c r="BP345">
        <f>((cc_D/2*(1-COS(($BH345+6*($BI345-$BH345)/12)))-$BF345)/$BG345)^2*SIN(($BH345+6*($BI345-$BH345)/12))^2</f>
        <v/>
      </c>
      <c r="BQ345">
        <f>((cc_D/2*(1-COS(($BH345+7*($BI345-$BH345)/12)))-$BF345)/$BG345)^2*SIN(($BH345+7*($BI345-$BH345)/12))^2</f>
        <v/>
      </c>
      <c r="BR345">
        <f>((cc_D/2*(1-COS(($BH345+8*($BI345-$BH345)/12)))-$BF345)/$BG345)^2*SIN(($BH345+8*($BI345-$BH345)/12))^2</f>
        <v/>
      </c>
      <c r="BS345">
        <f>((cc_D/2*(1-COS(($BH345+9*($BI345-$BH345)/12)))-$BF345)/$BG345)^2*SIN(($BH345+9*($BI345-$BH345)/12))^2</f>
        <v/>
      </c>
      <c r="BT345">
        <f>((cc_D/2*(1-COS(($BH345+10*($BI345-$BH345)/12)))-$BF345)/$BG345)^2*SIN(($BH345+10*($BI345-$BH345)/12))^2</f>
        <v/>
      </c>
      <c r="BU345">
        <f>((cc_D/2*(1-COS(($BH345+11*($BI345-$BH345)/12)))-$BF345)/$BG345)^2*SIN(($BH345+11*($BI345-$BH345)/12))^2</f>
        <v/>
      </c>
      <c r="BV345">
        <f>((cc_D/2*(1-COS(($BH345+12*($BI345-$BH345)/12)))-$BF345)/$BG345)^2*SIN(($BH345+12*($BI345-$BH345)/12))^2</f>
        <v/>
      </c>
      <c r="BW345">
        <f>BJ345*COS(($BH345+0*($BI345-$BH345)/12))</f>
        <v/>
      </c>
      <c r="BX345">
        <f>BK345*COS(($BH345+1*($BI345-$BH345)/12))</f>
        <v/>
      </c>
      <c r="BY345">
        <f>BL345*COS(($BH345+2*($BI345-$BH345)/12))</f>
        <v/>
      </c>
      <c r="BZ345">
        <f>BM345*COS(($BH345+3*($BI345-$BH345)/12))</f>
        <v/>
      </c>
      <c r="CA345">
        <f>BN345*COS(($BH345+4*($BI345-$BH345)/12))</f>
        <v/>
      </c>
      <c r="CB345">
        <f>BO345*COS(($BH345+5*($BI345-$BH345)/12))</f>
        <v/>
      </c>
      <c r="CC345">
        <f>BP345*COS(($BH345+6*($BI345-$BH345)/12))</f>
        <v/>
      </c>
      <c r="CD345">
        <f>BQ345*COS(($BH345+7*($BI345-$BH345)/12))</f>
        <v/>
      </c>
      <c r="CE345">
        <f>BR345*COS(($BH345+8*($BI345-$BH345)/12))</f>
        <v/>
      </c>
      <c r="CF345">
        <f>BS345*COS(($BH345+9*($BI345-$BH345)/12))</f>
        <v/>
      </c>
      <c r="CG345">
        <f>BT345*COS(($BH345+10*($BI345-$BH345)/12))</f>
        <v/>
      </c>
      <c r="CH345">
        <f>BU345*COS(($BH345+11*($BI345-$BH345)/12))</f>
        <v/>
      </c>
      <c r="CI345">
        <f>BV345*COS(($BH345+12*($BI345-$BH345)/12))</f>
        <v/>
      </c>
    </row>
    <row r="346">
      <c r="B346" s="65" t="n">
        <v>5</v>
      </c>
      <c r="C346" s="66">
        <f>IF($G345&lt;cc_NEd-1E-9*ABS(cc_NEd),($C345+$D345)/2,$C345)</f>
        <v/>
      </c>
      <c r="D346" s="66">
        <f>IF($G345&lt;cc_NEd-1E-9*ABS(cc_NEd),$D345,($C345+$D345)/2)</f>
        <v/>
      </c>
      <c r="E346" s="67">
        <f>cc_D*(($C346+$D346)/2)/(1-(($C346+$D346)/2))</f>
        <v/>
      </c>
      <c r="F346" s="68">
        <f>IF($E346&lt;=cc_D,3.5,2*$E346/($E346-3*cc_D/7))</f>
        <v/>
      </c>
      <c r="G346" s="67">
        <f>(fcd_cc*((cc_D/2)^2*($BI346-COS($BI346)*SIN($BI346))-2*(cc_D/2)^2*($BI346-$BH346)/12/3*SUMPRODUCT($BJ$4:$BV$4,$BJ346:$BV346))+SUMPRODUCT($J$5:$AG$5,$J346:$AG346))/1000</f>
        <v/>
      </c>
      <c r="H346" s="67">
        <f>(fcd_cc*(2/3*(cc_D/2)^3*SIN($BI346)^3-2*(cc_D/2)^3*($BI346-$BH346)/12/3*SUMPRODUCT($BW$4:$CI$4,$BW346:$CI346))+SUMPRODUCT($J$5:$AG$5,$J346:$AG346,$J$19:$AG$19))/1E6</f>
        <v/>
      </c>
      <c r="I346" s="67">
        <f>SUMPRODUCT($J$5:$AG$5,$J346:$AG346,$J$20:$AG$20)/1E6</f>
        <v/>
      </c>
      <c r="J346">
        <f>MAX(-fyd_cc,MIN(fyd_cc,Es_cc*IF($E346&lt;=cc_D,0.0035*($E346-J$18)/$E346,0.002*($E346-J$18)/($E346-3*cc_D/7))))-fcd_cc*(1-(1-MAX(0,MIN(1,IF($E346&lt;=cc_D,0.0035*($E346-J$18)/$E346,0.002*($E346-J$18)/($E346-3*cc_D/7))/0.002)))^2)</f>
        <v/>
      </c>
      <c r="K346">
        <f>MAX(-fyd_cc,MIN(fyd_cc,Es_cc*IF($E346&lt;=cc_D,0.0035*($E346-K$18)/$E346,0.002*($E346-K$18)/($E346-3*cc_D/7))))-fcd_cc*(1-(1-MAX(0,MIN(1,IF($E346&lt;=cc_D,0.0035*($E346-K$18)/$E346,0.002*($E346-K$18)/($E346-3*cc_D/7))/0.002)))^2)</f>
        <v/>
      </c>
      <c r="L346">
        <f>MAX(-fyd_cc,MIN(fyd_cc,Es_cc*IF($E346&lt;=cc_D,0.0035*($E346-L$18)/$E346,0.002*($E346-L$18)/($E346-3*cc_D/7))))-fcd_cc*(1-(1-MAX(0,MIN(1,IF($E346&lt;=cc_D,0.0035*($E346-L$18)/$E346,0.002*($E346-L$18)/($E346-3*cc_D/7))/0.002)))^2)</f>
        <v/>
      </c>
      <c r="M346">
        <f>MAX(-fyd_cc,MIN(fyd_cc,Es_cc*IF($E346&lt;=cc_D,0.0035*($E346-M$18)/$E346,0.002*($E346-M$18)/($E346-3*cc_D/7))))-fcd_cc*(1-(1-MAX(0,MIN(1,IF($E346&lt;=cc_D,0.0035*($E346-M$18)/$E346,0.002*($E346-M$18)/($E346-3*cc_D/7))/0.002)))^2)</f>
        <v/>
      </c>
      <c r="N346">
        <f>MAX(-fyd_cc,MIN(fyd_cc,Es_cc*IF($E346&lt;=cc_D,0.0035*($E346-N$18)/$E346,0.002*($E346-N$18)/($E346-3*cc_D/7))))-fcd_cc*(1-(1-MAX(0,MIN(1,IF($E346&lt;=cc_D,0.0035*($E346-N$18)/$E346,0.002*($E346-N$18)/($E346-3*cc_D/7))/0.002)))^2)</f>
        <v/>
      </c>
      <c r="O346">
        <f>MAX(-fyd_cc,MIN(fyd_cc,Es_cc*IF($E346&lt;=cc_D,0.0035*($E346-O$18)/$E346,0.002*($E346-O$18)/($E346-3*cc_D/7))))-fcd_cc*(1-(1-MAX(0,MIN(1,IF($E346&lt;=cc_D,0.0035*($E346-O$18)/$E346,0.002*($E346-O$18)/($E346-3*cc_D/7))/0.002)))^2)</f>
        <v/>
      </c>
      <c r="P346">
        <f>MAX(-fyd_cc,MIN(fyd_cc,Es_cc*IF($E346&lt;=cc_D,0.0035*($E346-P$18)/$E346,0.002*($E346-P$18)/($E346-3*cc_D/7))))-fcd_cc*(1-(1-MAX(0,MIN(1,IF($E346&lt;=cc_D,0.0035*($E346-P$18)/$E346,0.002*($E346-P$18)/($E346-3*cc_D/7))/0.002)))^2)</f>
        <v/>
      </c>
      <c r="Q346">
        <f>MAX(-fyd_cc,MIN(fyd_cc,Es_cc*IF($E346&lt;=cc_D,0.0035*($E346-Q$18)/$E346,0.002*($E346-Q$18)/($E346-3*cc_D/7))))-fcd_cc*(1-(1-MAX(0,MIN(1,IF($E346&lt;=cc_D,0.0035*($E346-Q$18)/$E346,0.002*($E346-Q$18)/($E346-3*cc_D/7))/0.002)))^2)</f>
        <v/>
      </c>
      <c r="R346">
        <f>MAX(-fyd_cc,MIN(fyd_cc,Es_cc*IF($E346&lt;=cc_D,0.0035*($E346-R$18)/$E346,0.002*($E346-R$18)/($E346-3*cc_D/7))))-fcd_cc*(1-(1-MAX(0,MIN(1,IF($E346&lt;=cc_D,0.0035*($E346-R$18)/$E346,0.002*($E346-R$18)/($E346-3*cc_D/7))/0.002)))^2)</f>
        <v/>
      </c>
      <c r="S346">
        <f>MAX(-fyd_cc,MIN(fyd_cc,Es_cc*IF($E346&lt;=cc_D,0.0035*($E346-S$18)/$E346,0.002*($E346-S$18)/($E346-3*cc_D/7))))-fcd_cc*(1-(1-MAX(0,MIN(1,IF($E346&lt;=cc_D,0.0035*($E346-S$18)/$E346,0.002*($E346-S$18)/($E346-3*cc_D/7))/0.002)))^2)</f>
        <v/>
      </c>
      <c r="T346">
        <f>MAX(-fyd_cc,MIN(fyd_cc,Es_cc*IF($E346&lt;=cc_D,0.0035*($E346-T$18)/$E346,0.002*($E346-T$18)/($E346-3*cc_D/7))))-fcd_cc*(1-(1-MAX(0,MIN(1,IF($E346&lt;=cc_D,0.0035*($E346-T$18)/$E346,0.002*($E346-T$18)/($E346-3*cc_D/7))/0.002)))^2)</f>
        <v/>
      </c>
      <c r="U346">
        <f>MAX(-fyd_cc,MIN(fyd_cc,Es_cc*IF($E346&lt;=cc_D,0.0035*($E346-U$18)/$E346,0.002*($E346-U$18)/($E346-3*cc_D/7))))-fcd_cc*(1-(1-MAX(0,MIN(1,IF($E346&lt;=cc_D,0.0035*($E346-U$18)/$E346,0.002*($E346-U$18)/($E346-3*cc_D/7))/0.002)))^2)</f>
        <v/>
      </c>
      <c r="V346">
        <f>MAX(-fyd_cc,MIN(fyd_cc,Es_cc*IF($E346&lt;=cc_D,0.0035*($E346-V$18)/$E346,0.002*($E346-V$18)/($E346-3*cc_D/7))))-fcd_cc*(1-(1-MAX(0,MIN(1,IF($E346&lt;=cc_D,0.0035*($E346-V$18)/$E346,0.002*($E346-V$18)/($E346-3*cc_D/7))/0.002)))^2)</f>
        <v/>
      </c>
      <c r="W346">
        <f>MAX(-fyd_cc,MIN(fyd_cc,Es_cc*IF($E346&lt;=cc_D,0.0035*($E346-W$18)/$E346,0.002*($E346-W$18)/($E346-3*cc_D/7))))-fcd_cc*(1-(1-MAX(0,MIN(1,IF($E346&lt;=cc_D,0.0035*($E346-W$18)/$E346,0.002*($E346-W$18)/($E346-3*cc_D/7))/0.002)))^2)</f>
        <v/>
      </c>
      <c r="X346">
        <f>MAX(-fyd_cc,MIN(fyd_cc,Es_cc*IF($E346&lt;=cc_D,0.0035*($E346-X$18)/$E346,0.002*($E346-X$18)/($E346-3*cc_D/7))))-fcd_cc*(1-(1-MAX(0,MIN(1,IF($E346&lt;=cc_D,0.0035*($E346-X$18)/$E346,0.002*($E346-X$18)/($E346-3*cc_D/7))/0.002)))^2)</f>
        <v/>
      </c>
      <c r="Y346">
        <f>MAX(-fyd_cc,MIN(fyd_cc,Es_cc*IF($E346&lt;=cc_D,0.0035*($E346-Y$18)/$E346,0.002*($E346-Y$18)/($E346-3*cc_D/7))))-fcd_cc*(1-(1-MAX(0,MIN(1,IF($E346&lt;=cc_D,0.0035*($E346-Y$18)/$E346,0.002*($E346-Y$18)/($E346-3*cc_D/7))/0.002)))^2)</f>
        <v/>
      </c>
      <c r="Z346">
        <f>MAX(-fyd_cc,MIN(fyd_cc,Es_cc*IF($E346&lt;=cc_D,0.0035*($E346-Z$18)/$E346,0.002*($E346-Z$18)/($E346-3*cc_D/7))))-fcd_cc*(1-(1-MAX(0,MIN(1,IF($E346&lt;=cc_D,0.0035*($E346-Z$18)/$E346,0.002*($E346-Z$18)/($E346-3*cc_D/7))/0.002)))^2)</f>
        <v/>
      </c>
      <c r="AA346">
        <f>MAX(-fyd_cc,MIN(fyd_cc,Es_cc*IF($E346&lt;=cc_D,0.0035*($E346-AA$18)/$E346,0.002*($E346-AA$18)/($E346-3*cc_D/7))))-fcd_cc*(1-(1-MAX(0,MIN(1,IF($E346&lt;=cc_D,0.0035*($E346-AA$18)/$E346,0.002*($E346-AA$18)/($E346-3*cc_D/7))/0.002)))^2)</f>
        <v/>
      </c>
      <c r="AB346">
        <f>MAX(-fyd_cc,MIN(fyd_cc,Es_cc*IF($E346&lt;=cc_D,0.0035*($E346-AB$18)/$E346,0.002*($E346-AB$18)/($E346-3*cc_D/7))))-fcd_cc*(1-(1-MAX(0,MIN(1,IF($E346&lt;=cc_D,0.0035*($E346-AB$18)/$E346,0.002*($E346-AB$18)/($E346-3*cc_D/7))/0.002)))^2)</f>
        <v/>
      </c>
      <c r="AC346">
        <f>MAX(-fyd_cc,MIN(fyd_cc,Es_cc*IF($E346&lt;=cc_D,0.0035*($E346-AC$18)/$E346,0.002*($E346-AC$18)/($E346-3*cc_D/7))))-fcd_cc*(1-(1-MAX(0,MIN(1,IF($E346&lt;=cc_D,0.0035*($E346-AC$18)/$E346,0.002*($E346-AC$18)/($E346-3*cc_D/7))/0.002)))^2)</f>
        <v/>
      </c>
      <c r="AD346">
        <f>MAX(-fyd_cc,MIN(fyd_cc,Es_cc*IF($E346&lt;=cc_D,0.0035*($E346-AD$18)/$E346,0.002*($E346-AD$18)/($E346-3*cc_D/7))))-fcd_cc*(1-(1-MAX(0,MIN(1,IF($E346&lt;=cc_D,0.0035*($E346-AD$18)/$E346,0.002*($E346-AD$18)/($E346-3*cc_D/7))/0.002)))^2)</f>
        <v/>
      </c>
      <c r="AE346">
        <f>MAX(-fyd_cc,MIN(fyd_cc,Es_cc*IF($E346&lt;=cc_D,0.0035*($E346-AE$18)/$E346,0.002*($E346-AE$18)/($E346-3*cc_D/7))))-fcd_cc*(1-(1-MAX(0,MIN(1,IF($E346&lt;=cc_D,0.0035*($E346-AE$18)/$E346,0.002*($E346-AE$18)/($E346-3*cc_D/7))/0.002)))^2)</f>
        <v/>
      </c>
      <c r="AF346">
        <f>MAX(-fyd_cc,MIN(fyd_cc,Es_cc*IF($E346&lt;=cc_D,0.0035*($E346-AF$18)/$E346,0.002*($E346-AF$18)/($E346-3*cc_D/7))))-fcd_cc*(1-(1-MAX(0,MIN(1,IF($E346&lt;=cc_D,0.0035*($E346-AF$18)/$E346,0.002*($E346-AF$18)/($E346-3*cc_D/7))/0.002)))^2)</f>
        <v/>
      </c>
      <c r="AG346">
        <f>MAX(-fyd_cc,MIN(fyd_cc,Es_cc*IF($E346&lt;=cc_D,0.0035*($E346-AG$18)/$E346,0.002*($E346-AG$18)/($E346-3*cc_D/7))))-fcd_cc*(1-(1-MAX(0,MIN(1,IF($E346&lt;=cc_D,0.0035*($E346-AG$18)/$E346,0.002*($E346-AG$18)/($E346-3*cc_D/7))/0.002)))^2)</f>
        <v/>
      </c>
      <c r="BF346">
        <f>3*MIN($E346,cc_D)/7</f>
        <v/>
      </c>
      <c r="BG346">
        <f>$E346-$BF346</f>
        <v/>
      </c>
      <c r="BH346">
        <f>ACOS(MAX(-1,MIN(1,1-$BF346/(cc_D/2))))</f>
        <v/>
      </c>
      <c r="BI346">
        <f>ACOS(MAX(-1,MIN(1,1-MIN($E346,cc_D)/(cc_D/2))))</f>
        <v/>
      </c>
      <c r="BJ346">
        <f>((cc_D/2*(1-COS(($BH346+0*($BI346-$BH346)/12)))-$BF346)/$BG346)^2*SIN(($BH346+0*($BI346-$BH346)/12))^2</f>
        <v/>
      </c>
      <c r="BK346">
        <f>((cc_D/2*(1-COS(($BH346+1*($BI346-$BH346)/12)))-$BF346)/$BG346)^2*SIN(($BH346+1*($BI346-$BH346)/12))^2</f>
        <v/>
      </c>
      <c r="BL346">
        <f>((cc_D/2*(1-COS(($BH346+2*($BI346-$BH346)/12)))-$BF346)/$BG346)^2*SIN(($BH346+2*($BI346-$BH346)/12))^2</f>
        <v/>
      </c>
      <c r="BM346">
        <f>((cc_D/2*(1-COS(($BH346+3*($BI346-$BH346)/12)))-$BF346)/$BG346)^2*SIN(($BH346+3*($BI346-$BH346)/12))^2</f>
        <v/>
      </c>
      <c r="BN346">
        <f>((cc_D/2*(1-COS(($BH346+4*($BI346-$BH346)/12)))-$BF346)/$BG346)^2*SIN(($BH346+4*($BI346-$BH346)/12))^2</f>
        <v/>
      </c>
      <c r="BO346">
        <f>((cc_D/2*(1-COS(($BH346+5*($BI346-$BH346)/12)))-$BF346)/$BG346)^2*SIN(($BH346+5*($BI346-$BH346)/12))^2</f>
        <v/>
      </c>
      <c r="BP346">
        <f>((cc_D/2*(1-COS(($BH346+6*($BI346-$BH346)/12)))-$BF346)/$BG346)^2*SIN(($BH346+6*($BI346-$BH346)/12))^2</f>
        <v/>
      </c>
      <c r="BQ346">
        <f>((cc_D/2*(1-COS(($BH346+7*($BI346-$BH346)/12)))-$BF346)/$BG346)^2*SIN(($BH346+7*($BI346-$BH346)/12))^2</f>
        <v/>
      </c>
      <c r="BR346">
        <f>((cc_D/2*(1-COS(($BH346+8*($BI346-$BH346)/12)))-$BF346)/$BG346)^2*SIN(($BH346+8*($BI346-$BH346)/12))^2</f>
        <v/>
      </c>
      <c r="BS346">
        <f>((cc_D/2*(1-COS(($BH346+9*($BI346-$BH346)/12)))-$BF346)/$BG346)^2*SIN(($BH346+9*($BI346-$BH346)/12))^2</f>
        <v/>
      </c>
      <c r="BT346">
        <f>((cc_D/2*(1-COS(($BH346+10*($BI346-$BH346)/12)))-$BF346)/$BG346)^2*SIN(($BH346+10*($BI346-$BH346)/12))^2</f>
        <v/>
      </c>
      <c r="BU346">
        <f>((cc_D/2*(1-COS(($BH346+11*($BI346-$BH346)/12)))-$BF346)/$BG346)^2*SIN(($BH346+11*($BI346-$BH346)/12))^2</f>
        <v/>
      </c>
      <c r="BV346">
        <f>((cc_D/2*(1-COS(($BH346+12*($BI346-$BH346)/12)))-$BF346)/$BG346)^2*SIN(($BH346+12*($BI346-$BH346)/12))^2</f>
        <v/>
      </c>
      <c r="BW346">
        <f>BJ346*COS(($BH346+0*($BI346-$BH346)/12))</f>
        <v/>
      </c>
      <c r="BX346">
        <f>BK346*COS(($BH346+1*($BI346-$BH346)/12))</f>
        <v/>
      </c>
      <c r="BY346">
        <f>BL346*COS(($BH346+2*($BI346-$BH346)/12))</f>
        <v/>
      </c>
      <c r="BZ346">
        <f>BM346*COS(($BH346+3*($BI346-$BH346)/12))</f>
        <v/>
      </c>
      <c r="CA346">
        <f>BN346*COS(($BH346+4*($BI346-$BH346)/12))</f>
        <v/>
      </c>
      <c r="CB346">
        <f>BO346*COS(($BH346+5*($BI346-$BH346)/12))</f>
        <v/>
      </c>
      <c r="CC346">
        <f>BP346*COS(($BH346+6*($BI346-$BH346)/12))</f>
        <v/>
      </c>
      <c r="CD346">
        <f>BQ346*COS(($BH346+7*($BI346-$BH346)/12))</f>
        <v/>
      </c>
      <c r="CE346">
        <f>BR346*COS(($BH346+8*($BI346-$BH346)/12))</f>
        <v/>
      </c>
      <c r="CF346">
        <f>BS346*COS(($BH346+9*($BI346-$BH346)/12))</f>
        <v/>
      </c>
      <c r="CG346">
        <f>BT346*COS(($BH346+10*($BI346-$BH346)/12))</f>
        <v/>
      </c>
      <c r="CH346">
        <f>BU346*COS(($BH346+11*($BI346-$BH346)/12))</f>
        <v/>
      </c>
      <c r="CI346">
        <f>BV346*COS(($BH346+12*($BI346-$BH346)/12))</f>
        <v/>
      </c>
    </row>
    <row r="347">
      <c r="B347" s="65" t="n">
        <v>6</v>
      </c>
      <c r="C347" s="66">
        <f>IF($G346&lt;cc_NEd-1E-9*ABS(cc_NEd),($C346+$D346)/2,$C346)</f>
        <v/>
      </c>
      <c r="D347" s="66">
        <f>IF($G346&lt;cc_NEd-1E-9*ABS(cc_NEd),$D346,($C346+$D346)/2)</f>
        <v/>
      </c>
      <c r="E347" s="67">
        <f>cc_D*(($C347+$D347)/2)/(1-(($C347+$D347)/2))</f>
        <v/>
      </c>
      <c r="F347" s="68">
        <f>IF($E347&lt;=cc_D,3.5,2*$E347/($E347-3*cc_D/7))</f>
        <v/>
      </c>
      <c r="G347" s="67">
        <f>(fcd_cc*((cc_D/2)^2*($BI347-COS($BI347)*SIN($BI347))-2*(cc_D/2)^2*($BI347-$BH347)/12/3*SUMPRODUCT($BJ$4:$BV$4,$BJ347:$BV347))+SUMPRODUCT($J$5:$AG$5,$J347:$AG347))/1000</f>
        <v/>
      </c>
      <c r="H347" s="67">
        <f>(fcd_cc*(2/3*(cc_D/2)^3*SIN($BI347)^3-2*(cc_D/2)^3*($BI347-$BH347)/12/3*SUMPRODUCT($BW$4:$CI$4,$BW347:$CI347))+SUMPRODUCT($J$5:$AG$5,$J347:$AG347,$J$19:$AG$19))/1E6</f>
        <v/>
      </c>
      <c r="I347" s="67">
        <f>SUMPRODUCT($J$5:$AG$5,$J347:$AG347,$J$20:$AG$20)/1E6</f>
        <v/>
      </c>
      <c r="J347">
        <f>MAX(-fyd_cc,MIN(fyd_cc,Es_cc*IF($E347&lt;=cc_D,0.0035*($E347-J$18)/$E347,0.002*($E347-J$18)/($E347-3*cc_D/7))))-fcd_cc*(1-(1-MAX(0,MIN(1,IF($E347&lt;=cc_D,0.0035*($E347-J$18)/$E347,0.002*($E347-J$18)/($E347-3*cc_D/7))/0.002)))^2)</f>
        <v/>
      </c>
      <c r="K347">
        <f>MAX(-fyd_cc,MIN(fyd_cc,Es_cc*IF($E347&lt;=cc_D,0.0035*($E347-K$18)/$E347,0.002*($E347-K$18)/($E347-3*cc_D/7))))-fcd_cc*(1-(1-MAX(0,MIN(1,IF($E347&lt;=cc_D,0.0035*($E347-K$18)/$E347,0.002*($E347-K$18)/($E347-3*cc_D/7))/0.002)))^2)</f>
        <v/>
      </c>
      <c r="L347">
        <f>MAX(-fyd_cc,MIN(fyd_cc,Es_cc*IF($E347&lt;=cc_D,0.0035*($E347-L$18)/$E347,0.002*($E347-L$18)/($E347-3*cc_D/7))))-fcd_cc*(1-(1-MAX(0,MIN(1,IF($E347&lt;=cc_D,0.0035*($E347-L$18)/$E347,0.002*($E347-L$18)/($E347-3*cc_D/7))/0.002)))^2)</f>
        <v/>
      </c>
      <c r="M347">
        <f>MAX(-fyd_cc,MIN(fyd_cc,Es_cc*IF($E347&lt;=cc_D,0.0035*($E347-M$18)/$E347,0.002*($E347-M$18)/($E347-3*cc_D/7))))-fcd_cc*(1-(1-MAX(0,MIN(1,IF($E347&lt;=cc_D,0.0035*($E347-M$18)/$E347,0.002*($E347-M$18)/($E347-3*cc_D/7))/0.002)))^2)</f>
        <v/>
      </c>
      <c r="N347">
        <f>MAX(-fyd_cc,MIN(fyd_cc,Es_cc*IF($E347&lt;=cc_D,0.0035*($E347-N$18)/$E347,0.002*($E347-N$18)/($E347-3*cc_D/7))))-fcd_cc*(1-(1-MAX(0,MIN(1,IF($E347&lt;=cc_D,0.0035*($E347-N$18)/$E347,0.002*($E347-N$18)/($E347-3*cc_D/7))/0.002)))^2)</f>
        <v/>
      </c>
      <c r="O347">
        <f>MAX(-fyd_cc,MIN(fyd_cc,Es_cc*IF($E347&lt;=cc_D,0.0035*($E347-O$18)/$E347,0.002*($E347-O$18)/($E347-3*cc_D/7))))-fcd_cc*(1-(1-MAX(0,MIN(1,IF($E347&lt;=cc_D,0.0035*($E347-O$18)/$E347,0.002*($E347-O$18)/($E347-3*cc_D/7))/0.002)))^2)</f>
        <v/>
      </c>
      <c r="P347">
        <f>MAX(-fyd_cc,MIN(fyd_cc,Es_cc*IF($E347&lt;=cc_D,0.0035*($E347-P$18)/$E347,0.002*($E347-P$18)/($E347-3*cc_D/7))))-fcd_cc*(1-(1-MAX(0,MIN(1,IF($E347&lt;=cc_D,0.0035*($E347-P$18)/$E347,0.002*($E347-P$18)/($E347-3*cc_D/7))/0.002)))^2)</f>
        <v/>
      </c>
      <c r="Q347">
        <f>MAX(-fyd_cc,MIN(fyd_cc,Es_cc*IF($E347&lt;=cc_D,0.0035*($E347-Q$18)/$E347,0.002*($E347-Q$18)/($E347-3*cc_D/7))))-fcd_cc*(1-(1-MAX(0,MIN(1,IF($E347&lt;=cc_D,0.0035*($E347-Q$18)/$E347,0.002*($E347-Q$18)/($E347-3*cc_D/7))/0.002)))^2)</f>
        <v/>
      </c>
      <c r="R347">
        <f>MAX(-fyd_cc,MIN(fyd_cc,Es_cc*IF($E347&lt;=cc_D,0.0035*($E347-R$18)/$E347,0.002*($E347-R$18)/($E347-3*cc_D/7))))-fcd_cc*(1-(1-MAX(0,MIN(1,IF($E347&lt;=cc_D,0.0035*($E347-R$18)/$E347,0.002*($E347-R$18)/($E347-3*cc_D/7))/0.002)))^2)</f>
        <v/>
      </c>
      <c r="S347">
        <f>MAX(-fyd_cc,MIN(fyd_cc,Es_cc*IF($E347&lt;=cc_D,0.0035*($E347-S$18)/$E347,0.002*($E347-S$18)/($E347-3*cc_D/7))))-fcd_cc*(1-(1-MAX(0,MIN(1,IF($E347&lt;=cc_D,0.0035*($E347-S$18)/$E347,0.002*($E347-S$18)/($E347-3*cc_D/7))/0.002)))^2)</f>
        <v/>
      </c>
      <c r="T347">
        <f>MAX(-fyd_cc,MIN(fyd_cc,Es_cc*IF($E347&lt;=cc_D,0.0035*($E347-T$18)/$E347,0.002*($E347-T$18)/($E347-3*cc_D/7))))-fcd_cc*(1-(1-MAX(0,MIN(1,IF($E347&lt;=cc_D,0.0035*($E347-T$18)/$E347,0.002*($E347-T$18)/($E347-3*cc_D/7))/0.002)))^2)</f>
        <v/>
      </c>
      <c r="U347">
        <f>MAX(-fyd_cc,MIN(fyd_cc,Es_cc*IF($E347&lt;=cc_D,0.0035*($E347-U$18)/$E347,0.002*($E347-U$18)/($E347-3*cc_D/7))))-fcd_cc*(1-(1-MAX(0,MIN(1,IF($E347&lt;=cc_D,0.0035*($E347-U$18)/$E347,0.002*($E347-U$18)/($E347-3*cc_D/7))/0.002)))^2)</f>
        <v/>
      </c>
      <c r="V347">
        <f>MAX(-fyd_cc,MIN(fyd_cc,Es_cc*IF($E347&lt;=cc_D,0.0035*($E347-V$18)/$E347,0.002*($E347-V$18)/($E347-3*cc_D/7))))-fcd_cc*(1-(1-MAX(0,MIN(1,IF($E347&lt;=cc_D,0.0035*($E347-V$18)/$E347,0.002*($E347-V$18)/($E347-3*cc_D/7))/0.002)))^2)</f>
        <v/>
      </c>
      <c r="W347">
        <f>MAX(-fyd_cc,MIN(fyd_cc,Es_cc*IF($E347&lt;=cc_D,0.0035*($E347-W$18)/$E347,0.002*($E347-W$18)/($E347-3*cc_D/7))))-fcd_cc*(1-(1-MAX(0,MIN(1,IF($E347&lt;=cc_D,0.0035*($E347-W$18)/$E347,0.002*($E347-W$18)/($E347-3*cc_D/7))/0.002)))^2)</f>
        <v/>
      </c>
      <c r="X347">
        <f>MAX(-fyd_cc,MIN(fyd_cc,Es_cc*IF($E347&lt;=cc_D,0.0035*($E347-X$18)/$E347,0.002*($E347-X$18)/($E347-3*cc_D/7))))-fcd_cc*(1-(1-MAX(0,MIN(1,IF($E347&lt;=cc_D,0.0035*($E347-X$18)/$E347,0.002*($E347-X$18)/($E347-3*cc_D/7))/0.002)))^2)</f>
        <v/>
      </c>
      <c r="Y347">
        <f>MAX(-fyd_cc,MIN(fyd_cc,Es_cc*IF($E347&lt;=cc_D,0.0035*($E347-Y$18)/$E347,0.002*($E347-Y$18)/($E347-3*cc_D/7))))-fcd_cc*(1-(1-MAX(0,MIN(1,IF($E347&lt;=cc_D,0.0035*($E347-Y$18)/$E347,0.002*($E347-Y$18)/($E347-3*cc_D/7))/0.002)))^2)</f>
        <v/>
      </c>
      <c r="Z347">
        <f>MAX(-fyd_cc,MIN(fyd_cc,Es_cc*IF($E347&lt;=cc_D,0.0035*($E347-Z$18)/$E347,0.002*($E347-Z$18)/($E347-3*cc_D/7))))-fcd_cc*(1-(1-MAX(0,MIN(1,IF($E347&lt;=cc_D,0.0035*($E347-Z$18)/$E347,0.002*($E347-Z$18)/($E347-3*cc_D/7))/0.002)))^2)</f>
        <v/>
      </c>
      <c r="AA347">
        <f>MAX(-fyd_cc,MIN(fyd_cc,Es_cc*IF($E347&lt;=cc_D,0.0035*($E347-AA$18)/$E347,0.002*($E347-AA$18)/($E347-3*cc_D/7))))-fcd_cc*(1-(1-MAX(0,MIN(1,IF($E347&lt;=cc_D,0.0035*($E347-AA$18)/$E347,0.002*($E347-AA$18)/($E347-3*cc_D/7))/0.002)))^2)</f>
        <v/>
      </c>
      <c r="AB347">
        <f>MAX(-fyd_cc,MIN(fyd_cc,Es_cc*IF($E347&lt;=cc_D,0.0035*($E347-AB$18)/$E347,0.002*($E347-AB$18)/($E347-3*cc_D/7))))-fcd_cc*(1-(1-MAX(0,MIN(1,IF($E347&lt;=cc_D,0.0035*($E347-AB$18)/$E347,0.002*($E347-AB$18)/($E347-3*cc_D/7))/0.002)))^2)</f>
        <v/>
      </c>
      <c r="AC347">
        <f>MAX(-fyd_cc,MIN(fyd_cc,Es_cc*IF($E347&lt;=cc_D,0.0035*($E347-AC$18)/$E347,0.002*($E347-AC$18)/($E347-3*cc_D/7))))-fcd_cc*(1-(1-MAX(0,MIN(1,IF($E347&lt;=cc_D,0.0035*($E347-AC$18)/$E347,0.002*($E347-AC$18)/($E347-3*cc_D/7))/0.002)))^2)</f>
        <v/>
      </c>
      <c r="AD347">
        <f>MAX(-fyd_cc,MIN(fyd_cc,Es_cc*IF($E347&lt;=cc_D,0.0035*($E347-AD$18)/$E347,0.002*($E347-AD$18)/($E347-3*cc_D/7))))-fcd_cc*(1-(1-MAX(0,MIN(1,IF($E347&lt;=cc_D,0.0035*($E347-AD$18)/$E347,0.002*($E347-AD$18)/($E347-3*cc_D/7))/0.002)))^2)</f>
        <v/>
      </c>
      <c r="AE347">
        <f>MAX(-fyd_cc,MIN(fyd_cc,Es_cc*IF($E347&lt;=cc_D,0.0035*($E347-AE$18)/$E347,0.002*($E347-AE$18)/($E347-3*cc_D/7))))-fcd_cc*(1-(1-MAX(0,MIN(1,IF($E347&lt;=cc_D,0.0035*($E347-AE$18)/$E347,0.002*($E347-AE$18)/($E347-3*cc_D/7))/0.002)))^2)</f>
        <v/>
      </c>
      <c r="AF347">
        <f>MAX(-fyd_cc,MIN(fyd_cc,Es_cc*IF($E347&lt;=cc_D,0.0035*($E347-AF$18)/$E347,0.002*($E347-AF$18)/($E347-3*cc_D/7))))-fcd_cc*(1-(1-MAX(0,MIN(1,IF($E347&lt;=cc_D,0.0035*($E347-AF$18)/$E347,0.002*($E347-AF$18)/($E347-3*cc_D/7))/0.002)))^2)</f>
        <v/>
      </c>
      <c r="AG347">
        <f>MAX(-fyd_cc,MIN(fyd_cc,Es_cc*IF($E347&lt;=cc_D,0.0035*($E347-AG$18)/$E347,0.002*($E347-AG$18)/($E347-3*cc_D/7))))-fcd_cc*(1-(1-MAX(0,MIN(1,IF($E347&lt;=cc_D,0.0035*($E347-AG$18)/$E347,0.002*($E347-AG$18)/($E347-3*cc_D/7))/0.002)))^2)</f>
        <v/>
      </c>
      <c r="BF347">
        <f>3*MIN($E347,cc_D)/7</f>
        <v/>
      </c>
      <c r="BG347">
        <f>$E347-$BF347</f>
        <v/>
      </c>
      <c r="BH347">
        <f>ACOS(MAX(-1,MIN(1,1-$BF347/(cc_D/2))))</f>
        <v/>
      </c>
      <c r="BI347">
        <f>ACOS(MAX(-1,MIN(1,1-MIN($E347,cc_D)/(cc_D/2))))</f>
        <v/>
      </c>
      <c r="BJ347">
        <f>((cc_D/2*(1-COS(($BH347+0*($BI347-$BH347)/12)))-$BF347)/$BG347)^2*SIN(($BH347+0*($BI347-$BH347)/12))^2</f>
        <v/>
      </c>
      <c r="BK347">
        <f>((cc_D/2*(1-COS(($BH347+1*($BI347-$BH347)/12)))-$BF347)/$BG347)^2*SIN(($BH347+1*($BI347-$BH347)/12))^2</f>
        <v/>
      </c>
      <c r="BL347">
        <f>((cc_D/2*(1-COS(($BH347+2*($BI347-$BH347)/12)))-$BF347)/$BG347)^2*SIN(($BH347+2*($BI347-$BH347)/12))^2</f>
        <v/>
      </c>
      <c r="BM347">
        <f>((cc_D/2*(1-COS(($BH347+3*($BI347-$BH347)/12)))-$BF347)/$BG347)^2*SIN(($BH347+3*($BI347-$BH347)/12))^2</f>
        <v/>
      </c>
      <c r="BN347">
        <f>((cc_D/2*(1-COS(($BH347+4*($BI347-$BH347)/12)))-$BF347)/$BG347)^2*SIN(($BH347+4*($BI347-$BH347)/12))^2</f>
        <v/>
      </c>
      <c r="BO347">
        <f>((cc_D/2*(1-COS(($BH347+5*($BI347-$BH347)/12)))-$BF347)/$BG347)^2*SIN(($BH347+5*($BI347-$BH347)/12))^2</f>
        <v/>
      </c>
      <c r="BP347">
        <f>((cc_D/2*(1-COS(($BH347+6*($BI347-$BH347)/12)))-$BF347)/$BG347)^2*SIN(($BH347+6*($BI347-$BH347)/12))^2</f>
        <v/>
      </c>
      <c r="BQ347">
        <f>((cc_D/2*(1-COS(($BH347+7*($BI347-$BH347)/12)))-$BF347)/$BG347)^2*SIN(($BH347+7*($BI347-$BH347)/12))^2</f>
        <v/>
      </c>
      <c r="BR347">
        <f>((cc_D/2*(1-COS(($BH347+8*($BI347-$BH347)/12)))-$BF347)/$BG347)^2*SIN(($BH347+8*($BI347-$BH347)/12))^2</f>
        <v/>
      </c>
      <c r="BS347">
        <f>((cc_D/2*(1-COS(($BH347+9*($BI347-$BH347)/12)))-$BF347)/$BG347)^2*SIN(($BH347+9*($BI347-$BH347)/12))^2</f>
        <v/>
      </c>
      <c r="BT347">
        <f>((cc_D/2*(1-COS(($BH347+10*($BI347-$BH347)/12)))-$BF347)/$BG347)^2*SIN(($BH347+10*($BI347-$BH347)/12))^2</f>
        <v/>
      </c>
      <c r="BU347">
        <f>((cc_D/2*(1-COS(($BH347+11*($BI347-$BH347)/12)))-$BF347)/$BG347)^2*SIN(($BH347+11*($BI347-$BH347)/12))^2</f>
        <v/>
      </c>
      <c r="BV347">
        <f>((cc_D/2*(1-COS(($BH347+12*($BI347-$BH347)/12)))-$BF347)/$BG347)^2*SIN(($BH347+12*($BI347-$BH347)/12))^2</f>
        <v/>
      </c>
      <c r="BW347">
        <f>BJ347*COS(($BH347+0*($BI347-$BH347)/12))</f>
        <v/>
      </c>
      <c r="BX347">
        <f>BK347*COS(($BH347+1*($BI347-$BH347)/12))</f>
        <v/>
      </c>
      <c r="BY347">
        <f>BL347*COS(($BH347+2*($BI347-$BH347)/12))</f>
        <v/>
      </c>
      <c r="BZ347">
        <f>BM347*COS(($BH347+3*($BI347-$BH347)/12))</f>
        <v/>
      </c>
      <c r="CA347">
        <f>BN347*COS(($BH347+4*($BI347-$BH347)/12))</f>
        <v/>
      </c>
      <c r="CB347">
        <f>BO347*COS(($BH347+5*($BI347-$BH347)/12))</f>
        <v/>
      </c>
      <c r="CC347">
        <f>BP347*COS(($BH347+6*($BI347-$BH347)/12))</f>
        <v/>
      </c>
      <c r="CD347">
        <f>BQ347*COS(($BH347+7*($BI347-$BH347)/12))</f>
        <v/>
      </c>
      <c r="CE347">
        <f>BR347*COS(($BH347+8*($BI347-$BH347)/12))</f>
        <v/>
      </c>
      <c r="CF347">
        <f>BS347*COS(($BH347+9*($BI347-$BH347)/12))</f>
        <v/>
      </c>
      <c r="CG347">
        <f>BT347*COS(($BH347+10*($BI347-$BH347)/12))</f>
        <v/>
      </c>
      <c r="CH347">
        <f>BU347*COS(($BH347+11*($BI347-$BH347)/12))</f>
        <v/>
      </c>
      <c r="CI347">
        <f>BV347*COS(($BH347+12*($BI347-$BH347)/12))</f>
        <v/>
      </c>
    </row>
    <row r="348">
      <c r="B348" s="65" t="n">
        <v>7</v>
      </c>
      <c r="C348" s="66">
        <f>IF($G347&lt;cc_NEd-1E-9*ABS(cc_NEd),($C347+$D347)/2,$C347)</f>
        <v/>
      </c>
      <c r="D348" s="66">
        <f>IF($G347&lt;cc_NEd-1E-9*ABS(cc_NEd),$D347,($C347+$D347)/2)</f>
        <v/>
      </c>
      <c r="E348" s="67">
        <f>cc_D*(($C348+$D348)/2)/(1-(($C348+$D348)/2))</f>
        <v/>
      </c>
      <c r="F348" s="68">
        <f>IF($E348&lt;=cc_D,3.5,2*$E348/($E348-3*cc_D/7))</f>
        <v/>
      </c>
      <c r="G348" s="67">
        <f>(fcd_cc*((cc_D/2)^2*($BI348-COS($BI348)*SIN($BI348))-2*(cc_D/2)^2*($BI348-$BH348)/12/3*SUMPRODUCT($BJ$4:$BV$4,$BJ348:$BV348))+SUMPRODUCT($J$5:$AG$5,$J348:$AG348))/1000</f>
        <v/>
      </c>
      <c r="H348" s="67">
        <f>(fcd_cc*(2/3*(cc_D/2)^3*SIN($BI348)^3-2*(cc_D/2)^3*($BI348-$BH348)/12/3*SUMPRODUCT($BW$4:$CI$4,$BW348:$CI348))+SUMPRODUCT($J$5:$AG$5,$J348:$AG348,$J$19:$AG$19))/1E6</f>
        <v/>
      </c>
      <c r="I348" s="67">
        <f>SUMPRODUCT($J$5:$AG$5,$J348:$AG348,$J$20:$AG$20)/1E6</f>
        <v/>
      </c>
      <c r="J348">
        <f>MAX(-fyd_cc,MIN(fyd_cc,Es_cc*IF($E348&lt;=cc_D,0.0035*($E348-J$18)/$E348,0.002*($E348-J$18)/($E348-3*cc_D/7))))-fcd_cc*(1-(1-MAX(0,MIN(1,IF($E348&lt;=cc_D,0.0035*($E348-J$18)/$E348,0.002*($E348-J$18)/($E348-3*cc_D/7))/0.002)))^2)</f>
        <v/>
      </c>
      <c r="K348">
        <f>MAX(-fyd_cc,MIN(fyd_cc,Es_cc*IF($E348&lt;=cc_D,0.0035*($E348-K$18)/$E348,0.002*($E348-K$18)/($E348-3*cc_D/7))))-fcd_cc*(1-(1-MAX(0,MIN(1,IF($E348&lt;=cc_D,0.0035*($E348-K$18)/$E348,0.002*($E348-K$18)/($E348-3*cc_D/7))/0.002)))^2)</f>
        <v/>
      </c>
      <c r="L348">
        <f>MAX(-fyd_cc,MIN(fyd_cc,Es_cc*IF($E348&lt;=cc_D,0.0035*($E348-L$18)/$E348,0.002*($E348-L$18)/($E348-3*cc_D/7))))-fcd_cc*(1-(1-MAX(0,MIN(1,IF($E348&lt;=cc_D,0.0035*($E348-L$18)/$E348,0.002*($E348-L$18)/($E348-3*cc_D/7))/0.002)))^2)</f>
        <v/>
      </c>
      <c r="M348">
        <f>MAX(-fyd_cc,MIN(fyd_cc,Es_cc*IF($E348&lt;=cc_D,0.0035*($E348-M$18)/$E348,0.002*($E348-M$18)/($E348-3*cc_D/7))))-fcd_cc*(1-(1-MAX(0,MIN(1,IF($E348&lt;=cc_D,0.0035*($E348-M$18)/$E348,0.002*($E348-M$18)/($E348-3*cc_D/7))/0.002)))^2)</f>
        <v/>
      </c>
      <c r="N348">
        <f>MAX(-fyd_cc,MIN(fyd_cc,Es_cc*IF($E348&lt;=cc_D,0.0035*($E348-N$18)/$E348,0.002*($E348-N$18)/($E348-3*cc_D/7))))-fcd_cc*(1-(1-MAX(0,MIN(1,IF($E348&lt;=cc_D,0.0035*($E348-N$18)/$E348,0.002*($E348-N$18)/($E348-3*cc_D/7))/0.002)))^2)</f>
        <v/>
      </c>
      <c r="O348">
        <f>MAX(-fyd_cc,MIN(fyd_cc,Es_cc*IF($E348&lt;=cc_D,0.0035*($E348-O$18)/$E348,0.002*($E348-O$18)/($E348-3*cc_D/7))))-fcd_cc*(1-(1-MAX(0,MIN(1,IF($E348&lt;=cc_D,0.0035*($E348-O$18)/$E348,0.002*($E348-O$18)/($E348-3*cc_D/7))/0.002)))^2)</f>
        <v/>
      </c>
      <c r="P348">
        <f>MAX(-fyd_cc,MIN(fyd_cc,Es_cc*IF($E348&lt;=cc_D,0.0035*($E348-P$18)/$E348,0.002*($E348-P$18)/($E348-3*cc_D/7))))-fcd_cc*(1-(1-MAX(0,MIN(1,IF($E348&lt;=cc_D,0.0035*($E348-P$18)/$E348,0.002*($E348-P$18)/($E348-3*cc_D/7))/0.002)))^2)</f>
        <v/>
      </c>
      <c r="Q348">
        <f>MAX(-fyd_cc,MIN(fyd_cc,Es_cc*IF($E348&lt;=cc_D,0.0035*($E348-Q$18)/$E348,0.002*($E348-Q$18)/($E348-3*cc_D/7))))-fcd_cc*(1-(1-MAX(0,MIN(1,IF($E348&lt;=cc_D,0.0035*($E348-Q$18)/$E348,0.002*($E348-Q$18)/($E348-3*cc_D/7))/0.002)))^2)</f>
        <v/>
      </c>
      <c r="R348">
        <f>MAX(-fyd_cc,MIN(fyd_cc,Es_cc*IF($E348&lt;=cc_D,0.0035*($E348-R$18)/$E348,0.002*($E348-R$18)/($E348-3*cc_D/7))))-fcd_cc*(1-(1-MAX(0,MIN(1,IF($E348&lt;=cc_D,0.0035*($E348-R$18)/$E348,0.002*($E348-R$18)/($E348-3*cc_D/7))/0.002)))^2)</f>
        <v/>
      </c>
      <c r="S348">
        <f>MAX(-fyd_cc,MIN(fyd_cc,Es_cc*IF($E348&lt;=cc_D,0.0035*($E348-S$18)/$E348,0.002*($E348-S$18)/($E348-3*cc_D/7))))-fcd_cc*(1-(1-MAX(0,MIN(1,IF($E348&lt;=cc_D,0.0035*($E348-S$18)/$E348,0.002*($E348-S$18)/($E348-3*cc_D/7))/0.002)))^2)</f>
        <v/>
      </c>
      <c r="T348">
        <f>MAX(-fyd_cc,MIN(fyd_cc,Es_cc*IF($E348&lt;=cc_D,0.0035*($E348-T$18)/$E348,0.002*($E348-T$18)/($E348-3*cc_D/7))))-fcd_cc*(1-(1-MAX(0,MIN(1,IF($E348&lt;=cc_D,0.0035*($E348-T$18)/$E348,0.002*($E348-T$18)/($E348-3*cc_D/7))/0.002)))^2)</f>
        <v/>
      </c>
      <c r="U348">
        <f>MAX(-fyd_cc,MIN(fyd_cc,Es_cc*IF($E348&lt;=cc_D,0.0035*($E348-U$18)/$E348,0.002*($E348-U$18)/($E348-3*cc_D/7))))-fcd_cc*(1-(1-MAX(0,MIN(1,IF($E348&lt;=cc_D,0.0035*($E348-U$18)/$E348,0.002*($E348-U$18)/($E348-3*cc_D/7))/0.002)))^2)</f>
        <v/>
      </c>
      <c r="V348">
        <f>MAX(-fyd_cc,MIN(fyd_cc,Es_cc*IF($E348&lt;=cc_D,0.0035*($E348-V$18)/$E348,0.002*($E348-V$18)/($E348-3*cc_D/7))))-fcd_cc*(1-(1-MAX(0,MIN(1,IF($E348&lt;=cc_D,0.0035*($E348-V$18)/$E348,0.002*($E348-V$18)/($E348-3*cc_D/7))/0.002)))^2)</f>
        <v/>
      </c>
      <c r="W348">
        <f>MAX(-fyd_cc,MIN(fyd_cc,Es_cc*IF($E348&lt;=cc_D,0.0035*($E348-W$18)/$E348,0.002*($E348-W$18)/($E348-3*cc_D/7))))-fcd_cc*(1-(1-MAX(0,MIN(1,IF($E348&lt;=cc_D,0.0035*($E348-W$18)/$E348,0.002*($E348-W$18)/($E348-3*cc_D/7))/0.002)))^2)</f>
        <v/>
      </c>
      <c r="X348">
        <f>MAX(-fyd_cc,MIN(fyd_cc,Es_cc*IF($E348&lt;=cc_D,0.0035*($E348-X$18)/$E348,0.002*($E348-X$18)/($E348-3*cc_D/7))))-fcd_cc*(1-(1-MAX(0,MIN(1,IF($E348&lt;=cc_D,0.0035*($E348-X$18)/$E348,0.002*($E348-X$18)/($E348-3*cc_D/7))/0.002)))^2)</f>
        <v/>
      </c>
      <c r="Y348">
        <f>MAX(-fyd_cc,MIN(fyd_cc,Es_cc*IF($E348&lt;=cc_D,0.0035*($E348-Y$18)/$E348,0.002*($E348-Y$18)/($E348-3*cc_D/7))))-fcd_cc*(1-(1-MAX(0,MIN(1,IF($E348&lt;=cc_D,0.0035*($E348-Y$18)/$E348,0.002*($E348-Y$18)/($E348-3*cc_D/7))/0.002)))^2)</f>
        <v/>
      </c>
      <c r="Z348">
        <f>MAX(-fyd_cc,MIN(fyd_cc,Es_cc*IF($E348&lt;=cc_D,0.0035*($E348-Z$18)/$E348,0.002*($E348-Z$18)/($E348-3*cc_D/7))))-fcd_cc*(1-(1-MAX(0,MIN(1,IF($E348&lt;=cc_D,0.0035*($E348-Z$18)/$E348,0.002*($E348-Z$18)/($E348-3*cc_D/7))/0.002)))^2)</f>
        <v/>
      </c>
      <c r="AA348">
        <f>MAX(-fyd_cc,MIN(fyd_cc,Es_cc*IF($E348&lt;=cc_D,0.0035*($E348-AA$18)/$E348,0.002*($E348-AA$18)/($E348-3*cc_D/7))))-fcd_cc*(1-(1-MAX(0,MIN(1,IF($E348&lt;=cc_D,0.0035*($E348-AA$18)/$E348,0.002*($E348-AA$18)/($E348-3*cc_D/7))/0.002)))^2)</f>
        <v/>
      </c>
      <c r="AB348">
        <f>MAX(-fyd_cc,MIN(fyd_cc,Es_cc*IF($E348&lt;=cc_D,0.0035*($E348-AB$18)/$E348,0.002*($E348-AB$18)/($E348-3*cc_D/7))))-fcd_cc*(1-(1-MAX(0,MIN(1,IF($E348&lt;=cc_D,0.0035*($E348-AB$18)/$E348,0.002*($E348-AB$18)/($E348-3*cc_D/7))/0.002)))^2)</f>
        <v/>
      </c>
      <c r="AC348">
        <f>MAX(-fyd_cc,MIN(fyd_cc,Es_cc*IF($E348&lt;=cc_D,0.0035*($E348-AC$18)/$E348,0.002*($E348-AC$18)/($E348-3*cc_D/7))))-fcd_cc*(1-(1-MAX(0,MIN(1,IF($E348&lt;=cc_D,0.0035*($E348-AC$18)/$E348,0.002*($E348-AC$18)/($E348-3*cc_D/7))/0.002)))^2)</f>
        <v/>
      </c>
      <c r="AD348">
        <f>MAX(-fyd_cc,MIN(fyd_cc,Es_cc*IF($E348&lt;=cc_D,0.0035*($E348-AD$18)/$E348,0.002*($E348-AD$18)/($E348-3*cc_D/7))))-fcd_cc*(1-(1-MAX(0,MIN(1,IF($E348&lt;=cc_D,0.0035*($E348-AD$18)/$E348,0.002*($E348-AD$18)/($E348-3*cc_D/7))/0.002)))^2)</f>
        <v/>
      </c>
      <c r="AE348">
        <f>MAX(-fyd_cc,MIN(fyd_cc,Es_cc*IF($E348&lt;=cc_D,0.0035*($E348-AE$18)/$E348,0.002*($E348-AE$18)/($E348-3*cc_D/7))))-fcd_cc*(1-(1-MAX(0,MIN(1,IF($E348&lt;=cc_D,0.0035*($E348-AE$18)/$E348,0.002*($E348-AE$18)/($E348-3*cc_D/7))/0.002)))^2)</f>
        <v/>
      </c>
      <c r="AF348">
        <f>MAX(-fyd_cc,MIN(fyd_cc,Es_cc*IF($E348&lt;=cc_D,0.0035*($E348-AF$18)/$E348,0.002*($E348-AF$18)/($E348-3*cc_D/7))))-fcd_cc*(1-(1-MAX(0,MIN(1,IF($E348&lt;=cc_D,0.0035*($E348-AF$18)/$E348,0.002*($E348-AF$18)/($E348-3*cc_D/7))/0.002)))^2)</f>
        <v/>
      </c>
      <c r="AG348">
        <f>MAX(-fyd_cc,MIN(fyd_cc,Es_cc*IF($E348&lt;=cc_D,0.0035*($E348-AG$18)/$E348,0.002*($E348-AG$18)/($E348-3*cc_D/7))))-fcd_cc*(1-(1-MAX(0,MIN(1,IF($E348&lt;=cc_D,0.0035*($E348-AG$18)/$E348,0.002*($E348-AG$18)/($E348-3*cc_D/7))/0.002)))^2)</f>
        <v/>
      </c>
      <c r="BF348">
        <f>3*MIN($E348,cc_D)/7</f>
        <v/>
      </c>
      <c r="BG348">
        <f>$E348-$BF348</f>
        <v/>
      </c>
      <c r="BH348">
        <f>ACOS(MAX(-1,MIN(1,1-$BF348/(cc_D/2))))</f>
        <v/>
      </c>
      <c r="BI348">
        <f>ACOS(MAX(-1,MIN(1,1-MIN($E348,cc_D)/(cc_D/2))))</f>
        <v/>
      </c>
      <c r="BJ348">
        <f>((cc_D/2*(1-COS(($BH348+0*($BI348-$BH348)/12)))-$BF348)/$BG348)^2*SIN(($BH348+0*($BI348-$BH348)/12))^2</f>
        <v/>
      </c>
      <c r="BK348">
        <f>((cc_D/2*(1-COS(($BH348+1*($BI348-$BH348)/12)))-$BF348)/$BG348)^2*SIN(($BH348+1*($BI348-$BH348)/12))^2</f>
        <v/>
      </c>
      <c r="BL348">
        <f>((cc_D/2*(1-COS(($BH348+2*($BI348-$BH348)/12)))-$BF348)/$BG348)^2*SIN(($BH348+2*($BI348-$BH348)/12))^2</f>
        <v/>
      </c>
      <c r="BM348">
        <f>((cc_D/2*(1-COS(($BH348+3*($BI348-$BH348)/12)))-$BF348)/$BG348)^2*SIN(($BH348+3*($BI348-$BH348)/12))^2</f>
        <v/>
      </c>
      <c r="BN348">
        <f>((cc_D/2*(1-COS(($BH348+4*($BI348-$BH348)/12)))-$BF348)/$BG348)^2*SIN(($BH348+4*($BI348-$BH348)/12))^2</f>
        <v/>
      </c>
      <c r="BO348">
        <f>((cc_D/2*(1-COS(($BH348+5*($BI348-$BH348)/12)))-$BF348)/$BG348)^2*SIN(($BH348+5*($BI348-$BH348)/12))^2</f>
        <v/>
      </c>
      <c r="BP348">
        <f>((cc_D/2*(1-COS(($BH348+6*($BI348-$BH348)/12)))-$BF348)/$BG348)^2*SIN(($BH348+6*($BI348-$BH348)/12))^2</f>
        <v/>
      </c>
      <c r="BQ348">
        <f>((cc_D/2*(1-COS(($BH348+7*($BI348-$BH348)/12)))-$BF348)/$BG348)^2*SIN(($BH348+7*($BI348-$BH348)/12))^2</f>
        <v/>
      </c>
      <c r="BR348">
        <f>((cc_D/2*(1-COS(($BH348+8*($BI348-$BH348)/12)))-$BF348)/$BG348)^2*SIN(($BH348+8*($BI348-$BH348)/12))^2</f>
        <v/>
      </c>
      <c r="BS348">
        <f>((cc_D/2*(1-COS(($BH348+9*($BI348-$BH348)/12)))-$BF348)/$BG348)^2*SIN(($BH348+9*($BI348-$BH348)/12))^2</f>
        <v/>
      </c>
      <c r="BT348">
        <f>((cc_D/2*(1-COS(($BH348+10*($BI348-$BH348)/12)))-$BF348)/$BG348)^2*SIN(($BH348+10*($BI348-$BH348)/12))^2</f>
        <v/>
      </c>
      <c r="BU348">
        <f>((cc_D/2*(1-COS(($BH348+11*($BI348-$BH348)/12)))-$BF348)/$BG348)^2*SIN(($BH348+11*($BI348-$BH348)/12))^2</f>
        <v/>
      </c>
      <c r="BV348">
        <f>((cc_D/2*(1-COS(($BH348+12*($BI348-$BH348)/12)))-$BF348)/$BG348)^2*SIN(($BH348+12*($BI348-$BH348)/12))^2</f>
        <v/>
      </c>
      <c r="BW348">
        <f>BJ348*COS(($BH348+0*($BI348-$BH348)/12))</f>
        <v/>
      </c>
      <c r="BX348">
        <f>BK348*COS(($BH348+1*($BI348-$BH348)/12))</f>
        <v/>
      </c>
      <c r="BY348">
        <f>BL348*COS(($BH348+2*($BI348-$BH348)/12))</f>
        <v/>
      </c>
      <c r="BZ348">
        <f>BM348*COS(($BH348+3*($BI348-$BH348)/12))</f>
        <v/>
      </c>
      <c r="CA348">
        <f>BN348*COS(($BH348+4*($BI348-$BH348)/12))</f>
        <v/>
      </c>
      <c r="CB348">
        <f>BO348*COS(($BH348+5*($BI348-$BH348)/12))</f>
        <v/>
      </c>
      <c r="CC348">
        <f>BP348*COS(($BH348+6*($BI348-$BH348)/12))</f>
        <v/>
      </c>
      <c r="CD348">
        <f>BQ348*COS(($BH348+7*($BI348-$BH348)/12))</f>
        <v/>
      </c>
      <c r="CE348">
        <f>BR348*COS(($BH348+8*($BI348-$BH348)/12))</f>
        <v/>
      </c>
      <c r="CF348">
        <f>BS348*COS(($BH348+9*($BI348-$BH348)/12))</f>
        <v/>
      </c>
      <c r="CG348">
        <f>BT348*COS(($BH348+10*($BI348-$BH348)/12))</f>
        <v/>
      </c>
      <c r="CH348">
        <f>BU348*COS(($BH348+11*($BI348-$BH348)/12))</f>
        <v/>
      </c>
      <c r="CI348">
        <f>BV348*COS(($BH348+12*($BI348-$BH348)/12))</f>
        <v/>
      </c>
    </row>
    <row r="349">
      <c r="B349" s="65" t="n">
        <v>8</v>
      </c>
      <c r="C349" s="66">
        <f>IF($G348&lt;cc_NEd-1E-9*ABS(cc_NEd),($C348+$D348)/2,$C348)</f>
        <v/>
      </c>
      <c r="D349" s="66">
        <f>IF($G348&lt;cc_NEd-1E-9*ABS(cc_NEd),$D348,($C348+$D348)/2)</f>
        <v/>
      </c>
      <c r="E349" s="67">
        <f>cc_D*(($C349+$D349)/2)/(1-(($C349+$D349)/2))</f>
        <v/>
      </c>
      <c r="F349" s="68">
        <f>IF($E349&lt;=cc_D,3.5,2*$E349/($E349-3*cc_D/7))</f>
        <v/>
      </c>
      <c r="G349" s="67">
        <f>(fcd_cc*((cc_D/2)^2*($BI349-COS($BI349)*SIN($BI349))-2*(cc_D/2)^2*($BI349-$BH349)/12/3*SUMPRODUCT($BJ$4:$BV$4,$BJ349:$BV349))+SUMPRODUCT($J$5:$AG$5,$J349:$AG349))/1000</f>
        <v/>
      </c>
      <c r="H349" s="67">
        <f>(fcd_cc*(2/3*(cc_D/2)^3*SIN($BI349)^3-2*(cc_D/2)^3*($BI349-$BH349)/12/3*SUMPRODUCT($BW$4:$CI$4,$BW349:$CI349))+SUMPRODUCT($J$5:$AG$5,$J349:$AG349,$J$19:$AG$19))/1E6</f>
        <v/>
      </c>
      <c r="I349" s="67">
        <f>SUMPRODUCT($J$5:$AG$5,$J349:$AG349,$J$20:$AG$20)/1E6</f>
        <v/>
      </c>
      <c r="J349">
        <f>MAX(-fyd_cc,MIN(fyd_cc,Es_cc*IF($E349&lt;=cc_D,0.0035*($E349-J$18)/$E349,0.002*($E349-J$18)/($E349-3*cc_D/7))))-fcd_cc*(1-(1-MAX(0,MIN(1,IF($E349&lt;=cc_D,0.0035*($E349-J$18)/$E349,0.002*($E349-J$18)/($E349-3*cc_D/7))/0.002)))^2)</f>
        <v/>
      </c>
      <c r="K349">
        <f>MAX(-fyd_cc,MIN(fyd_cc,Es_cc*IF($E349&lt;=cc_D,0.0035*($E349-K$18)/$E349,0.002*($E349-K$18)/($E349-3*cc_D/7))))-fcd_cc*(1-(1-MAX(0,MIN(1,IF($E349&lt;=cc_D,0.0035*($E349-K$18)/$E349,0.002*($E349-K$18)/($E349-3*cc_D/7))/0.002)))^2)</f>
        <v/>
      </c>
      <c r="L349">
        <f>MAX(-fyd_cc,MIN(fyd_cc,Es_cc*IF($E349&lt;=cc_D,0.0035*($E349-L$18)/$E349,0.002*($E349-L$18)/($E349-3*cc_D/7))))-fcd_cc*(1-(1-MAX(0,MIN(1,IF($E349&lt;=cc_D,0.0035*($E349-L$18)/$E349,0.002*($E349-L$18)/($E349-3*cc_D/7))/0.002)))^2)</f>
        <v/>
      </c>
      <c r="M349">
        <f>MAX(-fyd_cc,MIN(fyd_cc,Es_cc*IF($E349&lt;=cc_D,0.0035*($E349-M$18)/$E349,0.002*($E349-M$18)/($E349-3*cc_D/7))))-fcd_cc*(1-(1-MAX(0,MIN(1,IF($E349&lt;=cc_D,0.0035*($E349-M$18)/$E349,0.002*($E349-M$18)/($E349-3*cc_D/7))/0.002)))^2)</f>
        <v/>
      </c>
      <c r="N349">
        <f>MAX(-fyd_cc,MIN(fyd_cc,Es_cc*IF($E349&lt;=cc_D,0.0035*($E349-N$18)/$E349,0.002*($E349-N$18)/($E349-3*cc_D/7))))-fcd_cc*(1-(1-MAX(0,MIN(1,IF($E349&lt;=cc_D,0.0035*($E349-N$18)/$E349,0.002*($E349-N$18)/($E349-3*cc_D/7))/0.002)))^2)</f>
        <v/>
      </c>
      <c r="O349">
        <f>MAX(-fyd_cc,MIN(fyd_cc,Es_cc*IF($E349&lt;=cc_D,0.0035*($E349-O$18)/$E349,0.002*($E349-O$18)/($E349-3*cc_D/7))))-fcd_cc*(1-(1-MAX(0,MIN(1,IF($E349&lt;=cc_D,0.0035*($E349-O$18)/$E349,0.002*($E349-O$18)/($E349-3*cc_D/7))/0.002)))^2)</f>
        <v/>
      </c>
      <c r="P349">
        <f>MAX(-fyd_cc,MIN(fyd_cc,Es_cc*IF($E349&lt;=cc_D,0.0035*($E349-P$18)/$E349,0.002*($E349-P$18)/($E349-3*cc_D/7))))-fcd_cc*(1-(1-MAX(0,MIN(1,IF($E349&lt;=cc_D,0.0035*($E349-P$18)/$E349,0.002*($E349-P$18)/($E349-3*cc_D/7))/0.002)))^2)</f>
        <v/>
      </c>
      <c r="Q349">
        <f>MAX(-fyd_cc,MIN(fyd_cc,Es_cc*IF($E349&lt;=cc_D,0.0035*($E349-Q$18)/$E349,0.002*($E349-Q$18)/($E349-3*cc_D/7))))-fcd_cc*(1-(1-MAX(0,MIN(1,IF($E349&lt;=cc_D,0.0035*($E349-Q$18)/$E349,0.002*($E349-Q$18)/($E349-3*cc_D/7))/0.002)))^2)</f>
        <v/>
      </c>
      <c r="R349">
        <f>MAX(-fyd_cc,MIN(fyd_cc,Es_cc*IF($E349&lt;=cc_D,0.0035*($E349-R$18)/$E349,0.002*($E349-R$18)/($E349-3*cc_D/7))))-fcd_cc*(1-(1-MAX(0,MIN(1,IF($E349&lt;=cc_D,0.0035*($E349-R$18)/$E349,0.002*($E349-R$18)/($E349-3*cc_D/7))/0.002)))^2)</f>
        <v/>
      </c>
      <c r="S349">
        <f>MAX(-fyd_cc,MIN(fyd_cc,Es_cc*IF($E349&lt;=cc_D,0.0035*($E349-S$18)/$E349,0.002*($E349-S$18)/($E349-3*cc_D/7))))-fcd_cc*(1-(1-MAX(0,MIN(1,IF($E349&lt;=cc_D,0.0035*($E349-S$18)/$E349,0.002*($E349-S$18)/($E349-3*cc_D/7))/0.002)))^2)</f>
        <v/>
      </c>
      <c r="T349">
        <f>MAX(-fyd_cc,MIN(fyd_cc,Es_cc*IF($E349&lt;=cc_D,0.0035*($E349-T$18)/$E349,0.002*($E349-T$18)/($E349-3*cc_D/7))))-fcd_cc*(1-(1-MAX(0,MIN(1,IF($E349&lt;=cc_D,0.0035*($E349-T$18)/$E349,0.002*($E349-T$18)/($E349-3*cc_D/7))/0.002)))^2)</f>
        <v/>
      </c>
      <c r="U349">
        <f>MAX(-fyd_cc,MIN(fyd_cc,Es_cc*IF($E349&lt;=cc_D,0.0035*($E349-U$18)/$E349,0.002*($E349-U$18)/($E349-3*cc_D/7))))-fcd_cc*(1-(1-MAX(0,MIN(1,IF($E349&lt;=cc_D,0.0035*($E349-U$18)/$E349,0.002*($E349-U$18)/($E349-3*cc_D/7))/0.002)))^2)</f>
        <v/>
      </c>
      <c r="V349">
        <f>MAX(-fyd_cc,MIN(fyd_cc,Es_cc*IF($E349&lt;=cc_D,0.0035*($E349-V$18)/$E349,0.002*($E349-V$18)/($E349-3*cc_D/7))))-fcd_cc*(1-(1-MAX(0,MIN(1,IF($E349&lt;=cc_D,0.0035*($E349-V$18)/$E349,0.002*($E349-V$18)/($E349-3*cc_D/7))/0.002)))^2)</f>
        <v/>
      </c>
      <c r="W349">
        <f>MAX(-fyd_cc,MIN(fyd_cc,Es_cc*IF($E349&lt;=cc_D,0.0035*($E349-W$18)/$E349,0.002*($E349-W$18)/($E349-3*cc_D/7))))-fcd_cc*(1-(1-MAX(0,MIN(1,IF($E349&lt;=cc_D,0.0035*($E349-W$18)/$E349,0.002*($E349-W$18)/($E349-3*cc_D/7))/0.002)))^2)</f>
        <v/>
      </c>
      <c r="X349">
        <f>MAX(-fyd_cc,MIN(fyd_cc,Es_cc*IF($E349&lt;=cc_D,0.0035*($E349-X$18)/$E349,0.002*($E349-X$18)/($E349-3*cc_D/7))))-fcd_cc*(1-(1-MAX(0,MIN(1,IF($E349&lt;=cc_D,0.0035*($E349-X$18)/$E349,0.002*($E349-X$18)/($E349-3*cc_D/7))/0.002)))^2)</f>
        <v/>
      </c>
      <c r="Y349">
        <f>MAX(-fyd_cc,MIN(fyd_cc,Es_cc*IF($E349&lt;=cc_D,0.0035*($E349-Y$18)/$E349,0.002*($E349-Y$18)/($E349-3*cc_D/7))))-fcd_cc*(1-(1-MAX(0,MIN(1,IF($E349&lt;=cc_D,0.0035*($E349-Y$18)/$E349,0.002*($E349-Y$18)/($E349-3*cc_D/7))/0.002)))^2)</f>
        <v/>
      </c>
      <c r="Z349">
        <f>MAX(-fyd_cc,MIN(fyd_cc,Es_cc*IF($E349&lt;=cc_D,0.0035*($E349-Z$18)/$E349,0.002*($E349-Z$18)/($E349-3*cc_D/7))))-fcd_cc*(1-(1-MAX(0,MIN(1,IF($E349&lt;=cc_D,0.0035*($E349-Z$18)/$E349,0.002*($E349-Z$18)/($E349-3*cc_D/7))/0.002)))^2)</f>
        <v/>
      </c>
      <c r="AA349">
        <f>MAX(-fyd_cc,MIN(fyd_cc,Es_cc*IF($E349&lt;=cc_D,0.0035*($E349-AA$18)/$E349,0.002*($E349-AA$18)/($E349-3*cc_D/7))))-fcd_cc*(1-(1-MAX(0,MIN(1,IF($E349&lt;=cc_D,0.0035*($E349-AA$18)/$E349,0.002*($E349-AA$18)/($E349-3*cc_D/7))/0.002)))^2)</f>
        <v/>
      </c>
      <c r="AB349">
        <f>MAX(-fyd_cc,MIN(fyd_cc,Es_cc*IF($E349&lt;=cc_D,0.0035*($E349-AB$18)/$E349,0.002*($E349-AB$18)/($E349-3*cc_D/7))))-fcd_cc*(1-(1-MAX(0,MIN(1,IF($E349&lt;=cc_D,0.0035*($E349-AB$18)/$E349,0.002*($E349-AB$18)/($E349-3*cc_D/7))/0.002)))^2)</f>
        <v/>
      </c>
      <c r="AC349">
        <f>MAX(-fyd_cc,MIN(fyd_cc,Es_cc*IF($E349&lt;=cc_D,0.0035*($E349-AC$18)/$E349,0.002*($E349-AC$18)/($E349-3*cc_D/7))))-fcd_cc*(1-(1-MAX(0,MIN(1,IF($E349&lt;=cc_D,0.0035*($E349-AC$18)/$E349,0.002*($E349-AC$18)/($E349-3*cc_D/7))/0.002)))^2)</f>
        <v/>
      </c>
      <c r="AD349">
        <f>MAX(-fyd_cc,MIN(fyd_cc,Es_cc*IF($E349&lt;=cc_D,0.0035*($E349-AD$18)/$E349,0.002*($E349-AD$18)/($E349-3*cc_D/7))))-fcd_cc*(1-(1-MAX(0,MIN(1,IF($E349&lt;=cc_D,0.0035*($E349-AD$18)/$E349,0.002*($E349-AD$18)/($E349-3*cc_D/7))/0.002)))^2)</f>
        <v/>
      </c>
      <c r="AE349">
        <f>MAX(-fyd_cc,MIN(fyd_cc,Es_cc*IF($E349&lt;=cc_D,0.0035*($E349-AE$18)/$E349,0.002*($E349-AE$18)/($E349-3*cc_D/7))))-fcd_cc*(1-(1-MAX(0,MIN(1,IF($E349&lt;=cc_D,0.0035*($E349-AE$18)/$E349,0.002*($E349-AE$18)/($E349-3*cc_D/7))/0.002)))^2)</f>
        <v/>
      </c>
      <c r="AF349">
        <f>MAX(-fyd_cc,MIN(fyd_cc,Es_cc*IF($E349&lt;=cc_D,0.0035*($E349-AF$18)/$E349,0.002*($E349-AF$18)/($E349-3*cc_D/7))))-fcd_cc*(1-(1-MAX(0,MIN(1,IF($E349&lt;=cc_D,0.0035*($E349-AF$18)/$E349,0.002*($E349-AF$18)/($E349-3*cc_D/7))/0.002)))^2)</f>
        <v/>
      </c>
      <c r="AG349">
        <f>MAX(-fyd_cc,MIN(fyd_cc,Es_cc*IF($E349&lt;=cc_D,0.0035*($E349-AG$18)/$E349,0.002*($E349-AG$18)/($E349-3*cc_D/7))))-fcd_cc*(1-(1-MAX(0,MIN(1,IF($E349&lt;=cc_D,0.0035*($E349-AG$18)/$E349,0.002*($E349-AG$18)/($E349-3*cc_D/7))/0.002)))^2)</f>
        <v/>
      </c>
      <c r="BF349">
        <f>3*MIN($E349,cc_D)/7</f>
        <v/>
      </c>
      <c r="BG349">
        <f>$E349-$BF349</f>
        <v/>
      </c>
      <c r="BH349">
        <f>ACOS(MAX(-1,MIN(1,1-$BF349/(cc_D/2))))</f>
        <v/>
      </c>
      <c r="BI349">
        <f>ACOS(MAX(-1,MIN(1,1-MIN($E349,cc_D)/(cc_D/2))))</f>
        <v/>
      </c>
      <c r="BJ349">
        <f>((cc_D/2*(1-COS(($BH349+0*($BI349-$BH349)/12)))-$BF349)/$BG349)^2*SIN(($BH349+0*($BI349-$BH349)/12))^2</f>
        <v/>
      </c>
      <c r="BK349">
        <f>((cc_D/2*(1-COS(($BH349+1*($BI349-$BH349)/12)))-$BF349)/$BG349)^2*SIN(($BH349+1*($BI349-$BH349)/12))^2</f>
        <v/>
      </c>
      <c r="BL349">
        <f>((cc_D/2*(1-COS(($BH349+2*($BI349-$BH349)/12)))-$BF349)/$BG349)^2*SIN(($BH349+2*($BI349-$BH349)/12))^2</f>
        <v/>
      </c>
      <c r="BM349">
        <f>((cc_D/2*(1-COS(($BH349+3*($BI349-$BH349)/12)))-$BF349)/$BG349)^2*SIN(($BH349+3*($BI349-$BH349)/12))^2</f>
        <v/>
      </c>
      <c r="BN349">
        <f>((cc_D/2*(1-COS(($BH349+4*($BI349-$BH349)/12)))-$BF349)/$BG349)^2*SIN(($BH349+4*($BI349-$BH349)/12))^2</f>
        <v/>
      </c>
      <c r="BO349">
        <f>((cc_D/2*(1-COS(($BH349+5*($BI349-$BH349)/12)))-$BF349)/$BG349)^2*SIN(($BH349+5*($BI349-$BH349)/12))^2</f>
        <v/>
      </c>
      <c r="BP349">
        <f>((cc_D/2*(1-COS(($BH349+6*($BI349-$BH349)/12)))-$BF349)/$BG349)^2*SIN(($BH349+6*($BI349-$BH349)/12))^2</f>
        <v/>
      </c>
      <c r="BQ349">
        <f>((cc_D/2*(1-COS(($BH349+7*($BI349-$BH349)/12)))-$BF349)/$BG349)^2*SIN(($BH349+7*($BI349-$BH349)/12))^2</f>
        <v/>
      </c>
      <c r="BR349">
        <f>((cc_D/2*(1-COS(($BH349+8*($BI349-$BH349)/12)))-$BF349)/$BG349)^2*SIN(($BH349+8*($BI349-$BH349)/12))^2</f>
        <v/>
      </c>
      <c r="BS349">
        <f>((cc_D/2*(1-COS(($BH349+9*($BI349-$BH349)/12)))-$BF349)/$BG349)^2*SIN(($BH349+9*($BI349-$BH349)/12))^2</f>
        <v/>
      </c>
      <c r="BT349">
        <f>((cc_D/2*(1-COS(($BH349+10*($BI349-$BH349)/12)))-$BF349)/$BG349)^2*SIN(($BH349+10*($BI349-$BH349)/12))^2</f>
        <v/>
      </c>
      <c r="BU349">
        <f>((cc_D/2*(1-COS(($BH349+11*($BI349-$BH349)/12)))-$BF349)/$BG349)^2*SIN(($BH349+11*($BI349-$BH349)/12))^2</f>
        <v/>
      </c>
      <c r="BV349">
        <f>((cc_D/2*(1-COS(($BH349+12*($BI349-$BH349)/12)))-$BF349)/$BG349)^2*SIN(($BH349+12*($BI349-$BH349)/12))^2</f>
        <v/>
      </c>
      <c r="BW349">
        <f>BJ349*COS(($BH349+0*($BI349-$BH349)/12))</f>
        <v/>
      </c>
      <c r="BX349">
        <f>BK349*COS(($BH349+1*($BI349-$BH349)/12))</f>
        <v/>
      </c>
      <c r="BY349">
        <f>BL349*COS(($BH349+2*($BI349-$BH349)/12))</f>
        <v/>
      </c>
      <c r="BZ349">
        <f>BM349*COS(($BH349+3*($BI349-$BH349)/12))</f>
        <v/>
      </c>
      <c r="CA349">
        <f>BN349*COS(($BH349+4*($BI349-$BH349)/12))</f>
        <v/>
      </c>
      <c r="CB349">
        <f>BO349*COS(($BH349+5*($BI349-$BH349)/12))</f>
        <v/>
      </c>
      <c r="CC349">
        <f>BP349*COS(($BH349+6*($BI349-$BH349)/12))</f>
        <v/>
      </c>
      <c r="CD349">
        <f>BQ349*COS(($BH349+7*($BI349-$BH349)/12))</f>
        <v/>
      </c>
      <c r="CE349">
        <f>BR349*COS(($BH349+8*($BI349-$BH349)/12))</f>
        <v/>
      </c>
      <c r="CF349">
        <f>BS349*COS(($BH349+9*($BI349-$BH349)/12))</f>
        <v/>
      </c>
      <c r="CG349">
        <f>BT349*COS(($BH349+10*($BI349-$BH349)/12))</f>
        <v/>
      </c>
      <c r="CH349">
        <f>BU349*COS(($BH349+11*($BI349-$BH349)/12))</f>
        <v/>
      </c>
      <c r="CI349">
        <f>BV349*COS(($BH349+12*($BI349-$BH349)/12))</f>
        <v/>
      </c>
    </row>
    <row r="350">
      <c r="B350" s="65" t="n">
        <v>9</v>
      </c>
      <c r="C350" s="66">
        <f>IF($G349&lt;cc_NEd-1E-9*ABS(cc_NEd),($C349+$D349)/2,$C349)</f>
        <v/>
      </c>
      <c r="D350" s="66">
        <f>IF($G349&lt;cc_NEd-1E-9*ABS(cc_NEd),$D349,($C349+$D349)/2)</f>
        <v/>
      </c>
      <c r="E350" s="67">
        <f>cc_D*(($C350+$D350)/2)/(1-(($C350+$D350)/2))</f>
        <v/>
      </c>
      <c r="F350" s="68">
        <f>IF($E350&lt;=cc_D,3.5,2*$E350/($E350-3*cc_D/7))</f>
        <v/>
      </c>
      <c r="G350" s="67">
        <f>(fcd_cc*((cc_D/2)^2*($BI350-COS($BI350)*SIN($BI350))-2*(cc_D/2)^2*($BI350-$BH350)/12/3*SUMPRODUCT($BJ$4:$BV$4,$BJ350:$BV350))+SUMPRODUCT($J$5:$AG$5,$J350:$AG350))/1000</f>
        <v/>
      </c>
      <c r="H350" s="67">
        <f>(fcd_cc*(2/3*(cc_D/2)^3*SIN($BI350)^3-2*(cc_D/2)^3*($BI350-$BH350)/12/3*SUMPRODUCT($BW$4:$CI$4,$BW350:$CI350))+SUMPRODUCT($J$5:$AG$5,$J350:$AG350,$J$19:$AG$19))/1E6</f>
        <v/>
      </c>
      <c r="I350" s="67">
        <f>SUMPRODUCT($J$5:$AG$5,$J350:$AG350,$J$20:$AG$20)/1E6</f>
        <v/>
      </c>
      <c r="J350">
        <f>MAX(-fyd_cc,MIN(fyd_cc,Es_cc*IF($E350&lt;=cc_D,0.0035*($E350-J$18)/$E350,0.002*($E350-J$18)/($E350-3*cc_D/7))))-fcd_cc*(1-(1-MAX(0,MIN(1,IF($E350&lt;=cc_D,0.0035*($E350-J$18)/$E350,0.002*($E350-J$18)/($E350-3*cc_D/7))/0.002)))^2)</f>
        <v/>
      </c>
      <c r="K350">
        <f>MAX(-fyd_cc,MIN(fyd_cc,Es_cc*IF($E350&lt;=cc_D,0.0035*($E350-K$18)/$E350,0.002*($E350-K$18)/($E350-3*cc_D/7))))-fcd_cc*(1-(1-MAX(0,MIN(1,IF($E350&lt;=cc_D,0.0035*($E350-K$18)/$E350,0.002*($E350-K$18)/($E350-3*cc_D/7))/0.002)))^2)</f>
        <v/>
      </c>
      <c r="L350">
        <f>MAX(-fyd_cc,MIN(fyd_cc,Es_cc*IF($E350&lt;=cc_D,0.0035*($E350-L$18)/$E350,0.002*($E350-L$18)/($E350-3*cc_D/7))))-fcd_cc*(1-(1-MAX(0,MIN(1,IF($E350&lt;=cc_D,0.0035*($E350-L$18)/$E350,0.002*($E350-L$18)/($E350-3*cc_D/7))/0.002)))^2)</f>
        <v/>
      </c>
      <c r="M350">
        <f>MAX(-fyd_cc,MIN(fyd_cc,Es_cc*IF($E350&lt;=cc_D,0.0035*($E350-M$18)/$E350,0.002*($E350-M$18)/($E350-3*cc_D/7))))-fcd_cc*(1-(1-MAX(0,MIN(1,IF($E350&lt;=cc_D,0.0035*($E350-M$18)/$E350,0.002*($E350-M$18)/($E350-3*cc_D/7))/0.002)))^2)</f>
        <v/>
      </c>
      <c r="N350">
        <f>MAX(-fyd_cc,MIN(fyd_cc,Es_cc*IF($E350&lt;=cc_D,0.0035*($E350-N$18)/$E350,0.002*($E350-N$18)/($E350-3*cc_D/7))))-fcd_cc*(1-(1-MAX(0,MIN(1,IF($E350&lt;=cc_D,0.0035*($E350-N$18)/$E350,0.002*($E350-N$18)/($E350-3*cc_D/7))/0.002)))^2)</f>
        <v/>
      </c>
      <c r="O350">
        <f>MAX(-fyd_cc,MIN(fyd_cc,Es_cc*IF($E350&lt;=cc_D,0.0035*($E350-O$18)/$E350,0.002*($E350-O$18)/($E350-3*cc_D/7))))-fcd_cc*(1-(1-MAX(0,MIN(1,IF($E350&lt;=cc_D,0.0035*($E350-O$18)/$E350,0.002*($E350-O$18)/($E350-3*cc_D/7))/0.002)))^2)</f>
        <v/>
      </c>
      <c r="P350">
        <f>MAX(-fyd_cc,MIN(fyd_cc,Es_cc*IF($E350&lt;=cc_D,0.0035*($E350-P$18)/$E350,0.002*($E350-P$18)/($E350-3*cc_D/7))))-fcd_cc*(1-(1-MAX(0,MIN(1,IF($E350&lt;=cc_D,0.0035*($E350-P$18)/$E350,0.002*($E350-P$18)/($E350-3*cc_D/7))/0.002)))^2)</f>
        <v/>
      </c>
      <c r="Q350">
        <f>MAX(-fyd_cc,MIN(fyd_cc,Es_cc*IF($E350&lt;=cc_D,0.0035*($E350-Q$18)/$E350,0.002*($E350-Q$18)/($E350-3*cc_D/7))))-fcd_cc*(1-(1-MAX(0,MIN(1,IF($E350&lt;=cc_D,0.0035*($E350-Q$18)/$E350,0.002*($E350-Q$18)/($E350-3*cc_D/7))/0.002)))^2)</f>
        <v/>
      </c>
      <c r="R350">
        <f>MAX(-fyd_cc,MIN(fyd_cc,Es_cc*IF($E350&lt;=cc_D,0.0035*($E350-R$18)/$E350,0.002*($E350-R$18)/($E350-3*cc_D/7))))-fcd_cc*(1-(1-MAX(0,MIN(1,IF($E350&lt;=cc_D,0.0035*($E350-R$18)/$E350,0.002*($E350-R$18)/($E350-3*cc_D/7))/0.002)))^2)</f>
        <v/>
      </c>
      <c r="S350">
        <f>MAX(-fyd_cc,MIN(fyd_cc,Es_cc*IF($E350&lt;=cc_D,0.0035*($E350-S$18)/$E350,0.002*($E350-S$18)/($E350-3*cc_D/7))))-fcd_cc*(1-(1-MAX(0,MIN(1,IF($E350&lt;=cc_D,0.0035*($E350-S$18)/$E350,0.002*($E350-S$18)/($E350-3*cc_D/7))/0.002)))^2)</f>
        <v/>
      </c>
      <c r="T350">
        <f>MAX(-fyd_cc,MIN(fyd_cc,Es_cc*IF($E350&lt;=cc_D,0.0035*($E350-T$18)/$E350,0.002*($E350-T$18)/($E350-3*cc_D/7))))-fcd_cc*(1-(1-MAX(0,MIN(1,IF($E350&lt;=cc_D,0.0035*($E350-T$18)/$E350,0.002*($E350-T$18)/($E350-3*cc_D/7))/0.002)))^2)</f>
        <v/>
      </c>
      <c r="U350">
        <f>MAX(-fyd_cc,MIN(fyd_cc,Es_cc*IF($E350&lt;=cc_D,0.0035*($E350-U$18)/$E350,0.002*($E350-U$18)/($E350-3*cc_D/7))))-fcd_cc*(1-(1-MAX(0,MIN(1,IF($E350&lt;=cc_D,0.0035*($E350-U$18)/$E350,0.002*($E350-U$18)/($E350-3*cc_D/7))/0.002)))^2)</f>
        <v/>
      </c>
      <c r="V350">
        <f>MAX(-fyd_cc,MIN(fyd_cc,Es_cc*IF($E350&lt;=cc_D,0.0035*($E350-V$18)/$E350,0.002*($E350-V$18)/($E350-3*cc_D/7))))-fcd_cc*(1-(1-MAX(0,MIN(1,IF($E350&lt;=cc_D,0.0035*($E350-V$18)/$E350,0.002*($E350-V$18)/($E350-3*cc_D/7))/0.002)))^2)</f>
        <v/>
      </c>
      <c r="W350">
        <f>MAX(-fyd_cc,MIN(fyd_cc,Es_cc*IF($E350&lt;=cc_D,0.0035*($E350-W$18)/$E350,0.002*($E350-W$18)/($E350-3*cc_D/7))))-fcd_cc*(1-(1-MAX(0,MIN(1,IF($E350&lt;=cc_D,0.0035*($E350-W$18)/$E350,0.002*($E350-W$18)/($E350-3*cc_D/7))/0.002)))^2)</f>
        <v/>
      </c>
      <c r="X350">
        <f>MAX(-fyd_cc,MIN(fyd_cc,Es_cc*IF($E350&lt;=cc_D,0.0035*($E350-X$18)/$E350,0.002*($E350-X$18)/($E350-3*cc_D/7))))-fcd_cc*(1-(1-MAX(0,MIN(1,IF($E350&lt;=cc_D,0.0035*($E350-X$18)/$E350,0.002*($E350-X$18)/($E350-3*cc_D/7))/0.002)))^2)</f>
        <v/>
      </c>
      <c r="Y350">
        <f>MAX(-fyd_cc,MIN(fyd_cc,Es_cc*IF($E350&lt;=cc_D,0.0035*($E350-Y$18)/$E350,0.002*($E350-Y$18)/($E350-3*cc_D/7))))-fcd_cc*(1-(1-MAX(0,MIN(1,IF($E350&lt;=cc_D,0.0035*($E350-Y$18)/$E350,0.002*($E350-Y$18)/($E350-3*cc_D/7))/0.002)))^2)</f>
        <v/>
      </c>
      <c r="Z350">
        <f>MAX(-fyd_cc,MIN(fyd_cc,Es_cc*IF($E350&lt;=cc_D,0.0035*($E350-Z$18)/$E350,0.002*($E350-Z$18)/($E350-3*cc_D/7))))-fcd_cc*(1-(1-MAX(0,MIN(1,IF($E350&lt;=cc_D,0.0035*($E350-Z$18)/$E350,0.002*($E350-Z$18)/($E350-3*cc_D/7))/0.002)))^2)</f>
        <v/>
      </c>
      <c r="AA350">
        <f>MAX(-fyd_cc,MIN(fyd_cc,Es_cc*IF($E350&lt;=cc_D,0.0035*($E350-AA$18)/$E350,0.002*($E350-AA$18)/($E350-3*cc_D/7))))-fcd_cc*(1-(1-MAX(0,MIN(1,IF($E350&lt;=cc_D,0.0035*($E350-AA$18)/$E350,0.002*($E350-AA$18)/($E350-3*cc_D/7))/0.002)))^2)</f>
        <v/>
      </c>
      <c r="AB350">
        <f>MAX(-fyd_cc,MIN(fyd_cc,Es_cc*IF($E350&lt;=cc_D,0.0035*($E350-AB$18)/$E350,0.002*($E350-AB$18)/($E350-3*cc_D/7))))-fcd_cc*(1-(1-MAX(0,MIN(1,IF($E350&lt;=cc_D,0.0035*($E350-AB$18)/$E350,0.002*($E350-AB$18)/($E350-3*cc_D/7))/0.002)))^2)</f>
        <v/>
      </c>
      <c r="AC350">
        <f>MAX(-fyd_cc,MIN(fyd_cc,Es_cc*IF($E350&lt;=cc_D,0.0035*($E350-AC$18)/$E350,0.002*($E350-AC$18)/($E350-3*cc_D/7))))-fcd_cc*(1-(1-MAX(0,MIN(1,IF($E350&lt;=cc_D,0.0035*($E350-AC$18)/$E350,0.002*($E350-AC$18)/($E350-3*cc_D/7))/0.002)))^2)</f>
        <v/>
      </c>
      <c r="AD350">
        <f>MAX(-fyd_cc,MIN(fyd_cc,Es_cc*IF($E350&lt;=cc_D,0.0035*($E350-AD$18)/$E350,0.002*($E350-AD$18)/($E350-3*cc_D/7))))-fcd_cc*(1-(1-MAX(0,MIN(1,IF($E350&lt;=cc_D,0.0035*($E350-AD$18)/$E350,0.002*($E350-AD$18)/($E350-3*cc_D/7))/0.002)))^2)</f>
        <v/>
      </c>
      <c r="AE350">
        <f>MAX(-fyd_cc,MIN(fyd_cc,Es_cc*IF($E350&lt;=cc_D,0.0035*($E350-AE$18)/$E350,0.002*($E350-AE$18)/($E350-3*cc_D/7))))-fcd_cc*(1-(1-MAX(0,MIN(1,IF($E350&lt;=cc_D,0.0035*($E350-AE$18)/$E350,0.002*($E350-AE$18)/($E350-3*cc_D/7))/0.002)))^2)</f>
        <v/>
      </c>
      <c r="AF350">
        <f>MAX(-fyd_cc,MIN(fyd_cc,Es_cc*IF($E350&lt;=cc_D,0.0035*($E350-AF$18)/$E350,0.002*($E350-AF$18)/($E350-3*cc_D/7))))-fcd_cc*(1-(1-MAX(0,MIN(1,IF($E350&lt;=cc_D,0.0035*($E350-AF$18)/$E350,0.002*($E350-AF$18)/($E350-3*cc_D/7))/0.002)))^2)</f>
        <v/>
      </c>
      <c r="AG350">
        <f>MAX(-fyd_cc,MIN(fyd_cc,Es_cc*IF($E350&lt;=cc_D,0.0035*($E350-AG$18)/$E350,0.002*($E350-AG$18)/($E350-3*cc_D/7))))-fcd_cc*(1-(1-MAX(0,MIN(1,IF($E350&lt;=cc_D,0.0035*($E350-AG$18)/$E350,0.002*($E350-AG$18)/($E350-3*cc_D/7))/0.002)))^2)</f>
        <v/>
      </c>
      <c r="BF350">
        <f>3*MIN($E350,cc_D)/7</f>
        <v/>
      </c>
      <c r="BG350">
        <f>$E350-$BF350</f>
        <v/>
      </c>
      <c r="BH350">
        <f>ACOS(MAX(-1,MIN(1,1-$BF350/(cc_D/2))))</f>
        <v/>
      </c>
      <c r="BI350">
        <f>ACOS(MAX(-1,MIN(1,1-MIN($E350,cc_D)/(cc_D/2))))</f>
        <v/>
      </c>
      <c r="BJ350">
        <f>((cc_D/2*(1-COS(($BH350+0*($BI350-$BH350)/12)))-$BF350)/$BG350)^2*SIN(($BH350+0*($BI350-$BH350)/12))^2</f>
        <v/>
      </c>
      <c r="BK350">
        <f>((cc_D/2*(1-COS(($BH350+1*($BI350-$BH350)/12)))-$BF350)/$BG350)^2*SIN(($BH350+1*($BI350-$BH350)/12))^2</f>
        <v/>
      </c>
      <c r="BL350">
        <f>((cc_D/2*(1-COS(($BH350+2*($BI350-$BH350)/12)))-$BF350)/$BG350)^2*SIN(($BH350+2*($BI350-$BH350)/12))^2</f>
        <v/>
      </c>
      <c r="BM350">
        <f>((cc_D/2*(1-COS(($BH350+3*($BI350-$BH350)/12)))-$BF350)/$BG350)^2*SIN(($BH350+3*($BI350-$BH350)/12))^2</f>
        <v/>
      </c>
      <c r="BN350">
        <f>((cc_D/2*(1-COS(($BH350+4*($BI350-$BH350)/12)))-$BF350)/$BG350)^2*SIN(($BH350+4*($BI350-$BH350)/12))^2</f>
        <v/>
      </c>
      <c r="BO350">
        <f>((cc_D/2*(1-COS(($BH350+5*($BI350-$BH350)/12)))-$BF350)/$BG350)^2*SIN(($BH350+5*($BI350-$BH350)/12))^2</f>
        <v/>
      </c>
      <c r="BP350">
        <f>((cc_D/2*(1-COS(($BH350+6*($BI350-$BH350)/12)))-$BF350)/$BG350)^2*SIN(($BH350+6*($BI350-$BH350)/12))^2</f>
        <v/>
      </c>
      <c r="BQ350">
        <f>((cc_D/2*(1-COS(($BH350+7*($BI350-$BH350)/12)))-$BF350)/$BG350)^2*SIN(($BH350+7*($BI350-$BH350)/12))^2</f>
        <v/>
      </c>
      <c r="BR350">
        <f>((cc_D/2*(1-COS(($BH350+8*($BI350-$BH350)/12)))-$BF350)/$BG350)^2*SIN(($BH350+8*($BI350-$BH350)/12))^2</f>
        <v/>
      </c>
      <c r="BS350">
        <f>((cc_D/2*(1-COS(($BH350+9*($BI350-$BH350)/12)))-$BF350)/$BG350)^2*SIN(($BH350+9*($BI350-$BH350)/12))^2</f>
        <v/>
      </c>
      <c r="BT350">
        <f>((cc_D/2*(1-COS(($BH350+10*($BI350-$BH350)/12)))-$BF350)/$BG350)^2*SIN(($BH350+10*($BI350-$BH350)/12))^2</f>
        <v/>
      </c>
      <c r="BU350">
        <f>((cc_D/2*(1-COS(($BH350+11*($BI350-$BH350)/12)))-$BF350)/$BG350)^2*SIN(($BH350+11*($BI350-$BH350)/12))^2</f>
        <v/>
      </c>
      <c r="BV350">
        <f>((cc_D/2*(1-COS(($BH350+12*($BI350-$BH350)/12)))-$BF350)/$BG350)^2*SIN(($BH350+12*($BI350-$BH350)/12))^2</f>
        <v/>
      </c>
      <c r="BW350">
        <f>BJ350*COS(($BH350+0*($BI350-$BH350)/12))</f>
        <v/>
      </c>
      <c r="BX350">
        <f>BK350*COS(($BH350+1*($BI350-$BH350)/12))</f>
        <v/>
      </c>
      <c r="BY350">
        <f>BL350*COS(($BH350+2*($BI350-$BH350)/12))</f>
        <v/>
      </c>
      <c r="BZ350">
        <f>BM350*COS(($BH350+3*($BI350-$BH350)/12))</f>
        <v/>
      </c>
      <c r="CA350">
        <f>BN350*COS(($BH350+4*($BI350-$BH350)/12))</f>
        <v/>
      </c>
      <c r="CB350">
        <f>BO350*COS(($BH350+5*($BI350-$BH350)/12))</f>
        <v/>
      </c>
      <c r="CC350">
        <f>BP350*COS(($BH350+6*($BI350-$BH350)/12))</f>
        <v/>
      </c>
      <c r="CD350">
        <f>BQ350*COS(($BH350+7*($BI350-$BH350)/12))</f>
        <v/>
      </c>
      <c r="CE350">
        <f>BR350*COS(($BH350+8*($BI350-$BH350)/12))</f>
        <v/>
      </c>
      <c r="CF350">
        <f>BS350*COS(($BH350+9*($BI350-$BH350)/12))</f>
        <v/>
      </c>
      <c r="CG350">
        <f>BT350*COS(($BH350+10*($BI350-$BH350)/12))</f>
        <v/>
      </c>
      <c r="CH350">
        <f>BU350*COS(($BH350+11*($BI350-$BH350)/12))</f>
        <v/>
      </c>
      <c r="CI350">
        <f>BV350*COS(($BH350+12*($BI350-$BH350)/12))</f>
        <v/>
      </c>
    </row>
    <row r="351">
      <c r="B351" s="65" t="n">
        <v>10</v>
      </c>
      <c r="C351" s="66">
        <f>IF($G350&lt;cc_NEd-1E-9*ABS(cc_NEd),($C350+$D350)/2,$C350)</f>
        <v/>
      </c>
      <c r="D351" s="66">
        <f>IF($G350&lt;cc_NEd-1E-9*ABS(cc_NEd),$D350,($C350+$D350)/2)</f>
        <v/>
      </c>
      <c r="E351" s="67">
        <f>cc_D*(($C351+$D351)/2)/(1-(($C351+$D351)/2))</f>
        <v/>
      </c>
      <c r="F351" s="68">
        <f>IF($E351&lt;=cc_D,3.5,2*$E351/($E351-3*cc_D/7))</f>
        <v/>
      </c>
      <c r="G351" s="67">
        <f>(fcd_cc*((cc_D/2)^2*($BI351-COS($BI351)*SIN($BI351))-2*(cc_D/2)^2*($BI351-$BH351)/12/3*SUMPRODUCT($BJ$4:$BV$4,$BJ351:$BV351))+SUMPRODUCT($J$5:$AG$5,$J351:$AG351))/1000</f>
        <v/>
      </c>
      <c r="H351" s="67">
        <f>(fcd_cc*(2/3*(cc_D/2)^3*SIN($BI351)^3-2*(cc_D/2)^3*($BI351-$BH351)/12/3*SUMPRODUCT($BW$4:$CI$4,$BW351:$CI351))+SUMPRODUCT($J$5:$AG$5,$J351:$AG351,$J$19:$AG$19))/1E6</f>
        <v/>
      </c>
      <c r="I351" s="67">
        <f>SUMPRODUCT($J$5:$AG$5,$J351:$AG351,$J$20:$AG$20)/1E6</f>
        <v/>
      </c>
      <c r="J351">
        <f>MAX(-fyd_cc,MIN(fyd_cc,Es_cc*IF($E351&lt;=cc_D,0.0035*($E351-J$18)/$E351,0.002*($E351-J$18)/($E351-3*cc_D/7))))-fcd_cc*(1-(1-MAX(0,MIN(1,IF($E351&lt;=cc_D,0.0035*($E351-J$18)/$E351,0.002*($E351-J$18)/($E351-3*cc_D/7))/0.002)))^2)</f>
        <v/>
      </c>
      <c r="K351">
        <f>MAX(-fyd_cc,MIN(fyd_cc,Es_cc*IF($E351&lt;=cc_D,0.0035*($E351-K$18)/$E351,0.002*($E351-K$18)/($E351-3*cc_D/7))))-fcd_cc*(1-(1-MAX(0,MIN(1,IF($E351&lt;=cc_D,0.0035*($E351-K$18)/$E351,0.002*($E351-K$18)/($E351-3*cc_D/7))/0.002)))^2)</f>
        <v/>
      </c>
      <c r="L351">
        <f>MAX(-fyd_cc,MIN(fyd_cc,Es_cc*IF($E351&lt;=cc_D,0.0035*($E351-L$18)/$E351,0.002*($E351-L$18)/($E351-3*cc_D/7))))-fcd_cc*(1-(1-MAX(0,MIN(1,IF($E351&lt;=cc_D,0.0035*($E351-L$18)/$E351,0.002*($E351-L$18)/($E351-3*cc_D/7))/0.002)))^2)</f>
        <v/>
      </c>
      <c r="M351">
        <f>MAX(-fyd_cc,MIN(fyd_cc,Es_cc*IF($E351&lt;=cc_D,0.0035*($E351-M$18)/$E351,0.002*($E351-M$18)/($E351-3*cc_D/7))))-fcd_cc*(1-(1-MAX(0,MIN(1,IF($E351&lt;=cc_D,0.0035*($E351-M$18)/$E351,0.002*($E351-M$18)/($E351-3*cc_D/7))/0.002)))^2)</f>
        <v/>
      </c>
      <c r="N351">
        <f>MAX(-fyd_cc,MIN(fyd_cc,Es_cc*IF($E351&lt;=cc_D,0.0035*($E351-N$18)/$E351,0.002*($E351-N$18)/($E351-3*cc_D/7))))-fcd_cc*(1-(1-MAX(0,MIN(1,IF($E351&lt;=cc_D,0.0035*($E351-N$18)/$E351,0.002*($E351-N$18)/($E351-3*cc_D/7))/0.002)))^2)</f>
        <v/>
      </c>
      <c r="O351">
        <f>MAX(-fyd_cc,MIN(fyd_cc,Es_cc*IF($E351&lt;=cc_D,0.0035*($E351-O$18)/$E351,0.002*($E351-O$18)/($E351-3*cc_D/7))))-fcd_cc*(1-(1-MAX(0,MIN(1,IF($E351&lt;=cc_D,0.0035*($E351-O$18)/$E351,0.002*($E351-O$18)/($E351-3*cc_D/7))/0.002)))^2)</f>
        <v/>
      </c>
      <c r="P351">
        <f>MAX(-fyd_cc,MIN(fyd_cc,Es_cc*IF($E351&lt;=cc_D,0.0035*($E351-P$18)/$E351,0.002*($E351-P$18)/($E351-3*cc_D/7))))-fcd_cc*(1-(1-MAX(0,MIN(1,IF($E351&lt;=cc_D,0.0035*($E351-P$18)/$E351,0.002*($E351-P$18)/($E351-3*cc_D/7))/0.002)))^2)</f>
        <v/>
      </c>
      <c r="Q351">
        <f>MAX(-fyd_cc,MIN(fyd_cc,Es_cc*IF($E351&lt;=cc_D,0.0035*($E351-Q$18)/$E351,0.002*($E351-Q$18)/($E351-3*cc_D/7))))-fcd_cc*(1-(1-MAX(0,MIN(1,IF($E351&lt;=cc_D,0.0035*($E351-Q$18)/$E351,0.002*($E351-Q$18)/($E351-3*cc_D/7))/0.002)))^2)</f>
        <v/>
      </c>
      <c r="R351">
        <f>MAX(-fyd_cc,MIN(fyd_cc,Es_cc*IF($E351&lt;=cc_D,0.0035*($E351-R$18)/$E351,0.002*($E351-R$18)/($E351-3*cc_D/7))))-fcd_cc*(1-(1-MAX(0,MIN(1,IF($E351&lt;=cc_D,0.0035*($E351-R$18)/$E351,0.002*($E351-R$18)/($E351-3*cc_D/7))/0.002)))^2)</f>
        <v/>
      </c>
      <c r="S351">
        <f>MAX(-fyd_cc,MIN(fyd_cc,Es_cc*IF($E351&lt;=cc_D,0.0035*($E351-S$18)/$E351,0.002*($E351-S$18)/($E351-3*cc_D/7))))-fcd_cc*(1-(1-MAX(0,MIN(1,IF($E351&lt;=cc_D,0.0035*($E351-S$18)/$E351,0.002*($E351-S$18)/($E351-3*cc_D/7))/0.002)))^2)</f>
        <v/>
      </c>
      <c r="T351">
        <f>MAX(-fyd_cc,MIN(fyd_cc,Es_cc*IF($E351&lt;=cc_D,0.0035*($E351-T$18)/$E351,0.002*($E351-T$18)/($E351-3*cc_D/7))))-fcd_cc*(1-(1-MAX(0,MIN(1,IF($E351&lt;=cc_D,0.0035*($E351-T$18)/$E351,0.002*($E351-T$18)/($E351-3*cc_D/7))/0.002)))^2)</f>
        <v/>
      </c>
      <c r="U351">
        <f>MAX(-fyd_cc,MIN(fyd_cc,Es_cc*IF($E351&lt;=cc_D,0.0035*($E351-U$18)/$E351,0.002*($E351-U$18)/($E351-3*cc_D/7))))-fcd_cc*(1-(1-MAX(0,MIN(1,IF($E351&lt;=cc_D,0.0035*($E351-U$18)/$E351,0.002*($E351-U$18)/($E351-3*cc_D/7))/0.002)))^2)</f>
        <v/>
      </c>
      <c r="V351">
        <f>MAX(-fyd_cc,MIN(fyd_cc,Es_cc*IF($E351&lt;=cc_D,0.0035*($E351-V$18)/$E351,0.002*($E351-V$18)/($E351-3*cc_D/7))))-fcd_cc*(1-(1-MAX(0,MIN(1,IF($E351&lt;=cc_D,0.0035*($E351-V$18)/$E351,0.002*($E351-V$18)/($E351-3*cc_D/7))/0.002)))^2)</f>
        <v/>
      </c>
      <c r="W351">
        <f>MAX(-fyd_cc,MIN(fyd_cc,Es_cc*IF($E351&lt;=cc_D,0.0035*($E351-W$18)/$E351,0.002*($E351-W$18)/($E351-3*cc_D/7))))-fcd_cc*(1-(1-MAX(0,MIN(1,IF($E351&lt;=cc_D,0.0035*($E351-W$18)/$E351,0.002*($E351-W$18)/($E351-3*cc_D/7))/0.002)))^2)</f>
        <v/>
      </c>
      <c r="X351">
        <f>MAX(-fyd_cc,MIN(fyd_cc,Es_cc*IF($E351&lt;=cc_D,0.0035*($E351-X$18)/$E351,0.002*($E351-X$18)/($E351-3*cc_D/7))))-fcd_cc*(1-(1-MAX(0,MIN(1,IF($E351&lt;=cc_D,0.0035*($E351-X$18)/$E351,0.002*($E351-X$18)/($E351-3*cc_D/7))/0.002)))^2)</f>
        <v/>
      </c>
      <c r="Y351">
        <f>MAX(-fyd_cc,MIN(fyd_cc,Es_cc*IF($E351&lt;=cc_D,0.0035*($E351-Y$18)/$E351,0.002*($E351-Y$18)/($E351-3*cc_D/7))))-fcd_cc*(1-(1-MAX(0,MIN(1,IF($E351&lt;=cc_D,0.0035*($E351-Y$18)/$E351,0.002*($E351-Y$18)/($E351-3*cc_D/7))/0.002)))^2)</f>
        <v/>
      </c>
      <c r="Z351">
        <f>MAX(-fyd_cc,MIN(fyd_cc,Es_cc*IF($E351&lt;=cc_D,0.0035*($E351-Z$18)/$E351,0.002*($E351-Z$18)/($E351-3*cc_D/7))))-fcd_cc*(1-(1-MAX(0,MIN(1,IF($E351&lt;=cc_D,0.0035*($E351-Z$18)/$E351,0.002*($E351-Z$18)/($E351-3*cc_D/7))/0.002)))^2)</f>
        <v/>
      </c>
      <c r="AA351">
        <f>MAX(-fyd_cc,MIN(fyd_cc,Es_cc*IF($E351&lt;=cc_D,0.0035*($E351-AA$18)/$E351,0.002*($E351-AA$18)/($E351-3*cc_D/7))))-fcd_cc*(1-(1-MAX(0,MIN(1,IF($E351&lt;=cc_D,0.0035*($E351-AA$18)/$E351,0.002*($E351-AA$18)/($E351-3*cc_D/7))/0.002)))^2)</f>
        <v/>
      </c>
      <c r="AB351">
        <f>MAX(-fyd_cc,MIN(fyd_cc,Es_cc*IF($E351&lt;=cc_D,0.0035*($E351-AB$18)/$E351,0.002*($E351-AB$18)/($E351-3*cc_D/7))))-fcd_cc*(1-(1-MAX(0,MIN(1,IF($E351&lt;=cc_D,0.0035*($E351-AB$18)/$E351,0.002*($E351-AB$18)/($E351-3*cc_D/7))/0.002)))^2)</f>
        <v/>
      </c>
      <c r="AC351">
        <f>MAX(-fyd_cc,MIN(fyd_cc,Es_cc*IF($E351&lt;=cc_D,0.0035*($E351-AC$18)/$E351,0.002*($E351-AC$18)/($E351-3*cc_D/7))))-fcd_cc*(1-(1-MAX(0,MIN(1,IF($E351&lt;=cc_D,0.0035*($E351-AC$18)/$E351,0.002*($E351-AC$18)/($E351-3*cc_D/7))/0.002)))^2)</f>
        <v/>
      </c>
      <c r="AD351">
        <f>MAX(-fyd_cc,MIN(fyd_cc,Es_cc*IF($E351&lt;=cc_D,0.0035*($E351-AD$18)/$E351,0.002*($E351-AD$18)/($E351-3*cc_D/7))))-fcd_cc*(1-(1-MAX(0,MIN(1,IF($E351&lt;=cc_D,0.0035*($E351-AD$18)/$E351,0.002*($E351-AD$18)/($E351-3*cc_D/7))/0.002)))^2)</f>
        <v/>
      </c>
      <c r="AE351">
        <f>MAX(-fyd_cc,MIN(fyd_cc,Es_cc*IF($E351&lt;=cc_D,0.0035*($E351-AE$18)/$E351,0.002*($E351-AE$18)/($E351-3*cc_D/7))))-fcd_cc*(1-(1-MAX(0,MIN(1,IF($E351&lt;=cc_D,0.0035*($E351-AE$18)/$E351,0.002*($E351-AE$18)/($E351-3*cc_D/7))/0.002)))^2)</f>
        <v/>
      </c>
      <c r="AF351">
        <f>MAX(-fyd_cc,MIN(fyd_cc,Es_cc*IF($E351&lt;=cc_D,0.0035*($E351-AF$18)/$E351,0.002*($E351-AF$18)/($E351-3*cc_D/7))))-fcd_cc*(1-(1-MAX(0,MIN(1,IF($E351&lt;=cc_D,0.0035*($E351-AF$18)/$E351,0.002*($E351-AF$18)/($E351-3*cc_D/7))/0.002)))^2)</f>
        <v/>
      </c>
      <c r="AG351">
        <f>MAX(-fyd_cc,MIN(fyd_cc,Es_cc*IF($E351&lt;=cc_D,0.0035*($E351-AG$18)/$E351,0.002*($E351-AG$18)/($E351-3*cc_D/7))))-fcd_cc*(1-(1-MAX(0,MIN(1,IF($E351&lt;=cc_D,0.0035*($E351-AG$18)/$E351,0.002*($E351-AG$18)/($E351-3*cc_D/7))/0.002)))^2)</f>
        <v/>
      </c>
      <c r="BF351">
        <f>3*MIN($E351,cc_D)/7</f>
        <v/>
      </c>
      <c r="BG351">
        <f>$E351-$BF351</f>
        <v/>
      </c>
      <c r="BH351">
        <f>ACOS(MAX(-1,MIN(1,1-$BF351/(cc_D/2))))</f>
        <v/>
      </c>
      <c r="BI351">
        <f>ACOS(MAX(-1,MIN(1,1-MIN($E351,cc_D)/(cc_D/2))))</f>
        <v/>
      </c>
      <c r="BJ351">
        <f>((cc_D/2*(1-COS(($BH351+0*($BI351-$BH351)/12)))-$BF351)/$BG351)^2*SIN(($BH351+0*($BI351-$BH351)/12))^2</f>
        <v/>
      </c>
      <c r="BK351">
        <f>((cc_D/2*(1-COS(($BH351+1*($BI351-$BH351)/12)))-$BF351)/$BG351)^2*SIN(($BH351+1*($BI351-$BH351)/12))^2</f>
        <v/>
      </c>
      <c r="BL351">
        <f>((cc_D/2*(1-COS(($BH351+2*($BI351-$BH351)/12)))-$BF351)/$BG351)^2*SIN(($BH351+2*($BI351-$BH351)/12))^2</f>
        <v/>
      </c>
      <c r="BM351">
        <f>((cc_D/2*(1-COS(($BH351+3*($BI351-$BH351)/12)))-$BF351)/$BG351)^2*SIN(($BH351+3*($BI351-$BH351)/12))^2</f>
        <v/>
      </c>
      <c r="BN351">
        <f>((cc_D/2*(1-COS(($BH351+4*($BI351-$BH351)/12)))-$BF351)/$BG351)^2*SIN(($BH351+4*($BI351-$BH351)/12))^2</f>
        <v/>
      </c>
      <c r="BO351">
        <f>((cc_D/2*(1-COS(($BH351+5*($BI351-$BH351)/12)))-$BF351)/$BG351)^2*SIN(($BH351+5*($BI351-$BH351)/12))^2</f>
        <v/>
      </c>
      <c r="BP351">
        <f>((cc_D/2*(1-COS(($BH351+6*($BI351-$BH351)/12)))-$BF351)/$BG351)^2*SIN(($BH351+6*($BI351-$BH351)/12))^2</f>
        <v/>
      </c>
      <c r="BQ351">
        <f>((cc_D/2*(1-COS(($BH351+7*($BI351-$BH351)/12)))-$BF351)/$BG351)^2*SIN(($BH351+7*($BI351-$BH351)/12))^2</f>
        <v/>
      </c>
      <c r="BR351">
        <f>((cc_D/2*(1-COS(($BH351+8*($BI351-$BH351)/12)))-$BF351)/$BG351)^2*SIN(($BH351+8*($BI351-$BH351)/12))^2</f>
        <v/>
      </c>
      <c r="BS351">
        <f>((cc_D/2*(1-COS(($BH351+9*($BI351-$BH351)/12)))-$BF351)/$BG351)^2*SIN(($BH351+9*($BI351-$BH351)/12))^2</f>
        <v/>
      </c>
      <c r="BT351">
        <f>((cc_D/2*(1-COS(($BH351+10*($BI351-$BH351)/12)))-$BF351)/$BG351)^2*SIN(($BH351+10*($BI351-$BH351)/12))^2</f>
        <v/>
      </c>
      <c r="BU351">
        <f>((cc_D/2*(1-COS(($BH351+11*($BI351-$BH351)/12)))-$BF351)/$BG351)^2*SIN(($BH351+11*($BI351-$BH351)/12))^2</f>
        <v/>
      </c>
      <c r="BV351">
        <f>((cc_D/2*(1-COS(($BH351+12*($BI351-$BH351)/12)))-$BF351)/$BG351)^2*SIN(($BH351+12*($BI351-$BH351)/12))^2</f>
        <v/>
      </c>
      <c r="BW351">
        <f>BJ351*COS(($BH351+0*($BI351-$BH351)/12))</f>
        <v/>
      </c>
      <c r="BX351">
        <f>BK351*COS(($BH351+1*($BI351-$BH351)/12))</f>
        <v/>
      </c>
      <c r="BY351">
        <f>BL351*COS(($BH351+2*($BI351-$BH351)/12))</f>
        <v/>
      </c>
      <c r="BZ351">
        <f>BM351*COS(($BH351+3*($BI351-$BH351)/12))</f>
        <v/>
      </c>
      <c r="CA351">
        <f>BN351*COS(($BH351+4*($BI351-$BH351)/12))</f>
        <v/>
      </c>
      <c r="CB351">
        <f>BO351*COS(($BH351+5*($BI351-$BH351)/12))</f>
        <v/>
      </c>
      <c r="CC351">
        <f>BP351*COS(($BH351+6*($BI351-$BH351)/12))</f>
        <v/>
      </c>
      <c r="CD351">
        <f>BQ351*COS(($BH351+7*($BI351-$BH351)/12))</f>
        <v/>
      </c>
      <c r="CE351">
        <f>BR351*COS(($BH351+8*($BI351-$BH351)/12))</f>
        <v/>
      </c>
      <c r="CF351">
        <f>BS351*COS(($BH351+9*($BI351-$BH351)/12))</f>
        <v/>
      </c>
      <c r="CG351">
        <f>BT351*COS(($BH351+10*($BI351-$BH351)/12))</f>
        <v/>
      </c>
      <c r="CH351">
        <f>BU351*COS(($BH351+11*($BI351-$BH351)/12))</f>
        <v/>
      </c>
      <c r="CI351">
        <f>BV351*COS(($BH351+12*($BI351-$BH351)/12))</f>
        <v/>
      </c>
    </row>
    <row r="352">
      <c r="B352" s="65" t="n">
        <v>11</v>
      </c>
      <c r="C352" s="66">
        <f>IF($G351&lt;cc_NEd-1E-9*ABS(cc_NEd),($C351+$D351)/2,$C351)</f>
        <v/>
      </c>
      <c r="D352" s="66">
        <f>IF($G351&lt;cc_NEd-1E-9*ABS(cc_NEd),$D351,($C351+$D351)/2)</f>
        <v/>
      </c>
      <c r="E352" s="67">
        <f>cc_D*(($C352+$D352)/2)/(1-(($C352+$D352)/2))</f>
        <v/>
      </c>
      <c r="F352" s="68">
        <f>IF($E352&lt;=cc_D,3.5,2*$E352/($E352-3*cc_D/7))</f>
        <v/>
      </c>
      <c r="G352" s="67">
        <f>(fcd_cc*((cc_D/2)^2*($BI352-COS($BI352)*SIN($BI352))-2*(cc_D/2)^2*($BI352-$BH352)/12/3*SUMPRODUCT($BJ$4:$BV$4,$BJ352:$BV352))+SUMPRODUCT($J$5:$AG$5,$J352:$AG352))/1000</f>
        <v/>
      </c>
      <c r="H352" s="67">
        <f>(fcd_cc*(2/3*(cc_D/2)^3*SIN($BI352)^3-2*(cc_D/2)^3*($BI352-$BH352)/12/3*SUMPRODUCT($BW$4:$CI$4,$BW352:$CI352))+SUMPRODUCT($J$5:$AG$5,$J352:$AG352,$J$19:$AG$19))/1E6</f>
        <v/>
      </c>
      <c r="I352" s="67">
        <f>SUMPRODUCT($J$5:$AG$5,$J352:$AG352,$J$20:$AG$20)/1E6</f>
        <v/>
      </c>
      <c r="J352">
        <f>MAX(-fyd_cc,MIN(fyd_cc,Es_cc*IF($E352&lt;=cc_D,0.0035*($E352-J$18)/$E352,0.002*($E352-J$18)/($E352-3*cc_D/7))))-fcd_cc*(1-(1-MAX(0,MIN(1,IF($E352&lt;=cc_D,0.0035*($E352-J$18)/$E352,0.002*($E352-J$18)/($E352-3*cc_D/7))/0.002)))^2)</f>
        <v/>
      </c>
      <c r="K352">
        <f>MAX(-fyd_cc,MIN(fyd_cc,Es_cc*IF($E352&lt;=cc_D,0.0035*($E352-K$18)/$E352,0.002*($E352-K$18)/($E352-3*cc_D/7))))-fcd_cc*(1-(1-MAX(0,MIN(1,IF($E352&lt;=cc_D,0.0035*($E352-K$18)/$E352,0.002*($E352-K$18)/($E352-3*cc_D/7))/0.002)))^2)</f>
        <v/>
      </c>
      <c r="L352">
        <f>MAX(-fyd_cc,MIN(fyd_cc,Es_cc*IF($E352&lt;=cc_D,0.0035*($E352-L$18)/$E352,0.002*($E352-L$18)/($E352-3*cc_D/7))))-fcd_cc*(1-(1-MAX(0,MIN(1,IF($E352&lt;=cc_D,0.0035*($E352-L$18)/$E352,0.002*($E352-L$18)/($E352-3*cc_D/7))/0.002)))^2)</f>
        <v/>
      </c>
      <c r="M352">
        <f>MAX(-fyd_cc,MIN(fyd_cc,Es_cc*IF($E352&lt;=cc_D,0.0035*($E352-M$18)/$E352,0.002*($E352-M$18)/($E352-3*cc_D/7))))-fcd_cc*(1-(1-MAX(0,MIN(1,IF($E352&lt;=cc_D,0.0035*($E352-M$18)/$E352,0.002*($E352-M$18)/($E352-3*cc_D/7))/0.002)))^2)</f>
        <v/>
      </c>
      <c r="N352">
        <f>MAX(-fyd_cc,MIN(fyd_cc,Es_cc*IF($E352&lt;=cc_D,0.0035*($E352-N$18)/$E352,0.002*($E352-N$18)/($E352-3*cc_D/7))))-fcd_cc*(1-(1-MAX(0,MIN(1,IF($E352&lt;=cc_D,0.0035*($E352-N$18)/$E352,0.002*($E352-N$18)/($E352-3*cc_D/7))/0.002)))^2)</f>
        <v/>
      </c>
      <c r="O352">
        <f>MAX(-fyd_cc,MIN(fyd_cc,Es_cc*IF($E352&lt;=cc_D,0.0035*($E352-O$18)/$E352,0.002*($E352-O$18)/($E352-3*cc_D/7))))-fcd_cc*(1-(1-MAX(0,MIN(1,IF($E352&lt;=cc_D,0.0035*($E352-O$18)/$E352,0.002*($E352-O$18)/($E352-3*cc_D/7))/0.002)))^2)</f>
        <v/>
      </c>
      <c r="P352">
        <f>MAX(-fyd_cc,MIN(fyd_cc,Es_cc*IF($E352&lt;=cc_D,0.0035*($E352-P$18)/$E352,0.002*($E352-P$18)/($E352-3*cc_D/7))))-fcd_cc*(1-(1-MAX(0,MIN(1,IF($E352&lt;=cc_D,0.0035*($E352-P$18)/$E352,0.002*($E352-P$18)/($E352-3*cc_D/7))/0.002)))^2)</f>
        <v/>
      </c>
      <c r="Q352">
        <f>MAX(-fyd_cc,MIN(fyd_cc,Es_cc*IF($E352&lt;=cc_D,0.0035*($E352-Q$18)/$E352,0.002*($E352-Q$18)/($E352-3*cc_D/7))))-fcd_cc*(1-(1-MAX(0,MIN(1,IF($E352&lt;=cc_D,0.0035*($E352-Q$18)/$E352,0.002*($E352-Q$18)/($E352-3*cc_D/7))/0.002)))^2)</f>
        <v/>
      </c>
      <c r="R352">
        <f>MAX(-fyd_cc,MIN(fyd_cc,Es_cc*IF($E352&lt;=cc_D,0.0035*($E352-R$18)/$E352,0.002*($E352-R$18)/($E352-3*cc_D/7))))-fcd_cc*(1-(1-MAX(0,MIN(1,IF($E352&lt;=cc_D,0.0035*($E352-R$18)/$E352,0.002*($E352-R$18)/($E352-3*cc_D/7))/0.002)))^2)</f>
        <v/>
      </c>
      <c r="S352">
        <f>MAX(-fyd_cc,MIN(fyd_cc,Es_cc*IF($E352&lt;=cc_D,0.0035*($E352-S$18)/$E352,0.002*($E352-S$18)/($E352-3*cc_D/7))))-fcd_cc*(1-(1-MAX(0,MIN(1,IF($E352&lt;=cc_D,0.0035*($E352-S$18)/$E352,0.002*($E352-S$18)/($E352-3*cc_D/7))/0.002)))^2)</f>
        <v/>
      </c>
      <c r="T352">
        <f>MAX(-fyd_cc,MIN(fyd_cc,Es_cc*IF($E352&lt;=cc_D,0.0035*($E352-T$18)/$E352,0.002*($E352-T$18)/($E352-3*cc_D/7))))-fcd_cc*(1-(1-MAX(0,MIN(1,IF($E352&lt;=cc_D,0.0035*($E352-T$18)/$E352,0.002*($E352-T$18)/($E352-3*cc_D/7))/0.002)))^2)</f>
        <v/>
      </c>
      <c r="U352">
        <f>MAX(-fyd_cc,MIN(fyd_cc,Es_cc*IF($E352&lt;=cc_D,0.0035*($E352-U$18)/$E352,0.002*($E352-U$18)/($E352-3*cc_D/7))))-fcd_cc*(1-(1-MAX(0,MIN(1,IF($E352&lt;=cc_D,0.0035*($E352-U$18)/$E352,0.002*($E352-U$18)/($E352-3*cc_D/7))/0.002)))^2)</f>
        <v/>
      </c>
      <c r="V352">
        <f>MAX(-fyd_cc,MIN(fyd_cc,Es_cc*IF($E352&lt;=cc_D,0.0035*($E352-V$18)/$E352,0.002*($E352-V$18)/($E352-3*cc_D/7))))-fcd_cc*(1-(1-MAX(0,MIN(1,IF($E352&lt;=cc_D,0.0035*($E352-V$18)/$E352,0.002*($E352-V$18)/($E352-3*cc_D/7))/0.002)))^2)</f>
        <v/>
      </c>
      <c r="W352">
        <f>MAX(-fyd_cc,MIN(fyd_cc,Es_cc*IF($E352&lt;=cc_D,0.0035*($E352-W$18)/$E352,0.002*($E352-W$18)/($E352-3*cc_D/7))))-fcd_cc*(1-(1-MAX(0,MIN(1,IF($E352&lt;=cc_D,0.0035*($E352-W$18)/$E352,0.002*($E352-W$18)/($E352-3*cc_D/7))/0.002)))^2)</f>
        <v/>
      </c>
      <c r="X352">
        <f>MAX(-fyd_cc,MIN(fyd_cc,Es_cc*IF($E352&lt;=cc_D,0.0035*($E352-X$18)/$E352,0.002*($E352-X$18)/($E352-3*cc_D/7))))-fcd_cc*(1-(1-MAX(0,MIN(1,IF($E352&lt;=cc_D,0.0035*($E352-X$18)/$E352,0.002*($E352-X$18)/($E352-3*cc_D/7))/0.002)))^2)</f>
        <v/>
      </c>
      <c r="Y352">
        <f>MAX(-fyd_cc,MIN(fyd_cc,Es_cc*IF($E352&lt;=cc_D,0.0035*($E352-Y$18)/$E352,0.002*($E352-Y$18)/($E352-3*cc_D/7))))-fcd_cc*(1-(1-MAX(0,MIN(1,IF($E352&lt;=cc_D,0.0035*($E352-Y$18)/$E352,0.002*($E352-Y$18)/($E352-3*cc_D/7))/0.002)))^2)</f>
        <v/>
      </c>
      <c r="Z352">
        <f>MAX(-fyd_cc,MIN(fyd_cc,Es_cc*IF($E352&lt;=cc_D,0.0035*($E352-Z$18)/$E352,0.002*($E352-Z$18)/($E352-3*cc_D/7))))-fcd_cc*(1-(1-MAX(0,MIN(1,IF($E352&lt;=cc_D,0.0035*($E352-Z$18)/$E352,0.002*($E352-Z$18)/($E352-3*cc_D/7))/0.002)))^2)</f>
        <v/>
      </c>
      <c r="AA352">
        <f>MAX(-fyd_cc,MIN(fyd_cc,Es_cc*IF($E352&lt;=cc_D,0.0035*($E352-AA$18)/$E352,0.002*($E352-AA$18)/($E352-3*cc_D/7))))-fcd_cc*(1-(1-MAX(0,MIN(1,IF($E352&lt;=cc_D,0.0035*($E352-AA$18)/$E352,0.002*($E352-AA$18)/($E352-3*cc_D/7))/0.002)))^2)</f>
        <v/>
      </c>
      <c r="AB352">
        <f>MAX(-fyd_cc,MIN(fyd_cc,Es_cc*IF($E352&lt;=cc_D,0.0035*($E352-AB$18)/$E352,0.002*($E352-AB$18)/($E352-3*cc_D/7))))-fcd_cc*(1-(1-MAX(0,MIN(1,IF($E352&lt;=cc_D,0.0035*($E352-AB$18)/$E352,0.002*($E352-AB$18)/($E352-3*cc_D/7))/0.002)))^2)</f>
        <v/>
      </c>
      <c r="AC352">
        <f>MAX(-fyd_cc,MIN(fyd_cc,Es_cc*IF($E352&lt;=cc_D,0.0035*($E352-AC$18)/$E352,0.002*($E352-AC$18)/($E352-3*cc_D/7))))-fcd_cc*(1-(1-MAX(0,MIN(1,IF($E352&lt;=cc_D,0.0035*($E352-AC$18)/$E352,0.002*($E352-AC$18)/($E352-3*cc_D/7))/0.002)))^2)</f>
        <v/>
      </c>
      <c r="AD352">
        <f>MAX(-fyd_cc,MIN(fyd_cc,Es_cc*IF($E352&lt;=cc_D,0.0035*($E352-AD$18)/$E352,0.002*($E352-AD$18)/($E352-3*cc_D/7))))-fcd_cc*(1-(1-MAX(0,MIN(1,IF($E352&lt;=cc_D,0.0035*($E352-AD$18)/$E352,0.002*($E352-AD$18)/($E352-3*cc_D/7))/0.002)))^2)</f>
        <v/>
      </c>
      <c r="AE352">
        <f>MAX(-fyd_cc,MIN(fyd_cc,Es_cc*IF($E352&lt;=cc_D,0.0035*($E352-AE$18)/$E352,0.002*($E352-AE$18)/($E352-3*cc_D/7))))-fcd_cc*(1-(1-MAX(0,MIN(1,IF($E352&lt;=cc_D,0.0035*($E352-AE$18)/$E352,0.002*($E352-AE$18)/($E352-3*cc_D/7))/0.002)))^2)</f>
        <v/>
      </c>
      <c r="AF352">
        <f>MAX(-fyd_cc,MIN(fyd_cc,Es_cc*IF($E352&lt;=cc_D,0.0035*($E352-AF$18)/$E352,0.002*($E352-AF$18)/($E352-3*cc_D/7))))-fcd_cc*(1-(1-MAX(0,MIN(1,IF($E352&lt;=cc_D,0.0035*($E352-AF$18)/$E352,0.002*($E352-AF$18)/($E352-3*cc_D/7))/0.002)))^2)</f>
        <v/>
      </c>
      <c r="AG352">
        <f>MAX(-fyd_cc,MIN(fyd_cc,Es_cc*IF($E352&lt;=cc_D,0.0035*($E352-AG$18)/$E352,0.002*($E352-AG$18)/($E352-3*cc_D/7))))-fcd_cc*(1-(1-MAX(0,MIN(1,IF($E352&lt;=cc_D,0.0035*($E352-AG$18)/$E352,0.002*($E352-AG$18)/($E352-3*cc_D/7))/0.002)))^2)</f>
        <v/>
      </c>
      <c r="BF352">
        <f>3*MIN($E352,cc_D)/7</f>
        <v/>
      </c>
      <c r="BG352">
        <f>$E352-$BF352</f>
        <v/>
      </c>
      <c r="BH352">
        <f>ACOS(MAX(-1,MIN(1,1-$BF352/(cc_D/2))))</f>
        <v/>
      </c>
      <c r="BI352">
        <f>ACOS(MAX(-1,MIN(1,1-MIN($E352,cc_D)/(cc_D/2))))</f>
        <v/>
      </c>
      <c r="BJ352">
        <f>((cc_D/2*(1-COS(($BH352+0*($BI352-$BH352)/12)))-$BF352)/$BG352)^2*SIN(($BH352+0*($BI352-$BH352)/12))^2</f>
        <v/>
      </c>
      <c r="BK352">
        <f>((cc_D/2*(1-COS(($BH352+1*($BI352-$BH352)/12)))-$BF352)/$BG352)^2*SIN(($BH352+1*($BI352-$BH352)/12))^2</f>
        <v/>
      </c>
      <c r="BL352">
        <f>((cc_D/2*(1-COS(($BH352+2*($BI352-$BH352)/12)))-$BF352)/$BG352)^2*SIN(($BH352+2*($BI352-$BH352)/12))^2</f>
        <v/>
      </c>
      <c r="BM352">
        <f>((cc_D/2*(1-COS(($BH352+3*($BI352-$BH352)/12)))-$BF352)/$BG352)^2*SIN(($BH352+3*($BI352-$BH352)/12))^2</f>
        <v/>
      </c>
      <c r="BN352">
        <f>((cc_D/2*(1-COS(($BH352+4*($BI352-$BH352)/12)))-$BF352)/$BG352)^2*SIN(($BH352+4*($BI352-$BH352)/12))^2</f>
        <v/>
      </c>
      <c r="BO352">
        <f>((cc_D/2*(1-COS(($BH352+5*($BI352-$BH352)/12)))-$BF352)/$BG352)^2*SIN(($BH352+5*($BI352-$BH352)/12))^2</f>
        <v/>
      </c>
      <c r="BP352">
        <f>((cc_D/2*(1-COS(($BH352+6*($BI352-$BH352)/12)))-$BF352)/$BG352)^2*SIN(($BH352+6*($BI352-$BH352)/12))^2</f>
        <v/>
      </c>
      <c r="BQ352">
        <f>((cc_D/2*(1-COS(($BH352+7*($BI352-$BH352)/12)))-$BF352)/$BG352)^2*SIN(($BH352+7*($BI352-$BH352)/12))^2</f>
        <v/>
      </c>
      <c r="BR352">
        <f>((cc_D/2*(1-COS(($BH352+8*($BI352-$BH352)/12)))-$BF352)/$BG352)^2*SIN(($BH352+8*($BI352-$BH352)/12))^2</f>
        <v/>
      </c>
      <c r="BS352">
        <f>((cc_D/2*(1-COS(($BH352+9*($BI352-$BH352)/12)))-$BF352)/$BG352)^2*SIN(($BH352+9*($BI352-$BH352)/12))^2</f>
        <v/>
      </c>
      <c r="BT352">
        <f>((cc_D/2*(1-COS(($BH352+10*($BI352-$BH352)/12)))-$BF352)/$BG352)^2*SIN(($BH352+10*($BI352-$BH352)/12))^2</f>
        <v/>
      </c>
      <c r="BU352">
        <f>((cc_D/2*(1-COS(($BH352+11*($BI352-$BH352)/12)))-$BF352)/$BG352)^2*SIN(($BH352+11*($BI352-$BH352)/12))^2</f>
        <v/>
      </c>
      <c r="BV352">
        <f>((cc_D/2*(1-COS(($BH352+12*($BI352-$BH352)/12)))-$BF352)/$BG352)^2*SIN(($BH352+12*($BI352-$BH352)/12))^2</f>
        <v/>
      </c>
      <c r="BW352">
        <f>BJ352*COS(($BH352+0*($BI352-$BH352)/12))</f>
        <v/>
      </c>
      <c r="BX352">
        <f>BK352*COS(($BH352+1*($BI352-$BH352)/12))</f>
        <v/>
      </c>
      <c r="BY352">
        <f>BL352*COS(($BH352+2*($BI352-$BH352)/12))</f>
        <v/>
      </c>
      <c r="BZ352">
        <f>BM352*COS(($BH352+3*($BI352-$BH352)/12))</f>
        <v/>
      </c>
      <c r="CA352">
        <f>BN352*COS(($BH352+4*($BI352-$BH352)/12))</f>
        <v/>
      </c>
      <c r="CB352">
        <f>BO352*COS(($BH352+5*($BI352-$BH352)/12))</f>
        <v/>
      </c>
      <c r="CC352">
        <f>BP352*COS(($BH352+6*($BI352-$BH352)/12))</f>
        <v/>
      </c>
      <c r="CD352">
        <f>BQ352*COS(($BH352+7*($BI352-$BH352)/12))</f>
        <v/>
      </c>
      <c r="CE352">
        <f>BR352*COS(($BH352+8*($BI352-$BH352)/12))</f>
        <v/>
      </c>
      <c r="CF352">
        <f>BS352*COS(($BH352+9*($BI352-$BH352)/12))</f>
        <v/>
      </c>
      <c r="CG352">
        <f>BT352*COS(($BH352+10*($BI352-$BH352)/12))</f>
        <v/>
      </c>
      <c r="CH352">
        <f>BU352*COS(($BH352+11*($BI352-$BH352)/12))</f>
        <v/>
      </c>
      <c r="CI352">
        <f>BV352*COS(($BH352+12*($BI352-$BH352)/12))</f>
        <v/>
      </c>
    </row>
    <row r="353">
      <c r="B353" s="65" t="n">
        <v>12</v>
      </c>
      <c r="C353" s="66">
        <f>IF($G352&lt;cc_NEd-1E-9*ABS(cc_NEd),($C352+$D352)/2,$C352)</f>
        <v/>
      </c>
      <c r="D353" s="66">
        <f>IF($G352&lt;cc_NEd-1E-9*ABS(cc_NEd),$D352,($C352+$D352)/2)</f>
        <v/>
      </c>
      <c r="E353" s="67">
        <f>cc_D*(($C353+$D353)/2)/(1-(($C353+$D353)/2))</f>
        <v/>
      </c>
      <c r="F353" s="68">
        <f>IF($E353&lt;=cc_D,3.5,2*$E353/($E353-3*cc_D/7))</f>
        <v/>
      </c>
      <c r="G353" s="67">
        <f>(fcd_cc*((cc_D/2)^2*($BI353-COS($BI353)*SIN($BI353))-2*(cc_D/2)^2*($BI353-$BH353)/12/3*SUMPRODUCT($BJ$4:$BV$4,$BJ353:$BV353))+SUMPRODUCT($J$5:$AG$5,$J353:$AG353))/1000</f>
        <v/>
      </c>
      <c r="H353" s="67">
        <f>(fcd_cc*(2/3*(cc_D/2)^3*SIN($BI353)^3-2*(cc_D/2)^3*($BI353-$BH353)/12/3*SUMPRODUCT($BW$4:$CI$4,$BW353:$CI353))+SUMPRODUCT($J$5:$AG$5,$J353:$AG353,$J$19:$AG$19))/1E6</f>
        <v/>
      </c>
      <c r="I353" s="67">
        <f>SUMPRODUCT($J$5:$AG$5,$J353:$AG353,$J$20:$AG$20)/1E6</f>
        <v/>
      </c>
      <c r="J353">
        <f>MAX(-fyd_cc,MIN(fyd_cc,Es_cc*IF($E353&lt;=cc_D,0.0035*($E353-J$18)/$E353,0.002*($E353-J$18)/($E353-3*cc_D/7))))-fcd_cc*(1-(1-MAX(0,MIN(1,IF($E353&lt;=cc_D,0.0035*($E353-J$18)/$E353,0.002*($E353-J$18)/($E353-3*cc_D/7))/0.002)))^2)</f>
        <v/>
      </c>
      <c r="K353">
        <f>MAX(-fyd_cc,MIN(fyd_cc,Es_cc*IF($E353&lt;=cc_D,0.0035*($E353-K$18)/$E353,0.002*($E353-K$18)/($E353-3*cc_D/7))))-fcd_cc*(1-(1-MAX(0,MIN(1,IF($E353&lt;=cc_D,0.0035*($E353-K$18)/$E353,0.002*($E353-K$18)/($E353-3*cc_D/7))/0.002)))^2)</f>
        <v/>
      </c>
      <c r="L353">
        <f>MAX(-fyd_cc,MIN(fyd_cc,Es_cc*IF($E353&lt;=cc_D,0.0035*($E353-L$18)/$E353,0.002*($E353-L$18)/($E353-3*cc_D/7))))-fcd_cc*(1-(1-MAX(0,MIN(1,IF($E353&lt;=cc_D,0.0035*($E353-L$18)/$E353,0.002*($E353-L$18)/($E353-3*cc_D/7))/0.002)))^2)</f>
        <v/>
      </c>
      <c r="M353">
        <f>MAX(-fyd_cc,MIN(fyd_cc,Es_cc*IF($E353&lt;=cc_D,0.0035*($E353-M$18)/$E353,0.002*($E353-M$18)/($E353-3*cc_D/7))))-fcd_cc*(1-(1-MAX(0,MIN(1,IF($E353&lt;=cc_D,0.0035*($E353-M$18)/$E353,0.002*($E353-M$18)/($E353-3*cc_D/7))/0.002)))^2)</f>
        <v/>
      </c>
      <c r="N353">
        <f>MAX(-fyd_cc,MIN(fyd_cc,Es_cc*IF($E353&lt;=cc_D,0.0035*($E353-N$18)/$E353,0.002*($E353-N$18)/($E353-3*cc_D/7))))-fcd_cc*(1-(1-MAX(0,MIN(1,IF($E353&lt;=cc_D,0.0035*($E353-N$18)/$E353,0.002*($E353-N$18)/($E353-3*cc_D/7))/0.002)))^2)</f>
        <v/>
      </c>
      <c r="O353">
        <f>MAX(-fyd_cc,MIN(fyd_cc,Es_cc*IF($E353&lt;=cc_D,0.0035*($E353-O$18)/$E353,0.002*($E353-O$18)/($E353-3*cc_D/7))))-fcd_cc*(1-(1-MAX(0,MIN(1,IF($E353&lt;=cc_D,0.0035*($E353-O$18)/$E353,0.002*($E353-O$18)/($E353-3*cc_D/7))/0.002)))^2)</f>
        <v/>
      </c>
      <c r="P353">
        <f>MAX(-fyd_cc,MIN(fyd_cc,Es_cc*IF($E353&lt;=cc_D,0.0035*($E353-P$18)/$E353,0.002*($E353-P$18)/($E353-3*cc_D/7))))-fcd_cc*(1-(1-MAX(0,MIN(1,IF($E353&lt;=cc_D,0.0035*($E353-P$18)/$E353,0.002*($E353-P$18)/($E353-3*cc_D/7))/0.002)))^2)</f>
        <v/>
      </c>
      <c r="Q353">
        <f>MAX(-fyd_cc,MIN(fyd_cc,Es_cc*IF($E353&lt;=cc_D,0.0035*($E353-Q$18)/$E353,0.002*($E353-Q$18)/($E353-3*cc_D/7))))-fcd_cc*(1-(1-MAX(0,MIN(1,IF($E353&lt;=cc_D,0.0035*($E353-Q$18)/$E353,0.002*($E353-Q$18)/($E353-3*cc_D/7))/0.002)))^2)</f>
        <v/>
      </c>
      <c r="R353">
        <f>MAX(-fyd_cc,MIN(fyd_cc,Es_cc*IF($E353&lt;=cc_D,0.0035*($E353-R$18)/$E353,0.002*($E353-R$18)/($E353-3*cc_D/7))))-fcd_cc*(1-(1-MAX(0,MIN(1,IF($E353&lt;=cc_D,0.0035*($E353-R$18)/$E353,0.002*($E353-R$18)/($E353-3*cc_D/7))/0.002)))^2)</f>
        <v/>
      </c>
      <c r="S353">
        <f>MAX(-fyd_cc,MIN(fyd_cc,Es_cc*IF($E353&lt;=cc_D,0.0035*($E353-S$18)/$E353,0.002*($E353-S$18)/($E353-3*cc_D/7))))-fcd_cc*(1-(1-MAX(0,MIN(1,IF($E353&lt;=cc_D,0.0035*($E353-S$18)/$E353,0.002*($E353-S$18)/($E353-3*cc_D/7))/0.002)))^2)</f>
        <v/>
      </c>
      <c r="T353">
        <f>MAX(-fyd_cc,MIN(fyd_cc,Es_cc*IF($E353&lt;=cc_D,0.0035*($E353-T$18)/$E353,0.002*($E353-T$18)/($E353-3*cc_D/7))))-fcd_cc*(1-(1-MAX(0,MIN(1,IF($E353&lt;=cc_D,0.0035*($E353-T$18)/$E353,0.002*($E353-T$18)/($E353-3*cc_D/7))/0.002)))^2)</f>
        <v/>
      </c>
      <c r="U353">
        <f>MAX(-fyd_cc,MIN(fyd_cc,Es_cc*IF($E353&lt;=cc_D,0.0035*($E353-U$18)/$E353,0.002*($E353-U$18)/($E353-3*cc_D/7))))-fcd_cc*(1-(1-MAX(0,MIN(1,IF($E353&lt;=cc_D,0.0035*($E353-U$18)/$E353,0.002*($E353-U$18)/($E353-3*cc_D/7))/0.002)))^2)</f>
        <v/>
      </c>
      <c r="V353">
        <f>MAX(-fyd_cc,MIN(fyd_cc,Es_cc*IF($E353&lt;=cc_D,0.0035*($E353-V$18)/$E353,0.002*($E353-V$18)/($E353-3*cc_D/7))))-fcd_cc*(1-(1-MAX(0,MIN(1,IF($E353&lt;=cc_D,0.0035*($E353-V$18)/$E353,0.002*($E353-V$18)/($E353-3*cc_D/7))/0.002)))^2)</f>
        <v/>
      </c>
      <c r="W353">
        <f>MAX(-fyd_cc,MIN(fyd_cc,Es_cc*IF($E353&lt;=cc_D,0.0035*($E353-W$18)/$E353,0.002*($E353-W$18)/($E353-3*cc_D/7))))-fcd_cc*(1-(1-MAX(0,MIN(1,IF($E353&lt;=cc_D,0.0035*($E353-W$18)/$E353,0.002*($E353-W$18)/($E353-3*cc_D/7))/0.002)))^2)</f>
        <v/>
      </c>
      <c r="X353">
        <f>MAX(-fyd_cc,MIN(fyd_cc,Es_cc*IF($E353&lt;=cc_D,0.0035*($E353-X$18)/$E353,0.002*($E353-X$18)/($E353-3*cc_D/7))))-fcd_cc*(1-(1-MAX(0,MIN(1,IF($E353&lt;=cc_D,0.0035*($E353-X$18)/$E353,0.002*($E353-X$18)/($E353-3*cc_D/7))/0.002)))^2)</f>
        <v/>
      </c>
      <c r="Y353">
        <f>MAX(-fyd_cc,MIN(fyd_cc,Es_cc*IF($E353&lt;=cc_D,0.0035*($E353-Y$18)/$E353,0.002*($E353-Y$18)/($E353-3*cc_D/7))))-fcd_cc*(1-(1-MAX(0,MIN(1,IF($E353&lt;=cc_D,0.0035*($E353-Y$18)/$E353,0.002*($E353-Y$18)/($E353-3*cc_D/7))/0.002)))^2)</f>
        <v/>
      </c>
      <c r="Z353">
        <f>MAX(-fyd_cc,MIN(fyd_cc,Es_cc*IF($E353&lt;=cc_D,0.0035*($E353-Z$18)/$E353,0.002*($E353-Z$18)/($E353-3*cc_D/7))))-fcd_cc*(1-(1-MAX(0,MIN(1,IF($E353&lt;=cc_D,0.0035*($E353-Z$18)/$E353,0.002*($E353-Z$18)/($E353-3*cc_D/7))/0.002)))^2)</f>
        <v/>
      </c>
      <c r="AA353">
        <f>MAX(-fyd_cc,MIN(fyd_cc,Es_cc*IF($E353&lt;=cc_D,0.0035*($E353-AA$18)/$E353,0.002*($E353-AA$18)/($E353-3*cc_D/7))))-fcd_cc*(1-(1-MAX(0,MIN(1,IF($E353&lt;=cc_D,0.0035*($E353-AA$18)/$E353,0.002*($E353-AA$18)/($E353-3*cc_D/7))/0.002)))^2)</f>
        <v/>
      </c>
      <c r="AB353">
        <f>MAX(-fyd_cc,MIN(fyd_cc,Es_cc*IF($E353&lt;=cc_D,0.0035*($E353-AB$18)/$E353,0.002*($E353-AB$18)/($E353-3*cc_D/7))))-fcd_cc*(1-(1-MAX(0,MIN(1,IF($E353&lt;=cc_D,0.0035*($E353-AB$18)/$E353,0.002*($E353-AB$18)/($E353-3*cc_D/7))/0.002)))^2)</f>
        <v/>
      </c>
      <c r="AC353">
        <f>MAX(-fyd_cc,MIN(fyd_cc,Es_cc*IF($E353&lt;=cc_D,0.0035*($E353-AC$18)/$E353,0.002*($E353-AC$18)/($E353-3*cc_D/7))))-fcd_cc*(1-(1-MAX(0,MIN(1,IF($E353&lt;=cc_D,0.0035*($E353-AC$18)/$E353,0.002*($E353-AC$18)/($E353-3*cc_D/7))/0.002)))^2)</f>
        <v/>
      </c>
      <c r="AD353">
        <f>MAX(-fyd_cc,MIN(fyd_cc,Es_cc*IF($E353&lt;=cc_D,0.0035*($E353-AD$18)/$E353,0.002*($E353-AD$18)/($E353-3*cc_D/7))))-fcd_cc*(1-(1-MAX(0,MIN(1,IF($E353&lt;=cc_D,0.0035*($E353-AD$18)/$E353,0.002*($E353-AD$18)/($E353-3*cc_D/7))/0.002)))^2)</f>
        <v/>
      </c>
      <c r="AE353">
        <f>MAX(-fyd_cc,MIN(fyd_cc,Es_cc*IF($E353&lt;=cc_D,0.0035*($E353-AE$18)/$E353,0.002*($E353-AE$18)/($E353-3*cc_D/7))))-fcd_cc*(1-(1-MAX(0,MIN(1,IF($E353&lt;=cc_D,0.0035*($E353-AE$18)/$E353,0.002*($E353-AE$18)/($E353-3*cc_D/7))/0.002)))^2)</f>
        <v/>
      </c>
      <c r="AF353">
        <f>MAX(-fyd_cc,MIN(fyd_cc,Es_cc*IF($E353&lt;=cc_D,0.0035*($E353-AF$18)/$E353,0.002*($E353-AF$18)/($E353-3*cc_D/7))))-fcd_cc*(1-(1-MAX(0,MIN(1,IF($E353&lt;=cc_D,0.0035*($E353-AF$18)/$E353,0.002*($E353-AF$18)/($E353-3*cc_D/7))/0.002)))^2)</f>
        <v/>
      </c>
      <c r="AG353">
        <f>MAX(-fyd_cc,MIN(fyd_cc,Es_cc*IF($E353&lt;=cc_D,0.0035*($E353-AG$18)/$E353,0.002*($E353-AG$18)/($E353-3*cc_D/7))))-fcd_cc*(1-(1-MAX(0,MIN(1,IF($E353&lt;=cc_D,0.0035*($E353-AG$18)/$E353,0.002*($E353-AG$18)/($E353-3*cc_D/7))/0.002)))^2)</f>
        <v/>
      </c>
      <c r="BF353">
        <f>3*MIN($E353,cc_D)/7</f>
        <v/>
      </c>
      <c r="BG353">
        <f>$E353-$BF353</f>
        <v/>
      </c>
      <c r="BH353">
        <f>ACOS(MAX(-1,MIN(1,1-$BF353/(cc_D/2))))</f>
        <v/>
      </c>
      <c r="BI353">
        <f>ACOS(MAX(-1,MIN(1,1-MIN($E353,cc_D)/(cc_D/2))))</f>
        <v/>
      </c>
      <c r="BJ353">
        <f>((cc_D/2*(1-COS(($BH353+0*($BI353-$BH353)/12)))-$BF353)/$BG353)^2*SIN(($BH353+0*($BI353-$BH353)/12))^2</f>
        <v/>
      </c>
      <c r="BK353">
        <f>((cc_D/2*(1-COS(($BH353+1*($BI353-$BH353)/12)))-$BF353)/$BG353)^2*SIN(($BH353+1*($BI353-$BH353)/12))^2</f>
        <v/>
      </c>
      <c r="BL353">
        <f>((cc_D/2*(1-COS(($BH353+2*($BI353-$BH353)/12)))-$BF353)/$BG353)^2*SIN(($BH353+2*($BI353-$BH353)/12))^2</f>
        <v/>
      </c>
      <c r="BM353">
        <f>((cc_D/2*(1-COS(($BH353+3*($BI353-$BH353)/12)))-$BF353)/$BG353)^2*SIN(($BH353+3*($BI353-$BH353)/12))^2</f>
        <v/>
      </c>
      <c r="BN353">
        <f>((cc_D/2*(1-COS(($BH353+4*($BI353-$BH353)/12)))-$BF353)/$BG353)^2*SIN(($BH353+4*($BI353-$BH353)/12))^2</f>
        <v/>
      </c>
      <c r="BO353">
        <f>((cc_D/2*(1-COS(($BH353+5*($BI353-$BH353)/12)))-$BF353)/$BG353)^2*SIN(($BH353+5*($BI353-$BH353)/12))^2</f>
        <v/>
      </c>
      <c r="BP353">
        <f>((cc_D/2*(1-COS(($BH353+6*($BI353-$BH353)/12)))-$BF353)/$BG353)^2*SIN(($BH353+6*($BI353-$BH353)/12))^2</f>
        <v/>
      </c>
      <c r="BQ353">
        <f>((cc_D/2*(1-COS(($BH353+7*($BI353-$BH353)/12)))-$BF353)/$BG353)^2*SIN(($BH353+7*($BI353-$BH353)/12))^2</f>
        <v/>
      </c>
      <c r="BR353">
        <f>((cc_D/2*(1-COS(($BH353+8*($BI353-$BH353)/12)))-$BF353)/$BG353)^2*SIN(($BH353+8*($BI353-$BH353)/12))^2</f>
        <v/>
      </c>
      <c r="BS353">
        <f>((cc_D/2*(1-COS(($BH353+9*($BI353-$BH353)/12)))-$BF353)/$BG353)^2*SIN(($BH353+9*($BI353-$BH353)/12))^2</f>
        <v/>
      </c>
      <c r="BT353">
        <f>((cc_D/2*(1-COS(($BH353+10*($BI353-$BH353)/12)))-$BF353)/$BG353)^2*SIN(($BH353+10*($BI353-$BH353)/12))^2</f>
        <v/>
      </c>
      <c r="BU353">
        <f>((cc_D/2*(1-COS(($BH353+11*($BI353-$BH353)/12)))-$BF353)/$BG353)^2*SIN(($BH353+11*($BI353-$BH353)/12))^2</f>
        <v/>
      </c>
      <c r="BV353">
        <f>((cc_D/2*(1-COS(($BH353+12*($BI353-$BH353)/12)))-$BF353)/$BG353)^2*SIN(($BH353+12*($BI353-$BH353)/12))^2</f>
        <v/>
      </c>
      <c r="BW353">
        <f>BJ353*COS(($BH353+0*($BI353-$BH353)/12))</f>
        <v/>
      </c>
      <c r="BX353">
        <f>BK353*COS(($BH353+1*($BI353-$BH353)/12))</f>
        <v/>
      </c>
      <c r="BY353">
        <f>BL353*COS(($BH353+2*($BI353-$BH353)/12))</f>
        <v/>
      </c>
      <c r="BZ353">
        <f>BM353*COS(($BH353+3*($BI353-$BH353)/12))</f>
        <v/>
      </c>
      <c r="CA353">
        <f>BN353*COS(($BH353+4*($BI353-$BH353)/12))</f>
        <v/>
      </c>
      <c r="CB353">
        <f>BO353*COS(($BH353+5*($BI353-$BH353)/12))</f>
        <v/>
      </c>
      <c r="CC353">
        <f>BP353*COS(($BH353+6*($BI353-$BH353)/12))</f>
        <v/>
      </c>
      <c r="CD353">
        <f>BQ353*COS(($BH353+7*($BI353-$BH353)/12))</f>
        <v/>
      </c>
      <c r="CE353">
        <f>BR353*COS(($BH353+8*($BI353-$BH353)/12))</f>
        <v/>
      </c>
      <c r="CF353">
        <f>BS353*COS(($BH353+9*($BI353-$BH353)/12))</f>
        <v/>
      </c>
      <c r="CG353">
        <f>BT353*COS(($BH353+10*($BI353-$BH353)/12))</f>
        <v/>
      </c>
      <c r="CH353">
        <f>BU353*COS(($BH353+11*($BI353-$BH353)/12))</f>
        <v/>
      </c>
      <c r="CI353">
        <f>BV353*COS(($BH353+12*($BI353-$BH353)/12))</f>
        <v/>
      </c>
    </row>
    <row r="354">
      <c r="B354" s="65" t="n">
        <v>13</v>
      </c>
      <c r="C354" s="66">
        <f>IF($G353&lt;cc_NEd-1E-9*ABS(cc_NEd),($C353+$D353)/2,$C353)</f>
        <v/>
      </c>
      <c r="D354" s="66">
        <f>IF($G353&lt;cc_NEd-1E-9*ABS(cc_NEd),$D353,($C353+$D353)/2)</f>
        <v/>
      </c>
      <c r="E354" s="67">
        <f>cc_D*(($C354+$D354)/2)/(1-(($C354+$D354)/2))</f>
        <v/>
      </c>
      <c r="F354" s="68">
        <f>IF($E354&lt;=cc_D,3.5,2*$E354/($E354-3*cc_D/7))</f>
        <v/>
      </c>
      <c r="G354" s="67">
        <f>(fcd_cc*((cc_D/2)^2*($BI354-COS($BI354)*SIN($BI354))-2*(cc_D/2)^2*($BI354-$BH354)/12/3*SUMPRODUCT($BJ$4:$BV$4,$BJ354:$BV354))+SUMPRODUCT($J$5:$AG$5,$J354:$AG354))/1000</f>
        <v/>
      </c>
      <c r="H354" s="67">
        <f>(fcd_cc*(2/3*(cc_D/2)^3*SIN($BI354)^3-2*(cc_D/2)^3*($BI354-$BH354)/12/3*SUMPRODUCT($BW$4:$CI$4,$BW354:$CI354))+SUMPRODUCT($J$5:$AG$5,$J354:$AG354,$J$19:$AG$19))/1E6</f>
        <v/>
      </c>
      <c r="I354" s="67">
        <f>SUMPRODUCT($J$5:$AG$5,$J354:$AG354,$J$20:$AG$20)/1E6</f>
        <v/>
      </c>
      <c r="J354">
        <f>MAX(-fyd_cc,MIN(fyd_cc,Es_cc*IF($E354&lt;=cc_D,0.0035*($E354-J$18)/$E354,0.002*($E354-J$18)/($E354-3*cc_D/7))))-fcd_cc*(1-(1-MAX(0,MIN(1,IF($E354&lt;=cc_D,0.0035*($E354-J$18)/$E354,0.002*($E354-J$18)/($E354-3*cc_D/7))/0.002)))^2)</f>
        <v/>
      </c>
      <c r="K354">
        <f>MAX(-fyd_cc,MIN(fyd_cc,Es_cc*IF($E354&lt;=cc_D,0.0035*($E354-K$18)/$E354,0.002*($E354-K$18)/($E354-3*cc_D/7))))-fcd_cc*(1-(1-MAX(0,MIN(1,IF($E354&lt;=cc_D,0.0035*($E354-K$18)/$E354,0.002*($E354-K$18)/($E354-3*cc_D/7))/0.002)))^2)</f>
        <v/>
      </c>
      <c r="L354">
        <f>MAX(-fyd_cc,MIN(fyd_cc,Es_cc*IF($E354&lt;=cc_D,0.0035*($E354-L$18)/$E354,0.002*($E354-L$18)/($E354-3*cc_D/7))))-fcd_cc*(1-(1-MAX(0,MIN(1,IF($E354&lt;=cc_D,0.0035*($E354-L$18)/$E354,0.002*($E354-L$18)/($E354-3*cc_D/7))/0.002)))^2)</f>
        <v/>
      </c>
      <c r="M354">
        <f>MAX(-fyd_cc,MIN(fyd_cc,Es_cc*IF($E354&lt;=cc_D,0.0035*($E354-M$18)/$E354,0.002*($E354-M$18)/($E354-3*cc_D/7))))-fcd_cc*(1-(1-MAX(0,MIN(1,IF($E354&lt;=cc_D,0.0035*($E354-M$18)/$E354,0.002*($E354-M$18)/($E354-3*cc_D/7))/0.002)))^2)</f>
        <v/>
      </c>
      <c r="N354">
        <f>MAX(-fyd_cc,MIN(fyd_cc,Es_cc*IF($E354&lt;=cc_D,0.0035*($E354-N$18)/$E354,0.002*($E354-N$18)/($E354-3*cc_D/7))))-fcd_cc*(1-(1-MAX(0,MIN(1,IF($E354&lt;=cc_D,0.0035*($E354-N$18)/$E354,0.002*($E354-N$18)/($E354-3*cc_D/7))/0.002)))^2)</f>
        <v/>
      </c>
      <c r="O354">
        <f>MAX(-fyd_cc,MIN(fyd_cc,Es_cc*IF($E354&lt;=cc_D,0.0035*($E354-O$18)/$E354,0.002*($E354-O$18)/($E354-3*cc_D/7))))-fcd_cc*(1-(1-MAX(0,MIN(1,IF($E354&lt;=cc_D,0.0035*($E354-O$18)/$E354,0.002*($E354-O$18)/($E354-3*cc_D/7))/0.002)))^2)</f>
        <v/>
      </c>
      <c r="P354">
        <f>MAX(-fyd_cc,MIN(fyd_cc,Es_cc*IF($E354&lt;=cc_D,0.0035*($E354-P$18)/$E354,0.002*($E354-P$18)/($E354-3*cc_D/7))))-fcd_cc*(1-(1-MAX(0,MIN(1,IF($E354&lt;=cc_D,0.0035*($E354-P$18)/$E354,0.002*($E354-P$18)/($E354-3*cc_D/7))/0.002)))^2)</f>
        <v/>
      </c>
      <c r="Q354">
        <f>MAX(-fyd_cc,MIN(fyd_cc,Es_cc*IF($E354&lt;=cc_D,0.0035*($E354-Q$18)/$E354,0.002*($E354-Q$18)/($E354-3*cc_D/7))))-fcd_cc*(1-(1-MAX(0,MIN(1,IF($E354&lt;=cc_D,0.0035*($E354-Q$18)/$E354,0.002*($E354-Q$18)/($E354-3*cc_D/7))/0.002)))^2)</f>
        <v/>
      </c>
      <c r="R354">
        <f>MAX(-fyd_cc,MIN(fyd_cc,Es_cc*IF($E354&lt;=cc_D,0.0035*($E354-R$18)/$E354,0.002*($E354-R$18)/($E354-3*cc_D/7))))-fcd_cc*(1-(1-MAX(0,MIN(1,IF($E354&lt;=cc_D,0.0035*($E354-R$18)/$E354,0.002*($E354-R$18)/($E354-3*cc_D/7))/0.002)))^2)</f>
        <v/>
      </c>
      <c r="S354">
        <f>MAX(-fyd_cc,MIN(fyd_cc,Es_cc*IF($E354&lt;=cc_D,0.0035*($E354-S$18)/$E354,0.002*($E354-S$18)/($E354-3*cc_D/7))))-fcd_cc*(1-(1-MAX(0,MIN(1,IF($E354&lt;=cc_D,0.0035*($E354-S$18)/$E354,0.002*($E354-S$18)/($E354-3*cc_D/7))/0.002)))^2)</f>
        <v/>
      </c>
      <c r="T354">
        <f>MAX(-fyd_cc,MIN(fyd_cc,Es_cc*IF($E354&lt;=cc_D,0.0035*($E354-T$18)/$E354,0.002*($E354-T$18)/($E354-3*cc_D/7))))-fcd_cc*(1-(1-MAX(0,MIN(1,IF($E354&lt;=cc_D,0.0035*($E354-T$18)/$E354,0.002*($E354-T$18)/($E354-3*cc_D/7))/0.002)))^2)</f>
        <v/>
      </c>
      <c r="U354">
        <f>MAX(-fyd_cc,MIN(fyd_cc,Es_cc*IF($E354&lt;=cc_D,0.0035*($E354-U$18)/$E354,0.002*($E354-U$18)/($E354-3*cc_D/7))))-fcd_cc*(1-(1-MAX(0,MIN(1,IF($E354&lt;=cc_D,0.0035*($E354-U$18)/$E354,0.002*($E354-U$18)/($E354-3*cc_D/7))/0.002)))^2)</f>
        <v/>
      </c>
      <c r="V354">
        <f>MAX(-fyd_cc,MIN(fyd_cc,Es_cc*IF($E354&lt;=cc_D,0.0035*($E354-V$18)/$E354,0.002*($E354-V$18)/($E354-3*cc_D/7))))-fcd_cc*(1-(1-MAX(0,MIN(1,IF($E354&lt;=cc_D,0.0035*($E354-V$18)/$E354,0.002*($E354-V$18)/($E354-3*cc_D/7))/0.002)))^2)</f>
        <v/>
      </c>
      <c r="W354">
        <f>MAX(-fyd_cc,MIN(fyd_cc,Es_cc*IF($E354&lt;=cc_D,0.0035*($E354-W$18)/$E354,0.002*($E354-W$18)/($E354-3*cc_D/7))))-fcd_cc*(1-(1-MAX(0,MIN(1,IF($E354&lt;=cc_D,0.0035*($E354-W$18)/$E354,0.002*($E354-W$18)/($E354-3*cc_D/7))/0.002)))^2)</f>
        <v/>
      </c>
      <c r="X354">
        <f>MAX(-fyd_cc,MIN(fyd_cc,Es_cc*IF($E354&lt;=cc_D,0.0035*($E354-X$18)/$E354,0.002*($E354-X$18)/($E354-3*cc_D/7))))-fcd_cc*(1-(1-MAX(0,MIN(1,IF($E354&lt;=cc_D,0.0035*($E354-X$18)/$E354,0.002*($E354-X$18)/($E354-3*cc_D/7))/0.002)))^2)</f>
        <v/>
      </c>
      <c r="Y354">
        <f>MAX(-fyd_cc,MIN(fyd_cc,Es_cc*IF($E354&lt;=cc_D,0.0035*($E354-Y$18)/$E354,0.002*($E354-Y$18)/($E354-3*cc_D/7))))-fcd_cc*(1-(1-MAX(0,MIN(1,IF($E354&lt;=cc_D,0.0035*($E354-Y$18)/$E354,0.002*($E354-Y$18)/($E354-3*cc_D/7))/0.002)))^2)</f>
        <v/>
      </c>
      <c r="Z354">
        <f>MAX(-fyd_cc,MIN(fyd_cc,Es_cc*IF($E354&lt;=cc_D,0.0035*($E354-Z$18)/$E354,0.002*($E354-Z$18)/($E354-3*cc_D/7))))-fcd_cc*(1-(1-MAX(0,MIN(1,IF($E354&lt;=cc_D,0.0035*($E354-Z$18)/$E354,0.002*($E354-Z$18)/($E354-3*cc_D/7))/0.002)))^2)</f>
        <v/>
      </c>
      <c r="AA354">
        <f>MAX(-fyd_cc,MIN(fyd_cc,Es_cc*IF($E354&lt;=cc_D,0.0035*($E354-AA$18)/$E354,0.002*($E354-AA$18)/($E354-3*cc_D/7))))-fcd_cc*(1-(1-MAX(0,MIN(1,IF($E354&lt;=cc_D,0.0035*($E354-AA$18)/$E354,0.002*($E354-AA$18)/($E354-3*cc_D/7))/0.002)))^2)</f>
        <v/>
      </c>
      <c r="AB354">
        <f>MAX(-fyd_cc,MIN(fyd_cc,Es_cc*IF($E354&lt;=cc_D,0.0035*($E354-AB$18)/$E354,0.002*($E354-AB$18)/($E354-3*cc_D/7))))-fcd_cc*(1-(1-MAX(0,MIN(1,IF($E354&lt;=cc_D,0.0035*($E354-AB$18)/$E354,0.002*($E354-AB$18)/($E354-3*cc_D/7))/0.002)))^2)</f>
        <v/>
      </c>
      <c r="AC354">
        <f>MAX(-fyd_cc,MIN(fyd_cc,Es_cc*IF($E354&lt;=cc_D,0.0035*($E354-AC$18)/$E354,0.002*($E354-AC$18)/($E354-3*cc_D/7))))-fcd_cc*(1-(1-MAX(0,MIN(1,IF($E354&lt;=cc_D,0.0035*($E354-AC$18)/$E354,0.002*($E354-AC$18)/($E354-3*cc_D/7))/0.002)))^2)</f>
        <v/>
      </c>
      <c r="AD354">
        <f>MAX(-fyd_cc,MIN(fyd_cc,Es_cc*IF($E354&lt;=cc_D,0.0035*($E354-AD$18)/$E354,0.002*($E354-AD$18)/($E354-3*cc_D/7))))-fcd_cc*(1-(1-MAX(0,MIN(1,IF($E354&lt;=cc_D,0.0035*($E354-AD$18)/$E354,0.002*($E354-AD$18)/($E354-3*cc_D/7))/0.002)))^2)</f>
        <v/>
      </c>
      <c r="AE354">
        <f>MAX(-fyd_cc,MIN(fyd_cc,Es_cc*IF($E354&lt;=cc_D,0.0035*($E354-AE$18)/$E354,0.002*($E354-AE$18)/($E354-3*cc_D/7))))-fcd_cc*(1-(1-MAX(0,MIN(1,IF($E354&lt;=cc_D,0.0035*($E354-AE$18)/$E354,0.002*($E354-AE$18)/($E354-3*cc_D/7))/0.002)))^2)</f>
        <v/>
      </c>
      <c r="AF354">
        <f>MAX(-fyd_cc,MIN(fyd_cc,Es_cc*IF($E354&lt;=cc_D,0.0035*($E354-AF$18)/$E354,0.002*($E354-AF$18)/($E354-3*cc_D/7))))-fcd_cc*(1-(1-MAX(0,MIN(1,IF($E354&lt;=cc_D,0.0035*($E354-AF$18)/$E354,0.002*($E354-AF$18)/($E354-3*cc_D/7))/0.002)))^2)</f>
        <v/>
      </c>
      <c r="AG354">
        <f>MAX(-fyd_cc,MIN(fyd_cc,Es_cc*IF($E354&lt;=cc_D,0.0035*($E354-AG$18)/$E354,0.002*($E354-AG$18)/($E354-3*cc_D/7))))-fcd_cc*(1-(1-MAX(0,MIN(1,IF($E354&lt;=cc_D,0.0035*($E354-AG$18)/$E354,0.002*($E354-AG$18)/($E354-3*cc_D/7))/0.002)))^2)</f>
        <v/>
      </c>
      <c r="BF354">
        <f>3*MIN($E354,cc_D)/7</f>
        <v/>
      </c>
      <c r="BG354">
        <f>$E354-$BF354</f>
        <v/>
      </c>
      <c r="BH354">
        <f>ACOS(MAX(-1,MIN(1,1-$BF354/(cc_D/2))))</f>
        <v/>
      </c>
      <c r="BI354">
        <f>ACOS(MAX(-1,MIN(1,1-MIN($E354,cc_D)/(cc_D/2))))</f>
        <v/>
      </c>
      <c r="BJ354">
        <f>((cc_D/2*(1-COS(($BH354+0*($BI354-$BH354)/12)))-$BF354)/$BG354)^2*SIN(($BH354+0*($BI354-$BH354)/12))^2</f>
        <v/>
      </c>
      <c r="BK354">
        <f>((cc_D/2*(1-COS(($BH354+1*($BI354-$BH354)/12)))-$BF354)/$BG354)^2*SIN(($BH354+1*($BI354-$BH354)/12))^2</f>
        <v/>
      </c>
      <c r="BL354">
        <f>((cc_D/2*(1-COS(($BH354+2*($BI354-$BH354)/12)))-$BF354)/$BG354)^2*SIN(($BH354+2*($BI354-$BH354)/12))^2</f>
        <v/>
      </c>
      <c r="BM354">
        <f>((cc_D/2*(1-COS(($BH354+3*($BI354-$BH354)/12)))-$BF354)/$BG354)^2*SIN(($BH354+3*($BI354-$BH354)/12))^2</f>
        <v/>
      </c>
      <c r="BN354">
        <f>((cc_D/2*(1-COS(($BH354+4*($BI354-$BH354)/12)))-$BF354)/$BG354)^2*SIN(($BH354+4*($BI354-$BH354)/12))^2</f>
        <v/>
      </c>
      <c r="BO354">
        <f>((cc_D/2*(1-COS(($BH354+5*($BI354-$BH354)/12)))-$BF354)/$BG354)^2*SIN(($BH354+5*($BI354-$BH354)/12))^2</f>
        <v/>
      </c>
      <c r="BP354">
        <f>((cc_D/2*(1-COS(($BH354+6*($BI354-$BH354)/12)))-$BF354)/$BG354)^2*SIN(($BH354+6*($BI354-$BH354)/12))^2</f>
        <v/>
      </c>
      <c r="BQ354">
        <f>((cc_D/2*(1-COS(($BH354+7*($BI354-$BH354)/12)))-$BF354)/$BG354)^2*SIN(($BH354+7*($BI354-$BH354)/12))^2</f>
        <v/>
      </c>
      <c r="BR354">
        <f>((cc_D/2*(1-COS(($BH354+8*($BI354-$BH354)/12)))-$BF354)/$BG354)^2*SIN(($BH354+8*($BI354-$BH354)/12))^2</f>
        <v/>
      </c>
      <c r="BS354">
        <f>((cc_D/2*(1-COS(($BH354+9*($BI354-$BH354)/12)))-$BF354)/$BG354)^2*SIN(($BH354+9*($BI354-$BH354)/12))^2</f>
        <v/>
      </c>
      <c r="BT354">
        <f>((cc_D/2*(1-COS(($BH354+10*($BI354-$BH354)/12)))-$BF354)/$BG354)^2*SIN(($BH354+10*($BI354-$BH354)/12))^2</f>
        <v/>
      </c>
      <c r="BU354">
        <f>((cc_D/2*(1-COS(($BH354+11*($BI354-$BH354)/12)))-$BF354)/$BG354)^2*SIN(($BH354+11*($BI354-$BH354)/12))^2</f>
        <v/>
      </c>
      <c r="BV354">
        <f>((cc_D/2*(1-COS(($BH354+12*($BI354-$BH354)/12)))-$BF354)/$BG354)^2*SIN(($BH354+12*($BI354-$BH354)/12))^2</f>
        <v/>
      </c>
      <c r="BW354">
        <f>BJ354*COS(($BH354+0*($BI354-$BH354)/12))</f>
        <v/>
      </c>
      <c r="BX354">
        <f>BK354*COS(($BH354+1*($BI354-$BH354)/12))</f>
        <v/>
      </c>
      <c r="BY354">
        <f>BL354*COS(($BH354+2*($BI354-$BH354)/12))</f>
        <v/>
      </c>
      <c r="BZ354">
        <f>BM354*COS(($BH354+3*($BI354-$BH354)/12))</f>
        <v/>
      </c>
      <c r="CA354">
        <f>BN354*COS(($BH354+4*($BI354-$BH354)/12))</f>
        <v/>
      </c>
      <c r="CB354">
        <f>BO354*COS(($BH354+5*($BI354-$BH354)/12))</f>
        <v/>
      </c>
      <c r="CC354">
        <f>BP354*COS(($BH354+6*($BI354-$BH354)/12))</f>
        <v/>
      </c>
      <c r="CD354">
        <f>BQ354*COS(($BH354+7*($BI354-$BH354)/12))</f>
        <v/>
      </c>
      <c r="CE354">
        <f>BR354*COS(($BH354+8*($BI354-$BH354)/12))</f>
        <v/>
      </c>
      <c r="CF354">
        <f>BS354*COS(($BH354+9*($BI354-$BH354)/12))</f>
        <v/>
      </c>
      <c r="CG354">
        <f>BT354*COS(($BH354+10*($BI354-$BH354)/12))</f>
        <v/>
      </c>
      <c r="CH354">
        <f>BU354*COS(($BH354+11*($BI354-$BH354)/12))</f>
        <v/>
      </c>
      <c r="CI354">
        <f>BV354*COS(($BH354+12*($BI354-$BH354)/12))</f>
        <v/>
      </c>
    </row>
    <row r="355">
      <c r="B355" s="65" t="n">
        <v>14</v>
      </c>
      <c r="C355" s="66">
        <f>IF($G354&lt;cc_NEd-1E-9*ABS(cc_NEd),($C354+$D354)/2,$C354)</f>
        <v/>
      </c>
      <c r="D355" s="66">
        <f>IF($G354&lt;cc_NEd-1E-9*ABS(cc_NEd),$D354,($C354+$D354)/2)</f>
        <v/>
      </c>
      <c r="E355" s="67">
        <f>cc_D*(($C355+$D355)/2)/(1-(($C355+$D355)/2))</f>
        <v/>
      </c>
      <c r="F355" s="68">
        <f>IF($E355&lt;=cc_D,3.5,2*$E355/($E355-3*cc_D/7))</f>
        <v/>
      </c>
      <c r="G355" s="67">
        <f>(fcd_cc*((cc_D/2)^2*($BI355-COS($BI355)*SIN($BI355))-2*(cc_D/2)^2*($BI355-$BH355)/12/3*SUMPRODUCT($BJ$4:$BV$4,$BJ355:$BV355))+SUMPRODUCT($J$5:$AG$5,$J355:$AG355))/1000</f>
        <v/>
      </c>
      <c r="H355" s="67">
        <f>(fcd_cc*(2/3*(cc_D/2)^3*SIN($BI355)^3-2*(cc_D/2)^3*($BI355-$BH355)/12/3*SUMPRODUCT($BW$4:$CI$4,$BW355:$CI355))+SUMPRODUCT($J$5:$AG$5,$J355:$AG355,$J$19:$AG$19))/1E6</f>
        <v/>
      </c>
      <c r="I355" s="67">
        <f>SUMPRODUCT($J$5:$AG$5,$J355:$AG355,$J$20:$AG$20)/1E6</f>
        <v/>
      </c>
      <c r="J355">
        <f>MAX(-fyd_cc,MIN(fyd_cc,Es_cc*IF($E355&lt;=cc_D,0.0035*($E355-J$18)/$E355,0.002*($E355-J$18)/($E355-3*cc_D/7))))-fcd_cc*(1-(1-MAX(0,MIN(1,IF($E355&lt;=cc_D,0.0035*($E355-J$18)/$E355,0.002*($E355-J$18)/($E355-3*cc_D/7))/0.002)))^2)</f>
        <v/>
      </c>
      <c r="K355">
        <f>MAX(-fyd_cc,MIN(fyd_cc,Es_cc*IF($E355&lt;=cc_D,0.0035*($E355-K$18)/$E355,0.002*($E355-K$18)/($E355-3*cc_D/7))))-fcd_cc*(1-(1-MAX(0,MIN(1,IF($E355&lt;=cc_D,0.0035*($E355-K$18)/$E355,0.002*($E355-K$18)/($E355-3*cc_D/7))/0.002)))^2)</f>
        <v/>
      </c>
      <c r="L355">
        <f>MAX(-fyd_cc,MIN(fyd_cc,Es_cc*IF($E355&lt;=cc_D,0.0035*($E355-L$18)/$E355,0.002*($E355-L$18)/($E355-3*cc_D/7))))-fcd_cc*(1-(1-MAX(0,MIN(1,IF($E355&lt;=cc_D,0.0035*($E355-L$18)/$E355,0.002*($E355-L$18)/($E355-3*cc_D/7))/0.002)))^2)</f>
        <v/>
      </c>
      <c r="M355">
        <f>MAX(-fyd_cc,MIN(fyd_cc,Es_cc*IF($E355&lt;=cc_D,0.0035*($E355-M$18)/$E355,0.002*($E355-M$18)/($E355-3*cc_D/7))))-fcd_cc*(1-(1-MAX(0,MIN(1,IF($E355&lt;=cc_D,0.0035*($E355-M$18)/$E355,0.002*($E355-M$18)/($E355-3*cc_D/7))/0.002)))^2)</f>
        <v/>
      </c>
      <c r="N355">
        <f>MAX(-fyd_cc,MIN(fyd_cc,Es_cc*IF($E355&lt;=cc_D,0.0035*($E355-N$18)/$E355,0.002*($E355-N$18)/($E355-3*cc_D/7))))-fcd_cc*(1-(1-MAX(0,MIN(1,IF($E355&lt;=cc_D,0.0035*($E355-N$18)/$E355,0.002*($E355-N$18)/($E355-3*cc_D/7))/0.002)))^2)</f>
        <v/>
      </c>
      <c r="O355">
        <f>MAX(-fyd_cc,MIN(fyd_cc,Es_cc*IF($E355&lt;=cc_D,0.0035*($E355-O$18)/$E355,0.002*($E355-O$18)/($E355-3*cc_D/7))))-fcd_cc*(1-(1-MAX(0,MIN(1,IF($E355&lt;=cc_D,0.0035*($E355-O$18)/$E355,0.002*($E355-O$18)/($E355-3*cc_D/7))/0.002)))^2)</f>
        <v/>
      </c>
      <c r="P355">
        <f>MAX(-fyd_cc,MIN(fyd_cc,Es_cc*IF($E355&lt;=cc_D,0.0035*($E355-P$18)/$E355,0.002*($E355-P$18)/($E355-3*cc_D/7))))-fcd_cc*(1-(1-MAX(0,MIN(1,IF($E355&lt;=cc_D,0.0035*($E355-P$18)/$E355,0.002*($E355-P$18)/($E355-3*cc_D/7))/0.002)))^2)</f>
        <v/>
      </c>
      <c r="Q355">
        <f>MAX(-fyd_cc,MIN(fyd_cc,Es_cc*IF($E355&lt;=cc_D,0.0035*($E355-Q$18)/$E355,0.002*($E355-Q$18)/($E355-3*cc_D/7))))-fcd_cc*(1-(1-MAX(0,MIN(1,IF($E355&lt;=cc_D,0.0035*($E355-Q$18)/$E355,0.002*($E355-Q$18)/($E355-3*cc_D/7))/0.002)))^2)</f>
        <v/>
      </c>
      <c r="R355">
        <f>MAX(-fyd_cc,MIN(fyd_cc,Es_cc*IF($E355&lt;=cc_D,0.0035*($E355-R$18)/$E355,0.002*($E355-R$18)/($E355-3*cc_D/7))))-fcd_cc*(1-(1-MAX(0,MIN(1,IF($E355&lt;=cc_D,0.0035*($E355-R$18)/$E355,0.002*($E355-R$18)/($E355-3*cc_D/7))/0.002)))^2)</f>
        <v/>
      </c>
      <c r="S355">
        <f>MAX(-fyd_cc,MIN(fyd_cc,Es_cc*IF($E355&lt;=cc_D,0.0035*($E355-S$18)/$E355,0.002*($E355-S$18)/($E355-3*cc_D/7))))-fcd_cc*(1-(1-MAX(0,MIN(1,IF($E355&lt;=cc_D,0.0035*($E355-S$18)/$E355,0.002*($E355-S$18)/($E355-3*cc_D/7))/0.002)))^2)</f>
        <v/>
      </c>
      <c r="T355">
        <f>MAX(-fyd_cc,MIN(fyd_cc,Es_cc*IF($E355&lt;=cc_D,0.0035*($E355-T$18)/$E355,0.002*($E355-T$18)/($E355-3*cc_D/7))))-fcd_cc*(1-(1-MAX(0,MIN(1,IF($E355&lt;=cc_D,0.0035*($E355-T$18)/$E355,0.002*($E355-T$18)/($E355-3*cc_D/7))/0.002)))^2)</f>
        <v/>
      </c>
      <c r="U355">
        <f>MAX(-fyd_cc,MIN(fyd_cc,Es_cc*IF($E355&lt;=cc_D,0.0035*($E355-U$18)/$E355,0.002*($E355-U$18)/($E355-3*cc_D/7))))-fcd_cc*(1-(1-MAX(0,MIN(1,IF($E355&lt;=cc_D,0.0035*($E355-U$18)/$E355,0.002*($E355-U$18)/($E355-3*cc_D/7))/0.002)))^2)</f>
        <v/>
      </c>
      <c r="V355">
        <f>MAX(-fyd_cc,MIN(fyd_cc,Es_cc*IF($E355&lt;=cc_D,0.0035*($E355-V$18)/$E355,0.002*($E355-V$18)/($E355-3*cc_D/7))))-fcd_cc*(1-(1-MAX(0,MIN(1,IF($E355&lt;=cc_D,0.0035*($E355-V$18)/$E355,0.002*($E355-V$18)/($E355-3*cc_D/7))/0.002)))^2)</f>
        <v/>
      </c>
      <c r="W355">
        <f>MAX(-fyd_cc,MIN(fyd_cc,Es_cc*IF($E355&lt;=cc_D,0.0035*($E355-W$18)/$E355,0.002*($E355-W$18)/($E355-3*cc_D/7))))-fcd_cc*(1-(1-MAX(0,MIN(1,IF($E355&lt;=cc_D,0.0035*($E355-W$18)/$E355,0.002*($E355-W$18)/($E355-3*cc_D/7))/0.002)))^2)</f>
        <v/>
      </c>
      <c r="X355">
        <f>MAX(-fyd_cc,MIN(fyd_cc,Es_cc*IF($E355&lt;=cc_D,0.0035*($E355-X$18)/$E355,0.002*($E355-X$18)/($E355-3*cc_D/7))))-fcd_cc*(1-(1-MAX(0,MIN(1,IF($E355&lt;=cc_D,0.0035*($E355-X$18)/$E355,0.002*($E355-X$18)/($E355-3*cc_D/7))/0.002)))^2)</f>
        <v/>
      </c>
      <c r="Y355">
        <f>MAX(-fyd_cc,MIN(fyd_cc,Es_cc*IF($E355&lt;=cc_D,0.0035*($E355-Y$18)/$E355,0.002*($E355-Y$18)/($E355-3*cc_D/7))))-fcd_cc*(1-(1-MAX(0,MIN(1,IF($E355&lt;=cc_D,0.0035*($E355-Y$18)/$E355,0.002*($E355-Y$18)/($E355-3*cc_D/7))/0.002)))^2)</f>
        <v/>
      </c>
      <c r="Z355">
        <f>MAX(-fyd_cc,MIN(fyd_cc,Es_cc*IF($E355&lt;=cc_D,0.0035*($E355-Z$18)/$E355,0.002*($E355-Z$18)/($E355-3*cc_D/7))))-fcd_cc*(1-(1-MAX(0,MIN(1,IF($E355&lt;=cc_D,0.0035*($E355-Z$18)/$E355,0.002*($E355-Z$18)/($E355-3*cc_D/7))/0.002)))^2)</f>
        <v/>
      </c>
      <c r="AA355">
        <f>MAX(-fyd_cc,MIN(fyd_cc,Es_cc*IF($E355&lt;=cc_D,0.0035*($E355-AA$18)/$E355,0.002*($E355-AA$18)/($E355-3*cc_D/7))))-fcd_cc*(1-(1-MAX(0,MIN(1,IF($E355&lt;=cc_D,0.0035*($E355-AA$18)/$E355,0.002*($E355-AA$18)/($E355-3*cc_D/7))/0.002)))^2)</f>
        <v/>
      </c>
      <c r="AB355">
        <f>MAX(-fyd_cc,MIN(fyd_cc,Es_cc*IF($E355&lt;=cc_D,0.0035*($E355-AB$18)/$E355,0.002*($E355-AB$18)/($E355-3*cc_D/7))))-fcd_cc*(1-(1-MAX(0,MIN(1,IF($E355&lt;=cc_D,0.0035*($E355-AB$18)/$E355,0.002*($E355-AB$18)/($E355-3*cc_D/7))/0.002)))^2)</f>
        <v/>
      </c>
      <c r="AC355">
        <f>MAX(-fyd_cc,MIN(fyd_cc,Es_cc*IF($E355&lt;=cc_D,0.0035*($E355-AC$18)/$E355,0.002*($E355-AC$18)/($E355-3*cc_D/7))))-fcd_cc*(1-(1-MAX(0,MIN(1,IF($E355&lt;=cc_D,0.0035*($E355-AC$18)/$E355,0.002*($E355-AC$18)/($E355-3*cc_D/7))/0.002)))^2)</f>
        <v/>
      </c>
      <c r="AD355">
        <f>MAX(-fyd_cc,MIN(fyd_cc,Es_cc*IF($E355&lt;=cc_D,0.0035*($E355-AD$18)/$E355,0.002*($E355-AD$18)/($E355-3*cc_D/7))))-fcd_cc*(1-(1-MAX(0,MIN(1,IF($E355&lt;=cc_D,0.0035*($E355-AD$18)/$E355,0.002*($E355-AD$18)/($E355-3*cc_D/7))/0.002)))^2)</f>
        <v/>
      </c>
      <c r="AE355">
        <f>MAX(-fyd_cc,MIN(fyd_cc,Es_cc*IF($E355&lt;=cc_D,0.0035*($E355-AE$18)/$E355,0.002*($E355-AE$18)/($E355-3*cc_D/7))))-fcd_cc*(1-(1-MAX(0,MIN(1,IF($E355&lt;=cc_D,0.0035*($E355-AE$18)/$E355,0.002*($E355-AE$18)/($E355-3*cc_D/7))/0.002)))^2)</f>
        <v/>
      </c>
      <c r="AF355">
        <f>MAX(-fyd_cc,MIN(fyd_cc,Es_cc*IF($E355&lt;=cc_D,0.0035*($E355-AF$18)/$E355,0.002*($E355-AF$18)/($E355-3*cc_D/7))))-fcd_cc*(1-(1-MAX(0,MIN(1,IF($E355&lt;=cc_D,0.0035*($E355-AF$18)/$E355,0.002*($E355-AF$18)/($E355-3*cc_D/7))/0.002)))^2)</f>
        <v/>
      </c>
      <c r="AG355">
        <f>MAX(-fyd_cc,MIN(fyd_cc,Es_cc*IF($E355&lt;=cc_D,0.0035*($E355-AG$18)/$E355,0.002*($E355-AG$18)/($E355-3*cc_D/7))))-fcd_cc*(1-(1-MAX(0,MIN(1,IF($E355&lt;=cc_D,0.0035*($E355-AG$18)/$E355,0.002*($E355-AG$18)/($E355-3*cc_D/7))/0.002)))^2)</f>
        <v/>
      </c>
      <c r="BF355">
        <f>3*MIN($E355,cc_D)/7</f>
        <v/>
      </c>
      <c r="BG355">
        <f>$E355-$BF355</f>
        <v/>
      </c>
      <c r="BH355">
        <f>ACOS(MAX(-1,MIN(1,1-$BF355/(cc_D/2))))</f>
        <v/>
      </c>
      <c r="BI355">
        <f>ACOS(MAX(-1,MIN(1,1-MIN($E355,cc_D)/(cc_D/2))))</f>
        <v/>
      </c>
      <c r="BJ355">
        <f>((cc_D/2*(1-COS(($BH355+0*($BI355-$BH355)/12)))-$BF355)/$BG355)^2*SIN(($BH355+0*($BI355-$BH355)/12))^2</f>
        <v/>
      </c>
      <c r="BK355">
        <f>((cc_D/2*(1-COS(($BH355+1*($BI355-$BH355)/12)))-$BF355)/$BG355)^2*SIN(($BH355+1*($BI355-$BH355)/12))^2</f>
        <v/>
      </c>
      <c r="BL355">
        <f>((cc_D/2*(1-COS(($BH355+2*($BI355-$BH355)/12)))-$BF355)/$BG355)^2*SIN(($BH355+2*($BI355-$BH355)/12))^2</f>
        <v/>
      </c>
      <c r="BM355">
        <f>((cc_D/2*(1-COS(($BH355+3*($BI355-$BH355)/12)))-$BF355)/$BG355)^2*SIN(($BH355+3*($BI355-$BH355)/12))^2</f>
        <v/>
      </c>
      <c r="BN355">
        <f>((cc_D/2*(1-COS(($BH355+4*($BI355-$BH355)/12)))-$BF355)/$BG355)^2*SIN(($BH355+4*($BI355-$BH355)/12))^2</f>
        <v/>
      </c>
      <c r="BO355">
        <f>((cc_D/2*(1-COS(($BH355+5*($BI355-$BH355)/12)))-$BF355)/$BG355)^2*SIN(($BH355+5*($BI355-$BH355)/12))^2</f>
        <v/>
      </c>
      <c r="BP355">
        <f>((cc_D/2*(1-COS(($BH355+6*($BI355-$BH355)/12)))-$BF355)/$BG355)^2*SIN(($BH355+6*($BI355-$BH355)/12))^2</f>
        <v/>
      </c>
      <c r="BQ355">
        <f>((cc_D/2*(1-COS(($BH355+7*($BI355-$BH355)/12)))-$BF355)/$BG355)^2*SIN(($BH355+7*($BI355-$BH355)/12))^2</f>
        <v/>
      </c>
      <c r="BR355">
        <f>((cc_D/2*(1-COS(($BH355+8*($BI355-$BH355)/12)))-$BF355)/$BG355)^2*SIN(($BH355+8*($BI355-$BH355)/12))^2</f>
        <v/>
      </c>
      <c r="BS355">
        <f>((cc_D/2*(1-COS(($BH355+9*($BI355-$BH355)/12)))-$BF355)/$BG355)^2*SIN(($BH355+9*($BI355-$BH355)/12))^2</f>
        <v/>
      </c>
      <c r="BT355">
        <f>((cc_D/2*(1-COS(($BH355+10*($BI355-$BH355)/12)))-$BF355)/$BG355)^2*SIN(($BH355+10*($BI355-$BH355)/12))^2</f>
        <v/>
      </c>
      <c r="BU355">
        <f>((cc_D/2*(1-COS(($BH355+11*($BI355-$BH355)/12)))-$BF355)/$BG355)^2*SIN(($BH355+11*($BI355-$BH355)/12))^2</f>
        <v/>
      </c>
      <c r="BV355">
        <f>((cc_D/2*(1-COS(($BH355+12*($BI355-$BH355)/12)))-$BF355)/$BG355)^2*SIN(($BH355+12*($BI355-$BH355)/12))^2</f>
        <v/>
      </c>
      <c r="BW355">
        <f>BJ355*COS(($BH355+0*($BI355-$BH355)/12))</f>
        <v/>
      </c>
      <c r="BX355">
        <f>BK355*COS(($BH355+1*($BI355-$BH355)/12))</f>
        <v/>
      </c>
      <c r="BY355">
        <f>BL355*COS(($BH355+2*($BI355-$BH355)/12))</f>
        <v/>
      </c>
      <c r="BZ355">
        <f>BM355*COS(($BH355+3*($BI355-$BH355)/12))</f>
        <v/>
      </c>
      <c r="CA355">
        <f>BN355*COS(($BH355+4*($BI355-$BH355)/12))</f>
        <v/>
      </c>
      <c r="CB355">
        <f>BO355*COS(($BH355+5*($BI355-$BH355)/12))</f>
        <v/>
      </c>
      <c r="CC355">
        <f>BP355*COS(($BH355+6*($BI355-$BH355)/12))</f>
        <v/>
      </c>
      <c r="CD355">
        <f>BQ355*COS(($BH355+7*($BI355-$BH355)/12))</f>
        <v/>
      </c>
      <c r="CE355">
        <f>BR355*COS(($BH355+8*($BI355-$BH355)/12))</f>
        <v/>
      </c>
      <c r="CF355">
        <f>BS355*COS(($BH355+9*($BI355-$BH355)/12))</f>
        <v/>
      </c>
      <c r="CG355">
        <f>BT355*COS(($BH355+10*($BI355-$BH355)/12))</f>
        <v/>
      </c>
      <c r="CH355">
        <f>BU355*COS(($BH355+11*($BI355-$BH355)/12))</f>
        <v/>
      </c>
      <c r="CI355">
        <f>BV355*COS(($BH355+12*($BI355-$BH355)/12))</f>
        <v/>
      </c>
    </row>
    <row r="356">
      <c r="B356" s="65" t="n">
        <v>15</v>
      </c>
      <c r="C356" s="66">
        <f>IF($G355&lt;cc_NEd-1E-9*ABS(cc_NEd),($C355+$D355)/2,$C355)</f>
        <v/>
      </c>
      <c r="D356" s="66">
        <f>IF($G355&lt;cc_NEd-1E-9*ABS(cc_NEd),$D355,($C355+$D355)/2)</f>
        <v/>
      </c>
      <c r="E356" s="67">
        <f>cc_D*(($C356+$D356)/2)/(1-(($C356+$D356)/2))</f>
        <v/>
      </c>
      <c r="F356" s="68">
        <f>IF($E356&lt;=cc_D,3.5,2*$E356/($E356-3*cc_D/7))</f>
        <v/>
      </c>
      <c r="G356" s="67">
        <f>(fcd_cc*((cc_D/2)^2*($BI356-COS($BI356)*SIN($BI356))-2*(cc_D/2)^2*($BI356-$BH356)/12/3*SUMPRODUCT($BJ$4:$BV$4,$BJ356:$BV356))+SUMPRODUCT($J$5:$AG$5,$J356:$AG356))/1000</f>
        <v/>
      </c>
      <c r="H356" s="67">
        <f>(fcd_cc*(2/3*(cc_D/2)^3*SIN($BI356)^3-2*(cc_D/2)^3*($BI356-$BH356)/12/3*SUMPRODUCT($BW$4:$CI$4,$BW356:$CI356))+SUMPRODUCT($J$5:$AG$5,$J356:$AG356,$J$19:$AG$19))/1E6</f>
        <v/>
      </c>
      <c r="I356" s="67">
        <f>SUMPRODUCT($J$5:$AG$5,$J356:$AG356,$J$20:$AG$20)/1E6</f>
        <v/>
      </c>
      <c r="J356">
        <f>MAX(-fyd_cc,MIN(fyd_cc,Es_cc*IF($E356&lt;=cc_D,0.0035*($E356-J$18)/$E356,0.002*($E356-J$18)/($E356-3*cc_D/7))))-fcd_cc*(1-(1-MAX(0,MIN(1,IF($E356&lt;=cc_D,0.0035*($E356-J$18)/$E356,0.002*($E356-J$18)/($E356-3*cc_D/7))/0.002)))^2)</f>
        <v/>
      </c>
      <c r="K356">
        <f>MAX(-fyd_cc,MIN(fyd_cc,Es_cc*IF($E356&lt;=cc_D,0.0035*($E356-K$18)/$E356,0.002*($E356-K$18)/($E356-3*cc_D/7))))-fcd_cc*(1-(1-MAX(0,MIN(1,IF($E356&lt;=cc_D,0.0035*($E356-K$18)/$E356,0.002*($E356-K$18)/($E356-3*cc_D/7))/0.002)))^2)</f>
        <v/>
      </c>
      <c r="L356">
        <f>MAX(-fyd_cc,MIN(fyd_cc,Es_cc*IF($E356&lt;=cc_D,0.0035*($E356-L$18)/$E356,0.002*($E356-L$18)/($E356-3*cc_D/7))))-fcd_cc*(1-(1-MAX(0,MIN(1,IF($E356&lt;=cc_D,0.0035*($E356-L$18)/$E356,0.002*($E356-L$18)/($E356-3*cc_D/7))/0.002)))^2)</f>
        <v/>
      </c>
      <c r="M356">
        <f>MAX(-fyd_cc,MIN(fyd_cc,Es_cc*IF($E356&lt;=cc_D,0.0035*($E356-M$18)/$E356,0.002*($E356-M$18)/($E356-3*cc_D/7))))-fcd_cc*(1-(1-MAX(0,MIN(1,IF($E356&lt;=cc_D,0.0035*($E356-M$18)/$E356,0.002*($E356-M$18)/($E356-3*cc_D/7))/0.002)))^2)</f>
        <v/>
      </c>
      <c r="N356">
        <f>MAX(-fyd_cc,MIN(fyd_cc,Es_cc*IF($E356&lt;=cc_D,0.0035*($E356-N$18)/$E356,0.002*($E356-N$18)/($E356-3*cc_D/7))))-fcd_cc*(1-(1-MAX(0,MIN(1,IF($E356&lt;=cc_D,0.0035*($E356-N$18)/$E356,0.002*($E356-N$18)/($E356-3*cc_D/7))/0.002)))^2)</f>
        <v/>
      </c>
      <c r="O356">
        <f>MAX(-fyd_cc,MIN(fyd_cc,Es_cc*IF($E356&lt;=cc_D,0.0035*($E356-O$18)/$E356,0.002*($E356-O$18)/($E356-3*cc_D/7))))-fcd_cc*(1-(1-MAX(0,MIN(1,IF($E356&lt;=cc_D,0.0035*($E356-O$18)/$E356,0.002*($E356-O$18)/($E356-3*cc_D/7))/0.002)))^2)</f>
        <v/>
      </c>
      <c r="P356">
        <f>MAX(-fyd_cc,MIN(fyd_cc,Es_cc*IF($E356&lt;=cc_D,0.0035*($E356-P$18)/$E356,0.002*($E356-P$18)/($E356-3*cc_D/7))))-fcd_cc*(1-(1-MAX(0,MIN(1,IF($E356&lt;=cc_D,0.0035*($E356-P$18)/$E356,0.002*($E356-P$18)/($E356-3*cc_D/7))/0.002)))^2)</f>
        <v/>
      </c>
      <c r="Q356">
        <f>MAX(-fyd_cc,MIN(fyd_cc,Es_cc*IF($E356&lt;=cc_D,0.0035*($E356-Q$18)/$E356,0.002*($E356-Q$18)/($E356-3*cc_D/7))))-fcd_cc*(1-(1-MAX(0,MIN(1,IF($E356&lt;=cc_D,0.0035*($E356-Q$18)/$E356,0.002*($E356-Q$18)/($E356-3*cc_D/7))/0.002)))^2)</f>
        <v/>
      </c>
      <c r="R356">
        <f>MAX(-fyd_cc,MIN(fyd_cc,Es_cc*IF($E356&lt;=cc_D,0.0035*($E356-R$18)/$E356,0.002*($E356-R$18)/($E356-3*cc_D/7))))-fcd_cc*(1-(1-MAX(0,MIN(1,IF($E356&lt;=cc_D,0.0035*($E356-R$18)/$E356,0.002*($E356-R$18)/($E356-3*cc_D/7))/0.002)))^2)</f>
        <v/>
      </c>
      <c r="S356">
        <f>MAX(-fyd_cc,MIN(fyd_cc,Es_cc*IF($E356&lt;=cc_D,0.0035*($E356-S$18)/$E356,0.002*($E356-S$18)/($E356-3*cc_D/7))))-fcd_cc*(1-(1-MAX(0,MIN(1,IF($E356&lt;=cc_D,0.0035*($E356-S$18)/$E356,0.002*($E356-S$18)/($E356-3*cc_D/7))/0.002)))^2)</f>
        <v/>
      </c>
      <c r="T356">
        <f>MAX(-fyd_cc,MIN(fyd_cc,Es_cc*IF($E356&lt;=cc_D,0.0035*($E356-T$18)/$E356,0.002*($E356-T$18)/($E356-3*cc_D/7))))-fcd_cc*(1-(1-MAX(0,MIN(1,IF($E356&lt;=cc_D,0.0035*($E356-T$18)/$E356,0.002*($E356-T$18)/($E356-3*cc_D/7))/0.002)))^2)</f>
        <v/>
      </c>
      <c r="U356">
        <f>MAX(-fyd_cc,MIN(fyd_cc,Es_cc*IF($E356&lt;=cc_D,0.0035*($E356-U$18)/$E356,0.002*($E356-U$18)/($E356-3*cc_D/7))))-fcd_cc*(1-(1-MAX(0,MIN(1,IF($E356&lt;=cc_D,0.0035*($E356-U$18)/$E356,0.002*($E356-U$18)/($E356-3*cc_D/7))/0.002)))^2)</f>
        <v/>
      </c>
      <c r="V356">
        <f>MAX(-fyd_cc,MIN(fyd_cc,Es_cc*IF($E356&lt;=cc_D,0.0035*($E356-V$18)/$E356,0.002*($E356-V$18)/($E356-3*cc_D/7))))-fcd_cc*(1-(1-MAX(0,MIN(1,IF($E356&lt;=cc_D,0.0035*($E356-V$18)/$E356,0.002*($E356-V$18)/($E356-3*cc_D/7))/0.002)))^2)</f>
        <v/>
      </c>
      <c r="W356">
        <f>MAX(-fyd_cc,MIN(fyd_cc,Es_cc*IF($E356&lt;=cc_D,0.0035*($E356-W$18)/$E356,0.002*($E356-W$18)/($E356-3*cc_D/7))))-fcd_cc*(1-(1-MAX(0,MIN(1,IF($E356&lt;=cc_D,0.0035*($E356-W$18)/$E356,0.002*($E356-W$18)/($E356-3*cc_D/7))/0.002)))^2)</f>
        <v/>
      </c>
      <c r="X356">
        <f>MAX(-fyd_cc,MIN(fyd_cc,Es_cc*IF($E356&lt;=cc_D,0.0035*($E356-X$18)/$E356,0.002*($E356-X$18)/($E356-3*cc_D/7))))-fcd_cc*(1-(1-MAX(0,MIN(1,IF($E356&lt;=cc_D,0.0035*($E356-X$18)/$E356,0.002*($E356-X$18)/($E356-3*cc_D/7))/0.002)))^2)</f>
        <v/>
      </c>
      <c r="Y356">
        <f>MAX(-fyd_cc,MIN(fyd_cc,Es_cc*IF($E356&lt;=cc_D,0.0035*($E356-Y$18)/$E356,0.002*($E356-Y$18)/($E356-3*cc_D/7))))-fcd_cc*(1-(1-MAX(0,MIN(1,IF($E356&lt;=cc_D,0.0035*($E356-Y$18)/$E356,0.002*($E356-Y$18)/($E356-3*cc_D/7))/0.002)))^2)</f>
        <v/>
      </c>
      <c r="Z356">
        <f>MAX(-fyd_cc,MIN(fyd_cc,Es_cc*IF($E356&lt;=cc_D,0.0035*($E356-Z$18)/$E356,0.002*($E356-Z$18)/($E356-3*cc_D/7))))-fcd_cc*(1-(1-MAX(0,MIN(1,IF($E356&lt;=cc_D,0.0035*($E356-Z$18)/$E356,0.002*($E356-Z$18)/($E356-3*cc_D/7))/0.002)))^2)</f>
        <v/>
      </c>
      <c r="AA356">
        <f>MAX(-fyd_cc,MIN(fyd_cc,Es_cc*IF($E356&lt;=cc_D,0.0035*($E356-AA$18)/$E356,0.002*($E356-AA$18)/($E356-3*cc_D/7))))-fcd_cc*(1-(1-MAX(0,MIN(1,IF($E356&lt;=cc_D,0.0035*($E356-AA$18)/$E356,0.002*($E356-AA$18)/($E356-3*cc_D/7))/0.002)))^2)</f>
        <v/>
      </c>
      <c r="AB356">
        <f>MAX(-fyd_cc,MIN(fyd_cc,Es_cc*IF($E356&lt;=cc_D,0.0035*($E356-AB$18)/$E356,0.002*($E356-AB$18)/($E356-3*cc_D/7))))-fcd_cc*(1-(1-MAX(0,MIN(1,IF($E356&lt;=cc_D,0.0035*($E356-AB$18)/$E356,0.002*($E356-AB$18)/($E356-3*cc_D/7))/0.002)))^2)</f>
        <v/>
      </c>
      <c r="AC356">
        <f>MAX(-fyd_cc,MIN(fyd_cc,Es_cc*IF($E356&lt;=cc_D,0.0035*($E356-AC$18)/$E356,0.002*($E356-AC$18)/($E356-3*cc_D/7))))-fcd_cc*(1-(1-MAX(0,MIN(1,IF($E356&lt;=cc_D,0.0035*($E356-AC$18)/$E356,0.002*($E356-AC$18)/($E356-3*cc_D/7))/0.002)))^2)</f>
        <v/>
      </c>
      <c r="AD356">
        <f>MAX(-fyd_cc,MIN(fyd_cc,Es_cc*IF($E356&lt;=cc_D,0.0035*($E356-AD$18)/$E356,0.002*($E356-AD$18)/($E356-3*cc_D/7))))-fcd_cc*(1-(1-MAX(0,MIN(1,IF($E356&lt;=cc_D,0.0035*($E356-AD$18)/$E356,0.002*($E356-AD$18)/($E356-3*cc_D/7))/0.002)))^2)</f>
        <v/>
      </c>
      <c r="AE356">
        <f>MAX(-fyd_cc,MIN(fyd_cc,Es_cc*IF($E356&lt;=cc_D,0.0035*($E356-AE$18)/$E356,0.002*($E356-AE$18)/($E356-3*cc_D/7))))-fcd_cc*(1-(1-MAX(0,MIN(1,IF($E356&lt;=cc_D,0.0035*($E356-AE$18)/$E356,0.002*($E356-AE$18)/($E356-3*cc_D/7))/0.002)))^2)</f>
        <v/>
      </c>
      <c r="AF356">
        <f>MAX(-fyd_cc,MIN(fyd_cc,Es_cc*IF($E356&lt;=cc_D,0.0035*($E356-AF$18)/$E356,0.002*($E356-AF$18)/($E356-3*cc_D/7))))-fcd_cc*(1-(1-MAX(0,MIN(1,IF($E356&lt;=cc_D,0.0035*($E356-AF$18)/$E356,0.002*($E356-AF$18)/($E356-3*cc_D/7))/0.002)))^2)</f>
        <v/>
      </c>
      <c r="AG356">
        <f>MAX(-fyd_cc,MIN(fyd_cc,Es_cc*IF($E356&lt;=cc_D,0.0035*($E356-AG$18)/$E356,0.002*($E356-AG$18)/($E356-3*cc_D/7))))-fcd_cc*(1-(1-MAX(0,MIN(1,IF($E356&lt;=cc_D,0.0035*($E356-AG$18)/$E356,0.002*($E356-AG$18)/($E356-3*cc_D/7))/0.002)))^2)</f>
        <v/>
      </c>
      <c r="BF356">
        <f>3*MIN($E356,cc_D)/7</f>
        <v/>
      </c>
      <c r="BG356">
        <f>$E356-$BF356</f>
        <v/>
      </c>
      <c r="BH356">
        <f>ACOS(MAX(-1,MIN(1,1-$BF356/(cc_D/2))))</f>
        <v/>
      </c>
      <c r="BI356">
        <f>ACOS(MAX(-1,MIN(1,1-MIN($E356,cc_D)/(cc_D/2))))</f>
        <v/>
      </c>
      <c r="BJ356">
        <f>((cc_D/2*(1-COS(($BH356+0*($BI356-$BH356)/12)))-$BF356)/$BG356)^2*SIN(($BH356+0*($BI356-$BH356)/12))^2</f>
        <v/>
      </c>
      <c r="BK356">
        <f>((cc_D/2*(1-COS(($BH356+1*($BI356-$BH356)/12)))-$BF356)/$BG356)^2*SIN(($BH356+1*($BI356-$BH356)/12))^2</f>
        <v/>
      </c>
      <c r="BL356">
        <f>((cc_D/2*(1-COS(($BH356+2*($BI356-$BH356)/12)))-$BF356)/$BG356)^2*SIN(($BH356+2*($BI356-$BH356)/12))^2</f>
        <v/>
      </c>
      <c r="BM356">
        <f>((cc_D/2*(1-COS(($BH356+3*($BI356-$BH356)/12)))-$BF356)/$BG356)^2*SIN(($BH356+3*($BI356-$BH356)/12))^2</f>
        <v/>
      </c>
      <c r="BN356">
        <f>((cc_D/2*(1-COS(($BH356+4*($BI356-$BH356)/12)))-$BF356)/$BG356)^2*SIN(($BH356+4*($BI356-$BH356)/12))^2</f>
        <v/>
      </c>
      <c r="BO356">
        <f>((cc_D/2*(1-COS(($BH356+5*($BI356-$BH356)/12)))-$BF356)/$BG356)^2*SIN(($BH356+5*($BI356-$BH356)/12))^2</f>
        <v/>
      </c>
      <c r="BP356">
        <f>((cc_D/2*(1-COS(($BH356+6*($BI356-$BH356)/12)))-$BF356)/$BG356)^2*SIN(($BH356+6*($BI356-$BH356)/12))^2</f>
        <v/>
      </c>
      <c r="BQ356">
        <f>((cc_D/2*(1-COS(($BH356+7*($BI356-$BH356)/12)))-$BF356)/$BG356)^2*SIN(($BH356+7*($BI356-$BH356)/12))^2</f>
        <v/>
      </c>
      <c r="BR356">
        <f>((cc_D/2*(1-COS(($BH356+8*($BI356-$BH356)/12)))-$BF356)/$BG356)^2*SIN(($BH356+8*($BI356-$BH356)/12))^2</f>
        <v/>
      </c>
      <c r="BS356">
        <f>((cc_D/2*(1-COS(($BH356+9*($BI356-$BH356)/12)))-$BF356)/$BG356)^2*SIN(($BH356+9*($BI356-$BH356)/12))^2</f>
        <v/>
      </c>
      <c r="BT356">
        <f>((cc_D/2*(1-COS(($BH356+10*($BI356-$BH356)/12)))-$BF356)/$BG356)^2*SIN(($BH356+10*($BI356-$BH356)/12))^2</f>
        <v/>
      </c>
      <c r="BU356">
        <f>((cc_D/2*(1-COS(($BH356+11*($BI356-$BH356)/12)))-$BF356)/$BG356)^2*SIN(($BH356+11*($BI356-$BH356)/12))^2</f>
        <v/>
      </c>
      <c r="BV356">
        <f>((cc_D/2*(1-COS(($BH356+12*($BI356-$BH356)/12)))-$BF356)/$BG356)^2*SIN(($BH356+12*($BI356-$BH356)/12))^2</f>
        <v/>
      </c>
      <c r="BW356">
        <f>BJ356*COS(($BH356+0*($BI356-$BH356)/12))</f>
        <v/>
      </c>
      <c r="BX356">
        <f>BK356*COS(($BH356+1*($BI356-$BH356)/12))</f>
        <v/>
      </c>
      <c r="BY356">
        <f>BL356*COS(($BH356+2*($BI356-$BH356)/12))</f>
        <v/>
      </c>
      <c r="BZ356">
        <f>BM356*COS(($BH356+3*($BI356-$BH356)/12))</f>
        <v/>
      </c>
      <c r="CA356">
        <f>BN356*COS(($BH356+4*($BI356-$BH356)/12))</f>
        <v/>
      </c>
      <c r="CB356">
        <f>BO356*COS(($BH356+5*($BI356-$BH356)/12))</f>
        <v/>
      </c>
      <c r="CC356">
        <f>BP356*COS(($BH356+6*($BI356-$BH356)/12))</f>
        <v/>
      </c>
      <c r="CD356">
        <f>BQ356*COS(($BH356+7*($BI356-$BH356)/12))</f>
        <v/>
      </c>
      <c r="CE356">
        <f>BR356*COS(($BH356+8*($BI356-$BH356)/12))</f>
        <v/>
      </c>
      <c r="CF356">
        <f>BS356*COS(($BH356+9*($BI356-$BH356)/12))</f>
        <v/>
      </c>
      <c r="CG356">
        <f>BT356*COS(($BH356+10*($BI356-$BH356)/12))</f>
        <v/>
      </c>
      <c r="CH356">
        <f>BU356*COS(($BH356+11*($BI356-$BH356)/12))</f>
        <v/>
      </c>
      <c r="CI356">
        <f>BV356*COS(($BH356+12*($BI356-$BH356)/12))</f>
        <v/>
      </c>
    </row>
    <row r="357">
      <c r="B357" s="65" t="n">
        <v>16</v>
      </c>
      <c r="C357" s="66">
        <f>IF($G356&lt;cc_NEd-1E-9*ABS(cc_NEd),($C356+$D356)/2,$C356)</f>
        <v/>
      </c>
      <c r="D357" s="66">
        <f>IF($G356&lt;cc_NEd-1E-9*ABS(cc_NEd),$D356,($C356+$D356)/2)</f>
        <v/>
      </c>
      <c r="E357" s="67">
        <f>cc_D*(($C357+$D357)/2)/(1-(($C357+$D357)/2))</f>
        <v/>
      </c>
      <c r="F357" s="68">
        <f>IF($E357&lt;=cc_D,3.5,2*$E357/($E357-3*cc_D/7))</f>
        <v/>
      </c>
      <c r="G357" s="67">
        <f>(fcd_cc*((cc_D/2)^2*($BI357-COS($BI357)*SIN($BI357))-2*(cc_D/2)^2*($BI357-$BH357)/12/3*SUMPRODUCT($BJ$4:$BV$4,$BJ357:$BV357))+SUMPRODUCT($J$5:$AG$5,$J357:$AG357))/1000</f>
        <v/>
      </c>
      <c r="H357" s="67">
        <f>(fcd_cc*(2/3*(cc_D/2)^3*SIN($BI357)^3-2*(cc_D/2)^3*($BI357-$BH357)/12/3*SUMPRODUCT($BW$4:$CI$4,$BW357:$CI357))+SUMPRODUCT($J$5:$AG$5,$J357:$AG357,$J$19:$AG$19))/1E6</f>
        <v/>
      </c>
      <c r="I357" s="67">
        <f>SUMPRODUCT($J$5:$AG$5,$J357:$AG357,$J$20:$AG$20)/1E6</f>
        <v/>
      </c>
      <c r="J357">
        <f>MAX(-fyd_cc,MIN(fyd_cc,Es_cc*IF($E357&lt;=cc_D,0.0035*($E357-J$18)/$E357,0.002*($E357-J$18)/($E357-3*cc_D/7))))-fcd_cc*(1-(1-MAX(0,MIN(1,IF($E357&lt;=cc_D,0.0035*($E357-J$18)/$E357,0.002*($E357-J$18)/($E357-3*cc_D/7))/0.002)))^2)</f>
        <v/>
      </c>
      <c r="K357">
        <f>MAX(-fyd_cc,MIN(fyd_cc,Es_cc*IF($E357&lt;=cc_D,0.0035*($E357-K$18)/$E357,0.002*($E357-K$18)/($E357-3*cc_D/7))))-fcd_cc*(1-(1-MAX(0,MIN(1,IF($E357&lt;=cc_D,0.0035*($E357-K$18)/$E357,0.002*($E357-K$18)/($E357-3*cc_D/7))/0.002)))^2)</f>
        <v/>
      </c>
      <c r="L357">
        <f>MAX(-fyd_cc,MIN(fyd_cc,Es_cc*IF($E357&lt;=cc_D,0.0035*($E357-L$18)/$E357,0.002*($E357-L$18)/($E357-3*cc_D/7))))-fcd_cc*(1-(1-MAX(0,MIN(1,IF($E357&lt;=cc_D,0.0035*($E357-L$18)/$E357,0.002*($E357-L$18)/($E357-3*cc_D/7))/0.002)))^2)</f>
        <v/>
      </c>
      <c r="M357">
        <f>MAX(-fyd_cc,MIN(fyd_cc,Es_cc*IF($E357&lt;=cc_D,0.0035*($E357-M$18)/$E357,0.002*($E357-M$18)/($E357-3*cc_D/7))))-fcd_cc*(1-(1-MAX(0,MIN(1,IF($E357&lt;=cc_D,0.0035*($E357-M$18)/$E357,0.002*($E357-M$18)/($E357-3*cc_D/7))/0.002)))^2)</f>
        <v/>
      </c>
      <c r="N357">
        <f>MAX(-fyd_cc,MIN(fyd_cc,Es_cc*IF($E357&lt;=cc_D,0.0035*($E357-N$18)/$E357,0.002*($E357-N$18)/($E357-3*cc_D/7))))-fcd_cc*(1-(1-MAX(0,MIN(1,IF($E357&lt;=cc_D,0.0035*($E357-N$18)/$E357,0.002*($E357-N$18)/($E357-3*cc_D/7))/0.002)))^2)</f>
        <v/>
      </c>
      <c r="O357">
        <f>MAX(-fyd_cc,MIN(fyd_cc,Es_cc*IF($E357&lt;=cc_D,0.0035*($E357-O$18)/$E357,0.002*($E357-O$18)/($E357-3*cc_D/7))))-fcd_cc*(1-(1-MAX(0,MIN(1,IF($E357&lt;=cc_D,0.0035*($E357-O$18)/$E357,0.002*($E357-O$18)/($E357-3*cc_D/7))/0.002)))^2)</f>
        <v/>
      </c>
      <c r="P357">
        <f>MAX(-fyd_cc,MIN(fyd_cc,Es_cc*IF($E357&lt;=cc_D,0.0035*($E357-P$18)/$E357,0.002*($E357-P$18)/($E357-3*cc_D/7))))-fcd_cc*(1-(1-MAX(0,MIN(1,IF($E357&lt;=cc_D,0.0035*($E357-P$18)/$E357,0.002*($E357-P$18)/($E357-3*cc_D/7))/0.002)))^2)</f>
        <v/>
      </c>
      <c r="Q357">
        <f>MAX(-fyd_cc,MIN(fyd_cc,Es_cc*IF($E357&lt;=cc_D,0.0035*($E357-Q$18)/$E357,0.002*($E357-Q$18)/($E357-3*cc_D/7))))-fcd_cc*(1-(1-MAX(0,MIN(1,IF($E357&lt;=cc_D,0.0035*($E357-Q$18)/$E357,0.002*($E357-Q$18)/($E357-3*cc_D/7))/0.002)))^2)</f>
        <v/>
      </c>
      <c r="R357">
        <f>MAX(-fyd_cc,MIN(fyd_cc,Es_cc*IF($E357&lt;=cc_D,0.0035*($E357-R$18)/$E357,0.002*($E357-R$18)/($E357-3*cc_D/7))))-fcd_cc*(1-(1-MAX(0,MIN(1,IF($E357&lt;=cc_D,0.0035*($E357-R$18)/$E357,0.002*($E357-R$18)/($E357-3*cc_D/7))/0.002)))^2)</f>
        <v/>
      </c>
      <c r="S357">
        <f>MAX(-fyd_cc,MIN(fyd_cc,Es_cc*IF($E357&lt;=cc_D,0.0035*($E357-S$18)/$E357,0.002*($E357-S$18)/($E357-3*cc_D/7))))-fcd_cc*(1-(1-MAX(0,MIN(1,IF($E357&lt;=cc_D,0.0035*($E357-S$18)/$E357,0.002*($E357-S$18)/($E357-3*cc_D/7))/0.002)))^2)</f>
        <v/>
      </c>
      <c r="T357">
        <f>MAX(-fyd_cc,MIN(fyd_cc,Es_cc*IF($E357&lt;=cc_D,0.0035*($E357-T$18)/$E357,0.002*($E357-T$18)/($E357-3*cc_D/7))))-fcd_cc*(1-(1-MAX(0,MIN(1,IF($E357&lt;=cc_D,0.0035*($E357-T$18)/$E357,0.002*($E357-T$18)/($E357-3*cc_D/7))/0.002)))^2)</f>
        <v/>
      </c>
      <c r="U357">
        <f>MAX(-fyd_cc,MIN(fyd_cc,Es_cc*IF($E357&lt;=cc_D,0.0035*($E357-U$18)/$E357,0.002*($E357-U$18)/($E357-3*cc_D/7))))-fcd_cc*(1-(1-MAX(0,MIN(1,IF($E357&lt;=cc_D,0.0035*($E357-U$18)/$E357,0.002*($E357-U$18)/($E357-3*cc_D/7))/0.002)))^2)</f>
        <v/>
      </c>
      <c r="V357">
        <f>MAX(-fyd_cc,MIN(fyd_cc,Es_cc*IF($E357&lt;=cc_D,0.0035*($E357-V$18)/$E357,0.002*($E357-V$18)/($E357-3*cc_D/7))))-fcd_cc*(1-(1-MAX(0,MIN(1,IF($E357&lt;=cc_D,0.0035*($E357-V$18)/$E357,0.002*($E357-V$18)/($E357-3*cc_D/7))/0.002)))^2)</f>
        <v/>
      </c>
      <c r="W357">
        <f>MAX(-fyd_cc,MIN(fyd_cc,Es_cc*IF($E357&lt;=cc_D,0.0035*($E357-W$18)/$E357,0.002*($E357-W$18)/($E357-3*cc_D/7))))-fcd_cc*(1-(1-MAX(0,MIN(1,IF($E357&lt;=cc_D,0.0035*($E357-W$18)/$E357,0.002*($E357-W$18)/($E357-3*cc_D/7))/0.002)))^2)</f>
        <v/>
      </c>
      <c r="X357">
        <f>MAX(-fyd_cc,MIN(fyd_cc,Es_cc*IF($E357&lt;=cc_D,0.0035*($E357-X$18)/$E357,0.002*($E357-X$18)/($E357-3*cc_D/7))))-fcd_cc*(1-(1-MAX(0,MIN(1,IF($E357&lt;=cc_D,0.0035*($E357-X$18)/$E357,0.002*($E357-X$18)/($E357-3*cc_D/7))/0.002)))^2)</f>
        <v/>
      </c>
      <c r="Y357">
        <f>MAX(-fyd_cc,MIN(fyd_cc,Es_cc*IF($E357&lt;=cc_D,0.0035*($E357-Y$18)/$E357,0.002*($E357-Y$18)/($E357-3*cc_D/7))))-fcd_cc*(1-(1-MAX(0,MIN(1,IF($E357&lt;=cc_D,0.0035*($E357-Y$18)/$E357,0.002*($E357-Y$18)/($E357-3*cc_D/7))/0.002)))^2)</f>
        <v/>
      </c>
      <c r="Z357">
        <f>MAX(-fyd_cc,MIN(fyd_cc,Es_cc*IF($E357&lt;=cc_D,0.0035*($E357-Z$18)/$E357,0.002*($E357-Z$18)/($E357-3*cc_D/7))))-fcd_cc*(1-(1-MAX(0,MIN(1,IF($E357&lt;=cc_D,0.0035*($E357-Z$18)/$E357,0.002*($E357-Z$18)/($E357-3*cc_D/7))/0.002)))^2)</f>
        <v/>
      </c>
      <c r="AA357">
        <f>MAX(-fyd_cc,MIN(fyd_cc,Es_cc*IF($E357&lt;=cc_D,0.0035*($E357-AA$18)/$E357,0.002*($E357-AA$18)/($E357-3*cc_D/7))))-fcd_cc*(1-(1-MAX(0,MIN(1,IF($E357&lt;=cc_D,0.0035*($E357-AA$18)/$E357,0.002*($E357-AA$18)/($E357-3*cc_D/7))/0.002)))^2)</f>
        <v/>
      </c>
      <c r="AB357">
        <f>MAX(-fyd_cc,MIN(fyd_cc,Es_cc*IF($E357&lt;=cc_D,0.0035*($E357-AB$18)/$E357,0.002*($E357-AB$18)/($E357-3*cc_D/7))))-fcd_cc*(1-(1-MAX(0,MIN(1,IF($E357&lt;=cc_D,0.0035*($E357-AB$18)/$E357,0.002*($E357-AB$18)/($E357-3*cc_D/7))/0.002)))^2)</f>
        <v/>
      </c>
      <c r="AC357">
        <f>MAX(-fyd_cc,MIN(fyd_cc,Es_cc*IF($E357&lt;=cc_D,0.0035*($E357-AC$18)/$E357,0.002*($E357-AC$18)/($E357-3*cc_D/7))))-fcd_cc*(1-(1-MAX(0,MIN(1,IF($E357&lt;=cc_D,0.0035*($E357-AC$18)/$E357,0.002*($E357-AC$18)/($E357-3*cc_D/7))/0.002)))^2)</f>
        <v/>
      </c>
      <c r="AD357">
        <f>MAX(-fyd_cc,MIN(fyd_cc,Es_cc*IF($E357&lt;=cc_D,0.0035*($E357-AD$18)/$E357,0.002*($E357-AD$18)/($E357-3*cc_D/7))))-fcd_cc*(1-(1-MAX(0,MIN(1,IF($E357&lt;=cc_D,0.0035*($E357-AD$18)/$E357,0.002*($E357-AD$18)/($E357-3*cc_D/7))/0.002)))^2)</f>
        <v/>
      </c>
      <c r="AE357">
        <f>MAX(-fyd_cc,MIN(fyd_cc,Es_cc*IF($E357&lt;=cc_D,0.0035*($E357-AE$18)/$E357,0.002*($E357-AE$18)/($E357-3*cc_D/7))))-fcd_cc*(1-(1-MAX(0,MIN(1,IF($E357&lt;=cc_D,0.0035*($E357-AE$18)/$E357,0.002*($E357-AE$18)/($E357-3*cc_D/7))/0.002)))^2)</f>
        <v/>
      </c>
      <c r="AF357">
        <f>MAX(-fyd_cc,MIN(fyd_cc,Es_cc*IF($E357&lt;=cc_D,0.0035*($E357-AF$18)/$E357,0.002*($E357-AF$18)/($E357-3*cc_D/7))))-fcd_cc*(1-(1-MAX(0,MIN(1,IF($E357&lt;=cc_D,0.0035*($E357-AF$18)/$E357,0.002*($E357-AF$18)/($E357-3*cc_D/7))/0.002)))^2)</f>
        <v/>
      </c>
      <c r="AG357">
        <f>MAX(-fyd_cc,MIN(fyd_cc,Es_cc*IF($E357&lt;=cc_D,0.0035*($E357-AG$18)/$E357,0.002*($E357-AG$18)/($E357-3*cc_D/7))))-fcd_cc*(1-(1-MAX(0,MIN(1,IF($E357&lt;=cc_D,0.0035*($E357-AG$18)/$E357,0.002*($E357-AG$18)/($E357-3*cc_D/7))/0.002)))^2)</f>
        <v/>
      </c>
      <c r="BF357">
        <f>3*MIN($E357,cc_D)/7</f>
        <v/>
      </c>
      <c r="BG357">
        <f>$E357-$BF357</f>
        <v/>
      </c>
      <c r="BH357">
        <f>ACOS(MAX(-1,MIN(1,1-$BF357/(cc_D/2))))</f>
        <v/>
      </c>
      <c r="BI357">
        <f>ACOS(MAX(-1,MIN(1,1-MIN($E357,cc_D)/(cc_D/2))))</f>
        <v/>
      </c>
      <c r="BJ357">
        <f>((cc_D/2*(1-COS(($BH357+0*($BI357-$BH357)/12)))-$BF357)/$BG357)^2*SIN(($BH357+0*($BI357-$BH357)/12))^2</f>
        <v/>
      </c>
      <c r="BK357">
        <f>((cc_D/2*(1-COS(($BH357+1*($BI357-$BH357)/12)))-$BF357)/$BG357)^2*SIN(($BH357+1*($BI357-$BH357)/12))^2</f>
        <v/>
      </c>
      <c r="BL357">
        <f>((cc_D/2*(1-COS(($BH357+2*($BI357-$BH357)/12)))-$BF357)/$BG357)^2*SIN(($BH357+2*($BI357-$BH357)/12))^2</f>
        <v/>
      </c>
      <c r="BM357">
        <f>((cc_D/2*(1-COS(($BH357+3*($BI357-$BH357)/12)))-$BF357)/$BG357)^2*SIN(($BH357+3*($BI357-$BH357)/12))^2</f>
        <v/>
      </c>
      <c r="BN357">
        <f>((cc_D/2*(1-COS(($BH357+4*($BI357-$BH357)/12)))-$BF357)/$BG357)^2*SIN(($BH357+4*($BI357-$BH357)/12))^2</f>
        <v/>
      </c>
      <c r="BO357">
        <f>((cc_D/2*(1-COS(($BH357+5*($BI357-$BH357)/12)))-$BF357)/$BG357)^2*SIN(($BH357+5*($BI357-$BH357)/12))^2</f>
        <v/>
      </c>
      <c r="BP357">
        <f>((cc_D/2*(1-COS(($BH357+6*($BI357-$BH357)/12)))-$BF357)/$BG357)^2*SIN(($BH357+6*($BI357-$BH357)/12))^2</f>
        <v/>
      </c>
      <c r="BQ357">
        <f>((cc_D/2*(1-COS(($BH357+7*($BI357-$BH357)/12)))-$BF357)/$BG357)^2*SIN(($BH357+7*($BI357-$BH357)/12))^2</f>
        <v/>
      </c>
      <c r="BR357">
        <f>((cc_D/2*(1-COS(($BH357+8*($BI357-$BH357)/12)))-$BF357)/$BG357)^2*SIN(($BH357+8*($BI357-$BH357)/12))^2</f>
        <v/>
      </c>
      <c r="BS357">
        <f>((cc_D/2*(1-COS(($BH357+9*($BI357-$BH357)/12)))-$BF357)/$BG357)^2*SIN(($BH357+9*($BI357-$BH357)/12))^2</f>
        <v/>
      </c>
      <c r="BT357">
        <f>((cc_D/2*(1-COS(($BH357+10*($BI357-$BH357)/12)))-$BF357)/$BG357)^2*SIN(($BH357+10*($BI357-$BH357)/12))^2</f>
        <v/>
      </c>
      <c r="BU357">
        <f>((cc_D/2*(1-COS(($BH357+11*($BI357-$BH357)/12)))-$BF357)/$BG357)^2*SIN(($BH357+11*($BI357-$BH357)/12))^2</f>
        <v/>
      </c>
      <c r="BV357">
        <f>((cc_D/2*(1-COS(($BH357+12*($BI357-$BH357)/12)))-$BF357)/$BG357)^2*SIN(($BH357+12*($BI357-$BH357)/12))^2</f>
        <v/>
      </c>
      <c r="BW357">
        <f>BJ357*COS(($BH357+0*($BI357-$BH357)/12))</f>
        <v/>
      </c>
      <c r="BX357">
        <f>BK357*COS(($BH357+1*($BI357-$BH357)/12))</f>
        <v/>
      </c>
      <c r="BY357">
        <f>BL357*COS(($BH357+2*($BI357-$BH357)/12))</f>
        <v/>
      </c>
      <c r="BZ357">
        <f>BM357*COS(($BH357+3*($BI357-$BH357)/12))</f>
        <v/>
      </c>
      <c r="CA357">
        <f>BN357*COS(($BH357+4*($BI357-$BH357)/12))</f>
        <v/>
      </c>
      <c r="CB357">
        <f>BO357*COS(($BH357+5*($BI357-$BH357)/12))</f>
        <v/>
      </c>
      <c r="CC357">
        <f>BP357*COS(($BH357+6*($BI357-$BH357)/12))</f>
        <v/>
      </c>
      <c r="CD357">
        <f>BQ357*COS(($BH357+7*($BI357-$BH357)/12))</f>
        <v/>
      </c>
      <c r="CE357">
        <f>BR357*COS(($BH357+8*($BI357-$BH357)/12))</f>
        <v/>
      </c>
      <c r="CF357">
        <f>BS357*COS(($BH357+9*($BI357-$BH357)/12))</f>
        <v/>
      </c>
      <c r="CG357">
        <f>BT357*COS(($BH357+10*($BI357-$BH357)/12))</f>
        <v/>
      </c>
      <c r="CH357">
        <f>BU357*COS(($BH357+11*($BI357-$BH357)/12))</f>
        <v/>
      </c>
      <c r="CI357">
        <f>BV357*COS(($BH357+12*($BI357-$BH357)/12))</f>
        <v/>
      </c>
    </row>
    <row r="358">
      <c r="B358" s="65" t="n">
        <v>17</v>
      </c>
      <c r="C358" s="66">
        <f>IF($G357&lt;cc_NEd-1E-9*ABS(cc_NEd),($C357+$D357)/2,$C357)</f>
        <v/>
      </c>
      <c r="D358" s="66">
        <f>IF($G357&lt;cc_NEd-1E-9*ABS(cc_NEd),$D357,($C357+$D357)/2)</f>
        <v/>
      </c>
      <c r="E358" s="67">
        <f>cc_D*(($C358+$D358)/2)/(1-(($C358+$D358)/2))</f>
        <v/>
      </c>
      <c r="F358" s="68">
        <f>IF($E358&lt;=cc_D,3.5,2*$E358/($E358-3*cc_D/7))</f>
        <v/>
      </c>
      <c r="G358" s="67">
        <f>(fcd_cc*((cc_D/2)^2*($BI358-COS($BI358)*SIN($BI358))-2*(cc_D/2)^2*($BI358-$BH358)/12/3*SUMPRODUCT($BJ$4:$BV$4,$BJ358:$BV358))+SUMPRODUCT($J$5:$AG$5,$J358:$AG358))/1000</f>
        <v/>
      </c>
      <c r="H358" s="67">
        <f>(fcd_cc*(2/3*(cc_D/2)^3*SIN($BI358)^3-2*(cc_D/2)^3*($BI358-$BH358)/12/3*SUMPRODUCT($BW$4:$CI$4,$BW358:$CI358))+SUMPRODUCT($J$5:$AG$5,$J358:$AG358,$J$19:$AG$19))/1E6</f>
        <v/>
      </c>
      <c r="I358" s="67">
        <f>SUMPRODUCT($J$5:$AG$5,$J358:$AG358,$J$20:$AG$20)/1E6</f>
        <v/>
      </c>
      <c r="J358">
        <f>MAX(-fyd_cc,MIN(fyd_cc,Es_cc*IF($E358&lt;=cc_D,0.0035*($E358-J$18)/$E358,0.002*($E358-J$18)/($E358-3*cc_D/7))))-fcd_cc*(1-(1-MAX(0,MIN(1,IF($E358&lt;=cc_D,0.0035*($E358-J$18)/$E358,0.002*($E358-J$18)/($E358-3*cc_D/7))/0.002)))^2)</f>
        <v/>
      </c>
      <c r="K358">
        <f>MAX(-fyd_cc,MIN(fyd_cc,Es_cc*IF($E358&lt;=cc_D,0.0035*($E358-K$18)/$E358,0.002*($E358-K$18)/($E358-3*cc_D/7))))-fcd_cc*(1-(1-MAX(0,MIN(1,IF($E358&lt;=cc_D,0.0035*($E358-K$18)/$E358,0.002*($E358-K$18)/($E358-3*cc_D/7))/0.002)))^2)</f>
        <v/>
      </c>
      <c r="L358">
        <f>MAX(-fyd_cc,MIN(fyd_cc,Es_cc*IF($E358&lt;=cc_D,0.0035*($E358-L$18)/$E358,0.002*($E358-L$18)/($E358-3*cc_D/7))))-fcd_cc*(1-(1-MAX(0,MIN(1,IF($E358&lt;=cc_D,0.0035*($E358-L$18)/$E358,0.002*($E358-L$18)/($E358-3*cc_D/7))/0.002)))^2)</f>
        <v/>
      </c>
      <c r="M358">
        <f>MAX(-fyd_cc,MIN(fyd_cc,Es_cc*IF($E358&lt;=cc_D,0.0035*($E358-M$18)/$E358,0.002*($E358-M$18)/($E358-3*cc_D/7))))-fcd_cc*(1-(1-MAX(0,MIN(1,IF($E358&lt;=cc_D,0.0035*($E358-M$18)/$E358,0.002*($E358-M$18)/($E358-3*cc_D/7))/0.002)))^2)</f>
        <v/>
      </c>
      <c r="N358">
        <f>MAX(-fyd_cc,MIN(fyd_cc,Es_cc*IF($E358&lt;=cc_D,0.0035*($E358-N$18)/$E358,0.002*($E358-N$18)/($E358-3*cc_D/7))))-fcd_cc*(1-(1-MAX(0,MIN(1,IF($E358&lt;=cc_D,0.0035*($E358-N$18)/$E358,0.002*($E358-N$18)/($E358-3*cc_D/7))/0.002)))^2)</f>
        <v/>
      </c>
      <c r="O358">
        <f>MAX(-fyd_cc,MIN(fyd_cc,Es_cc*IF($E358&lt;=cc_D,0.0035*($E358-O$18)/$E358,0.002*($E358-O$18)/($E358-3*cc_D/7))))-fcd_cc*(1-(1-MAX(0,MIN(1,IF($E358&lt;=cc_D,0.0035*($E358-O$18)/$E358,0.002*($E358-O$18)/($E358-3*cc_D/7))/0.002)))^2)</f>
        <v/>
      </c>
      <c r="P358">
        <f>MAX(-fyd_cc,MIN(fyd_cc,Es_cc*IF($E358&lt;=cc_D,0.0035*($E358-P$18)/$E358,0.002*($E358-P$18)/($E358-3*cc_D/7))))-fcd_cc*(1-(1-MAX(0,MIN(1,IF($E358&lt;=cc_D,0.0035*($E358-P$18)/$E358,0.002*($E358-P$18)/($E358-3*cc_D/7))/0.002)))^2)</f>
        <v/>
      </c>
      <c r="Q358">
        <f>MAX(-fyd_cc,MIN(fyd_cc,Es_cc*IF($E358&lt;=cc_D,0.0035*($E358-Q$18)/$E358,0.002*($E358-Q$18)/($E358-3*cc_D/7))))-fcd_cc*(1-(1-MAX(0,MIN(1,IF($E358&lt;=cc_D,0.0035*($E358-Q$18)/$E358,0.002*($E358-Q$18)/($E358-3*cc_D/7))/0.002)))^2)</f>
        <v/>
      </c>
      <c r="R358">
        <f>MAX(-fyd_cc,MIN(fyd_cc,Es_cc*IF($E358&lt;=cc_D,0.0035*($E358-R$18)/$E358,0.002*($E358-R$18)/($E358-3*cc_D/7))))-fcd_cc*(1-(1-MAX(0,MIN(1,IF($E358&lt;=cc_D,0.0035*($E358-R$18)/$E358,0.002*($E358-R$18)/($E358-3*cc_D/7))/0.002)))^2)</f>
        <v/>
      </c>
      <c r="S358">
        <f>MAX(-fyd_cc,MIN(fyd_cc,Es_cc*IF($E358&lt;=cc_D,0.0035*($E358-S$18)/$E358,0.002*($E358-S$18)/($E358-3*cc_D/7))))-fcd_cc*(1-(1-MAX(0,MIN(1,IF($E358&lt;=cc_D,0.0035*($E358-S$18)/$E358,0.002*($E358-S$18)/($E358-3*cc_D/7))/0.002)))^2)</f>
        <v/>
      </c>
      <c r="T358">
        <f>MAX(-fyd_cc,MIN(fyd_cc,Es_cc*IF($E358&lt;=cc_D,0.0035*($E358-T$18)/$E358,0.002*($E358-T$18)/($E358-3*cc_D/7))))-fcd_cc*(1-(1-MAX(0,MIN(1,IF($E358&lt;=cc_D,0.0035*($E358-T$18)/$E358,0.002*($E358-T$18)/($E358-3*cc_D/7))/0.002)))^2)</f>
        <v/>
      </c>
      <c r="U358">
        <f>MAX(-fyd_cc,MIN(fyd_cc,Es_cc*IF($E358&lt;=cc_D,0.0035*($E358-U$18)/$E358,0.002*($E358-U$18)/($E358-3*cc_D/7))))-fcd_cc*(1-(1-MAX(0,MIN(1,IF($E358&lt;=cc_D,0.0035*($E358-U$18)/$E358,0.002*($E358-U$18)/($E358-3*cc_D/7))/0.002)))^2)</f>
        <v/>
      </c>
      <c r="V358">
        <f>MAX(-fyd_cc,MIN(fyd_cc,Es_cc*IF($E358&lt;=cc_D,0.0035*($E358-V$18)/$E358,0.002*($E358-V$18)/($E358-3*cc_D/7))))-fcd_cc*(1-(1-MAX(0,MIN(1,IF($E358&lt;=cc_D,0.0035*($E358-V$18)/$E358,0.002*($E358-V$18)/($E358-3*cc_D/7))/0.002)))^2)</f>
        <v/>
      </c>
      <c r="W358">
        <f>MAX(-fyd_cc,MIN(fyd_cc,Es_cc*IF($E358&lt;=cc_D,0.0035*($E358-W$18)/$E358,0.002*($E358-W$18)/($E358-3*cc_D/7))))-fcd_cc*(1-(1-MAX(0,MIN(1,IF($E358&lt;=cc_D,0.0035*($E358-W$18)/$E358,0.002*($E358-W$18)/($E358-3*cc_D/7))/0.002)))^2)</f>
        <v/>
      </c>
      <c r="X358">
        <f>MAX(-fyd_cc,MIN(fyd_cc,Es_cc*IF($E358&lt;=cc_D,0.0035*($E358-X$18)/$E358,0.002*($E358-X$18)/($E358-3*cc_D/7))))-fcd_cc*(1-(1-MAX(0,MIN(1,IF($E358&lt;=cc_D,0.0035*($E358-X$18)/$E358,0.002*($E358-X$18)/($E358-3*cc_D/7))/0.002)))^2)</f>
        <v/>
      </c>
      <c r="Y358">
        <f>MAX(-fyd_cc,MIN(fyd_cc,Es_cc*IF($E358&lt;=cc_D,0.0035*($E358-Y$18)/$E358,0.002*($E358-Y$18)/($E358-3*cc_D/7))))-fcd_cc*(1-(1-MAX(0,MIN(1,IF($E358&lt;=cc_D,0.0035*($E358-Y$18)/$E358,0.002*($E358-Y$18)/($E358-3*cc_D/7))/0.002)))^2)</f>
        <v/>
      </c>
      <c r="Z358">
        <f>MAX(-fyd_cc,MIN(fyd_cc,Es_cc*IF($E358&lt;=cc_D,0.0035*($E358-Z$18)/$E358,0.002*($E358-Z$18)/($E358-3*cc_D/7))))-fcd_cc*(1-(1-MAX(0,MIN(1,IF($E358&lt;=cc_D,0.0035*($E358-Z$18)/$E358,0.002*($E358-Z$18)/($E358-3*cc_D/7))/0.002)))^2)</f>
        <v/>
      </c>
      <c r="AA358">
        <f>MAX(-fyd_cc,MIN(fyd_cc,Es_cc*IF($E358&lt;=cc_D,0.0035*($E358-AA$18)/$E358,0.002*($E358-AA$18)/($E358-3*cc_D/7))))-fcd_cc*(1-(1-MAX(0,MIN(1,IF($E358&lt;=cc_D,0.0035*($E358-AA$18)/$E358,0.002*($E358-AA$18)/($E358-3*cc_D/7))/0.002)))^2)</f>
        <v/>
      </c>
      <c r="AB358">
        <f>MAX(-fyd_cc,MIN(fyd_cc,Es_cc*IF($E358&lt;=cc_D,0.0035*($E358-AB$18)/$E358,0.002*($E358-AB$18)/($E358-3*cc_D/7))))-fcd_cc*(1-(1-MAX(0,MIN(1,IF($E358&lt;=cc_D,0.0035*($E358-AB$18)/$E358,0.002*($E358-AB$18)/($E358-3*cc_D/7))/0.002)))^2)</f>
        <v/>
      </c>
      <c r="AC358">
        <f>MAX(-fyd_cc,MIN(fyd_cc,Es_cc*IF($E358&lt;=cc_D,0.0035*($E358-AC$18)/$E358,0.002*($E358-AC$18)/($E358-3*cc_D/7))))-fcd_cc*(1-(1-MAX(0,MIN(1,IF($E358&lt;=cc_D,0.0035*($E358-AC$18)/$E358,0.002*($E358-AC$18)/($E358-3*cc_D/7))/0.002)))^2)</f>
        <v/>
      </c>
      <c r="AD358">
        <f>MAX(-fyd_cc,MIN(fyd_cc,Es_cc*IF($E358&lt;=cc_D,0.0035*($E358-AD$18)/$E358,0.002*($E358-AD$18)/($E358-3*cc_D/7))))-fcd_cc*(1-(1-MAX(0,MIN(1,IF($E358&lt;=cc_D,0.0035*($E358-AD$18)/$E358,0.002*($E358-AD$18)/($E358-3*cc_D/7))/0.002)))^2)</f>
        <v/>
      </c>
      <c r="AE358">
        <f>MAX(-fyd_cc,MIN(fyd_cc,Es_cc*IF($E358&lt;=cc_D,0.0035*($E358-AE$18)/$E358,0.002*($E358-AE$18)/($E358-3*cc_D/7))))-fcd_cc*(1-(1-MAX(0,MIN(1,IF($E358&lt;=cc_D,0.0035*($E358-AE$18)/$E358,0.002*($E358-AE$18)/($E358-3*cc_D/7))/0.002)))^2)</f>
        <v/>
      </c>
      <c r="AF358">
        <f>MAX(-fyd_cc,MIN(fyd_cc,Es_cc*IF($E358&lt;=cc_D,0.0035*($E358-AF$18)/$E358,0.002*($E358-AF$18)/($E358-3*cc_D/7))))-fcd_cc*(1-(1-MAX(0,MIN(1,IF($E358&lt;=cc_D,0.0035*($E358-AF$18)/$E358,0.002*($E358-AF$18)/($E358-3*cc_D/7))/0.002)))^2)</f>
        <v/>
      </c>
      <c r="AG358">
        <f>MAX(-fyd_cc,MIN(fyd_cc,Es_cc*IF($E358&lt;=cc_D,0.0035*($E358-AG$18)/$E358,0.002*($E358-AG$18)/($E358-3*cc_D/7))))-fcd_cc*(1-(1-MAX(0,MIN(1,IF($E358&lt;=cc_D,0.0035*($E358-AG$18)/$E358,0.002*($E358-AG$18)/($E358-3*cc_D/7))/0.002)))^2)</f>
        <v/>
      </c>
      <c r="BF358">
        <f>3*MIN($E358,cc_D)/7</f>
        <v/>
      </c>
      <c r="BG358">
        <f>$E358-$BF358</f>
        <v/>
      </c>
      <c r="BH358">
        <f>ACOS(MAX(-1,MIN(1,1-$BF358/(cc_D/2))))</f>
        <v/>
      </c>
      <c r="BI358">
        <f>ACOS(MAX(-1,MIN(1,1-MIN($E358,cc_D)/(cc_D/2))))</f>
        <v/>
      </c>
      <c r="BJ358">
        <f>((cc_D/2*(1-COS(($BH358+0*($BI358-$BH358)/12)))-$BF358)/$BG358)^2*SIN(($BH358+0*($BI358-$BH358)/12))^2</f>
        <v/>
      </c>
      <c r="BK358">
        <f>((cc_D/2*(1-COS(($BH358+1*($BI358-$BH358)/12)))-$BF358)/$BG358)^2*SIN(($BH358+1*($BI358-$BH358)/12))^2</f>
        <v/>
      </c>
      <c r="BL358">
        <f>((cc_D/2*(1-COS(($BH358+2*($BI358-$BH358)/12)))-$BF358)/$BG358)^2*SIN(($BH358+2*($BI358-$BH358)/12))^2</f>
        <v/>
      </c>
      <c r="BM358">
        <f>((cc_D/2*(1-COS(($BH358+3*($BI358-$BH358)/12)))-$BF358)/$BG358)^2*SIN(($BH358+3*($BI358-$BH358)/12))^2</f>
        <v/>
      </c>
      <c r="BN358">
        <f>((cc_D/2*(1-COS(($BH358+4*($BI358-$BH358)/12)))-$BF358)/$BG358)^2*SIN(($BH358+4*($BI358-$BH358)/12))^2</f>
        <v/>
      </c>
      <c r="BO358">
        <f>((cc_D/2*(1-COS(($BH358+5*($BI358-$BH358)/12)))-$BF358)/$BG358)^2*SIN(($BH358+5*($BI358-$BH358)/12))^2</f>
        <v/>
      </c>
      <c r="BP358">
        <f>((cc_D/2*(1-COS(($BH358+6*($BI358-$BH358)/12)))-$BF358)/$BG358)^2*SIN(($BH358+6*($BI358-$BH358)/12))^2</f>
        <v/>
      </c>
      <c r="BQ358">
        <f>((cc_D/2*(1-COS(($BH358+7*($BI358-$BH358)/12)))-$BF358)/$BG358)^2*SIN(($BH358+7*($BI358-$BH358)/12))^2</f>
        <v/>
      </c>
      <c r="BR358">
        <f>((cc_D/2*(1-COS(($BH358+8*($BI358-$BH358)/12)))-$BF358)/$BG358)^2*SIN(($BH358+8*($BI358-$BH358)/12))^2</f>
        <v/>
      </c>
      <c r="BS358">
        <f>((cc_D/2*(1-COS(($BH358+9*($BI358-$BH358)/12)))-$BF358)/$BG358)^2*SIN(($BH358+9*($BI358-$BH358)/12))^2</f>
        <v/>
      </c>
      <c r="BT358">
        <f>((cc_D/2*(1-COS(($BH358+10*($BI358-$BH358)/12)))-$BF358)/$BG358)^2*SIN(($BH358+10*($BI358-$BH358)/12))^2</f>
        <v/>
      </c>
      <c r="BU358">
        <f>((cc_D/2*(1-COS(($BH358+11*($BI358-$BH358)/12)))-$BF358)/$BG358)^2*SIN(($BH358+11*($BI358-$BH358)/12))^2</f>
        <v/>
      </c>
      <c r="BV358">
        <f>((cc_D/2*(1-COS(($BH358+12*($BI358-$BH358)/12)))-$BF358)/$BG358)^2*SIN(($BH358+12*($BI358-$BH358)/12))^2</f>
        <v/>
      </c>
      <c r="BW358">
        <f>BJ358*COS(($BH358+0*($BI358-$BH358)/12))</f>
        <v/>
      </c>
      <c r="BX358">
        <f>BK358*COS(($BH358+1*($BI358-$BH358)/12))</f>
        <v/>
      </c>
      <c r="BY358">
        <f>BL358*COS(($BH358+2*($BI358-$BH358)/12))</f>
        <v/>
      </c>
      <c r="BZ358">
        <f>BM358*COS(($BH358+3*($BI358-$BH358)/12))</f>
        <v/>
      </c>
      <c r="CA358">
        <f>BN358*COS(($BH358+4*($BI358-$BH358)/12))</f>
        <v/>
      </c>
      <c r="CB358">
        <f>BO358*COS(($BH358+5*($BI358-$BH358)/12))</f>
        <v/>
      </c>
      <c r="CC358">
        <f>BP358*COS(($BH358+6*($BI358-$BH358)/12))</f>
        <v/>
      </c>
      <c r="CD358">
        <f>BQ358*COS(($BH358+7*($BI358-$BH358)/12))</f>
        <v/>
      </c>
      <c r="CE358">
        <f>BR358*COS(($BH358+8*($BI358-$BH358)/12))</f>
        <v/>
      </c>
      <c r="CF358">
        <f>BS358*COS(($BH358+9*($BI358-$BH358)/12))</f>
        <v/>
      </c>
      <c r="CG358">
        <f>BT358*COS(($BH358+10*($BI358-$BH358)/12))</f>
        <v/>
      </c>
      <c r="CH358">
        <f>BU358*COS(($BH358+11*($BI358-$BH358)/12))</f>
        <v/>
      </c>
      <c r="CI358">
        <f>BV358*COS(($BH358+12*($BI358-$BH358)/12))</f>
        <v/>
      </c>
    </row>
    <row r="359">
      <c r="B359" s="65" t="n">
        <v>18</v>
      </c>
      <c r="C359" s="66">
        <f>IF($G358&lt;cc_NEd-1E-9*ABS(cc_NEd),($C358+$D358)/2,$C358)</f>
        <v/>
      </c>
      <c r="D359" s="66">
        <f>IF($G358&lt;cc_NEd-1E-9*ABS(cc_NEd),$D358,($C358+$D358)/2)</f>
        <v/>
      </c>
      <c r="E359" s="67">
        <f>cc_D*(($C359+$D359)/2)/(1-(($C359+$D359)/2))</f>
        <v/>
      </c>
      <c r="F359" s="68">
        <f>IF($E359&lt;=cc_D,3.5,2*$E359/($E359-3*cc_D/7))</f>
        <v/>
      </c>
      <c r="G359" s="67">
        <f>(fcd_cc*((cc_D/2)^2*($BI359-COS($BI359)*SIN($BI359))-2*(cc_D/2)^2*($BI359-$BH359)/12/3*SUMPRODUCT($BJ$4:$BV$4,$BJ359:$BV359))+SUMPRODUCT($J$5:$AG$5,$J359:$AG359))/1000</f>
        <v/>
      </c>
      <c r="H359" s="67">
        <f>(fcd_cc*(2/3*(cc_D/2)^3*SIN($BI359)^3-2*(cc_D/2)^3*($BI359-$BH359)/12/3*SUMPRODUCT($BW$4:$CI$4,$BW359:$CI359))+SUMPRODUCT($J$5:$AG$5,$J359:$AG359,$J$19:$AG$19))/1E6</f>
        <v/>
      </c>
      <c r="I359" s="67">
        <f>SUMPRODUCT($J$5:$AG$5,$J359:$AG359,$J$20:$AG$20)/1E6</f>
        <v/>
      </c>
      <c r="J359">
        <f>MAX(-fyd_cc,MIN(fyd_cc,Es_cc*IF($E359&lt;=cc_D,0.0035*($E359-J$18)/$E359,0.002*($E359-J$18)/($E359-3*cc_D/7))))-fcd_cc*(1-(1-MAX(0,MIN(1,IF($E359&lt;=cc_D,0.0035*($E359-J$18)/$E359,0.002*($E359-J$18)/($E359-3*cc_D/7))/0.002)))^2)</f>
        <v/>
      </c>
      <c r="K359">
        <f>MAX(-fyd_cc,MIN(fyd_cc,Es_cc*IF($E359&lt;=cc_D,0.0035*($E359-K$18)/$E359,0.002*($E359-K$18)/($E359-3*cc_D/7))))-fcd_cc*(1-(1-MAX(0,MIN(1,IF($E359&lt;=cc_D,0.0035*($E359-K$18)/$E359,0.002*($E359-K$18)/($E359-3*cc_D/7))/0.002)))^2)</f>
        <v/>
      </c>
      <c r="L359">
        <f>MAX(-fyd_cc,MIN(fyd_cc,Es_cc*IF($E359&lt;=cc_D,0.0035*($E359-L$18)/$E359,0.002*($E359-L$18)/($E359-3*cc_D/7))))-fcd_cc*(1-(1-MAX(0,MIN(1,IF($E359&lt;=cc_D,0.0035*($E359-L$18)/$E359,0.002*($E359-L$18)/($E359-3*cc_D/7))/0.002)))^2)</f>
        <v/>
      </c>
      <c r="M359">
        <f>MAX(-fyd_cc,MIN(fyd_cc,Es_cc*IF($E359&lt;=cc_D,0.0035*($E359-M$18)/$E359,0.002*($E359-M$18)/($E359-3*cc_D/7))))-fcd_cc*(1-(1-MAX(0,MIN(1,IF($E359&lt;=cc_D,0.0035*($E359-M$18)/$E359,0.002*($E359-M$18)/($E359-3*cc_D/7))/0.002)))^2)</f>
        <v/>
      </c>
      <c r="N359">
        <f>MAX(-fyd_cc,MIN(fyd_cc,Es_cc*IF($E359&lt;=cc_D,0.0035*($E359-N$18)/$E359,0.002*($E359-N$18)/($E359-3*cc_D/7))))-fcd_cc*(1-(1-MAX(0,MIN(1,IF($E359&lt;=cc_D,0.0035*($E359-N$18)/$E359,0.002*($E359-N$18)/($E359-3*cc_D/7))/0.002)))^2)</f>
        <v/>
      </c>
      <c r="O359">
        <f>MAX(-fyd_cc,MIN(fyd_cc,Es_cc*IF($E359&lt;=cc_D,0.0035*($E359-O$18)/$E359,0.002*($E359-O$18)/($E359-3*cc_D/7))))-fcd_cc*(1-(1-MAX(0,MIN(1,IF($E359&lt;=cc_D,0.0035*($E359-O$18)/$E359,0.002*($E359-O$18)/($E359-3*cc_D/7))/0.002)))^2)</f>
        <v/>
      </c>
      <c r="P359">
        <f>MAX(-fyd_cc,MIN(fyd_cc,Es_cc*IF($E359&lt;=cc_D,0.0035*($E359-P$18)/$E359,0.002*($E359-P$18)/($E359-3*cc_D/7))))-fcd_cc*(1-(1-MAX(0,MIN(1,IF($E359&lt;=cc_D,0.0035*($E359-P$18)/$E359,0.002*($E359-P$18)/($E359-3*cc_D/7))/0.002)))^2)</f>
        <v/>
      </c>
      <c r="Q359">
        <f>MAX(-fyd_cc,MIN(fyd_cc,Es_cc*IF($E359&lt;=cc_D,0.0035*($E359-Q$18)/$E359,0.002*($E359-Q$18)/($E359-3*cc_D/7))))-fcd_cc*(1-(1-MAX(0,MIN(1,IF($E359&lt;=cc_D,0.0035*($E359-Q$18)/$E359,0.002*($E359-Q$18)/($E359-3*cc_D/7))/0.002)))^2)</f>
        <v/>
      </c>
      <c r="R359">
        <f>MAX(-fyd_cc,MIN(fyd_cc,Es_cc*IF($E359&lt;=cc_D,0.0035*($E359-R$18)/$E359,0.002*($E359-R$18)/($E359-3*cc_D/7))))-fcd_cc*(1-(1-MAX(0,MIN(1,IF($E359&lt;=cc_D,0.0035*($E359-R$18)/$E359,0.002*($E359-R$18)/($E359-3*cc_D/7))/0.002)))^2)</f>
        <v/>
      </c>
      <c r="S359">
        <f>MAX(-fyd_cc,MIN(fyd_cc,Es_cc*IF($E359&lt;=cc_D,0.0035*($E359-S$18)/$E359,0.002*($E359-S$18)/($E359-3*cc_D/7))))-fcd_cc*(1-(1-MAX(0,MIN(1,IF($E359&lt;=cc_D,0.0035*($E359-S$18)/$E359,0.002*($E359-S$18)/($E359-3*cc_D/7))/0.002)))^2)</f>
        <v/>
      </c>
      <c r="T359">
        <f>MAX(-fyd_cc,MIN(fyd_cc,Es_cc*IF($E359&lt;=cc_D,0.0035*($E359-T$18)/$E359,0.002*($E359-T$18)/($E359-3*cc_D/7))))-fcd_cc*(1-(1-MAX(0,MIN(1,IF($E359&lt;=cc_D,0.0035*($E359-T$18)/$E359,0.002*($E359-T$18)/($E359-3*cc_D/7))/0.002)))^2)</f>
        <v/>
      </c>
      <c r="U359">
        <f>MAX(-fyd_cc,MIN(fyd_cc,Es_cc*IF($E359&lt;=cc_D,0.0035*($E359-U$18)/$E359,0.002*($E359-U$18)/($E359-3*cc_D/7))))-fcd_cc*(1-(1-MAX(0,MIN(1,IF($E359&lt;=cc_D,0.0035*($E359-U$18)/$E359,0.002*($E359-U$18)/($E359-3*cc_D/7))/0.002)))^2)</f>
        <v/>
      </c>
      <c r="V359">
        <f>MAX(-fyd_cc,MIN(fyd_cc,Es_cc*IF($E359&lt;=cc_D,0.0035*($E359-V$18)/$E359,0.002*($E359-V$18)/($E359-3*cc_D/7))))-fcd_cc*(1-(1-MAX(0,MIN(1,IF($E359&lt;=cc_D,0.0035*($E359-V$18)/$E359,0.002*($E359-V$18)/($E359-3*cc_D/7))/0.002)))^2)</f>
        <v/>
      </c>
      <c r="W359">
        <f>MAX(-fyd_cc,MIN(fyd_cc,Es_cc*IF($E359&lt;=cc_D,0.0035*($E359-W$18)/$E359,0.002*($E359-W$18)/($E359-3*cc_D/7))))-fcd_cc*(1-(1-MAX(0,MIN(1,IF($E359&lt;=cc_D,0.0035*($E359-W$18)/$E359,0.002*($E359-W$18)/($E359-3*cc_D/7))/0.002)))^2)</f>
        <v/>
      </c>
      <c r="X359">
        <f>MAX(-fyd_cc,MIN(fyd_cc,Es_cc*IF($E359&lt;=cc_D,0.0035*($E359-X$18)/$E359,0.002*($E359-X$18)/($E359-3*cc_D/7))))-fcd_cc*(1-(1-MAX(0,MIN(1,IF($E359&lt;=cc_D,0.0035*($E359-X$18)/$E359,0.002*($E359-X$18)/($E359-3*cc_D/7))/0.002)))^2)</f>
        <v/>
      </c>
      <c r="Y359">
        <f>MAX(-fyd_cc,MIN(fyd_cc,Es_cc*IF($E359&lt;=cc_D,0.0035*($E359-Y$18)/$E359,0.002*($E359-Y$18)/($E359-3*cc_D/7))))-fcd_cc*(1-(1-MAX(0,MIN(1,IF($E359&lt;=cc_D,0.0035*($E359-Y$18)/$E359,0.002*($E359-Y$18)/($E359-3*cc_D/7))/0.002)))^2)</f>
        <v/>
      </c>
      <c r="Z359">
        <f>MAX(-fyd_cc,MIN(fyd_cc,Es_cc*IF($E359&lt;=cc_D,0.0035*($E359-Z$18)/$E359,0.002*($E359-Z$18)/($E359-3*cc_D/7))))-fcd_cc*(1-(1-MAX(0,MIN(1,IF($E359&lt;=cc_D,0.0035*($E359-Z$18)/$E359,0.002*($E359-Z$18)/($E359-3*cc_D/7))/0.002)))^2)</f>
        <v/>
      </c>
      <c r="AA359">
        <f>MAX(-fyd_cc,MIN(fyd_cc,Es_cc*IF($E359&lt;=cc_D,0.0035*($E359-AA$18)/$E359,0.002*($E359-AA$18)/($E359-3*cc_D/7))))-fcd_cc*(1-(1-MAX(0,MIN(1,IF($E359&lt;=cc_D,0.0035*($E359-AA$18)/$E359,0.002*($E359-AA$18)/($E359-3*cc_D/7))/0.002)))^2)</f>
        <v/>
      </c>
      <c r="AB359">
        <f>MAX(-fyd_cc,MIN(fyd_cc,Es_cc*IF($E359&lt;=cc_D,0.0035*($E359-AB$18)/$E359,0.002*($E359-AB$18)/($E359-3*cc_D/7))))-fcd_cc*(1-(1-MAX(0,MIN(1,IF($E359&lt;=cc_D,0.0035*($E359-AB$18)/$E359,0.002*($E359-AB$18)/($E359-3*cc_D/7))/0.002)))^2)</f>
        <v/>
      </c>
      <c r="AC359">
        <f>MAX(-fyd_cc,MIN(fyd_cc,Es_cc*IF($E359&lt;=cc_D,0.0035*($E359-AC$18)/$E359,0.002*($E359-AC$18)/($E359-3*cc_D/7))))-fcd_cc*(1-(1-MAX(0,MIN(1,IF($E359&lt;=cc_D,0.0035*($E359-AC$18)/$E359,0.002*($E359-AC$18)/($E359-3*cc_D/7))/0.002)))^2)</f>
        <v/>
      </c>
      <c r="AD359">
        <f>MAX(-fyd_cc,MIN(fyd_cc,Es_cc*IF($E359&lt;=cc_D,0.0035*($E359-AD$18)/$E359,0.002*($E359-AD$18)/($E359-3*cc_D/7))))-fcd_cc*(1-(1-MAX(0,MIN(1,IF($E359&lt;=cc_D,0.0035*($E359-AD$18)/$E359,0.002*($E359-AD$18)/($E359-3*cc_D/7))/0.002)))^2)</f>
        <v/>
      </c>
      <c r="AE359">
        <f>MAX(-fyd_cc,MIN(fyd_cc,Es_cc*IF($E359&lt;=cc_D,0.0035*($E359-AE$18)/$E359,0.002*($E359-AE$18)/($E359-3*cc_D/7))))-fcd_cc*(1-(1-MAX(0,MIN(1,IF($E359&lt;=cc_D,0.0035*($E359-AE$18)/$E359,0.002*($E359-AE$18)/($E359-3*cc_D/7))/0.002)))^2)</f>
        <v/>
      </c>
      <c r="AF359">
        <f>MAX(-fyd_cc,MIN(fyd_cc,Es_cc*IF($E359&lt;=cc_D,0.0035*($E359-AF$18)/$E359,0.002*($E359-AF$18)/($E359-3*cc_D/7))))-fcd_cc*(1-(1-MAX(0,MIN(1,IF($E359&lt;=cc_D,0.0035*($E359-AF$18)/$E359,0.002*($E359-AF$18)/($E359-3*cc_D/7))/0.002)))^2)</f>
        <v/>
      </c>
      <c r="AG359">
        <f>MAX(-fyd_cc,MIN(fyd_cc,Es_cc*IF($E359&lt;=cc_D,0.0035*($E359-AG$18)/$E359,0.002*($E359-AG$18)/($E359-3*cc_D/7))))-fcd_cc*(1-(1-MAX(0,MIN(1,IF($E359&lt;=cc_D,0.0035*($E359-AG$18)/$E359,0.002*($E359-AG$18)/($E359-3*cc_D/7))/0.002)))^2)</f>
        <v/>
      </c>
      <c r="BF359">
        <f>3*MIN($E359,cc_D)/7</f>
        <v/>
      </c>
      <c r="BG359">
        <f>$E359-$BF359</f>
        <v/>
      </c>
      <c r="BH359">
        <f>ACOS(MAX(-1,MIN(1,1-$BF359/(cc_D/2))))</f>
        <v/>
      </c>
      <c r="BI359">
        <f>ACOS(MAX(-1,MIN(1,1-MIN($E359,cc_D)/(cc_D/2))))</f>
        <v/>
      </c>
      <c r="BJ359">
        <f>((cc_D/2*(1-COS(($BH359+0*($BI359-$BH359)/12)))-$BF359)/$BG359)^2*SIN(($BH359+0*($BI359-$BH359)/12))^2</f>
        <v/>
      </c>
      <c r="BK359">
        <f>((cc_D/2*(1-COS(($BH359+1*($BI359-$BH359)/12)))-$BF359)/$BG359)^2*SIN(($BH359+1*($BI359-$BH359)/12))^2</f>
        <v/>
      </c>
      <c r="BL359">
        <f>((cc_D/2*(1-COS(($BH359+2*($BI359-$BH359)/12)))-$BF359)/$BG359)^2*SIN(($BH359+2*($BI359-$BH359)/12))^2</f>
        <v/>
      </c>
      <c r="BM359">
        <f>((cc_D/2*(1-COS(($BH359+3*($BI359-$BH359)/12)))-$BF359)/$BG359)^2*SIN(($BH359+3*($BI359-$BH359)/12))^2</f>
        <v/>
      </c>
      <c r="BN359">
        <f>((cc_D/2*(1-COS(($BH359+4*($BI359-$BH359)/12)))-$BF359)/$BG359)^2*SIN(($BH359+4*($BI359-$BH359)/12))^2</f>
        <v/>
      </c>
      <c r="BO359">
        <f>((cc_D/2*(1-COS(($BH359+5*($BI359-$BH359)/12)))-$BF359)/$BG359)^2*SIN(($BH359+5*($BI359-$BH359)/12))^2</f>
        <v/>
      </c>
      <c r="BP359">
        <f>((cc_D/2*(1-COS(($BH359+6*($BI359-$BH359)/12)))-$BF359)/$BG359)^2*SIN(($BH359+6*($BI359-$BH359)/12))^2</f>
        <v/>
      </c>
      <c r="BQ359">
        <f>((cc_D/2*(1-COS(($BH359+7*($BI359-$BH359)/12)))-$BF359)/$BG359)^2*SIN(($BH359+7*($BI359-$BH359)/12))^2</f>
        <v/>
      </c>
      <c r="BR359">
        <f>((cc_D/2*(1-COS(($BH359+8*($BI359-$BH359)/12)))-$BF359)/$BG359)^2*SIN(($BH359+8*($BI359-$BH359)/12))^2</f>
        <v/>
      </c>
      <c r="BS359">
        <f>((cc_D/2*(1-COS(($BH359+9*($BI359-$BH359)/12)))-$BF359)/$BG359)^2*SIN(($BH359+9*($BI359-$BH359)/12))^2</f>
        <v/>
      </c>
      <c r="BT359">
        <f>((cc_D/2*(1-COS(($BH359+10*($BI359-$BH359)/12)))-$BF359)/$BG359)^2*SIN(($BH359+10*($BI359-$BH359)/12))^2</f>
        <v/>
      </c>
      <c r="BU359">
        <f>((cc_D/2*(1-COS(($BH359+11*($BI359-$BH359)/12)))-$BF359)/$BG359)^2*SIN(($BH359+11*($BI359-$BH359)/12))^2</f>
        <v/>
      </c>
      <c r="BV359">
        <f>((cc_D/2*(1-COS(($BH359+12*($BI359-$BH359)/12)))-$BF359)/$BG359)^2*SIN(($BH359+12*($BI359-$BH359)/12))^2</f>
        <v/>
      </c>
      <c r="BW359">
        <f>BJ359*COS(($BH359+0*($BI359-$BH359)/12))</f>
        <v/>
      </c>
      <c r="BX359">
        <f>BK359*COS(($BH359+1*($BI359-$BH359)/12))</f>
        <v/>
      </c>
      <c r="BY359">
        <f>BL359*COS(($BH359+2*($BI359-$BH359)/12))</f>
        <v/>
      </c>
      <c r="BZ359">
        <f>BM359*COS(($BH359+3*($BI359-$BH359)/12))</f>
        <v/>
      </c>
      <c r="CA359">
        <f>BN359*COS(($BH359+4*($BI359-$BH359)/12))</f>
        <v/>
      </c>
      <c r="CB359">
        <f>BO359*COS(($BH359+5*($BI359-$BH359)/12))</f>
        <v/>
      </c>
      <c r="CC359">
        <f>BP359*COS(($BH359+6*($BI359-$BH359)/12))</f>
        <v/>
      </c>
      <c r="CD359">
        <f>BQ359*COS(($BH359+7*($BI359-$BH359)/12))</f>
        <v/>
      </c>
      <c r="CE359">
        <f>BR359*COS(($BH359+8*($BI359-$BH359)/12))</f>
        <v/>
      </c>
      <c r="CF359">
        <f>BS359*COS(($BH359+9*($BI359-$BH359)/12))</f>
        <v/>
      </c>
      <c r="CG359">
        <f>BT359*COS(($BH359+10*($BI359-$BH359)/12))</f>
        <v/>
      </c>
      <c r="CH359">
        <f>BU359*COS(($BH359+11*($BI359-$BH359)/12))</f>
        <v/>
      </c>
      <c r="CI359">
        <f>BV359*COS(($BH359+12*($BI359-$BH359)/12))</f>
        <v/>
      </c>
    </row>
    <row r="360">
      <c r="B360" s="65" t="n">
        <v>19</v>
      </c>
      <c r="C360" s="66">
        <f>IF($G359&lt;cc_NEd-1E-9*ABS(cc_NEd),($C359+$D359)/2,$C359)</f>
        <v/>
      </c>
      <c r="D360" s="66">
        <f>IF($G359&lt;cc_NEd-1E-9*ABS(cc_NEd),$D359,($C359+$D359)/2)</f>
        <v/>
      </c>
      <c r="E360" s="67">
        <f>cc_D*(($C360+$D360)/2)/(1-(($C360+$D360)/2))</f>
        <v/>
      </c>
      <c r="F360" s="68">
        <f>IF($E360&lt;=cc_D,3.5,2*$E360/($E360-3*cc_D/7))</f>
        <v/>
      </c>
      <c r="G360" s="67">
        <f>(fcd_cc*((cc_D/2)^2*($BI360-COS($BI360)*SIN($BI360))-2*(cc_D/2)^2*($BI360-$BH360)/12/3*SUMPRODUCT($BJ$4:$BV$4,$BJ360:$BV360))+SUMPRODUCT($J$5:$AG$5,$J360:$AG360))/1000</f>
        <v/>
      </c>
      <c r="H360" s="67">
        <f>(fcd_cc*(2/3*(cc_D/2)^3*SIN($BI360)^3-2*(cc_D/2)^3*($BI360-$BH360)/12/3*SUMPRODUCT($BW$4:$CI$4,$BW360:$CI360))+SUMPRODUCT($J$5:$AG$5,$J360:$AG360,$J$19:$AG$19))/1E6</f>
        <v/>
      </c>
      <c r="I360" s="67">
        <f>SUMPRODUCT($J$5:$AG$5,$J360:$AG360,$J$20:$AG$20)/1E6</f>
        <v/>
      </c>
      <c r="J360">
        <f>MAX(-fyd_cc,MIN(fyd_cc,Es_cc*IF($E360&lt;=cc_D,0.0035*($E360-J$18)/$E360,0.002*($E360-J$18)/($E360-3*cc_D/7))))-fcd_cc*(1-(1-MAX(0,MIN(1,IF($E360&lt;=cc_D,0.0035*($E360-J$18)/$E360,0.002*($E360-J$18)/($E360-3*cc_D/7))/0.002)))^2)</f>
        <v/>
      </c>
      <c r="K360">
        <f>MAX(-fyd_cc,MIN(fyd_cc,Es_cc*IF($E360&lt;=cc_D,0.0035*($E360-K$18)/$E360,0.002*($E360-K$18)/($E360-3*cc_D/7))))-fcd_cc*(1-(1-MAX(0,MIN(1,IF($E360&lt;=cc_D,0.0035*($E360-K$18)/$E360,0.002*($E360-K$18)/($E360-3*cc_D/7))/0.002)))^2)</f>
        <v/>
      </c>
      <c r="L360">
        <f>MAX(-fyd_cc,MIN(fyd_cc,Es_cc*IF($E360&lt;=cc_D,0.0035*($E360-L$18)/$E360,0.002*($E360-L$18)/($E360-3*cc_D/7))))-fcd_cc*(1-(1-MAX(0,MIN(1,IF($E360&lt;=cc_D,0.0035*($E360-L$18)/$E360,0.002*($E360-L$18)/($E360-3*cc_D/7))/0.002)))^2)</f>
        <v/>
      </c>
      <c r="M360">
        <f>MAX(-fyd_cc,MIN(fyd_cc,Es_cc*IF($E360&lt;=cc_D,0.0035*($E360-M$18)/$E360,0.002*($E360-M$18)/($E360-3*cc_D/7))))-fcd_cc*(1-(1-MAX(0,MIN(1,IF($E360&lt;=cc_D,0.0035*($E360-M$18)/$E360,0.002*($E360-M$18)/($E360-3*cc_D/7))/0.002)))^2)</f>
        <v/>
      </c>
      <c r="N360">
        <f>MAX(-fyd_cc,MIN(fyd_cc,Es_cc*IF($E360&lt;=cc_D,0.0035*($E360-N$18)/$E360,0.002*($E360-N$18)/($E360-3*cc_D/7))))-fcd_cc*(1-(1-MAX(0,MIN(1,IF($E360&lt;=cc_D,0.0035*($E360-N$18)/$E360,0.002*($E360-N$18)/($E360-3*cc_D/7))/0.002)))^2)</f>
        <v/>
      </c>
      <c r="O360">
        <f>MAX(-fyd_cc,MIN(fyd_cc,Es_cc*IF($E360&lt;=cc_D,0.0035*($E360-O$18)/$E360,0.002*($E360-O$18)/($E360-3*cc_D/7))))-fcd_cc*(1-(1-MAX(0,MIN(1,IF($E360&lt;=cc_D,0.0035*($E360-O$18)/$E360,0.002*($E360-O$18)/($E360-3*cc_D/7))/0.002)))^2)</f>
        <v/>
      </c>
      <c r="P360">
        <f>MAX(-fyd_cc,MIN(fyd_cc,Es_cc*IF($E360&lt;=cc_D,0.0035*($E360-P$18)/$E360,0.002*($E360-P$18)/($E360-3*cc_D/7))))-fcd_cc*(1-(1-MAX(0,MIN(1,IF($E360&lt;=cc_D,0.0035*($E360-P$18)/$E360,0.002*($E360-P$18)/($E360-3*cc_D/7))/0.002)))^2)</f>
        <v/>
      </c>
      <c r="Q360">
        <f>MAX(-fyd_cc,MIN(fyd_cc,Es_cc*IF($E360&lt;=cc_D,0.0035*($E360-Q$18)/$E360,0.002*($E360-Q$18)/($E360-3*cc_D/7))))-fcd_cc*(1-(1-MAX(0,MIN(1,IF($E360&lt;=cc_D,0.0035*($E360-Q$18)/$E360,0.002*($E360-Q$18)/($E360-3*cc_D/7))/0.002)))^2)</f>
        <v/>
      </c>
      <c r="R360">
        <f>MAX(-fyd_cc,MIN(fyd_cc,Es_cc*IF($E360&lt;=cc_D,0.0035*($E360-R$18)/$E360,0.002*($E360-R$18)/($E360-3*cc_D/7))))-fcd_cc*(1-(1-MAX(0,MIN(1,IF($E360&lt;=cc_D,0.0035*($E360-R$18)/$E360,0.002*($E360-R$18)/($E360-3*cc_D/7))/0.002)))^2)</f>
        <v/>
      </c>
      <c r="S360">
        <f>MAX(-fyd_cc,MIN(fyd_cc,Es_cc*IF($E360&lt;=cc_D,0.0035*($E360-S$18)/$E360,0.002*($E360-S$18)/($E360-3*cc_D/7))))-fcd_cc*(1-(1-MAX(0,MIN(1,IF($E360&lt;=cc_D,0.0035*($E360-S$18)/$E360,0.002*($E360-S$18)/($E360-3*cc_D/7))/0.002)))^2)</f>
        <v/>
      </c>
      <c r="T360">
        <f>MAX(-fyd_cc,MIN(fyd_cc,Es_cc*IF($E360&lt;=cc_D,0.0035*($E360-T$18)/$E360,0.002*($E360-T$18)/($E360-3*cc_D/7))))-fcd_cc*(1-(1-MAX(0,MIN(1,IF($E360&lt;=cc_D,0.0035*($E360-T$18)/$E360,0.002*($E360-T$18)/($E360-3*cc_D/7))/0.002)))^2)</f>
        <v/>
      </c>
      <c r="U360">
        <f>MAX(-fyd_cc,MIN(fyd_cc,Es_cc*IF($E360&lt;=cc_D,0.0035*($E360-U$18)/$E360,0.002*($E360-U$18)/($E360-3*cc_D/7))))-fcd_cc*(1-(1-MAX(0,MIN(1,IF($E360&lt;=cc_D,0.0035*($E360-U$18)/$E360,0.002*($E360-U$18)/($E360-3*cc_D/7))/0.002)))^2)</f>
        <v/>
      </c>
      <c r="V360">
        <f>MAX(-fyd_cc,MIN(fyd_cc,Es_cc*IF($E360&lt;=cc_D,0.0035*($E360-V$18)/$E360,0.002*($E360-V$18)/($E360-3*cc_D/7))))-fcd_cc*(1-(1-MAX(0,MIN(1,IF($E360&lt;=cc_D,0.0035*($E360-V$18)/$E360,0.002*($E360-V$18)/($E360-3*cc_D/7))/0.002)))^2)</f>
        <v/>
      </c>
      <c r="W360">
        <f>MAX(-fyd_cc,MIN(fyd_cc,Es_cc*IF($E360&lt;=cc_D,0.0035*($E360-W$18)/$E360,0.002*($E360-W$18)/($E360-3*cc_D/7))))-fcd_cc*(1-(1-MAX(0,MIN(1,IF($E360&lt;=cc_D,0.0035*($E360-W$18)/$E360,0.002*($E360-W$18)/($E360-3*cc_D/7))/0.002)))^2)</f>
        <v/>
      </c>
      <c r="X360">
        <f>MAX(-fyd_cc,MIN(fyd_cc,Es_cc*IF($E360&lt;=cc_D,0.0035*($E360-X$18)/$E360,0.002*($E360-X$18)/($E360-3*cc_D/7))))-fcd_cc*(1-(1-MAX(0,MIN(1,IF($E360&lt;=cc_D,0.0035*($E360-X$18)/$E360,0.002*($E360-X$18)/($E360-3*cc_D/7))/0.002)))^2)</f>
        <v/>
      </c>
      <c r="Y360">
        <f>MAX(-fyd_cc,MIN(fyd_cc,Es_cc*IF($E360&lt;=cc_D,0.0035*($E360-Y$18)/$E360,0.002*($E360-Y$18)/($E360-3*cc_D/7))))-fcd_cc*(1-(1-MAX(0,MIN(1,IF($E360&lt;=cc_D,0.0035*($E360-Y$18)/$E360,0.002*($E360-Y$18)/($E360-3*cc_D/7))/0.002)))^2)</f>
        <v/>
      </c>
      <c r="Z360">
        <f>MAX(-fyd_cc,MIN(fyd_cc,Es_cc*IF($E360&lt;=cc_D,0.0035*($E360-Z$18)/$E360,0.002*($E360-Z$18)/($E360-3*cc_D/7))))-fcd_cc*(1-(1-MAX(0,MIN(1,IF($E360&lt;=cc_D,0.0035*($E360-Z$18)/$E360,0.002*($E360-Z$18)/($E360-3*cc_D/7))/0.002)))^2)</f>
        <v/>
      </c>
      <c r="AA360">
        <f>MAX(-fyd_cc,MIN(fyd_cc,Es_cc*IF($E360&lt;=cc_D,0.0035*($E360-AA$18)/$E360,0.002*($E360-AA$18)/($E360-3*cc_D/7))))-fcd_cc*(1-(1-MAX(0,MIN(1,IF($E360&lt;=cc_D,0.0035*($E360-AA$18)/$E360,0.002*($E360-AA$18)/($E360-3*cc_D/7))/0.002)))^2)</f>
        <v/>
      </c>
      <c r="AB360">
        <f>MAX(-fyd_cc,MIN(fyd_cc,Es_cc*IF($E360&lt;=cc_D,0.0035*($E360-AB$18)/$E360,0.002*($E360-AB$18)/($E360-3*cc_D/7))))-fcd_cc*(1-(1-MAX(0,MIN(1,IF($E360&lt;=cc_D,0.0035*($E360-AB$18)/$E360,0.002*($E360-AB$18)/($E360-3*cc_D/7))/0.002)))^2)</f>
        <v/>
      </c>
      <c r="AC360">
        <f>MAX(-fyd_cc,MIN(fyd_cc,Es_cc*IF($E360&lt;=cc_D,0.0035*($E360-AC$18)/$E360,0.002*($E360-AC$18)/($E360-3*cc_D/7))))-fcd_cc*(1-(1-MAX(0,MIN(1,IF($E360&lt;=cc_D,0.0035*($E360-AC$18)/$E360,0.002*($E360-AC$18)/($E360-3*cc_D/7))/0.002)))^2)</f>
        <v/>
      </c>
      <c r="AD360">
        <f>MAX(-fyd_cc,MIN(fyd_cc,Es_cc*IF($E360&lt;=cc_D,0.0035*($E360-AD$18)/$E360,0.002*($E360-AD$18)/($E360-3*cc_D/7))))-fcd_cc*(1-(1-MAX(0,MIN(1,IF($E360&lt;=cc_D,0.0035*($E360-AD$18)/$E360,0.002*($E360-AD$18)/($E360-3*cc_D/7))/0.002)))^2)</f>
        <v/>
      </c>
      <c r="AE360">
        <f>MAX(-fyd_cc,MIN(fyd_cc,Es_cc*IF($E360&lt;=cc_D,0.0035*($E360-AE$18)/$E360,0.002*($E360-AE$18)/($E360-3*cc_D/7))))-fcd_cc*(1-(1-MAX(0,MIN(1,IF($E360&lt;=cc_D,0.0035*($E360-AE$18)/$E360,0.002*($E360-AE$18)/($E360-3*cc_D/7))/0.002)))^2)</f>
        <v/>
      </c>
      <c r="AF360">
        <f>MAX(-fyd_cc,MIN(fyd_cc,Es_cc*IF($E360&lt;=cc_D,0.0035*($E360-AF$18)/$E360,0.002*($E360-AF$18)/($E360-3*cc_D/7))))-fcd_cc*(1-(1-MAX(0,MIN(1,IF($E360&lt;=cc_D,0.0035*($E360-AF$18)/$E360,0.002*($E360-AF$18)/($E360-3*cc_D/7))/0.002)))^2)</f>
        <v/>
      </c>
      <c r="AG360">
        <f>MAX(-fyd_cc,MIN(fyd_cc,Es_cc*IF($E360&lt;=cc_D,0.0035*($E360-AG$18)/$E360,0.002*($E360-AG$18)/($E360-3*cc_D/7))))-fcd_cc*(1-(1-MAX(0,MIN(1,IF($E360&lt;=cc_D,0.0035*($E360-AG$18)/$E360,0.002*($E360-AG$18)/($E360-3*cc_D/7))/0.002)))^2)</f>
        <v/>
      </c>
      <c r="BF360">
        <f>3*MIN($E360,cc_D)/7</f>
        <v/>
      </c>
      <c r="BG360">
        <f>$E360-$BF360</f>
        <v/>
      </c>
      <c r="BH360">
        <f>ACOS(MAX(-1,MIN(1,1-$BF360/(cc_D/2))))</f>
        <v/>
      </c>
      <c r="BI360">
        <f>ACOS(MAX(-1,MIN(1,1-MIN($E360,cc_D)/(cc_D/2))))</f>
        <v/>
      </c>
      <c r="BJ360">
        <f>((cc_D/2*(1-COS(($BH360+0*($BI360-$BH360)/12)))-$BF360)/$BG360)^2*SIN(($BH360+0*($BI360-$BH360)/12))^2</f>
        <v/>
      </c>
      <c r="BK360">
        <f>((cc_D/2*(1-COS(($BH360+1*($BI360-$BH360)/12)))-$BF360)/$BG360)^2*SIN(($BH360+1*($BI360-$BH360)/12))^2</f>
        <v/>
      </c>
      <c r="BL360">
        <f>((cc_D/2*(1-COS(($BH360+2*($BI360-$BH360)/12)))-$BF360)/$BG360)^2*SIN(($BH360+2*($BI360-$BH360)/12))^2</f>
        <v/>
      </c>
      <c r="BM360">
        <f>((cc_D/2*(1-COS(($BH360+3*($BI360-$BH360)/12)))-$BF360)/$BG360)^2*SIN(($BH360+3*($BI360-$BH360)/12))^2</f>
        <v/>
      </c>
      <c r="BN360">
        <f>((cc_D/2*(1-COS(($BH360+4*($BI360-$BH360)/12)))-$BF360)/$BG360)^2*SIN(($BH360+4*($BI360-$BH360)/12))^2</f>
        <v/>
      </c>
      <c r="BO360">
        <f>((cc_D/2*(1-COS(($BH360+5*($BI360-$BH360)/12)))-$BF360)/$BG360)^2*SIN(($BH360+5*($BI360-$BH360)/12))^2</f>
        <v/>
      </c>
      <c r="BP360">
        <f>((cc_D/2*(1-COS(($BH360+6*($BI360-$BH360)/12)))-$BF360)/$BG360)^2*SIN(($BH360+6*($BI360-$BH360)/12))^2</f>
        <v/>
      </c>
      <c r="BQ360">
        <f>((cc_D/2*(1-COS(($BH360+7*($BI360-$BH360)/12)))-$BF360)/$BG360)^2*SIN(($BH360+7*($BI360-$BH360)/12))^2</f>
        <v/>
      </c>
      <c r="BR360">
        <f>((cc_D/2*(1-COS(($BH360+8*($BI360-$BH360)/12)))-$BF360)/$BG360)^2*SIN(($BH360+8*($BI360-$BH360)/12))^2</f>
        <v/>
      </c>
      <c r="BS360">
        <f>((cc_D/2*(1-COS(($BH360+9*($BI360-$BH360)/12)))-$BF360)/$BG360)^2*SIN(($BH360+9*($BI360-$BH360)/12))^2</f>
        <v/>
      </c>
      <c r="BT360">
        <f>((cc_D/2*(1-COS(($BH360+10*($BI360-$BH360)/12)))-$BF360)/$BG360)^2*SIN(($BH360+10*($BI360-$BH360)/12))^2</f>
        <v/>
      </c>
      <c r="BU360">
        <f>((cc_D/2*(1-COS(($BH360+11*($BI360-$BH360)/12)))-$BF360)/$BG360)^2*SIN(($BH360+11*($BI360-$BH360)/12))^2</f>
        <v/>
      </c>
      <c r="BV360">
        <f>((cc_D/2*(1-COS(($BH360+12*($BI360-$BH360)/12)))-$BF360)/$BG360)^2*SIN(($BH360+12*($BI360-$BH360)/12))^2</f>
        <v/>
      </c>
      <c r="BW360">
        <f>BJ360*COS(($BH360+0*($BI360-$BH360)/12))</f>
        <v/>
      </c>
      <c r="BX360">
        <f>BK360*COS(($BH360+1*($BI360-$BH360)/12))</f>
        <v/>
      </c>
      <c r="BY360">
        <f>BL360*COS(($BH360+2*($BI360-$BH360)/12))</f>
        <v/>
      </c>
      <c r="BZ360">
        <f>BM360*COS(($BH360+3*($BI360-$BH360)/12))</f>
        <v/>
      </c>
      <c r="CA360">
        <f>BN360*COS(($BH360+4*($BI360-$BH360)/12))</f>
        <v/>
      </c>
      <c r="CB360">
        <f>BO360*COS(($BH360+5*($BI360-$BH360)/12))</f>
        <v/>
      </c>
      <c r="CC360">
        <f>BP360*COS(($BH360+6*($BI360-$BH360)/12))</f>
        <v/>
      </c>
      <c r="CD360">
        <f>BQ360*COS(($BH360+7*($BI360-$BH360)/12))</f>
        <v/>
      </c>
      <c r="CE360">
        <f>BR360*COS(($BH360+8*($BI360-$BH360)/12))</f>
        <v/>
      </c>
      <c r="CF360">
        <f>BS360*COS(($BH360+9*($BI360-$BH360)/12))</f>
        <v/>
      </c>
      <c r="CG360">
        <f>BT360*COS(($BH360+10*($BI360-$BH360)/12))</f>
        <v/>
      </c>
      <c r="CH360">
        <f>BU360*COS(($BH360+11*($BI360-$BH360)/12))</f>
        <v/>
      </c>
      <c r="CI360">
        <f>BV360*COS(($BH360+12*($BI360-$BH360)/12))</f>
        <v/>
      </c>
    </row>
    <row r="361">
      <c r="B361" s="65" t="n">
        <v>20</v>
      </c>
      <c r="C361" s="66">
        <f>IF($G360&lt;cc_NEd-1E-9*ABS(cc_NEd),($C360+$D360)/2,$C360)</f>
        <v/>
      </c>
      <c r="D361" s="66">
        <f>IF($G360&lt;cc_NEd-1E-9*ABS(cc_NEd),$D360,($C360+$D360)/2)</f>
        <v/>
      </c>
      <c r="E361" s="67">
        <f>cc_D*(($C361+$D361)/2)/(1-(($C361+$D361)/2))</f>
        <v/>
      </c>
      <c r="F361" s="68">
        <f>IF($E361&lt;=cc_D,3.5,2*$E361/($E361-3*cc_D/7))</f>
        <v/>
      </c>
      <c r="G361" s="67">
        <f>(fcd_cc*((cc_D/2)^2*($BI361-COS($BI361)*SIN($BI361))-2*(cc_D/2)^2*($BI361-$BH361)/12/3*SUMPRODUCT($BJ$4:$BV$4,$BJ361:$BV361))+SUMPRODUCT($J$5:$AG$5,$J361:$AG361))/1000</f>
        <v/>
      </c>
      <c r="H361" s="67">
        <f>(fcd_cc*(2/3*(cc_D/2)^3*SIN($BI361)^3-2*(cc_D/2)^3*($BI361-$BH361)/12/3*SUMPRODUCT($BW$4:$CI$4,$BW361:$CI361))+SUMPRODUCT($J$5:$AG$5,$J361:$AG361,$J$19:$AG$19))/1E6</f>
        <v/>
      </c>
      <c r="I361" s="67">
        <f>SUMPRODUCT($J$5:$AG$5,$J361:$AG361,$J$20:$AG$20)/1E6</f>
        <v/>
      </c>
      <c r="J361">
        <f>MAX(-fyd_cc,MIN(fyd_cc,Es_cc*IF($E361&lt;=cc_D,0.0035*($E361-J$18)/$E361,0.002*($E361-J$18)/($E361-3*cc_D/7))))-fcd_cc*(1-(1-MAX(0,MIN(1,IF($E361&lt;=cc_D,0.0035*($E361-J$18)/$E361,0.002*($E361-J$18)/($E361-3*cc_D/7))/0.002)))^2)</f>
        <v/>
      </c>
      <c r="K361">
        <f>MAX(-fyd_cc,MIN(fyd_cc,Es_cc*IF($E361&lt;=cc_D,0.0035*($E361-K$18)/$E361,0.002*($E361-K$18)/($E361-3*cc_D/7))))-fcd_cc*(1-(1-MAX(0,MIN(1,IF($E361&lt;=cc_D,0.0035*($E361-K$18)/$E361,0.002*($E361-K$18)/($E361-3*cc_D/7))/0.002)))^2)</f>
        <v/>
      </c>
      <c r="L361">
        <f>MAX(-fyd_cc,MIN(fyd_cc,Es_cc*IF($E361&lt;=cc_D,0.0035*($E361-L$18)/$E361,0.002*($E361-L$18)/($E361-3*cc_D/7))))-fcd_cc*(1-(1-MAX(0,MIN(1,IF($E361&lt;=cc_D,0.0035*($E361-L$18)/$E361,0.002*($E361-L$18)/($E361-3*cc_D/7))/0.002)))^2)</f>
        <v/>
      </c>
      <c r="M361">
        <f>MAX(-fyd_cc,MIN(fyd_cc,Es_cc*IF($E361&lt;=cc_D,0.0035*($E361-M$18)/$E361,0.002*($E361-M$18)/($E361-3*cc_D/7))))-fcd_cc*(1-(1-MAX(0,MIN(1,IF($E361&lt;=cc_D,0.0035*($E361-M$18)/$E361,0.002*($E361-M$18)/($E361-3*cc_D/7))/0.002)))^2)</f>
        <v/>
      </c>
      <c r="N361">
        <f>MAX(-fyd_cc,MIN(fyd_cc,Es_cc*IF($E361&lt;=cc_D,0.0035*($E361-N$18)/$E361,0.002*($E361-N$18)/($E361-3*cc_D/7))))-fcd_cc*(1-(1-MAX(0,MIN(1,IF($E361&lt;=cc_D,0.0035*($E361-N$18)/$E361,0.002*($E361-N$18)/($E361-3*cc_D/7))/0.002)))^2)</f>
        <v/>
      </c>
      <c r="O361">
        <f>MAX(-fyd_cc,MIN(fyd_cc,Es_cc*IF($E361&lt;=cc_D,0.0035*($E361-O$18)/$E361,0.002*($E361-O$18)/($E361-3*cc_D/7))))-fcd_cc*(1-(1-MAX(0,MIN(1,IF($E361&lt;=cc_D,0.0035*($E361-O$18)/$E361,0.002*($E361-O$18)/($E361-3*cc_D/7))/0.002)))^2)</f>
        <v/>
      </c>
      <c r="P361">
        <f>MAX(-fyd_cc,MIN(fyd_cc,Es_cc*IF($E361&lt;=cc_D,0.0035*($E361-P$18)/$E361,0.002*($E361-P$18)/($E361-3*cc_D/7))))-fcd_cc*(1-(1-MAX(0,MIN(1,IF($E361&lt;=cc_D,0.0035*($E361-P$18)/$E361,0.002*($E361-P$18)/($E361-3*cc_D/7))/0.002)))^2)</f>
        <v/>
      </c>
      <c r="Q361">
        <f>MAX(-fyd_cc,MIN(fyd_cc,Es_cc*IF($E361&lt;=cc_D,0.0035*($E361-Q$18)/$E361,0.002*($E361-Q$18)/($E361-3*cc_D/7))))-fcd_cc*(1-(1-MAX(0,MIN(1,IF($E361&lt;=cc_D,0.0035*($E361-Q$18)/$E361,0.002*($E361-Q$18)/($E361-3*cc_D/7))/0.002)))^2)</f>
        <v/>
      </c>
      <c r="R361">
        <f>MAX(-fyd_cc,MIN(fyd_cc,Es_cc*IF($E361&lt;=cc_D,0.0035*($E361-R$18)/$E361,0.002*($E361-R$18)/($E361-3*cc_D/7))))-fcd_cc*(1-(1-MAX(0,MIN(1,IF($E361&lt;=cc_D,0.0035*($E361-R$18)/$E361,0.002*($E361-R$18)/($E361-3*cc_D/7))/0.002)))^2)</f>
        <v/>
      </c>
      <c r="S361">
        <f>MAX(-fyd_cc,MIN(fyd_cc,Es_cc*IF($E361&lt;=cc_D,0.0035*($E361-S$18)/$E361,0.002*($E361-S$18)/($E361-3*cc_D/7))))-fcd_cc*(1-(1-MAX(0,MIN(1,IF($E361&lt;=cc_D,0.0035*($E361-S$18)/$E361,0.002*($E361-S$18)/($E361-3*cc_D/7))/0.002)))^2)</f>
        <v/>
      </c>
      <c r="T361">
        <f>MAX(-fyd_cc,MIN(fyd_cc,Es_cc*IF($E361&lt;=cc_D,0.0035*($E361-T$18)/$E361,0.002*($E361-T$18)/($E361-3*cc_D/7))))-fcd_cc*(1-(1-MAX(0,MIN(1,IF($E361&lt;=cc_D,0.0035*($E361-T$18)/$E361,0.002*($E361-T$18)/($E361-3*cc_D/7))/0.002)))^2)</f>
        <v/>
      </c>
      <c r="U361">
        <f>MAX(-fyd_cc,MIN(fyd_cc,Es_cc*IF($E361&lt;=cc_D,0.0035*($E361-U$18)/$E361,0.002*($E361-U$18)/($E361-3*cc_D/7))))-fcd_cc*(1-(1-MAX(0,MIN(1,IF($E361&lt;=cc_D,0.0035*($E361-U$18)/$E361,0.002*($E361-U$18)/($E361-3*cc_D/7))/0.002)))^2)</f>
        <v/>
      </c>
      <c r="V361">
        <f>MAX(-fyd_cc,MIN(fyd_cc,Es_cc*IF($E361&lt;=cc_D,0.0035*($E361-V$18)/$E361,0.002*($E361-V$18)/($E361-3*cc_D/7))))-fcd_cc*(1-(1-MAX(0,MIN(1,IF($E361&lt;=cc_D,0.0035*($E361-V$18)/$E361,0.002*($E361-V$18)/($E361-3*cc_D/7))/0.002)))^2)</f>
        <v/>
      </c>
      <c r="W361">
        <f>MAX(-fyd_cc,MIN(fyd_cc,Es_cc*IF($E361&lt;=cc_D,0.0035*($E361-W$18)/$E361,0.002*($E361-W$18)/($E361-3*cc_D/7))))-fcd_cc*(1-(1-MAX(0,MIN(1,IF($E361&lt;=cc_D,0.0035*($E361-W$18)/$E361,0.002*($E361-W$18)/($E361-3*cc_D/7))/0.002)))^2)</f>
        <v/>
      </c>
      <c r="X361">
        <f>MAX(-fyd_cc,MIN(fyd_cc,Es_cc*IF($E361&lt;=cc_D,0.0035*($E361-X$18)/$E361,0.002*($E361-X$18)/($E361-3*cc_D/7))))-fcd_cc*(1-(1-MAX(0,MIN(1,IF($E361&lt;=cc_D,0.0035*($E361-X$18)/$E361,0.002*($E361-X$18)/($E361-3*cc_D/7))/0.002)))^2)</f>
        <v/>
      </c>
      <c r="Y361">
        <f>MAX(-fyd_cc,MIN(fyd_cc,Es_cc*IF($E361&lt;=cc_D,0.0035*($E361-Y$18)/$E361,0.002*($E361-Y$18)/($E361-3*cc_D/7))))-fcd_cc*(1-(1-MAX(0,MIN(1,IF($E361&lt;=cc_D,0.0035*($E361-Y$18)/$E361,0.002*($E361-Y$18)/($E361-3*cc_D/7))/0.002)))^2)</f>
        <v/>
      </c>
      <c r="Z361">
        <f>MAX(-fyd_cc,MIN(fyd_cc,Es_cc*IF($E361&lt;=cc_D,0.0035*($E361-Z$18)/$E361,0.002*($E361-Z$18)/($E361-3*cc_D/7))))-fcd_cc*(1-(1-MAX(0,MIN(1,IF($E361&lt;=cc_D,0.0035*($E361-Z$18)/$E361,0.002*($E361-Z$18)/($E361-3*cc_D/7))/0.002)))^2)</f>
        <v/>
      </c>
      <c r="AA361">
        <f>MAX(-fyd_cc,MIN(fyd_cc,Es_cc*IF($E361&lt;=cc_D,0.0035*($E361-AA$18)/$E361,0.002*($E361-AA$18)/($E361-3*cc_D/7))))-fcd_cc*(1-(1-MAX(0,MIN(1,IF($E361&lt;=cc_D,0.0035*($E361-AA$18)/$E361,0.002*($E361-AA$18)/($E361-3*cc_D/7))/0.002)))^2)</f>
        <v/>
      </c>
      <c r="AB361">
        <f>MAX(-fyd_cc,MIN(fyd_cc,Es_cc*IF($E361&lt;=cc_D,0.0035*($E361-AB$18)/$E361,0.002*($E361-AB$18)/($E361-3*cc_D/7))))-fcd_cc*(1-(1-MAX(0,MIN(1,IF($E361&lt;=cc_D,0.0035*($E361-AB$18)/$E361,0.002*($E361-AB$18)/($E361-3*cc_D/7))/0.002)))^2)</f>
        <v/>
      </c>
      <c r="AC361">
        <f>MAX(-fyd_cc,MIN(fyd_cc,Es_cc*IF($E361&lt;=cc_D,0.0035*($E361-AC$18)/$E361,0.002*($E361-AC$18)/($E361-3*cc_D/7))))-fcd_cc*(1-(1-MAX(0,MIN(1,IF($E361&lt;=cc_D,0.0035*($E361-AC$18)/$E361,0.002*($E361-AC$18)/($E361-3*cc_D/7))/0.002)))^2)</f>
        <v/>
      </c>
      <c r="AD361">
        <f>MAX(-fyd_cc,MIN(fyd_cc,Es_cc*IF($E361&lt;=cc_D,0.0035*($E361-AD$18)/$E361,0.002*($E361-AD$18)/($E361-3*cc_D/7))))-fcd_cc*(1-(1-MAX(0,MIN(1,IF($E361&lt;=cc_D,0.0035*($E361-AD$18)/$E361,0.002*($E361-AD$18)/($E361-3*cc_D/7))/0.002)))^2)</f>
        <v/>
      </c>
      <c r="AE361">
        <f>MAX(-fyd_cc,MIN(fyd_cc,Es_cc*IF($E361&lt;=cc_D,0.0035*($E361-AE$18)/$E361,0.002*($E361-AE$18)/($E361-3*cc_D/7))))-fcd_cc*(1-(1-MAX(0,MIN(1,IF($E361&lt;=cc_D,0.0035*($E361-AE$18)/$E361,0.002*($E361-AE$18)/($E361-3*cc_D/7))/0.002)))^2)</f>
        <v/>
      </c>
      <c r="AF361">
        <f>MAX(-fyd_cc,MIN(fyd_cc,Es_cc*IF($E361&lt;=cc_D,0.0035*($E361-AF$18)/$E361,0.002*($E361-AF$18)/($E361-3*cc_D/7))))-fcd_cc*(1-(1-MAX(0,MIN(1,IF($E361&lt;=cc_D,0.0035*($E361-AF$18)/$E361,0.002*($E361-AF$18)/($E361-3*cc_D/7))/0.002)))^2)</f>
        <v/>
      </c>
      <c r="AG361">
        <f>MAX(-fyd_cc,MIN(fyd_cc,Es_cc*IF($E361&lt;=cc_D,0.0035*($E361-AG$18)/$E361,0.002*($E361-AG$18)/($E361-3*cc_D/7))))-fcd_cc*(1-(1-MAX(0,MIN(1,IF($E361&lt;=cc_D,0.0035*($E361-AG$18)/$E361,0.002*($E361-AG$18)/($E361-3*cc_D/7))/0.002)))^2)</f>
        <v/>
      </c>
      <c r="BF361">
        <f>3*MIN($E361,cc_D)/7</f>
        <v/>
      </c>
      <c r="BG361">
        <f>$E361-$BF361</f>
        <v/>
      </c>
      <c r="BH361">
        <f>ACOS(MAX(-1,MIN(1,1-$BF361/(cc_D/2))))</f>
        <v/>
      </c>
      <c r="BI361">
        <f>ACOS(MAX(-1,MIN(1,1-MIN($E361,cc_D)/(cc_D/2))))</f>
        <v/>
      </c>
      <c r="BJ361">
        <f>((cc_D/2*(1-COS(($BH361+0*($BI361-$BH361)/12)))-$BF361)/$BG361)^2*SIN(($BH361+0*($BI361-$BH361)/12))^2</f>
        <v/>
      </c>
      <c r="BK361">
        <f>((cc_D/2*(1-COS(($BH361+1*($BI361-$BH361)/12)))-$BF361)/$BG361)^2*SIN(($BH361+1*($BI361-$BH361)/12))^2</f>
        <v/>
      </c>
      <c r="BL361">
        <f>((cc_D/2*(1-COS(($BH361+2*($BI361-$BH361)/12)))-$BF361)/$BG361)^2*SIN(($BH361+2*($BI361-$BH361)/12))^2</f>
        <v/>
      </c>
      <c r="BM361">
        <f>((cc_D/2*(1-COS(($BH361+3*($BI361-$BH361)/12)))-$BF361)/$BG361)^2*SIN(($BH361+3*($BI361-$BH361)/12))^2</f>
        <v/>
      </c>
      <c r="BN361">
        <f>((cc_D/2*(1-COS(($BH361+4*($BI361-$BH361)/12)))-$BF361)/$BG361)^2*SIN(($BH361+4*($BI361-$BH361)/12))^2</f>
        <v/>
      </c>
      <c r="BO361">
        <f>((cc_D/2*(1-COS(($BH361+5*($BI361-$BH361)/12)))-$BF361)/$BG361)^2*SIN(($BH361+5*($BI361-$BH361)/12))^2</f>
        <v/>
      </c>
      <c r="BP361">
        <f>((cc_D/2*(1-COS(($BH361+6*($BI361-$BH361)/12)))-$BF361)/$BG361)^2*SIN(($BH361+6*($BI361-$BH361)/12))^2</f>
        <v/>
      </c>
      <c r="BQ361">
        <f>((cc_D/2*(1-COS(($BH361+7*($BI361-$BH361)/12)))-$BF361)/$BG361)^2*SIN(($BH361+7*($BI361-$BH361)/12))^2</f>
        <v/>
      </c>
      <c r="BR361">
        <f>((cc_D/2*(1-COS(($BH361+8*($BI361-$BH361)/12)))-$BF361)/$BG361)^2*SIN(($BH361+8*($BI361-$BH361)/12))^2</f>
        <v/>
      </c>
      <c r="BS361">
        <f>((cc_D/2*(1-COS(($BH361+9*($BI361-$BH361)/12)))-$BF361)/$BG361)^2*SIN(($BH361+9*($BI361-$BH361)/12))^2</f>
        <v/>
      </c>
      <c r="BT361">
        <f>((cc_D/2*(1-COS(($BH361+10*($BI361-$BH361)/12)))-$BF361)/$BG361)^2*SIN(($BH361+10*($BI361-$BH361)/12))^2</f>
        <v/>
      </c>
      <c r="BU361">
        <f>((cc_D/2*(1-COS(($BH361+11*($BI361-$BH361)/12)))-$BF361)/$BG361)^2*SIN(($BH361+11*($BI361-$BH361)/12))^2</f>
        <v/>
      </c>
      <c r="BV361">
        <f>((cc_D/2*(1-COS(($BH361+12*($BI361-$BH361)/12)))-$BF361)/$BG361)^2*SIN(($BH361+12*($BI361-$BH361)/12))^2</f>
        <v/>
      </c>
      <c r="BW361">
        <f>BJ361*COS(($BH361+0*($BI361-$BH361)/12))</f>
        <v/>
      </c>
      <c r="BX361">
        <f>BK361*COS(($BH361+1*($BI361-$BH361)/12))</f>
        <v/>
      </c>
      <c r="BY361">
        <f>BL361*COS(($BH361+2*($BI361-$BH361)/12))</f>
        <v/>
      </c>
      <c r="BZ361">
        <f>BM361*COS(($BH361+3*($BI361-$BH361)/12))</f>
        <v/>
      </c>
      <c r="CA361">
        <f>BN361*COS(($BH361+4*($BI361-$BH361)/12))</f>
        <v/>
      </c>
      <c r="CB361">
        <f>BO361*COS(($BH361+5*($BI361-$BH361)/12))</f>
        <v/>
      </c>
      <c r="CC361">
        <f>BP361*COS(($BH361+6*($BI361-$BH361)/12))</f>
        <v/>
      </c>
      <c r="CD361">
        <f>BQ361*COS(($BH361+7*($BI361-$BH361)/12))</f>
        <v/>
      </c>
      <c r="CE361">
        <f>BR361*COS(($BH361+8*($BI361-$BH361)/12))</f>
        <v/>
      </c>
      <c r="CF361">
        <f>BS361*COS(($BH361+9*($BI361-$BH361)/12))</f>
        <v/>
      </c>
      <c r="CG361">
        <f>BT361*COS(($BH361+10*($BI361-$BH361)/12))</f>
        <v/>
      </c>
      <c r="CH361">
        <f>BU361*COS(($BH361+11*($BI361-$BH361)/12))</f>
        <v/>
      </c>
      <c r="CI361">
        <f>BV361*COS(($BH361+12*($BI361-$BH361)/12))</f>
        <v/>
      </c>
    </row>
    <row r="362">
      <c r="B362" s="65" t="n">
        <v>21</v>
      </c>
      <c r="C362" s="66">
        <f>IF($G361&lt;cc_NEd-1E-9*ABS(cc_NEd),($C361+$D361)/2,$C361)</f>
        <v/>
      </c>
      <c r="D362" s="66">
        <f>IF($G361&lt;cc_NEd-1E-9*ABS(cc_NEd),$D361,($C361+$D361)/2)</f>
        <v/>
      </c>
      <c r="E362" s="67">
        <f>cc_D*(($C362+$D362)/2)/(1-(($C362+$D362)/2))</f>
        <v/>
      </c>
      <c r="F362" s="68">
        <f>IF($E362&lt;=cc_D,3.5,2*$E362/($E362-3*cc_D/7))</f>
        <v/>
      </c>
      <c r="G362" s="67">
        <f>(fcd_cc*((cc_D/2)^2*($BI362-COS($BI362)*SIN($BI362))-2*(cc_D/2)^2*($BI362-$BH362)/12/3*SUMPRODUCT($BJ$4:$BV$4,$BJ362:$BV362))+SUMPRODUCT($J$5:$AG$5,$J362:$AG362))/1000</f>
        <v/>
      </c>
      <c r="H362" s="67">
        <f>(fcd_cc*(2/3*(cc_D/2)^3*SIN($BI362)^3-2*(cc_D/2)^3*($BI362-$BH362)/12/3*SUMPRODUCT($BW$4:$CI$4,$BW362:$CI362))+SUMPRODUCT($J$5:$AG$5,$J362:$AG362,$J$19:$AG$19))/1E6</f>
        <v/>
      </c>
      <c r="I362" s="67">
        <f>SUMPRODUCT($J$5:$AG$5,$J362:$AG362,$J$20:$AG$20)/1E6</f>
        <v/>
      </c>
      <c r="J362">
        <f>MAX(-fyd_cc,MIN(fyd_cc,Es_cc*IF($E362&lt;=cc_D,0.0035*($E362-J$18)/$E362,0.002*($E362-J$18)/($E362-3*cc_D/7))))-fcd_cc*(1-(1-MAX(0,MIN(1,IF($E362&lt;=cc_D,0.0035*($E362-J$18)/$E362,0.002*($E362-J$18)/($E362-3*cc_D/7))/0.002)))^2)</f>
        <v/>
      </c>
      <c r="K362">
        <f>MAX(-fyd_cc,MIN(fyd_cc,Es_cc*IF($E362&lt;=cc_D,0.0035*($E362-K$18)/$E362,0.002*($E362-K$18)/($E362-3*cc_D/7))))-fcd_cc*(1-(1-MAX(0,MIN(1,IF($E362&lt;=cc_D,0.0035*($E362-K$18)/$E362,0.002*($E362-K$18)/($E362-3*cc_D/7))/0.002)))^2)</f>
        <v/>
      </c>
      <c r="L362">
        <f>MAX(-fyd_cc,MIN(fyd_cc,Es_cc*IF($E362&lt;=cc_D,0.0035*($E362-L$18)/$E362,0.002*($E362-L$18)/($E362-3*cc_D/7))))-fcd_cc*(1-(1-MAX(0,MIN(1,IF($E362&lt;=cc_D,0.0035*($E362-L$18)/$E362,0.002*($E362-L$18)/($E362-3*cc_D/7))/0.002)))^2)</f>
        <v/>
      </c>
      <c r="M362">
        <f>MAX(-fyd_cc,MIN(fyd_cc,Es_cc*IF($E362&lt;=cc_D,0.0035*($E362-M$18)/$E362,0.002*($E362-M$18)/($E362-3*cc_D/7))))-fcd_cc*(1-(1-MAX(0,MIN(1,IF($E362&lt;=cc_D,0.0035*($E362-M$18)/$E362,0.002*($E362-M$18)/($E362-3*cc_D/7))/0.002)))^2)</f>
        <v/>
      </c>
      <c r="N362">
        <f>MAX(-fyd_cc,MIN(fyd_cc,Es_cc*IF($E362&lt;=cc_D,0.0035*($E362-N$18)/$E362,0.002*($E362-N$18)/($E362-3*cc_D/7))))-fcd_cc*(1-(1-MAX(0,MIN(1,IF($E362&lt;=cc_D,0.0035*($E362-N$18)/$E362,0.002*($E362-N$18)/($E362-3*cc_D/7))/0.002)))^2)</f>
        <v/>
      </c>
      <c r="O362">
        <f>MAX(-fyd_cc,MIN(fyd_cc,Es_cc*IF($E362&lt;=cc_D,0.0035*($E362-O$18)/$E362,0.002*($E362-O$18)/($E362-3*cc_D/7))))-fcd_cc*(1-(1-MAX(0,MIN(1,IF($E362&lt;=cc_D,0.0035*($E362-O$18)/$E362,0.002*($E362-O$18)/($E362-3*cc_D/7))/0.002)))^2)</f>
        <v/>
      </c>
      <c r="P362">
        <f>MAX(-fyd_cc,MIN(fyd_cc,Es_cc*IF($E362&lt;=cc_D,0.0035*($E362-P$18)/$E362,0.002*($E362-P$18)/($E362-3*cc_D/7))))-fcd_cc*(1-(1-MAX(0,MIN(1,IF($E362&lt;=cc_D,0.0035*($E362-P$18)/$E362,0.002*($E362-P$18)/($E362-3*cc_D/7))/0.002)))^2)</f>
        <v/>
      </c>
      <c r="Q362">
        <f>MAX(-fyd_cc,MIN(fyd_cc,Es_cc*IF($E362&lt;=cc_D,0.0035*($E362-Q$18)/$E362,0.002*($E362-Q$18)/($E362-3*cc_D/7))))-fcd_cc*(1-(1-MAX(0,MIN(1,IF($E362&lt;=cc_D,0.0035*($E362-Q$18)/$E362,0.002*($E362-Q$18)/($E362-3*cc_D/7))/0.002)))^2)</f>
        <v/>
      </c>
      <c r="R362">
        <f>MAX(-fyd_cc,MIN(fyd_cc,Es_cc*IF($E362&lt;=cc_D,0.0035*($E362-R$18)/$E362,0.002*($E362-R$18)/($E362-3*cc_D/7))))-fcd_cc*(1-(1-MAX(0,MIN(1,IF($E362&lt;=cc_D,0.0035*($E362-R$18)/$E362,0.002*($E362-R$18)/($E362-3*cc_D/7))/0.002)))^2)</f>
        <v/>
      </c>
      <c r="S362">
        <f>MAX(-fyd_cc,MIN(fyd_cc,Es_cc*IF($E362&lt;=cc_D,0.0035*($E362-S$18)/$E362,0.002*($E362-S$18)/($E362-3*cc_D/7))))-fcd_cc*(1-(1-MAX(0,MIN(1,IF($E362&lt;=cc_D,0.0035*($E362-S$18)/$E362,0.002*($E362-S$18)/($E362-3*cc_D/7))/0.002)))^2)</f>
        <v/>
      </c>
      <c r="T362">
        <f>MAX(-fyd_cc,MIN(fyd_cc,Es_cc*IF($E362&lt;=cc_D,0.0035*($E362-T$18)/$E362,0.002*($E362-T$18)/($E362-3*cc_D/7))))-fcd_cc*(1-(1-MAX(0,MIN(1,IF($E362&lt;=cc_D,0.0035*($E362-T$18)/$E362,0.002*($E362-T$18)/($E362-3*cc_D/7))/0.002)))^2)</f>
        <v/>
      </c>
      <c r="U362">
        <f>MAX(-fyd_cc,MIN(fyd_cc,Es_cc*IF($E362&lt;=cc_D,0.0035*($E362-U$18)/$E362,0.002*($E362-U$18)/($E362-3*cc_D/7))))-fcd_cc*(1-(1-MAX(0,MIN(1,IF($E362&lt;=cc_D,0.0035*($E362-U$18)/$E362,0.002*($E362-U$18)/($E362-3*cc_D/7))/0.002)))^2)</f>
        <v/>
      </c>
      <c r="V362">
        <f>MAX(-fyd_cc,MIN(fyd_cc,Es_cc*IF($E362&lt;=cc_D,0.0035*($E362-V$18)/$E362,0.002*($E362-V$18)/($E362-3*cc_D/7))))-fcd_cc*(1-(1-MAX(0,MIN(1,IF($E362&lt;=cc_D,0.0035*($E362-V$18)/$E362,0.002*($E362-V$18)/($E362-3*cc_D/7))/0.002)))^2)</f>
        <v/>
      </c>
      <c r="W362">
        <f>MAX(-fyd_cc,MIN(fyd_cc,Es_cc*IF($E362&lt;=cc_D,0.0035*($E362-W$18)/$E362,0.002*($E362-W$18)/($E362-3*cc_D/7))))-fcd_cc*(1-(1-MAX(0,MIN(1,IF($E362&lt;=cc_D,0.0035*($E362-W$18)/$E362,0.002*($E362-W$18)/($E362-3*cc_D/7))/0.002)))^2)</f>
        <v/>
      </c>
      <c r="X362">
        <f>MAX(-fyd_cc,MIN(fyd_cc,Es_cc*IF($E362&lt;=cc_D,0.0035*($E362-X$18)/$E362,0.002*($E362-X$18)/($E362-3*cc_D/7))))-fcd_cc*(1-(1-MAX(0,MIN(1,IF($E362&lt;=cc_D,0.0035*($E362-X$18)/$E362,0.002*($E362-X$18)/($E362-3*cc_D/7))/0.002)))^2)</f>
        <v/>
      </c>
      <c r="Y362">
        <f>MAX(-fyd_cc,MIN(fyd_cc,Es_cc*IF($E362&lt;=cc_D,0.0035*($E362-Y$18)/$E362,0.002*($E362-Y$18)/($E362-3*cc_D/7))))-fcd_cc*(1-(1-MAX(0,MIN(1,IF($E362&lt;=cc_D,0.0035*($E362-Y$18)/$E362,0.002*($E362-Y$18)/($E362-3*cc_D/7))/0.002)))^2)</f>
        <v/>
      </c>
      <c r="Z362">
        <f>MAX(-fyd_cc,MIN(fyd_cc,Es_cc*IF($E362&lt;=cc_D,0.0035*($E362-Z$18)/$E362,0.002*($E362-Z$18)/($E362-3*cc_D/7))))-fcd_cc*(1-(1-MAX(0,MIN(1,IF($E362&lt;=cc_D,0.0035*($E362-Z$18)/$E362,0.002*($E362-Z$18)/($E362-3*cc_D/7))/0.002)))^2)</f>
        <v/>
      </c>
      <c r="AA362">
        <f>MAX(-fyd_cc,MIN(fyd_cc,Es_cc*IF($E362&lt;=cc_D,0.0035*($E362-AA$18)/$E362,0.002*($E362-AA$18)/($E362-3*cc_D/7))))-fcd_cc*(1-(1-MAX(0,MIN(1,IF($E362&lt;=cc_D,0.0035*($E362-AA$18)/$E362,0.002*($E362-AA$18)/($E362-3*cc_D/7))/0.002)))^2)</f>
        <v/>
      </c>
      <c r="AB362">
        <f>MAX(-fyd_cc,MIN(fyd_cc,Es_cc*IF($E362&lt;=cc_D,0.0035*($E362-AB$18)/$E362,0.002*($E362-AB$18)/($E362-3*cc_D/7))))-fcd_cc*(1-(1-MAX(0,MIN(1,IF($E362&lt;=cc_D,0.0035*($E362-AB$18)/$E362,0.002*($E362-AB$18)/($E362-3*cc_D/7))/0.002)))^2)</f>
        <v/>
      </c>
      <c r="AC362">
        <f>MAX(-fyd_cc,MIN(fyd_cc,Es_cc*IF($E362&lt;=cc_D,0.0035*($E362-AC$18)/$E362,0.002*($E362-AC$18)/($E362-3*cc_D/7))))-fcd_cc*(1-(1-MAX(0,MIN(1,IF($E362&lt;=cc_D,0.0035*($E362-AC$18)/$E362,0.002*($E362-AC$18)/($E362-3*cc_D/7))/0.002)))^2)</f>
        <v/>
      </c>
      <c r="AD362">
        <f>MAX(-fyd_cc,MIN(fyd_cc,Es_cc*IF($E362&lt;=cc_D,0.0035*($E362-AD$18)/$E362,0.002*($E362-AD$18)/($E362-3*cc_D/7))))-fcd_cc*(1-(1-MAX(0,MIN(1,IF($E362&lt;=cc_D,0.0035*($E362-AD$18)/$E362,0.002*($E362-AD$18)/($E362-3*cc_D/7))/0.002)))^2)</f>
        <v/>
      </c>
      <c r="AE362">
        <f>MAX(-fyd_cc,MIN(fyd_cc,Es_cc*IF($E362&lt;=cc_D,0.0035*($E362-AE$18)/$E362,0.002*($E362-AE$18)/($E362-3*cc_D/7))))-fcd_cc*(1-(1-MAX(0,MIN(1,IF($E362&lt;=cc_D,0.0035*($E362-AE$18)/$E362,0.002*($E362-AE$18)/($E362-3*cc_D/7))/0.002)))^2)</f>
        <v/>
      </c>
      <c r="AF362">
        <f>MAX(-fyd_cc,MIN(fyd_cc,Es_cc*IF($E362&lt;=cc_D,0.0035*($E362-AF$18)/$E362,0.002*($E362-AF$18)/($E362-3*cc_D/7))))-fcd_cc*(1-(1-MAX(0,MIN(1,IF($E362&lt;=cc_D,0.0035*($E362-AF$18)/$E362,0.002*($E362-AF$18)/($E362-3*cc_D/7))/0.002)))^2)</f>
        <v/>
      </c>
      <c r="AG362">
        <f>MAX(-fyd_cc,MIN(fyd_cc,Es_cc*IF($E362&lt;=cc_D,0.0035*($E362-AG$18)/$E362,0.002*($E362-AG$18)/($E362-3*cc_D/7))))-fcd_cc*(1-(1-MAX(0,MIN(1,IF($E362&lt;=cc_D,0.0035*($E362-AG$18)/$E362,0.002*($E362-AG$18)/($E362-3*cc_D/7))/0.002)))^2)</f>
        <v/>
      </c>
      <c r="BF362">
        <f>3*MIN($E362,cc_D)/7</f>
        <v/>
      </c>
      <c r="BG362">
        <f>$E362-$BF362</f>
        <v/>
      </c>
      <c r="BH362">
        <f>ACOS(MAX(-1,MIN(1,1-$BF362/(cc_D/2))))</f>
        <v/>
      </c>
      <c r="BI362">
        <f>ACOS(MAX(-1,MIN(1,1-MIN($E362,cc_D)/(cc_D/2))))</f>
        <v/>
      </c>
      <c r="BJ362">
        <f>((cc_D/2*(1-COS(($BH362+0*($BI362-$BH362)/12)))-$BF362)/$BG362)^2*SIN(($BH362+0*($BI362-$BH362)/12))^2</f>
        <v/>
      </c>
      <c r="BK362">
        <f>((cc_D/2*(1-COS(($BH362+1*($BI362-$BH362)/12)))-$BF362)/$BG362)^2*SIN(($BH362+1*($BI362-$BH362)/12))^2</f>
        <v/>
      </c>
      <c r="BL362">
        <f>((cc_D/2*(1-COS(($BH362+2*($BI362-$BH362)/12)))-$BF362)/$BG362)^2*SIN(($BH362+2*($BI362-$BH362)/12))^2</f>
        <v/>
      </c>
      <c r="BM362">
        <f>((cc_D/2*(1-COS(($BH362+3*($BI362-$BH362)/12)))-$BF362)/$BG362)^2*SIN(($BH362+3*($BI362-$BH362)/12))^2</f>
        <v/>
      </c>
      <c r="BN362">
        <f>((cc_D/2*(1-COS(($BH362+4*($BI362-$BH362)/12)))-$BF362)/$BG362)^2*SIN(($BH362+4*($BI362-$BH362)/12))^2</f>
        <v/>
      </c>
      <c r="BO362">
        <f>((cc_D/2*(1-COS(($BH362+5*($BI362-$BH362)/12)))-$BF362)/$BG362)^2*SIN(($BH362+5*($BI362-$BH362)/12))^2</f>
        <v/>
      </c>
      <c r="BP362">
        <f>((cc_D/2*(1-COS(($BH362+6*($BI362-$BH362)/12)))-$BF362)/$BG362)^2*SIN(($BH362+6*($BI362-$BH362)/12))^2</f>
        <v/>
      </c>
      <c r="BQ362">
        <f>((cc_D/2*(1-COS(($BH362+7*($BI362-$BH362)/12)))-$BF362)/$BG362)^2*SIN(($BH362+7*($BI362-$BH362)/12))^2</f>
        <v/>
      </c>
      <c r="BR362">
        <f>((cc_D/2*(1-COS(($BH362+8*($BI362-$BH362)/12)))-$BF362)/$BG362)^2*SIN(($BH362+8*($BI362-$BH362)/12))^2</f>
        <v/>
      </c>
      <c r="BS362">
        <f>((cc_D/2*(1-COS(($BH362+9*($BI362-$BH362)/12)))-$BF362)/$BG362)^2*SIN(($BH362+9*($BI362-$BH362)/12))^2</f>
        <v/>
      </c>
      <c r="BT362">
        <f>((cc_D/2*(1-COS(($BH362+10*($BI362-$BH362)/12)))-$BF362)/$BG362)^2*SIN(($BH362+10*($BI362-$BH362)/12))^2</f>
        <v/>
      </c>
      <c r="BU362">
        <f>((cc_D/2*(1-COS(($BH362+11*($BI362-$BH362)/12)))-$BF362)/$BG362)^2*SIN(($BH362+11*($BI362-$BH362)/12))^2</f>
        <v/>
      </c>
      <c r="BV362">
        <f>((cc_D/2*(1-COS(($BH362+12*($BI362-$BH362)/12)))-$BF362)/$BG362)^2*SIN(($BH362+12*($BI362-$BH362)/12))^2</f>
        <v/>
      </c>
      <c r="BW362">
        <f>BJ362*COS(($BH362+0*($BI362-$BH362)/12))</f>
        <v/>
      </c>
      <c r="BX362">
        <f>BK362*COS(($BH362+1*($BI362-$BH362)/12))</f>
        <v/>
      </c>
      <c r="BY362">
        <f>BL362*COS(($BH362+2*($BI362-$BH362)/12))</f>
        <v/>
      </c>
      <c r="BZ362">
        <f>BM362*COS(($BH362+3*($BI362-$BH362)/12))</f>
        <v/>
      </c>
      <c r="CA362">
        <f>BN362*COS(($BH362+4*($BI362-$BH362)/12))</f>
        <v/>
      </c>
      <c r="CB362">
        <f>BO362*COS(($BH362+5*($BI362-$BH362)/12))</f>
        <v/>
      </c>
      <c r="CC362">
        <f>BP362*COS(($BH362+6*($BI362-$BH362)/12))</f>
        <v/>
      </c>
      <c r="CD362">
        <f>BQ362*COS(($BH362+7*($BI362-$BH362)/12))</f>
        <v/>
      </c>
      <c r="CE362">
        <f>BR362*COS(($BH362+8*($BI362-$BH362)/12))</f>
        <v/>
      </c>
      <c r="CF362">
        <f>BS362*COS(($BH362+9*($BI362-$BH362)/12))</f>
        <v/>
      </c>
      <c r="CG362">
        <f>BT362*COS(($BH362+10*($BI362-$BH362)/12))</f>
        <v/>
      </c>
      <c r="CH362">
        <f>BU362*COS(($BH362+11*($BI362-$BH362)/12))</f>
        <v/>
      </c>
      <c r="CI362">
        <f>BV362*COS(($BH362+12*($BI362-$BH362)/12))</f>
        <v/>
      </c>
    </row>
    <row r="363">
      <c r="B363" s="65" t="n">
        <v>22</v>
      </c>
      <c r="C363" s="66">
        <f>IF($G362&lt;cc_NEd-1E-9*ABS(cc_NEd),($C362+$D362)/2,$C362)</f>
        <v/>
      </c>
      <c r="D363" s="66">
        <f>IF($G362&lt;cc_NEd-1E-9*ABS(cc_NEd),$D362,($C362+$D362)/2)</f>
        <v/>
      </c>
      <c r="E363" s="67">
        <f>cc_D*(($C363+$D363)/2)/(1-(($C363+$D363)/2))</f>
        <v/>
      </c>
      <c r="F363" s="68">
        <f>IF($E363&lt;=cc_D,3.5,2*$E363/($E363-3*cc_D/7))</f>
        <v/>
      </c>
      <c r="G363" s="67">
        <f>(fcd_cc*((cc_D/2)^2*($BI363-COS($BI363)*SIN($BI363))-2*(cc_D/2)^2*($BI363-$BH363)/12/3*SUMPRODUCT($BJ$4:$BV$4,$BJ363:$BV363))+SUMPRODUCT($J$5:$AG$5,$J363:$AG363))/1000</f>
        <v/>
      </c>
      <c r="H363" s="67">
        <f>(fcd_cc*(2/3*(cc_D/2)^3*SIN($BI363)^3-2*(cc_D/2)^3*($BI363-$BH363)/12/3*SUMPRODUCT($BW$4:$CI$4,$BW363:$CI363))+SUMPRODUCT($J$5:$AG$5,$J363:$AG363,$J$19:$AG$19))/1E6</f>
        <v/>
      </c>
      <c r="I363" s="67">
        <f>SUMPRODUCT($J$5:$AG$5,$J363:$AG363,$J$20:$AG$20)/1E6</f>
        <v/>
      </c>
      <c r="J363">
        <f>MAX(-fyd_cc,MIN(fyd_cc,Es_cc*IF($E363&lt;=cc_D,0.0035*($E363-J$18)/$E363,0.002*($E363-J$18)/($E363-3*cc_D/7))))-fcd_cc*(1-(1-MAX(0,MIN(1,IF($E363&lt;=cc_D,0.0035*($E363-J$18)/$E363,0.002*($E363-J$18)/($E363-3*cc_D/7))/0.002)))^2)</f>
        <v/>
      </c>
      <c r="K363">
        <f>MAX(-fyd_cc,MIN(fyd_cc,Es_cc*IF($E363&lt;=cc_D,0.0035*($E363-K$18)/$E363,0.002*($E363-K$18)/($E363-3*cc_D/7))))-fcd_cc*(1-(1-MAX(0,MIN(1,IF($E363&lt;=cc_D,0.0035*($E363-K$18)/$E363,0.002*($E363-K$18)/($E363-3*cc_D/7))/0.002)))^2)</f>
        <v/>
      </c>
      <c r="L363">
        <f>MAX(-fyd_cc,MIN(fyd_cc,Es_cc*IF($E363&lt;=cc_D,0.0035*($E363-L$18)/$E363,0.002*($E363-L$18)/($E363-3*cc_D/7))))-fcd_cc*(1-(1-MAX(0,MIN(1,IF($E363&lt;=cc_D,0.0035*($E363-L$18)/$E363,0.002*($E363-L$18)/($E363-3*cc_D/7))/0.002)))^2)</f>
        <v/>
      </c>
      <c r="M363">
        <f>MAX(-fyd_cc,MIN(fyd_cc,Es_cc*IF($E363&lt;=cc_D,0.0035*($E363-M$18)/$E363,0.002*($E363-M$18)/($E363-3*cc_D/7))))-fcd_cc*(1-(1-MAX(0,MIN(1,IF($E363&lt;=cc_D,0.0035*($E363-M$18)/$E363,0.002*($E363-M$18)/($E363-3*cc_D/7))/0.002)))^2)</f>
        <v/>
      </c>
      <c r="N363">
        <f>MAX(-fyd_cc,MIN(fyd_cc,Es_cc*IF($E363&lt;=cc_D,0.0035*($E363-N$18)/$E363,0.002*($E363-N$18)/($E363-3*cc_D/7))))-fcd_cc*(1-(1-MAX(0,MIN(1,IF($E363&lt;=cc_D,0.0035*($E363-N$18)/$E363,0.002*($E363-N$18)/($E363-3*cc_D/7))/0.002)))^2)</f>
        <v/>
      </c>
      <c r="O363">
        <f>MAX(-fyd_cc,MIN(fyd_cc,Es_cc*IF($E363&lt;=cc_D,0.0035*($E363-O$18)/$E363,0.002*($E363-O$18)/($E363-3*cc_D/7))))-fcd_cc*(1-(1-MAX(0,MIN(1,IF($E363&lt;=cc_D,0.0035*($E363-O$18)/$E363,0.002*($E363-O$18)/($E363-3*cc_D/7))/0.002)))^2)</f>
        <v/>
      </c>
      <c r="P363">
        <f>MAX(-fyd_cc,MIN(fyd_cc,Es_cc*IF($E363&lt;=cc_D,0.0035*($E363-P$18)/$E363,0.002*($E363-P$18)/($E363-3*cc_D/7))))-fcd_cc*(1-(1-MAX(0,MIN(1,IF($E363&lt;=cc_D,0.0035*($E363-P$18)/$E363,0.002*($E363-P$18)/($E363-3*cc_D/7))/0.002)))^2)</f>
        <v/>
      </c>
      <c r="Q363">
        <f>MAX(-fyd_cc,MIN(fyd_cc,Es_cc*IF($E363&lt;=cc_D,0.0035*($E363-Q$18)/$E363,0.002*($E363-Q$18)/($E363-3*cc_D/7))))-fcd_cc*(1-(1-MAX(0,MIN(1,IF($E363&lt;=cc_D,0.0035*($E363-Q$18)/$E363,0.002*($E363-Q$18)/($E363-3*cc_D/7))/0.002)))^2)</f>
        <v/>
      </c>
      <c r="R363">
        <f>MAX(-fyd_cc,MIN(fyd_cc,Es_cc*IF($E363&lt;=cc_D,0.0035*($E363-R$18)/$E363,0.002*($E363-R$18)/($E363-3*cc_D/7))))-fcd_cc*(1-(1-MAX(0,MIN(1,IF($E363&lt;=cc_D,0.0035*($E363-R$18)/$E363,0.002*($E363-R$18)/($E363-3*cc_D/7))/0.002)))^2)</f>
        <v/>
      </c>
      <c r="S363">
        <f>MAX(-fyd_cc,MIN(fyd_cc,Es_cc*IF($E363&lt;=cc_D,0.0035*($E363-S$18)/$E363,0.002*($E363-S$18)/($E363-3*cc_D/7))))-fcd_cc*(1-(1-MAX(0,MIN(1,IF($E363&lt;=cc_D,0.0035*($E363-S$18)/$E363,0.002*($E363-S$18)/($E363-3*cc_D/7))/0.002)))^2)</f>
        <v/>
      </c>
      <c r="T363">
        <f>MAX(-fyd_cc,MIN(fyd_cc,Es_cc*IF($E363&lt;=cc_D,0.0035*($E363-T$18)/$E363,0.002*($E363-T$18)/($E363-3*cc_D/7))))-fcd_cc*(1-(1-MAX(0,MIN(1,IF($E363&lt;=cc_D,0.0035*($E363-T$18)/$E363,0.002*($E363-T$18)/($E363-3*cc_D/7))/0.002)))^2)</f>
        <v/>
      </c>
      <c r="U363">
        <f>MAX(-fyd_cc,MIN(fyd_cc,Es_cc*IF($E363&lt;=cc_D,0.0035*($E363-U$18)/$E363,0.002*($E363-U$18)/($E363-3*cc_D/7))))-fcd_cc*(1-(1-MAX(0,MIN(1,IF($E363&lt;=cc_D,0.0035*($E363-U$18)/$E363,0.002*($E363-U$18)/($E363-3*cc_D/7))/0.002)))^2)</f>
        <v/>
      </c>
      <c r="V363">
        <f>MAX(-fyd_cc,MIN(fyd_cc,Es_cc*IF($E363&lt;=cc_D,0.0035*($E363-V$18)/$E363,0.002*($E363-V$18)/($E363-3*cc_D/7))))-fcd_cc*(1-(1-MAX(0,MIN(1,IF($E363&lt;=cc_D,0.0035*($E363-V$18)/$E363,0.002*($E363-V$18)/($E363-3*cc_D/7))/0.002)))^2)</f>
        <v/>
      </c>
      <c r="W363">
        <f>MAX(-fyd_cc,MIN(fyd_cc,Es_cc*IF($E363&lt;=cc_D,0.0035*($E363-W$18)/$E363,0.002*($E363-W$18)/($E363-3*cc_D/7))))-fcd_cc*(1-(1-MAX(0,MIN(1,IF($E363&lt;=cc_D,0.0035*($E363-W$18)/$E363,0.002*($E363-W$18)/($E363-3*cc_D/7))/0.002)))^2)</f>
        <v/>
      </c>
      <c r="X363">
        <f>MAX(-fyd_cc,MIN(fyd_cc,Es_cc*IF($E363&lt;=cc_D,0.0035*($E363-X$18)/$E363,0.002*($E363-X$18)/($E363-3*cc_D/7))))-fcd_cc*(1-(1-MAX(0,MIN(1,IF($E363&lt;=cc_D,0.0035*($E363-X$18)/$E363,0.002*($E363-X$18)/($E363-3*cc_D/7))/0.002)))^2)</f>
        <v/>
      </c>
      <c r="Y363">
        <f>MAX(-fyd_cc,MIN(fyd_cc,Es_cc*IF($E363&lt;=cc_D,0.0035*($E363-Y$18)/$E363,0.002*($E363-Y$18)/($E363-3*cc_D/7))))-fcd_cc*(1-(1-MAX(0,MIN(1,IF($E363&lt;=cc_D,0.0035*($E363-Y$18)/$E363,0.002*($E363-Y$18)/($E363-3*cc_D/7))/0.002)))^2)</f>
        <v/>
      </c>
      <c r="Z363">
        <f>MAX(-fyd_cc,MIN(fyd_cc,Es_cc*IF($E363&lt;=cc_D,0.0035*($E363-Z$18)/$E363,0.002*($E363-Z$18)/($E363-3*cc_D/7))))-fcd_cc*(1-(1-MAX(0,MIN(1,IF($E363&lt;=cc_D,0.0035*($E363-Z$18)/$E363,0.002*($E363-Z$18)/($E363-3*cc_D/7))/0.002)))^2)</f>
        <v/>
      </c>
      <c r="AA363">
        <f>MAX(-fyd_cc,MIN(fyd_cc,Es_cc*IF($E363&lt;=cc_D,0.0035*($E363-AA$18)/$E363,0.002*($E363-AA$18)/($E363-3*cc_D/7))))-fcd_cc*(1-(1-MAX(0,MIN(1,IF($E363&lt;=cc_D,0.0035*($E363-AA$18)/$E363,0.002*($E363-AA$18)/($E363-3*cc_D/7))/0.002)))^2)</f>
        <v/>
      </c>
      <c r="AB363">
        <f>MAX(-fyd_cc,MIN(fyd_cc,Es_cc*IF($E363&lt;=cc_D,0.0035*($E363-AB$18)/$E363,0.002*($E363-AB$18)/($E363-3*cc_D/7))))-fcd_cc*(1-(1-MAX(0,MIN(1,IF($E363&lt;=cc_D,0.0035*($E363-AB$18)/$E363,0.002*($E363-AB$18)/($E363-3*cc_D/7))/0.002)))^2)</f>
        <v/>
      </c>
      <c r="AC363">
        <f>MAX(-fyd_cc,MIN(fyd_cc,Es_cc*IF($E363&lt;=cc_D,0.0035*($E363-AC$18)/$E363,0.002*($E363-AC$18)/($E363-3*cc_D/7))))-fcd_cc*(1-(1-MAX(0,MIN(1,IF($E363&lt;=cc_D,0.0035*($E363-AC$18)/$E363,0.002*($E363-AC$18)/($E363-3*cc_D/7))/0.002)))^2)</f>
        <v/>
      </c>
      <c r="AD363">
        <f>MAX(-fyd_cc,MIN(fyd_cc,Es_cc*IF($E363&lt;=cc_D,0.0035*($E363-AD$18)/$E363,0.002*($E363-AD$18)/($E363-3*cc_D/7))))-fcd_cc*(1-(1-MAX(0,MIN(1,IF($E363&lt;=cc_D,0.0035*($E363-AD$18)/$E363,0.002*($E363-AD$18)/($E363-3*cc_D/7))/0.002)))^2)</f>
        <v/>
      </c>
      <c r="AE363">
        <f>MAX(-fyd_cc,MIN(fyd_cc,Es_cc*IF($E363&lt;=cc_D,0.0035*($E363-AE$18)/$E363,0.002*($E363-AE$18)/($E363-3*cc_D/7))))-fcd_cc*(1-(1-MAX(0,MIN(1,IF($E363&lt;=cc_D,0.0035*($E363-AE$18)/$E363,0.002*($E363-AE$18)/($E363-3*cc_D/7))/0.002)))^2)</f>
        <v/>
      </c>
      <c r="AF363">
        <f>MAX(-fyd_cc,MIN(fyd_cc,Es_cc*IF($E363&lt;=cc_D,0.0035*($E363-AF$18)/$E363,0.002*($E363-AF$18)/($E363-3*cc_D/7))))-fcd_cc*(1-(1-MAX(0,MIN(1,IF($E363&lt;=cc_D,0.0035*($E363-AF$18)/$E363,0.002*($E363-AF$18)/($E363-3*cc_D/7))/0.002)))^2)</f>
        <v/>
      </c>
      <c r="AG363">
        <f>MAX(-fyd_cc,MIN(fyd_cc,Es_cc*IF($E363&lt;=cc_D,0.0035*($E363-AG$18)/$E363,0.002*($E363-AG$18)/($E363-3*cc_D/7))))-fcd_cc*(1-(1-MAX(0,MIN(1,IF($E363&lt;=cc_D,0.0035*($E363-AG$18)/$E363,0.002*($E363-AG$18)/($E363-3*cc_D/7))/0.002)))^2)</f>
        <v/>
      </c>
      <c r="BF363">
        <f>3*MIN($E363,cc_D)/7</f>
        <v/>
      </c>
      <c r="BG363">
        <f>$E363-$BF363</f>
        <v/>
      </c>
      <c r="BH363">
        <f>ACOS(MAX(-1,MIN(1,1-$BF363/(cc_D/2))))</f>
        <v/>
      </c>
      <c r="BI363">
        <f>ACOS(MAX(-1,MIN(1,1-MIN($E363,cc_D)/(cc_D/2))))</f>
        <v/>
      </c>
      <c r="BJ363">
        <f>((cc_D/2*(1-COS(($BH363+0*($BI363-$BH363)/12)))-$BF363)/$BG363)^2*SIN(($BH363+0*($BI363-$BH363)/12))^2</f>
        <v/>
      </c>
      <c r="BK363">
        <f>((cc_D/2*(1-COS(($BH363+1*($BI363-$BH363)/12)))-$BF363)/$BG363)^2*SIN(($BH363+1*($BI363-$BH363)/12))^2</f>
        <v/>
      </c>
      <c r="BL363">
        <f>((cc_D/2*(1-COS(($BH363+2*($BI363-$BH363)/12)))-$BF363)/$BG363)^2*SIN(($BH363+2*($BI363-$BH363)/12))^2</f>
        <v/>
      </c>
      <c r="BM363">
        <f>((cc_D/2*(1-COS(($BH363+3*($BI363-$BH363)/12)))-$BF363)/$BG363)^2*SIN(($BH363+3*($BI363-$BH363)/12))^2</f>
        <v/>
      </c>
      <c r="BN363">
        <f>((cc_D/2*(1-COS(($BH363+4*($BI363-$BH363)/12)))-$BF363)/$BG363)^2*SIN(($BH363+4*($BI363-$BH363)/12))^2</f>
        <v/>
      </c>
      <c r="BO363">
        <f>((cc_D/2*(1-COS(($BH363+5*($BI363-$BH363)/12)))-$BF363)/$BG363)^2*SIN(($BH363+5*($BI363-$BH363)/12))^2</f>
        <v/>
      </c>
      <c r="BP363">
        <f>((cc_D/2*(1-COS(($BH363+6*($BI363-$BH363)/12)))-$BF363)/$BG363)^2*SIN(($BH363+6*($BI363-$BH363)/12))^2</f>
        <v/>
      </c>
      <c r="BQ363">
        <f>((cc_D/2*(1-COS(($BH363+7*($BI363-$BH363)/12)))-$BF363)/$BG363)^2*SIN(($BH363+7*($BI363-$BH363)/12))^2</f>
        <v/>
      </c>
      <c r="BR363">
        <f>((cc_D/2*(1-COS(($BH363+8*($BI363-$BH363)/12)))-$BF363)/$BG363)^2*SIN(($BH363+8*($BI363-$BH363)/12))^2</f>
        <v/>
      </c>
      <c r="BS363">
        <f>((cc_D/2*(1-COS(($BH363+9*($BI363-$BH363)/12)))-$BF363)/$BG363)^2*SIN(($BH363+9*($BI363-$BH363)/12))^2</f>
        <v/>
      </c>
      <c r="BT363">
        <f>((cc_D/2*(1-COS(($BH363+10*($BI363-$BH363)/12)))-$BF363)/$BG363)^2*SIN(($BH363+10*($BI363-$BH363)/12))^2</f>
        <v/>
      </c>
      <c r="BU363">
        <f>((cc_D/2*(1-COS(($BH363+11*($BI363-$BH363)/12)))-$BF363)/$BG363)^2*SIN(($BH363+11*($BI363-$BH363)/12))^2</f>
        <v/>
      </c>
      <c r="BV363">
        <f>((cc_D/2*(1-COS(($BH363+12*($BI363-$BH363)/12)))-$BF363)/$BG363)^2*SIN(($BH363+12*($BI363-$BH363)/12))^2</f>
        <v/>
      </c>
      <c r="BW363">
        <f>BJ363*COS(($BH363+0*($BI363-$BH363)/12))</f>
        <v/>
      </c>
      <c r="BX363">
        <f>BK363*COS(($BH363+1*($BI363-$BH363)/12))</f>
        <v/>
      </c>
      <c r="BY363">
        <f>BL363*COS(($BH363+2*($BI363-$BH363)/12))</f>
        <v/>
      </c>
      <c r="BZ363">
        <f>BM363*COS(($BH363+3*($BI363-$BH363)/12))</f>
        <v/>
      </c>
      <c r="CA363">
        <f>BN363*COS(($BH363+4*($BI363-$BH363)/12))</f>
        <v/>
      </c>
      <c r="CB363">
        <f>BO363*COS(($BH363+5*($BI363-$BH363)/12))</f>
        <v/>
      </c>
      <c r="CC363">
        <f>BP363*COS(($BH363+6*($BI363-$BH363)/12))</f>
        <v/>
      </c>
      <c r="CD363">
        <f>BQ363*COS(($BH363+7*($BI363-$BH363)/12))</f>
        <v/>
      </c>
      <c r="CE363">
        <f>BR363*COS(($BH363+8*($BI363-$BH363)/12))</f>
        <v/>
      </c>
      <c r="CF363">
        <f>BS363*COS(($BH363+9*($BI363-$BH363)/12))</f>
        <v/>
      </c>
      <c r="CG363">
        <f>BT363*COS(($BH363+10*($BI363-$BH363)/12))</f>
        <v/>
      </c>
      <c r="CH363">
        <f>BU363*COS(($BH363+11*($BI363-$BH363)/12))</f>
        <v/>
      </c>
      <c r="CI363">
        <f>BV363*COS(($BH363+12*($BI363-$BH363)/12))</f>
        <v/>
      </c>
    </row>
    <row r="364">
      <c r="B364" s="65" t="n">
        <v>23</v>
      </c>
      <c r="C364" s="66">
        <f>IF($G363&lt;cc_NEd-1E-9*ABS(cc_NEd),($C363+$D363)/2,$C363)</f>
        <v/>
      </c>
      <c r="D364" s="66">
        <f>IF($G363&lt;cc_NEd-1E-9*ABS(cc_NEd),$D363,($C363+$D363)/2)</f>
        <v/>
      </c>
      <c r="E364" s="67">
        <f>cc_D*(($C364+$D364)/2)/(1-(($C364+$D364)/2))</f>
        <v/>
      </c>
      <c r="F364" s="68">
        <f>IF($E364&lt;=cc_D,3.5,2*$E364/($E364-3*cc_D/7))</f>
        <v/>
      </c>
      <c r="G364" s="67">
        <f>(fcd_cc*((cc_D/2)^2*($BI364-COS($BI364)*SIN($BI364))-2*(cc_D/2)^2*($BI364-$BH364)/12/3*SUMPRODUCT($BJ$4:$BV$4,$BJ364:$BV364))+SUMPRODUCT($J$5:$AG$5,$J364:$AG364))/1000</f>
        <v/>
      </c>
      <c r="H364" s="67">
        <f>(fcd_cc*(2/3*(cc_D/2)^3*SIN($BI364)^3-2*(cc_D/2)^3*($BI364-$BH364)/12/3*SUMPRODUCT($BW$4:$CI$4,$BW364:$CI364))+SUMPRODUCT($J$5:$AG$5,$J364:$AG364,$J$19:$AG$19))/1E6</f>
        <v/>
      </c>
      <c r="I364" s="67">
        <f>SUMPRODUCT($J$5:$AG$5,$J364:$AG364,$J$20:$AG$20)/1E6</f>
        <v/>
      </c>
      <c r="J364">
        <f>MAX(-fyd_cc,MIN(fyd_cc,Es_cc*IF($E364&lt;=cc_D,0.0035*($E364-J$18)/$E364,0.002*($E364-J$18)/($E364-3*cc_D/7))))-fcd_cc*(1-(1-MAX(0,MIN(1,IF($E364&lt;=cc_D,0.0035*($E364-J$18)/$E364,0.002*($E364-J$18)/($E364-3*cc_D/7))/0.002)))^2)</f>
        <v/>
      </c>
      <c r="K364">
        <f>MAX(-fyd_cc,MIN(fyd_cc,Es_cc*IF($E364&lt;=cc_D,0.0035*($E364-K$18)/$E364,0.002*($E364-K$18)/($E364-3*cc_D/7))))-fcd_cc*(1-(1-MAX(0,MIN(1,IF($E364&lt;=cc_D,0.0035*($E364-K$18)/$E364,0.002*($E364-K$18)/($E364-3*cc_D/7))/0.002)))^2)</f>
        <v/>
      </c>
      <c r="L364">
        <f>MAX(-fyd_cc,MIN(fyd_cc,Es_cc*IF($E364&lt;=cc_D,0.0035*($E364-L$18)/$E364,0.002*($E364-L$18)/($E364-3*cc_D/7))))-fcd_cc*(1-(1-MAX(0,MIN(1,IF($E364&lt;=cc_D,0.0035*($E364-L$18)/$E364,0.002*($E364-L$18)/($E364-3*cc_D/7))/0.002)))^2)</f>
        <v/>
      </c>
      <c r="M364">
        <f>MAX(-fyd_cc,MIN(fyd_cc,Es_cc*IF($E364&lt;=cc_D,0.0035*($E364-M$18)/$E364,0.002*($E364-M$18)/($E364-3*cc_D/7))))-fcd_cc*(1-(1-MAX(0,MIN(1,IF($E364&lt;=cc_D,0.0035*($E364-M$18)/$E364,0.002*($E364-M$18)/($E364-3*cc_D/7))/0.002)))^2)</f>
        <v/>
      </c>
      <c r="N364">
        <f>MAX(-fyd_cc,MIN(fyd_cc,Es_cc*IF($E364&lt;=cc_D,0.0035*($E364-N$18)/$E364,0.002*($E364-N$18)/($E364-3*cc_D/7))))-fcd_cc*(1-(1-MAX(0,MIN(1,IF($E364&lt;=cc_D,0.0035*($E364-N$18)/$E364,0.002*($E364-N$18)/($E364-3*cc_D/7))/0.002)))^2)</f>
        <v/>
      </c>
      <c r="O364">
        <f>MAX(-fyd_cc,MIN(fyd_cc,Es_cc*IF($E364&lt;=cc_D,0.0035*($E364-O$18)/$E364,0.002*($E364-O$18)/($E364-3*cc_D/7))))-fcd_cc*(1-(1-MAX(0,MIN(1,IF($E364&lt;=cc_D,0.0035*($E364-O$18)/$E364,0.002*($E364-O$18)/($E364-3*cc_D/7))/0.002)))^2)</f>
        <v/>
      </c>
      <c r="P364">
        <f>MAX(-fyd_cc,MIN(fyd_cc,Es_cc*IF($E364&lt;=cc_D,0.0035*($E364-P$18)/$E364,0.002*($E364-P$18)/($E364-3*cc_D/7))))-fcd_cc*(1-(1-MAX(0,MIN(1,IF($E364&lt;=cc_D,0.0035*($E364-P$18)/$E364,0.002*($E364-P$18)/($E364-3*cc_D/7))/0.002)))^2)</f>
        <v/>
      </c>
      <c r="Q364">
        <f>MAX(-fyd_cc,MIN(fyd_cc,Es_cc*IF($E364&lt;=cc_D,0.0035*($E364-Q$18)/$E364,0.002*($E364-Q$18)/($E364-3*cc_D/7))))-fcd_cc*(1-(1-MAX(0,MIN(1,IF($E364&lt;=cc_D,0.0035*($E364-Q$18)/$E364,0.002*($E364-Q$18)/($E364-3*cc_D/7))/0.002)))^2)</f>
        <v/>
      </c>
      <c r="R364">
        <f>MAX(-fyd_cc,MIN(fyd_cc,Es_cc*IF($E364&lt;=cc_D,0.0035*($E364-R$18)/$E364,0.002*($E364-R$18)/($E364-3*cc_D/7))))-fcd_cc*(1-(1-MAX(0,MIN(1,IF($E364&lt;=cc_D,0.0035*($E364-R$18)/$E364,0.002*($E364-R$18)/($E364-3*cc_D/7))/0.002)))^2)</f>
        <v/>
      </c>
      <c r="S364">
        <f>MAX(-fyd_cc,MIN(fyd_cc,Es_cc*IF($E364&lt;=cc_D,0.0035*($E364-S$18)/$E364,0.002*($E364-S$18)/($E364-3*cc_D/7))))-fcd_cc*(1-(1-MAX(0,MIN(1,IF($E364&lt;=cc_D,0.0035*($E364-S$18)/$E364,0.002*($E364-S$18)/($E364-3*cc_D/7))/0.002)))^2)</f>
        <v/>
      </c>
      <c r="T364">
        <f>MAX(-fyd_cc,MIN(fyd_cc,Es_cc*IF($E364&lt;=cc_D,0.0035*($E364-T$18)/$E364,0.002*($E364-T$18)/($E364-3*cc_D/7))))-fcd_cc*(1-(1-MAX(0,MIN(1,IF($E364&lt;=cc_D,0.0035*($E364-T$18)/$E364,0.002*($E364-T$18)/($E364-3*cc_D/7))/0.002)))^2)</f>
        <v/>
      </c>
      <c r="U364">
        <f>MAX(-fyd_cc,MIN(fyd_cc,Es_cc*IF($E364&lt;=cc_D,0.0035*($E364-U$18)/$E364,0.002*($E364-U$18)/($E364-3*cc_D/7))))-fcd_cc*(1-(1-MAX(0,MIN(1,IF($E364&lt;=cc_D,0.0035*($E364-U$18)/$E364,0.002*($E364-U$18)/($E364-3*cc_D/7))/0.002)))^2)</f>
        <v/>
      </c>
      <c r="V364">
        <f>MAX(-fyd_cc,MIN(fyd_cc,Es_cc*IF($E364&lt;=cc_D,0.0035*($E364-V$18)/$E364,0.002*($E364-V$18)/($E364-3*cc_D/7))))-fcd_cc*(1-(1-MAX(0,MIN(1,IF($E364&lt;=cc_D,0.0035*($E364-V$18)/$E364,0.002*($E364-V$18)/($E364-3*cc_D/7))/0.002)))^2)</f>
        <v/>
      </c>
      <c r="W364">
        <f>MAX(-fyd_cc,MIN(fyd_cc,Es_cc*IF($E364&lt;=cc_D,0.0035*($E364-W$18)/$E364,0.002*($E364-W$18)/($E364-3*cc_D/7))))-fcd_cc*(1-(1-MAX(0,MIN(1,IF($E364&lt;=cc_D,0.0035*($E364-W$18)/$E364,0.002*($E364-W$18)/($E364-3*cc_D/7))/0.002)))^2)</f>
        <v/>
      </c>
      <c r="X364">
        <f>MAX(-fyd_cc,MIN(fyd_cc,Es_cc*IF($E364&lt;=cc_D,0.0035*($E364-X$18)/$E364,0.002*($E364-X$18)/($E364-3*cc_D/7))))-fcd_cc*(1-(1-MAX(0,MIN(1,IF($E364&lt;=cc_D,0.0035*($E364-X$18)/$E364,0.002*($E364-X$18)/($E364-3*cc_D/7))/0.002)))^2)</f>
        <v/>
      </c>
      <c r="Y364">
        <f>MAX(-fyd_cc,MIN(fyd_cc,Es_cc*IF($E364&lt;=cc_D,0.0035*($E364-Y$18)/$E364,0.002*($E364-Y$18)/($E364-3*cc_D/7))))-fcd_cc*(1-(1-MAX(0,MIN(1,IF($E364&lt;=cc_D,0.0035*($E364-Y$18)/$E364,0.002*($E364-Y$18)/($E364-3*cc_D/7))/0.002)))^2)</f>
        <v/>
      </c>
      <c r="Z364">
        <f>MAX(-fyd_cc,MIN(fyd_cc,Es_cc*IF($E364&lt;=cc_D,0.0035*($E364-Z$18)/$E364,0.002*($E364-Z$18)/($E364-3*cc_D/7))))-fcd_cc*(1-(1-MAX(0,MIN(1,IF($E364&lt;=cc_D,0.0035*($E364-Z$18)/$E364,0.002*($E364-Z$18)/($E364-3*cc_D/7))/0.002)))^2)</f>
        <v/>
      </c>
      <c r="AA364">
        <f>MAX(-fyd_cc,MIN(fyd_cc,Es_cc*IF($E364&lt;=cc_D,0.0035*($E364-AA$18)/$E364,0.002*($E364-AA$18)/($E364-3*cc_D/7))))-fcd_cc*(1-(1-MAX(0,MIN(1,IF($E364&lt;=cc_D,0.0035*($E364-AA$18)/$E364,0.002*($E364-AA$18)/($E364-3*cc_D/7))/0.002)))^2)</f>
        <v/>
      </c>
      <c r="AB364">
        <f>MAX(-fyd_cc,MIN(fyd_cc,Es_cc*IF($E364&lt;=cc_D,0.0035*($E364-AB$18)/$E364,0.002*($E364-AB$18)/($E364-3*cc_D/7))))-fcd_cc*(1-(1-MAX(0,MIN(1,IF($E364&lt;=cc_D,0.0035*($E364-AB$18)/$E364,0.002*($E364-AB$18)/($E364-3*cc_D/7))/0.002)))^2)</f>
        <v/>
      </c>
      <c r="AC364">
        <f>MAX(-fyd_cc,MIN(fyd_cc,Es_cc*IF($E364&lt;=cc_D,0.0035*($E364-AC$18)/$E364,0.002*($E364-AC$18)/($E364-3*cc_D/7))))-fcd_cc*(1-(1-MAX(0,MIN(1,IF($E364&lt;=cc_D,0.0035*($E364-AC$18)/$E364,0.002*($E364-AC$18)/($E364-3*cc_D/7))/0.002)))^2)</f>
        <v/>
      </c>
      <c r="AD364">
        <f>MAX(-fyd_cc,MIN(fyd_cc,Es_cc*IF($E364&lt;=cc_D,0.0035*($E364-AD$18)/$E364,0.002*($E364-AD$18)/($E364-3*cc_D/7))))-fcd_cc*(1-(1-MAX(0,MIN(1,IF($E364&lt;=cc_D,0.0035*($E364-AD$18)/$E364,0.002*($E364-AD$18)/($E364-3*cc_D/7))/0.002)))^2)</f>
        <v/>
      </c>
      <c r="AE364">
        <f>MAX(-fyd_cc,MIN(fyd_cc,Es_cc*IF($E364&lt;=cc_D,0.0035*($E364-AE$18)/$E364,0.002*($E364-AE$18)/($E364-3*cc_D/7))))-fcd_cc*(1-(1-MAX(0,MIN(1,IF($E364&lt;=cc_D,0.0035*($E364-AE$18)/$E364,0.002*($E364-AE$18)/($E364-3*cc_D/7))/0.002)))^2)</f>
        <v/>
      </c>
      <c r="AF364">
        <f>MAX(-fyd_cc,MIN(fyd_cc,Es_cc*IF($E364&lt;=cc_D,0.0035*($E364-AF$18)/$E364,0.002*($E364-AF$18)/($E364-3*cc_D/7))))-fcd_cc*(1-(1-MAX(0,MIN(1,IF($E364&lt;=cc_D,0.0035*($E364-AF$18)/$E364,0.002*($E364-AF$18)/($E364-3*cc_D/7))/0.002)))^2)</f>
        <v/>
      </c>
      <c r="AG364">
        <f>MAX(-fyd_cc,MIN(fyd_cc,Es_cc*IF($E364&lt;=cc_D,0.0035*($E364-AG$18)/$E364,0.002*($E364-AG$18)/($E364-3*cc_D/7))))-fcd_cc*(1-(1-MAX(0,MIN(1,IF($E364&lt;=cc_D,0.0035*($E364-AG$18)/$E364,0.002*($E364-AG$18)/($E364-3*cc_D/7))/0.002)))^2)</f>
        <v/>
      </c>
      <c r="BF364">
        <f>3*MIN($E364,cc_D)/7</f>
        <v/>
      </c>
      <c r="BG364">
        <f>$E364-$BF364</f>
        <v/>
      </c>
      <c r="BH364">
        <f>ACOS(MAX(-1,MIN(1,1-$BF364/(cc_D/2))))</f>
        <v/>
      </c>
      <c r="BI364">
        <f>ACOS(MAX(-1,MIN(1,1-MIN($E364,cc_D)/(cc_D/2))))</f>
        <v/>
      </c>
      <c r="BJ364">
        <f>((cc_D/2*(1-COS(($BH364+0*($BI364-$BH364)/12)))-$BF364)/$BG364)^2*SIN(($BH364+0*($BI364-$BH364)/12))^2</f>
        <v/>
      </c>
      <c r="BK364">
        <f>((cc_D/2*(1-COS(($BH364+1*($BI364-$BH364)/12)))-$BF364)/$BG364)^2*SIN(($BH364+1*($BI364-$BH364)/12))^2</f>
        <v/>
      </c>
      <c r="BL364">
        <f>((cc_D/2*(1-COS(($BH364+2*($BI364-$BH364)/12)))-$BF364)/$BG364)^2*SIN(($BH364+2*($BI364-$BH364)/12))^2</f>
        <v/>
      </c>
      <c r="BM364">
        <f>((cc_D/2*(1-COS(($BH364+3*($BI364-$BH364)/12)))-$BF364)/$BG364)^2*SIN(($BH364+3*($BI364-$BH364)/12))^2</f>
        <v/>
      </c>
      <c r="BN364">
        <f>((cc_D/2*(1-COS(($BH364+4*($BI364-$BH364)/12)))-$BF364)/$BG364)^2*SIN(($BH364+4*($BI364-$BH364)/12))^2</f>
        <v/>
      </c>
      <c r="BO364">
        <f>((cc_D/2*(1-COS(($BH364+5*($BI364-$BH364)/12)))-$BF364)/$BG364)^2*SIN(($BH364+5*($BI364-$BH364)/12))^2</f>
        <v/>
      </c>
      <c r="BP364">
        <f>((cc_D/2*(1-COS(($BH364+6*($BI364-$BH364)/12)))-$BF364)/$BG364)^2*SIN(($BH364+6*($BI364-$BH364)/12))^2</f>
        <v/>
      </c>
      <c r="BQ364">
        <f>((cc_D/2*(1-COS(($BH364+7*($BI364-$BH364)/12)))-$BF364)/$BG364)^2*SIN(($BH364+7*($BI364-$BH364)/12))^2</f>
        <v/>
      </c>
      <c r="BR364">
        <f>((cc_D/2*(1-COS(($BH364+8*($BI364-$BH364)/12)))-$BF364)/$BG364)^2*SIN(($BH364+8*($BI364-$BH364)/12))^2</f>
        <v/>
      </c>
      <c r="BS364">
        <f>((cc_D/2*(1-COS(($BH364+9*($BI364-$BH364)/12)))-$BF364)/$BG364)^2*SIN(($BH364+9*($BI364-$BH364)/12))^2</f>
        <v/>
      </c>
      <c r="BT364">
        <f>((cc_D/2*(1-COS(($BH364+10*($BI364-$BH364)/12)))-$BF364)/$BG364)^2*SIN(($BH364+10*($BI364-$BH364)/12))^2</f>
        <v/>
      </c>
      <c r="BU364">
        <f>((cc_D/2*(1-COS(($BH364+11*($BI364-$BH364)/12)))-$BF364)/$BG364)^2*SIN(($BH364+11*($BI364-$BH364)/12))^2</f>
        <v/>
      </c>
      <c r="BV364">
        <f>((cc_D/2*(1-COS(($BH364+12*($BI364-$BH364)/12)))-$BF364)/$BG364)^2*SIN(($BH364+12*($BI364-$BH364)/12))^2</f>
        <v/>
      </c>
      <c r="BW364">
        <f>BJ364*COS(($BH364+0*($BI364-$BH364)/12))</f>
        <v/>
      </c>
      <c r="BX364">
        <f>BK364*COS(($BH364+1*($BI364-$BH364)/12))</f>
        <v/>
      </c>
      <c r="BY364">
        <f>BL364*COS(($BH364+2*($BI364-$BH364)/12))</f>
        <v/>
      </c>
      <c r="BZ364">
        <f>BM364*COS(($BH364+3*($BI364-$BH364)/12))</f>
        <v/>
      </c>
      <c r="CA364">
        <f>BN364*COS(($BH364+4*($BI364-$BH364)/12))</f>
        <v/>
      </c>
      <c r="CB364">
        <f>BO364*COS(($BH364+5*($BI364-$BH364)/12))</f>
        <v/>
      </c>
      <c r="CC364">
        <f>BP364*COS(($BH364+6*($BI364-$BH364)/12))</f>
        <v/>
      </c>
      <c r="CD364">
        <f>BQ364*COS(($BH364+7*($BI364-$BH364)/12))</f>
        <v/>
      </c>
      <c r="CE364">
        <f>BR364*COS(($BH364+8*($BI364-$BH364)/12))</f>
        <v/>
      </c>
      <c r="CF364">
        <f>BS364*COS(($BH364+9*($BI364-$BH364)/12))</f>
        <v/>
      </c>
      <c r="CG364">
        <f>BT364*COS(($BH364+10*($BI364-$BH364)/12))</f>
        <v/>
      </c>
      <c r="CH364">
        <f>BU364*COS(($BH364+11*($BI364-$BH364)/12))</f>
        <v/>
      </c>
      <c r="CI364">
        <f>BV364*COS(($BH364+12*($BI364-$BH364)/12))</f>
        <v/>
      </c>
    </row>
    <row r="365">
      <c r="B365" s="65" t="n">
        <v>24</v>
      </c>
      <c r="C365" s="66">
        <f>IF($G364&lt;cc_NEd-1E-9*ABS(cc_NEd),($C364+$D364)/2,$C364)</f>
        <v/>
      </c>
      <c r="D365" s="66">
        <f>IF($G364&lt;cc_NEd-1E-9*ABS(cc_NEd),$D364,($C364+$D364)/2)</f>
        <v/>
      </c>
      <c r="E365" s="67">
        <f>cc_D*(($C365+$D365)/2)/(1-(($C365+$D365)/2))</f>
        <v/>
      </c>
      <c r="F365" s="68">
        <f>IF($E365&lt;=cc_D,3.5,2*$E365/($E365-3*cc_D/7))</f>
        <v/>
      </c>
      <c r="G365" s="67">
        <f>(fcd_cc*((cc_D/2)^2*($BI365-COS($BI365)*SIN($BI365))-2*(cc_D/2)^2*($BI365-$BH365)/12/3*SUMPRODUCT($BJ$4:$BV$4,$BJ365:$BV365))+SUMPRODUCT($J$5:$AG$5,$J365:$AG365))/1000</f>
        <v/>
      </c>
      <c r="H365" s="67">
        <f>(fcd_cc*(2/3*(cc_D/2)^3*SIN($BI365)^3-2*(cc_D/2)^3*($BI365-$BH365)/12/3*SUMPRODUCT($BW$4:$CI$4,$BW365:$CI365))+SUMPRODUCT($J$5:$AG$5,$J365:$AG365,$J$19:$AG$19))/1E6</f>
        <v/>
      </c>
      <c r="I365" s="67">
        <f>SUMPRODUCT($J$5:$AG$5,$J365:$AG365,$J$20:$AG$20)/1E6</f>
        <v/>
      </c>
      <c r="J365">
        <f>MAX(-fyd_cc,MIN(fyd_cc,Es_cc*IF($E365&lt;=cc_D,0.0035*($E365-J$18)/$E365,0.002*($E365-J$18)/($E365-3*cc_D/7))))-fcd_cc*(1-(1-MAX(0,MIN(1,IF($E365&lt;=cc_D,0.0035*($E365-J$18)/$E365,0.002*($E365-J$18)/($E365-3*cc_D/7))/0.002)))^2)</f>
        <v/>
      </c>
      <c r="K365">
        <f>MAX(-fyd_cc,MIN(fyd_cc,Es_cc*IF($E365&lt;=cc_D,0.0035*($E365-K$18)/$E365,0.002*($E365-K$18)/($E365-3*cc_D/7))))-fcd_cc*(1-(1-MAX(0,MIN(1,IF($E365&lt;=cc_D,0.0035*($E365-K$18)/$E365,0.002*($E365-K$18)/($E365-3*cc_D/7))/0.002)))^2)</f>
        <v/>
      </c>
      <c r="L365">
        <f>MAX(-fyd_cc,MIN(fyd_cc,Es_cc*IF($E365&lt;=cc_D,0.0035*($E365-L$18)/$E365,0.002*($E365-L$18)/($E365-3*cc_D/7))))-fcd_cc*(1-(1-MAX(0,MIN(1,IF($E365&lt;=cc_D,0.0035*($E365-L$18)/$E365,0.002*($E365-L$18)/($E365-3*cc_D/7))/0.002)))^2)</f>
        <v/>
      </c>
      <c r="M365">
        <f>MAX(-fyd_cc,MIN(fyd_cc,Es_cc*IF($E365&lt;=cc_D,0.0035*($E365-M$18)/$E365,0.002*($E365-M$18)/($E365-3*cc_D/7))))-fcd_cc*(1-(1-MAX(0,MIN(1,IF($E365&lt;=cc_D,0.0035*($E365-M$18)/$E365,0.002*($E365-M$18)/($E365-3*cc_D/7))/0.002)))^2)</f>
        <v/>
      </c>
      <c r="N365">
        <f>MAX(-fyd_cc,MIN(fyd_cc,Es_cc*IF($E365&lt;=cc_D,0.0035*($E365-N$18)/$E365,0.002*($E365-N$18)/($E365-3*cc_D/7))))-fcd_cc*(1-(1-MAX(0,MIN(1,IF($E365&lt;=cc_D,0.0035*($E365-N$18)/$E365,0.002*($E365-N$18)/($E365-3*cc_D/7))/0.002)))^2)</f>
        <v/>
      </c>
      <c r="O365">
        <f>MAX(-fyd_cc,MIN(fyd_cc,Es_cc*IF($E365&lt;=cc_D,0.0035*($E365-O$18)/$E365,0.002*($E365-O$18)/($E365-3*cc_D/7))))-fcd_cc*(1-(1-MAX(0,MIN(1,IF($E365&lt;=cc_D,0.0035*($E365-O$18)/$E365,0.002*($E365-O$18)/($E365-3*cc_D/7))/0.002)))^2)</f>
        <v/>
      </c>
      <c r="P365">
        <f>MAX(-fyd_cc,MIN(fyd_cc,Es_cc*IF($E365&lt;=cc_D,0.0035*($E365-P$18)/$E365,0.002*($E365-P$18)/($E365-3*cc_D/7))))-fcd_cc*(1-(1-MAX(0,MIN(1,IF($E365&lt;=cc_D,0.0035*($E365-P$18)/$E365,0.002*($E365-P$18)/($E365-3*cc_D/7))/0.002)))^2)</f>
        <v/>
      </c>
      <c r="Q365">
        <f>MAX(-fyd_cc,MIN(fyd_cc,Es_cc*IF($E365&lt;=cc_D,0.0035*($E365-Q$18)/$E365,0.002*($E365-Q$18)/($E365-3*cc_D/7))))-fcd_cc*(1-(1-MAX(0,MIN(1,IF($E365&lt;=cc_D,0.0035*($E365-Q$18)/$E365,0.002*($E365-Q$18)/($E365-3*cc_D/7))/0.002)))^2)</f>
        <v/>
      </c>
      <c r="R365">
        <f>MAX(-fyd_cc,MIN(fyd_cc,Es_cc*IF($E365&lt;=cc_D,0.0035*($E365-R$18)/$E365,0.002*($E365-R$18)/($E365-3*cc_D/7))))-fcd_cc*(1-(1-MAX(0,MIN(1,IF($E365&lt;=cc_D,0.0035*($E365-R$18)/$E365,0.002*($E365-R$18)/($E365-3*cc_D/7))/0.002)))^2)</f>
        <v/>
      </c>
      <c r="S365">
        <f>MAX(-fyd_cc,MIN(fyd_cc,Es_cc*IF($E365&lt;=cc_D,0.0035*($E365-S$18)/$E365,0.002*($E365-S$18)/($E365-3*cc_D/7))))-fcd_cc*(1-(1-MAX(0,MIN(1,IF($E365&lt;=cc_D,0.0035*($E365-S$18)/$E365,0.002*($E365-S$18)/($E365-3*cc_D/7))/0.002)))^2)</f>
        <v/>
      </c>
      <c r="T365">
        <f>MAX(-fyd_cc,MIN(fyd_cc,Es_cc*IF($E365&lt;=cc_D,0.0035*($E365-T$18)/$E365,0.002*($E365-T$18)/($E365-3*cc_D/7))))-fcd_cc*(1-(1-MAX(0,MIN(1,IF($E365&lt;=cc_D,0.0035*($E365-T$18)/$E365,0.002*($E365-T$18)/($E365-3*cc_D/7))/0.002)))^2)</f>
        <v/>
      </c>
      <c r="U365">
        <f>MAX(-fyd_cc,MIN(fyd_cc,Es_cc*IF($E365&lt;=cc_D,0.0035*($E365-U$18)/$E365,0.002*($E365-U$18)/($E365-3*cc_D/7))))-fcd_cc*(1-(1-MAX(0,MIN(1,IF($E365&lt;=cc_D,0.0035*($E365-U$18)/$E365,0.002*($E365-U$18)/($E365-3*cc_D/7))/0.002)))^2)</f>
        <v/>
      </c>
      <c r="V365">
        <f>MAX(-fyd_cc,MIN(fyd_cc,Es_cc*IF($E365&lt;=cc_D,0.0035*($E365-V$18)/$E365,0.002*($E365-V$18)/($E365-3*cc_D/7))))-fcd_cc*(1-(1-MAX(0,MIN(1,IF($E365&lt;=cc_D,0.0035*($E365-V$18)/$E365,0.002*($E365-V$18)/($E365-3*cc_D/7))/0.002)))^2)</f>
        <v/>
      </c>
      <c r="W365">
        <f>MAX(-fyd_cc,MIN(fyd_cc,Es_cc*IF($E365&lt;=cc_D,0.0035*($E365-W$18)/$E365,0.002*($E365-W$18)/($E365-3*cc_D/7))))-fcd_cc*(1-(1-MAX(0,MIN(1,IF($E365&lt;=cc_D,0.0035*($E365-W$18)/$E365,0.002*($E365-W$18)/($E365-3*cc_D/7))/0.002)))^2)</f>
        <v/>
      </c>
      <c r="X365">
        <f>MAX(-fyd_cc,MIN(fyd_cc,Es_cc*IF($E365&lt;=cc_D,0.0035*($E365-X$18)/$E365,0.002*($E365-X$18)/($E365-3*cc_D/7))))-fcd_cc*(1-(1-MAX(0,MIN(1,IF($E365&lt;=cc_D,0.0035*($E365-X$18)/$E365,0.002*($E365-X$18)/($E365-3*cc_D/7))/0.002)))^2)</f>
        <v/>
      </c>
      <c r="Y365">
        <f>MAX(-fyd_cc,MIN(fyd_cc,Es_cc*IF($E365&lt;=cc_D,0.0035*($E365-Y$18)/$E365,0.002*($E365-Y$18)/($E365-3*cc_D/7))))-fcd_cc*(1-(1-MAX(0,MIN(1,IF($E365&lt;=cc_D,0.0035*($E365-Y$18)/$E365,0.002*($E365-Y$18)/($E365-3*cc_D/7))/0.002)))^2)</f>
        <v/>
      </c>
      <c r="Z365">
        <f>MAX(-fyd_cc,MIN(fyd_cc,Es_cc*IF($E365&lt;=cc_D,0.0035*($E365-Z$18)/$E365,0.002*($E365-Z$18)/($E365-3*cc_D/7))))-fcd_cc*(1-(1-MAX(0,MIN(1,IF($E365&lt;=cc_D,0.0035*($E365-Z$18)/$E365,0.002*($E365-Z$18)/($E365-3*cc_D/7))/0.002)))^2)</f>
        <v/>
      </c>
      <c r="AA365">
        <f>MAX(-fyd_cc,MIN(fyd_cc,Es_cc*IF($E365&lt;=cc_D,0.0035*($E365-AA$18)/$E365,0.002*($E365-AA$18)/($E365-3*cc_D/7))))-fcd_cc*(1-(1-MAX(0,MIN(1,IF($E365&lt;=cc_D,0.0035*($E365-AA$18)/$E365,0.002*($E365-AA$18)/($E365-3*cc_D/7))/0.002)))^2)</f>
        <v/>
      </c>
      <c r="AB365">
        <f>MAX(-fyd_cc,MIN(fyd_cc,Es_cc*IF($E365&lt;=cc_D,0.0035*($E365-AB$18)/$E365,0.002*($E365-AB$18)/($E365-3*cc_D/7))))-fcd_cc*(1-(1-MAX(0,MIN(1,IF($E365&lt;=cc_D,0.0035*($E365-AB$18)/$E365,0.002*($E365-AB$18)/($E365-3*cc_D/7))/0.002)))^2)</f>
        <v/>
      </c>
      <c r="AC365">
        <f>MAX(-fyd_cc,MIN(fyd_cc,Es_cc*IF($E365&lt;=cc_D,0.0035*($E365-AC$18)/$E365,0.002*($E365-AC$18)/($E365-3*cc_D/7))))-fcd_cc*(1-(1-MAX(0,MIN(1,IF($E365&lt;=cc_D,0.0035*($E365-AC$18)/$E365,0.002*($E365-AC$18)/($E365-3*cc_D/7))/0.002)))^2)</f>
        <v/>
      </c>
      <c r="AD365">
        <f>MAX(-fyd_cc,MIN(fyd_cc,Es_cc*IF($E365&lt;=cc_D,0.0035*($E365-AD$18)/$E365,0.002*($E365-AD$18)/($E365-3*cc_D/7))))-fcd_cc*(1-(1-MAX(0,MIN(1,IF($E365&lt;=cc_D,0.0035*($E365-AD$18)/$E365,0.002*($E365-AD$18)/($E365-3*cc_D/7))/0.002)))^2)</f>
        <v/>
      </c>
      <c r="AE365">
        <f>MAX(-fyd_cc,MIN(fyd_cc,Es_cc*IF($E365&lt;=cc_D,0.0035*($E365-AE$18)/$E365,0.002*($E365-AE$18)/($E365-3*cc_D/7))))-fcd_cc*(1-(1-MAX(0,MIN(1,IF($E365&lt;=cc_D,0.0035*($E365-AE$18)/$E365,0.002*($E365-AE$18)/($E365-3*cc_D/7))/0.002)))^2)</f>
        <v/>
      </c>
      <c r="AF365">
        <f>MAX(-fyd_cc,MIN(fyd_cc,Es_cc*IF($E365&lt;=cc_D,0.0035*($E365-AF$18)/$E365,0.002*($E365-AF$18)/($E365-3*cc_D/7))))-fcd_cc*(1-(1-MAX(0,MIN(1,IF($E365&lt;=cc_D,0.0035*($E365-AF$18)/$E365,0.002*($E365-AF$18)/($E365-3*cc_D/7))/0.002)))^2)</f>
        <v/>
      </c>
      <c r="AG365">
        <f>MAX(-fyd_cc,MIN(fyd_cc,Es_cc*IF($E365&lt;=cc_D,0.0035*($E365-AG$18)/$E365,0.002*($E365-AG$18)/($E365-3*cc_D/7))))-fcd_cc*(1-(1-MAX(0,MIN(1,IF($E365&lt;=cc_D,0.0035*($E365-AG$18)/$E365,0.002*($E365-AG$18)/($E365-3*cc_D/7))/0.002)))^2)</f>
        <v/>
      </c>
      <c r="BF365">
        <f>3*MIN($E365,cc_D)/7</f>
        <v/>
      </c>
      <c r="BG365">
        <f>$E365-$BF365</f>
        <v/>
      </c>
      <c r="BH365">
        <f>ACOS(MAX(-1,MIN(1,1-$BF365/(cc_D/2))))</f>
        <v/>
      </c>
      <c r="BI365">
        <f>ACOS(MAX(-1,MIN(1,1-MIN($E365,cc_D)/(cc_D/2))))</f>
        <v/>
      </c>
      <c r="BJ365">
        <f>((cc_D/2*(1-COS(($BH365+0*($BI365-$BH365)/12)))-$BF365)/$BG365)^2*SIN(($BH365+0*($BI365-$BH365)/12))^2</f>
        <v/>
      </c>
      <c r="BK365">
        <f>((cc_D/2*(1-COS(($BH365+1*($BI365-$BH365)/12)))-$BF365)/$BG365)^2*SIN(($BH365+1*($BI365-$BH365)/12))^2</f>
        <v/>
      </c>
      <c r="BL365">
        <f>((cc_D/2*(1-COS(($BH365+2*($BI365-$BH365)/12)))-$BF365)/$BG365)^2*SIN(($BH365+2*($BI365-$BH365)/12))^2</f>
        <v/>
      </c>
      <c r="BM365">
        <f>((cc_D/2*(1-COS(($BH365+3*($BI365-$BH365)/12)))-$BF365)/$BG365)^2*SIN(($BH365+3*($BI365-$BH365)/12))^2</f>
        <v/>
      </c>
      <c r="BN365">
        <f>((cc_D/2*(1-COS(($BH365+4*($BI365-$BH365)/12)))-$BF365)/$BG365)^2*SIN(($BH365+4*($BI365-$BH365)/12))^2</f>
        <v/>
      </c>
      <c r="BO365">
        <f>((cc_D/2*(1-COS(($BH365+5*($BI365-$BH365)/12)))-$BF365)/$BG365)^2*SIN(($BH365+5*($BI365-$BH365)/12))^2</f>
        <v/>
      </c>
      <c r="BP365">
        <f>((cc_D/2*(1-COS(($BH365+6*($BI365-$BH365)/12)))-$BF365)/$BG365)^2*SIN(($BH365+6*($BI365-$BH365)/12))^2</f>
        <v/>
      </c>
      <c r="BQ365">
        <f>((cc_D/2*(1-COS(($BH365+7*($BI365-$BH365)/12)))-$BF365)/$BG365)^2*SIN(($BH365+7*($BI365-$BH365)/12))^2</f>
        <v/>
      </c>
      <c r="BR365">
        <f>((cc_D/2*(1-COS(($BH365+8*($BI365-$BH365)/12)))-$BF365)/$BG365)^2*SIN(($BH365+8*($BI365-$BH365)/12))^2</f>
        <v/>
      </c>
      <c r="BS365">
        <f>((cc_D/2*(1-COS(($BH365+9*($BI365-$BH365)/12)))-$BF365)/$BG365)^2*SIN(($BH365+9*($BI365-$BH365)/12))^2</f>
        <v/>
      </c>
      <c r="BT365">
        <f>((cc_D/2*(1-COS(($BH365+10*($BI365-$BH365)/12)))-$BF365)/$BG365)^2*SIN(($BH365+10*($BI365-$BH365)/12))^2</f>
        <v/>
      </c>
      <c r="BU365">
        <f>((cc_D/2*(1-COS(($BH365+11*($BI365-$BH365)/12)))-$BF365)/$BG365)^2*SIN(($BH365+11*($BI365-$BH365)/12))^2</f>
        <v/>
      </c>
      <c r="BV365">
        <f>((cc_D/2*(1-COS(($BH365+12*($BI365-$BH365)/12)))-$BF365)/$BG365)^2*SIN(($BH365+12*($BI365-$BH365)/12))^2</f>
        <v/>
      </c>
      <c r="BW365">
        <f>BJ365*COS(($BH365+0*($BI365-$BH365)/12))</f>
        <v/>
      </c>
      <c r="BX365">
        <f>BK365*COS(($BH365+1*($BI365-$BH365)/12))</f>
        <v/>
      </c>
      <c r="BY365">
        <f>BL365*COS(($BH365+2*($BI365-$BH365)/12))</f>
        <v/>
      </c>
      <c r="BZ365">
        <f>BM365*COS(($BH365+3*($BI365-$BH365)/12))</f>
        <v/>
      </c>
      <c r="CA365">
        <f>BN365*COS(($BH365+4*($BI365-$BH365)/12))</f>
        <v/>
      </c>
      <c r="CB365">
        <f>BO365*COS(($BH365+5*($BI365-$BH365)/12))</f>
        <v/>
      </c>
      <c r="CC365">
        <f>BP365*COS(($BH365+6*($BI365-$BH365)/12))</f>
        <v/>
      </c>
      <c r="CD365">
        <f>BQ365*COS(($BH365+7*($BI365-$BH365)/12))</f>
        <v/>
      </c>
      <c r="CE365">
        <f>BR365*COS(($BH365+8*($BI365-$BH365)/12))</f>
        <v/>
      </c>
      <c r="CF365">
        <f>BS365*COS(($BH365+9*($BI365-$BH365)/12))</f>
        <v/>
      </c>
      <c r="CG365">
        <f>BT365*COS(($BH365+10*($BI365-$BH365)/12))</f>
        <v/>
      </c>
      <c r="CH365">
        <f>BU365*COS(($BH365+11*($BI365-$BH365)/12))</f>
        <v/>
      </c>
      <c r="CI365">
        <f>BV365*COS(($BH365+12*($BI365-$BH365)/12))</f>
        <v/>
      </c>
    </row>
    <row r="366">
      <c r="B366" s="65" t="n">
        <v>25</v>
      </c>
      <c r="C366" s="66">
        <f>IF($G365&lt;cc_NEd-1E-9*ABS(cc_NEd),($C365+$D365)/2,$C365)</f>
        <v/>
      </c>
      <c r="D366" s="66">
        <f>IF($G365&lt;cc_NEd-1E-9*ABS(cc_NEd),$D365,($C365+$D365)/2)</f>
        <v/>
      </c>
      <c r="E366" s="67">
        <f>cc_D*(($C366+$D366)/2)/(1-(($C366+$D366)/2))</f>
        <v/>
      </c>
      <c r="F366" s="68">
        <f>IF($E366&lt;=cc_D,3.5,2*$E366/($E366-3*cc_D/7))</f>
        <v/>
      </c>
      <c r="G366" s="67">
        <f>(fcd_cc*((cc_D/2)^2*($BI366-COS($BI366)*SIN($BI366))-2*(cc_D/2)^2*($BI366-$BH366)/12/3*SUMPRODUCT($BJ$4:$BV$4,$BJ366:$BV366))+SUMPRODUCT($J$5:$AG$5,$J366:$AG366))/1000</f>
        <v/>
      </c>
      <c r="H366" s="67">
        <f>(fcd_cc*(2/3*(cc_D/2)^3*SIN($BI366)^3-2*(cc_D/2)^3*($BI366-$BH366)/12/3*SUMPRODUCT($BW$4:$CI$4,$BW366:$CI366))+SUMPRODUCT($J$5:$AG$5,$J366:$AG366,$J$19:$AG$19))/1E6</f>
        <v/>
      </c>
      <c r="I366" s="67">
        <f>SUMPRODUCT($J$5:$AG$5,$J366:$AG366,$J$20:$AG$20)/1E6</f>
        <v/>
      </c>
      <c r="J366">
        <f>MAX(-fyd_cc,MIN(fyd_cc,Es_cc*IF($E366&lt;=cc_D,0.0035*($E366-J$18)/$E366,0.002*($E366-J$18)/($E366-3*cc_D/7))))-fcd_cc*(1-(1-MAX(0,MIN(1,IF($E366&lt;=cc_D,0.0035*($E366-J$18)/$E366,0.002*($E366-J$18)/($E366-3*cc_D/7))/0.002)))^2)</f>
        <v/>
      </c>
      <c r="K366">
        <f>MAX(-fyd_cc,MIN(fyd_cc,Es_cc*IF($E366&lt;=cc_D,0.0035*($E366-K$18)/$E366,0.002*($E366-K$18)/($E366-3*cc_D/7))))-fcd_cc*(1-(1-MAX(0,MIN(1,IF($E366&lt;=cc_D,0.0035*($E366-K$18)/$E366,0.002*($E366-K$18)/($E366-3*cc_D/7))/0.002)))^2)</f>
        <v/>
      </c>
      <c r="L366">
        <f>MAX(-fyd_cc,MIN(fyd_cc,Es_cc*IF($E366&lt;=cc_D,0.0035*($E366-L$18)/$E366,0.002*($E366-L$18)/($E366-3*cc_D/7))))-fcd_cc*(1-(1-MAX(0,MIN(1,IF($E366&lt;=cc_D,0.0035*($E366-L$18)/$E366,0.002*($E366-L$18)/($E366-3*cc_D/7))/0.002)))^2)</f>
        <v/>
      </c>
      <c r="M366">
        <f>MAX(-fyd_cc,MIN(fyd_cc,Es_cc*IF($E366&lt;=cc_D,0.0035*($E366-M$18)/$E366,0.002*($E366-M$18)/($E366-3*cc_D/7))))-fcd_cc*(1-(1-MAX(0,MIN(1,IF($E366&lt;=cc_D,0.0035*($E366-M$18)/$E366,0.002*($E366-M$18)/($E366-3*cc_D/7))/0.002)))^2)</f>
        <v/>
      </c>
      <c r="N366">
        <f>MAX(-fyd_cc,MIN(fyd_cc,Es_cc*IF($E366&lt;=cc_D,0.0035*($E366-N$18)/$E366,0.002*($E366-N$18)/($E366-3*cc_D/7))))-fcd_cc*(1-(1-MAX(0,MIN(1,IF($E366&lt;=cc_D,0.0035*($E366-N$18)/$E366,0.002*($E366-N$18)/($E366-3*cc_D/7))/0.002)))^2)</f>
        <v/>
      </c>
      <c r="O366">
        <f>MAX(-fyd_cc,MIN(fyd_cc,Es_cc*IF($E366&lt;=cc_D,0.0035*($E366-O$18)/$E366,0.002*($E366-O$18)/($E366-3*cc_D/7))))-fcd_cc*(1-(1-MAX(0,MIN(1,IF($E366&lt;=cc_D,0.0035*($E366-O$18)/$E366,0.002*($E366-O$18)/($E366-3*cc_D/7))/0.002)))^2)</f>
        <v/>
      </c>
      <c r="P366">
        <f>MAX(-fyd_cc,MIN(fyd_cc,Es_cc*IF($E366&lt;=cc_D,0.0035*($E366-P$18)/$E366,0.002*($E366-P$18)/($E366-3*cc_D/7))))-fcd_cc*(1-(1-MAX(0,MIN(1,IF($E366&lt;=cc_D,0.0035*($E366-P$18)/$E366,0.002*($E366-P$18)/($E366-3*cc_D/7))/0.002)))^2)</f>
        <v/>
      </c>
      <c r="Q366">
        <f>MAX(-fyd_cc,MIN(fyd_cc,Es_cc*IF($E366&lt;=cc_D,0.0035*($E366-Q$18)/$E366,0.002*($E366-Q$18)/($E366-3*cc_D/7))))-fcd_cc*(1-(1-MAX(0,MIN(1,IF($E366&lt;=cc_D,0.0035*($E366-Q$18)/$E366,0.002*($E366-Q$18)/($E366-3*cc_D/7))/0.002)))^2)</f>
        <v/>
      </c>
      <c r="R366">
        <f>MAX(-fyd_cc,MIN(fyd_cc,Es_cc*IF($E366&lt;=cc_D,0.0035*($E366-R$18)/$E366,0.002*($E366-R$18)/($E366-3*cc_D/7))))-fcd_cc*(1-(1-MAX(0,MIN(1,IF($E366&lt;=cc_D,0.0035*($E366-R$18)/$E366,0.002*($E366-R$18)/($E366-3*cc_D/7))/0.002)))^2)</f>
        <v/>
      </c>
      <c r="S366">
        <f>MAX(-fyd_cc,MIN(fyd_cc,Es_cc*IF($E366&lt;=cc_D,0.0035*($E366-S$18)/$E366,0.002*($E366-S$18)/($E366-3*cc_D/7))))-fcd_cc*(1-(1-MAX(0,MIN(1,IF($E366&lt;=cc_D,0.0035*($E366-S$18)/$E366,0.002*($E366-S$18)/($E366-3*cc_D/7))/0.002)))^2)</f>
        <v/>
      </c>
      <c r="T366">
        <f>MAX(-fyd_cc,MIN(fyd_cc,Es_cc*IF($E366&lt;=cc_D,0.0035*($E366-T$18)/$E366,0.002*($E366-T$18)/($E366-3*cc_D/7))))-fcd_cc*(1-(1-MAX(0,MIN(1,IF($E366&lt;=cc_D,0.0035*($E366-T$18)/$E366,0.002*($E366-T$18)/($E366-3*cc_D/7))/0.002)))^2)</f>
        <v/>
      </c>
      <c r="U366">
        <f>MAX(-fyd_cc,MIN(fyd_cc,Es_cc*IF($E366&lt;=cc_D,0.0035*($E366-U$18)/$E366,0.002*($E366-U$18)/($E366-3*cc_D/7))))-fcd_cc*(1-(1-MAX(0,MIN(1,IF($E366&lt;=cc_D,0.0035*($E366-U$18)/$E366,0.002*($E366-U$18)/($E366-3*cc_D/7))/0.002)))^2)</f>
        <v/>
      </c>
      <c r="V366">
        <f>MAX(-fyd_cc,MIN(fyd_cc,Es_cc*IF($E366&lt;=cc_D,0.0035*($E366-V$18)/$E366,0.002*($E366-V$18)/($E366-3*cc_D/7))))-fcd_cc*(1-(1-MAX(0,MIN(1,IF($E366&lt;=cc_D,0.0035*($E366-V$18)/$E366,0.002*($E366-V$18)/($E366-3*cc_D/7))/0.002)))^2)</f>
        <v/>
      </c>
      <c r="W366">
        <f>MAX(-fyd_cc,MIN(fyd_cc,Es_cc*IF($E366&lt;=cc_D,0.0035*($E366-W$18)/$E366,0.002*($E366-W$18)/($E366-3*cc_D/7))))-fcd_cc*(1-(1-MAX(0,MIN(1,IF($E366&lt;=cc_D,0.0035*($E366-W$18)/$E366,0.002*($E366-W$18)/($E366-3*cc_D/7))/0.002)))^2)</f>
        <v/>
      </c>
      <c r="X366">
        <f>MAX(-fyd_cc,MIN(fyd_cc,Es_cc*IF($E366&lt;=cc_D,0.0035*($E366-X$18)/$E366,0.002*($E366-X$18)/($E366-3*cc_D/7))))-fcd_cc*(1-(1-MAX(0,MIN(1,IF($E366&lt;=cc_D,0.0035*($E366-X$18)/$E366,0.002*($E366-X$18)/($E366-3*cc_D/7))/0.002)))^2)</f>
        <v/>
      </c>
      <c r="Y366">
        <f>MAX(-fyd_cc,MIN(fyd_cc,Es_cc*IF($E366&lt;=cc_D,0.0035*($E366-Y$18)/$E366,0.002*($E366-Y$18)/($E366-3*cc_D/7))))-fcd_cc*(1-(1-MAX(0,MIN(1,IF($E366&lt;=cc_D,0.0035*($E366-Y$18)/$E366,0.002*($E366-Y$18)/($E366-3*cc_D/7))/0.002)))^2)</f>
        <v/>
      </c>
      <c r="Z366">
        <f>MAX(-fyd_cc,MIN(fyd_cc,Es_cc*IF($E366&lt;=cc_D,0.0035*($E366-Z$18)/$E366,0.002*($E366-Z$18)/($E366-3*cc_D/7))))-fcd_cc*(1-(1-MAX(0,MIN(1,IF($E366&lt;=cc_D,0.0035*($E366-Z$18)/$E366,0.002*($E366-Z$18)/($E366-3*cc_D/7))/0.002)))^2)</f>
        <v/>
      </c>
      <c r="AA366">
        <f>MAX(-fyd_cc,MIN(fyd_cc,Es_cc*IF($E366&lt;=cc_D,0.0035*($E366-AA$18)/$E366,0.002*($E366-AA$18)/($E366-3*cc_D/7))))-fcd_cc*(1-(1-MAX(0,MIN(1,IF($E366&lt;=cc_D,0.0035*($E366-AA$18)/$E366,0.002*($E366-AA$18)/($E366-3*cc_D/7))/0.002)))^2)</f>
        <v/>
      </c>
      <c r="AB366">
        <f>MAX(-fyd_cc,MIN(fyd_cc,Es_cc*IF($E366&lt;=cc_D,0.0035*($E366-AB$18)/$E366,0.002*($E366-AB$18)/($E366-3*cc_D/7))))-fcd_cc*(1-(1-MAX(0,MIN(1,IF($E366&lt;=cc_D,0.0035*($E366-AB$18)/$E366,0.002*($E366-AB$18)/($E366-3*cc_D/7))/0.002)))^2)</f>
        <v/>
      </c>
      <c r="AC366">
        <f>MAX(-fyd_cc,MIN(fyd_cc,Es_cc*IF($E366&lt;=cc_D,0.0035*($E366-AC$18)/$E366,0.002*($E366-AC$18)/($E366-3*cc_D/7))))-fcd_cc*(1-(1-MAX(0,MIN(1,IF($E366&lt;=cc_D,0.0035*($E366-AC$18)/$E366,0.002*($E366-AC$18)/($E366-3*cc_D/7))/0.002)))^2)</f>
        <v/>
      </c>
      <c r="AD366">
        <f>MAX(-fyd_cc,MIN(fyd_cc,Es_cc*IF($E366&lt;=cc_D,0.0035*($E366-AD$18)/$E366,0.002*($E366-AD$18)/($E366-3*cc_D/7))))-fcd_cc*(1-(1-MAX(0,MIN(1,IF($E366&lt;=cc_D,0.0035*($E366-AD$18)/$E366,0.002*($E366-AD$18)/($E366-3*cc_D/7))/0.002)))^2)</f>
        <v/>
      </c>
      <c r="AE366">
        <f>MAX(-fyd_cc,MIN(fyd_cc,Es_cc*IF($E366&lt;=cc_D,0.0035*($E366-AE$18)/$E366,0.002*($E366-AE$18)/($E366-3*cc_D/7))))-fcd_cc*(1-(1-MAX(0,MIN(1,IF($E366&lt;=cc_D,0.0035*($E366-AE$18)/$E366,0.002*($E366-AE$18)/($E366-3*cc_D/7))/0.002)))^2)</f>
        <v/>
      </c>
      <c r="AF366">
        <f>MAX(-fyd_cc,MIN(fyd_cc,Es_cc*IF($E366&lt;=cc_D,0.0035*($E366-AF$18)/$E366,0.002*($E366-AF$18)/($E366-3*cc_D/7))))-fcd_cc*(1-(1-MAX(0,MIN(1,IF($E366&lt;=cc_D,0.0035*($E366-AF$18)/$E366,0.002*($E366-AF$18)/($E366-3*cc_D/7))/0.002)))^2)</f>
        <v/>
      </c>
      <c r="AG366">
        <f>MAX(-fyd_cc,MIN(fyd_cc,Es_cc*IF($E366&lt;=cc_D,0.0035*($E366-AG$18)/$E366,0.002*($E366-AG$18)/($E366-3*cc_D/7))))-fcd_cc*(1-(1-MAX(0,MIN(1,IF($E366&lt;=cc_D,0.0035*($E366-AG$18)/$E366,0.002*($E366-AG$18)/($E366-3*cc_D/7))/0.002)))^2)</f>
        <v/>
      </c>
      <c r="BF366">
        <f>3*MIN($E366,cc_D)/7</f>
        <v/>
      </c>
      <c r="BG366">
        <f>$E366-$BF366</f>
        <v/>
      </c>
      <c r="BH366">
        <f>ACOS(MAX(-1,MIN(1,1-$BF366/(cc_D/2))))</f>
        <v/>
      </c>
      <c r="BI366">
        <f>ACOS(MAX(-1,MIN(1,1-MIN($E366,cc_D)/(cc_D/2))))</f>
        <v/>
      </c>
      <c r="BJ366">
        <f>((cc_D/2*(1-COS(($BH366+0*($BI366-$BH366)/12)))-$BF366)/$BG366)^2*SIN(($BH366+0*($BI366-$BH366)/12))^2</f>
        <v/>
      </c>
      <c r="BK366">
        <f>((cc_D/2*(1-COS(($BH366+1*($BI366-$BH366)/12)))-$BF366)/$BG366)^2*SIN(($BH366+1*($BI366-$BH366)/12))^2</f>
        <v/>
      </c>
      <c r="BL366">
        <f>((cc_D/2*(1-COS(($BH366+2*($BI366-$BH366)/12)))-$BF366)/$BG366)^2*SIN(($BH366+2*($BI366-$BH366)/12))^2</f>
        <v/>
      </c>
      <c r="BM366">
        <f>((cc_D/2*(1-COS(($BH366+3*($BI366-$BH366)/12)))-$BF366)/$BG366)^2*SIN(($BH366+3*($BI366-$BH366)/12))^2</f>
        <v/>
      </c>
      <c r="BN366">
        <f>((cc_D/2*(1-COS(($BH366+4*($BI366-$BH366)/12)))-$BF366)/$BG366)^2*SIN(($BH366+4*($BI366-$BH366)/12))^2</f>
        <v/>
      </c>
      <c r="BO366">
        <f>((cc_D/2*(1-COS(($BH366+5*($BI366-$BH366)/12)))-$BF366)/$BG366)^2*SIN(($BH366+5*($BI366-$BH366)/12))^2</f>
        <v/>
      </c>
      <c r="BP366">
        <f>((cc_D/2*(1-COS(($BH366+6*($BI366-$BH366)/12)))-$BF366)/$BG366)^2*SIN(($BH366+6*($BI366-$BH366)/12))^2</f>
        <v/>
      </c>
      <c r="BQ366">
        <f>((cc_D/2*(1-COS(($BH366+7*($BI366-$BH366)/12)))-$BF366)/$BG366)^2*SIN(($BH366+7*($BI366-$BH366)/12))^2</f>
        <v/>
      </c>
      <c r="BR366">
        <f>((cc_D/2*(1-COS(($BH366+8*($BI366-$BH366)/12)))-$BF366)/$BG366)^2*SIN(($BH366+8*($BI366-$BH366)/12))^2</f>
        <v/>
      </c>
      <c r="BS366">
        <f>((cc_D/2*(1-COS(($BH366+9*($BI366-$BH366)/12)))-$BF366)/$BG366)^2*SIN(($BH366+9*($BI366-$BH366)/12))^2</f>
        <v/>
      </c>
      <c r="BT366">
        <f>((cc_D/2*(1-COS(($BH366+10*($BI366-$BH366)/12)))-$BF366)/$BG366)^2*SIN(($BH366+10*($BI366-$BH366)/12))^2</f>
        <v/>
      </c>
      <c r="BU366">
        <f>((cc_D/2*(1-COS(($BH366+11*($BI366-$BH366)/12)))-$BF366)/$BG366)^2*SIN(($BH366+11*($BI366-$BH366)/12))^2</f>
        <v/>
      </c>
      <c r="BV366">
        <f>((cc_D/2*(1-COS(($BH366+12*($BI366-$BH366)/12)))-$BF366)/$BG366)^2*SIN(($BH366+12*($BI366-$BH366)/12))^2</f>
        <v/>
      </c>
      <c r="BW366">
        <f>BJ366*COS(($BH366+0*($BI366-$BH366)/12))</f>
        <v/>
      </c>
      <c r="BX366">
        <f>BK366*COS(($BH366+1*($BI366-$BH366)/12))</f>
        <v/>
      </c>
      <c r="BY366">
        <f>BL366*COS(($BH366+2*($BI366-$BH366)/12))</f>
        <v/>
      </c>
      <c r="BZ366">
        <f>BM366*COS(($BH366+3*($BI366-$BH366)/12))</f>
        <v/>
      </c>
      <c r="CA366">
        <f>BN366*COS(($BH366+4*($BI366-$BH366)/12))</f>
        <v/>
      </c>
      <c r="CB366">
        <f>BO366*COS(($BH366+5*($BI366-$BH366)/12))</f>
        <v/>
      </c>
      <c r="CC366">
        <f>BP366*COS(($BH366+6*($BI366-$BH366)/12))</f>
        <v/>
      </c>
      <c r="CD366">
        <f>BQ366*COS(($BH366+7*($BI366-$BH366)/12))</f>
        <v/>
      </c>
      <c r="CE366">
        <f>BR366*COS(($BH366+8*($BI366-$BH366)/12))</f>
        <v/>
      </c>
      <c r="CF366">
        <f>BS366*COS(($BH366+9*($BI366-$BH366)/12))</f>
        <v/>
      </c>
      <c r="CG366">
        <f>BT366*COS(($BH366+10*($BI366-$BH366)/12))</f>
        <v/>
      </c>
      <c r="CH366">
        <f>BU366*COS(($BH366+11*($BI366-$BH366)/12))</f>
        <v/>
      </c>
      <c r="CI366">
        <f>BV366*COS(($BH366+12*($BI366-$BH366)/12))</f>
        <v/>
      </c>
    </row>
    <row r="367">
      <c r="B367" s="65" t="n">
        <v>26</v>
      </c>
      <c r="C367" s="66">
        <f>IF($G366&lt;cc_NEd-1E-9*ABS(cc_NEd),($C366+$D366)/2,$C366)</f>
        <v/>
      </c>
      <c r="D367" s="66">
        <f>IF($G366&lt;cc_NEd-1E-9*ABS(cc_NEd),$D366,($C366+$D366)/2)</f>
        <v/>
      </c>
      <c r="E367" s="67">
        <f>cc_D*(($C367+$D367)/2)/(1-(($C367+$D367)/2))</f>
        <v/>
      </c>
      <c r="F367" s="68">
        <f>IF($E367&lt;=cc_D,3.5,2*$E367/($E367-3*cc_D/7))</f>
        <v/>
      </c>
      <c r="G367" s="67">
        <f>(fcd_cc*((cc_D/2)^2*($BI367-COS($BI367)*SIN($BI367))-2*(cc_D/2)^2*($BI367-$BH367)/12/3*SUMPRODUCT($BJ$4:$BV$4,$BJ367:$BV367))+SUMPRODUCT($J$5:$AG$5,$J367:$AG367))/1000</f>
        <v/>
      </c>
      <c r="H367" s="67">
        <f>(fcd_cc*(2/3*(cc_D/2)^3*SIN($BI367)^3-2*(cc_D/2)^3*($BI367-$BH367)/12/3*SUMPRODUCT($BW$4:$CI$4,$BW367:$CI367))+SUMPRODUCT($J$5:$AG$5,$J367:$AG367,$J$19:$AG$19))/1E6</f>
        <v/>
      </c>
      <c r="I367" s="67">
        <f>SUMPRODUCT($J$5:$AG$5,$J367:$AG367,$J$20:$AG$20)/1E6</f>
        <v/>
      </c>
      <c r="J367">
        <f>MAX(-fyd_cc,MIN(fyd_cc,Es_cc*IF($E367&lt;=cc_D,0.0035*($E367-J$18)/$E367,0.002*($E367-J$18)/($E367-3*cc_D/7))))-fcd_cc*(1-(1-MAX(0,MIN(1,IF($E367&lt;=cc_D,0.0035*($E367-J$18)/$E367,0.002*($E367-J$18)/($E367-3*cc_D/7))/0.002)))^2)</f>
        <v/>
      </c>
      <c r="K367">
        <f>MAX(-fyd_cc,MIN(fyd_cc,Es_cc*IF($E367&lt;=cc_D,0.0035*($E367-K$18)/$E367,0.002*($E367-K$18)/($E367-3*cc_D/7))))-fcd_cc*(1-(1-MAX(0,MIN(1,IF($E367&lt;=cc_D,0.0035*($E367-K$18)/$E367,0.002*($E367-K$18)/($E367-3*cc_D/7))/0.002)))^2)</f>
        <v/>
      </c>
      <c r="L367">
        <f>MAX(-fyd_cc,MIN(fyd_cc,Es_cc*IF($E367&lt;=cc_D,0.0035*($E367-L$18)/$E367,0.002*($E367-L$18)/($E367-3*cc_D/7))))-fcd_cc*(1-(1-MAX(0,MIN(1,IF($E367&lt;=cc_D,0.0035*($E367-L$18)/$E367,0.002*($E367-L$18)/($E367-3*cc_D/7))/0.002)))^2)</f>
        <v/>
      </c>
      <c r="M367">
        <f>MAX(-fyd_cc,MIN(fyd_cc,Es_cc*IF($E367&lt;=cc_D,0.0035*($E367-M$18)/$E367,0.002*($E367-M$18)/($E367-3*cc_D/7))))-fcd_cc*(1-(1-MAX(0,MIN(1,IF($E367&lt;=cc_D,0.0035*($E367-M$18)/$E367,0.002*($E367-M$18)/($E367-3*cc_D/7))/0.002)))^2)</f>
        <v/>
      </c>
      <c r="N367">
        <f>MAX(-fyd_cc,MIN(fyd_cc,Es_cc*IF($E367&lt;=cc_D,0.0035*($E367-N$18)/$E367,0.002*($E367-N$18)/($E367-3*cc_D/7))))-fcd_cc*(1-(1-MAX(0,MIN(1,IF($E367&lt;=cc_D,0.0035*($E367-N$18)/$E367,0.002*($E367-N$18)/($E367-3*cc_D/7))/0.002)))^2)</f>
        <v/>
      </c>
      <c r="O367">
        <f>MAX(-fyd_cc,MIN(fyd_cc,Es_cc*IF($E367&lt;=cc_D,0.0035*($E367-O$18)/$E367,0.002*($E367-O$18)/($E367-3*cc_D/7))))-fcd_cc*(1-(1-MAX(0,MIN(1,IF($E367&lt;=cc_D,0.0035*($E367-O$18)/$E367,0.002*($E367-O$18)/($E367-3*cc_D/7))/0.002)))^2)</f>
        <v/>
      </c>
      <c r="P367">
        <f>MAX(-fyd_cc,MIN(fyd_cc,Es_cc*IF($E367&lt;=cc_D,0.0035*($E367-P$18)/$E367,0.002*($E367-P$18)/($E367-3*cc_D/7))))-fcd_cc*(1-(1-MAX(0,MIN(1,IF($E367&lt;=cc_D,0.0035*($E367-P$18)/$E367,0.002*($E367-P$18)/($E367-3*cc_D/7))/0.002)))^2)</f>
        <v/>
      </c>
      <c r="Q367">
        <f>MAX(-fyd_cc,MIN(fyd_cc,Es_cc*IF($E367&lt;=cc_D,0.0035*($E367-Q$18)/$E367,0.002*($E367-Q$18)/($E367-3*cc_D/7))))-fcd_cc*(1-(1-MAX(0,MIN(1,IF($E367&lt;=cc_D,0.0035*($E367-Q$18)/$E367,0.002*($E367-Q$18)/($E367-3*cc_D/7))/0.002)))^2)</f>
        <v/>
      </c>
      <c r="R367">
        <f>MAX(-fyd_cc,MIN(fyd_cc,Es_cc*IF($E367&lt;=cc_D,0.0035*($E367-R$18)/$E367,0.002*($E367-R$18)/($E367-3*cc_D/7))))-fcd_cc*(1-(1-MAX(0,MIN(1,IF($E367&lt;=cc_D,0.0035*($E367-R$18)/$E367,0.002*($E367-R$18)/($E367-3*cc_D/7))/0.002)))^2)</f>
        <v/>
      </c>
      <c r="S367">
        <f>MAX(-fyd_cc,MIN(fyd_cc,Es_cc*IF($E367&lt;=cc_D,0.0035*($E367-S$18)/$E367,0.002*($E367-S$18)/($E367-3*cc_D/7))))-fcd_cc*(1-(1-MAX(0,MIN(1,IF($E367&lt;=cc_D,0.0035*($E367-S$18)/$E367,0.002*($E367-S$18)/($E367-3*cc_D/7))/0.002)))^2)</f>
        <v/>
      </c>
      <c r="T367">
        <f>MAX(-fyd_cc,MIN(fyd_cc,Es_cc*IF($E367&lt;=cc_D,0.0035*($E367-T$18)/$E367,0.002*($E367-T$18)/($E367-3*cc_D/7))))-fcd_cc*(1-(1-MAX(0,MIN(1,IF($E367&lt;=cc_D,0.0035*($E367-T$18)/$E367,0.002*($E367-T$18)/($E367-3*cc_D/7))/0.002)))^2)</f>
        <v/>
      </c>
      <c r="U367">
        <f>MAX(-fyd_cc,MIN(fyd_cc,Es_cc*IF($E367&lt;=cc_D,0.0035*($E367-U$18)/$E367,0.002*($E367-U$18)/($E367-3*cc_D/7))))-fcd_cc*(1-(1-MAX(0,MIN(1,IF($E367&lt;=cc_D,0.0035*($E367-U$18)/$E367,0.002*($E367-U$18)/($E367-3*cc_D/7))/0.002)))^2)</f>
        <v/>
      </c>
      <c r="V367">
        <f>MAX(-fyd_cc,MIN(fyd_cc,Es_cc*IF($E367&lt;=cc_D,0.0035*($E367-V$18)/$E367,0.002*($E367-V$18)/($E367-3*cc_D/7))))-fcd_cc*(1-(1-MAX(0,MIN(1,IF($E367&lt;=cc_D,0.0035*($E367-V$18)/$E367,0.002*($E367-V$18)/($E367-3*cc_D/7))/0.002)))^2)</f>
        <v/>
      </c>
      <c r="W367">
        <f>MAX(-fyd_cc,MIN(fyd_cc,Es_cc*IF($E367&lt;=cc_D,0.0035*($E367-W$18)/$E367,0.002*($E367-W$18)/($E367-3*cc_D/7))))-fcd_cc*(1-(1-MAX(0,MIN(1,IF($E367&lt;=cc_D,0.0035*($E367-W$18)/$E367,0.002*($E367-W$18)/($E367-3*cc_D/7))/0.002)))^2)</f>
        <v/>
      </c>
      <c r="X367">
        <f>MAX(-fyd_cc,MIN(fyd_cc,Es_cc*IF($E367&lt;=cc_D,0.0035*($E367-X$18)/$E367,0.002*($E367-X$18)/($E367-3*cc_D/7))))-fcd_cc*(1-(1-MAX(0,MIN(1,IF($E367&lt;=cc_D,0.0035*($E367-X$18)/$E367,0.002*($E367-X$18)/($E367-3*cc_D/7))/0.002)))^2)</f>
        <v/>
      </c>
      <c r="Y367">
        <f>MAX(-fyd_cc,MIN(fyd_cc,Es_cc*IF($E367&lt;=cc_D,0.0035*($E367-Y$18)/$E367,0.002*($E367-Y$18)/($E367-3*cc_D/7))))-fcd_cc*(1-(1-MAX(0,MIN(1,IF($E367&lt;=cc_D,0.0035*($E367-Y$18)/$E367,0.002*($E367-Y$18)/($E367-3*cc_D/7))/0.002)))^2)</f>
        <v/>
      </c>
      <c r="Z367">
        <f>MAX(-fyd_cc,MIN(fyd_cc,Es_cc*IF($E367&lt;=cc_D,0.0035*($E367-Z$18)/$E367,0.002*($E367-Z$18)/($E367-3*cc_D/7))))-fcd_cc*(1-(1-MAX(0,MIN(1,IF($E367&lt;=cc_D,0.0035*($E367-Z$18)/$E367,0.002*($E367-Z$18)/($E367-3*cc_D/7))/0.002)))^2)</f>
        <v/>
      </c>
      <c r="AA367">
        <f>MAX(-fyd_cc,MIN(fyd_cc,Es_cc*IF($E367&lt;=cc_D,0.0035*($E367-AA$18)/$E367,0.002*($E367-AA$18)/($E367-3*cc_D/7))))-fcd_cc*(1-(1-MAX(0,MIN(1,IF($E367&lt;=cc_D,0.0035*($E367-AA$18)/$E367,0.002*($E367-AA$18)/($E367-3*cc_D/7))/0.002)))^2)</f>
        <v/>
      </c>
      <c r="AB367">
        <f>MAX(-fyd_cc,MIN(fyd_cc,Es_cc*IF($E367&lt;=cc_D,0.0035*($E367-AB$18)/$E367,0.002*($E367-AB$18)/($E367-3*cc_D/7))))-fcd_cc*(1-(1-MAX(0,MIN(1,IF($E367&lt;=cc_D,0.0035*($E367-AB$18)/$E367,0.002*($E367-AB$18)/($E367-3*cc_D/7))/0.002)))^2)</f>
        <v/>
      </c>
      <c r="AC367">
        <f>MAX(-fyd_cc,MIN(fyd_cc,Es_cc*IF($E367&lt;=cc_D,0.0035*($E367-AC$18)/$E367,0.002*($E367-AC$18)/($E367-3*cc_D/7))))-fcd_cc*(1-(1-MAX(0,MIN(1,IF($E367&lt;=cc_D,0.0035*($E367-AC$18)/$E367,0.002*($E367-AC$18)/($E367-3*cc_D/7))/0.002)))^2)</f>
        <v/>
      </c>
      <c r="AD367">
        <f>MAX(-fyd_cc,MIN(fyd_cc,Es_cc*IF($E367&lt;=cc_D,0.0035*($E367-AD$18)/$E367,0.002*($E367-AD$18)/($E367-3*cc_D/7))))-fcd_cc*(1-(1-MAX(0,MIN(1,IF($E367&lt;=cc_D,0.0035*($E367-AD$18)/$E367,0.002*($E367-AD$18)/($E367-3*cc_D/7))/0.002)))^2)</f>
        <v/>
      </c>
      <c r="AE367">
        <f>MAX(-fyd_cc,MIN(fyd_cc,Es_cc*IF($E367&lt;=cc_D,0.0035*($E367-AE$18)/$E367,0.002*($E367-AE$18)/($E367-3*cc_D/7))))-fcd_cc*(1-(1-MAX(0,MIN(1,IF($E367&lt;=cc_D,0.0035*($E367-AE$18)/$E367,0.002*($E367-AE$18)/($E367-3*cc_D/7))/0.002)))^2)</f>
        <v/>
      </c>
      <c r="AF367">
        <f>MAX(-fyd_cc,MIN(fyd_cc,Es_cc*IF($E367&lt;=cc_D,0.0035*($E367-AF$18)/$E367,0.002*($E367-AF$18)/($E367-3*cc_D/7))))-fcd_cc*(1-(1-MAX(0,MIN(1,IF($E367&lt;=cc_D,0.0035*($E367-AF$18)/$E367,0.002*($E367-AF$18)/($E367-3*cc_D/7))/0.002)))^2)</f>
        <v/>
      </c>
      <c r="AG367">
        <f>MAX(-fyd_cc,MIN(fyd_cc,Es_cc*IF($E367&lt;=cc_D,0.0035*($E367-AG$18)/$E367,0.002*($E367-AG$18)/($E367-3*cc_D/7))))-fcd_cc*(1-(1-MAX(0,MIN(1,IF($E367&lt;=cc_D,0.0035*($E367-AG$18)/$E367,0.002*($E367-AG$18)/($E367-3*cc_D/7))/0.002)))^2)</f>
        <v/>
      </c>
      <c r="BF367">
        <f>3*MIN($E367,cc_D)/7</f>
        <v/>
      </c>
      <c r="BG367">
        <f>$E367-$BF367</f>
        <v/>
      </c>
      <c r="BH367">
        <f>ACOS(MAX(-1,MIN(1,1-$BF367/(cc_D/2))))</f>
        <v/>
      </c>
      <c r="BI367">
        <f>ACOS(MAX(-1,MIN(1,1-MIN($E367,cc_D)/(cc_D/2))))</f>
        <v/>
      </c>
      <c r="BJ367">
        <f>((cc_D/2*(1-COS(($BH367+0*($BI367-$BH367)/12)))-$BF367)/$BG367)^2*SIN(($BH367+0*($BI367-$BH367)/12))^2</f>
        <v/>
      </c>
      <c r="BK367">
        <f>((cc_D/2*(1-COS(($BH367+1*($BI367-$BH367)/12)))-$BF367)/$BG367)^2*SIN(($BH367+1*($BI367-$BH367)/12))^2</f>
        <v/>
      </c>
      <c r="BL367">
        <f>((cc_D/2*(1-COS(($BH367+2*($BI367-$BH367)/12)))-$BF367)/$BG367)^2*SIN(($BH367+2*($BI367-$BH367)/12))^2</f>
        <v/>
      </c>
      <c r="BM367">
        <f>((cc_D/2*(1-COS(($BH367+3*($BI367-$BH367)/12)))-$BF367)/$BG367)^2*SIN(($BH367+3*($BI367-$BH367)/12))^2</f>
        <v/>
      </c>
      <c r="BN367">
        <f>((cc_D/2*(1-COS(($BH367+4*($BI367-$BH367)/12)))-$BF367)/$BG367)^2*SIN(($BH367+4*($BI367-$BH367)/12))^2</f>
        <v/>
      </c>
      <c r="BO367">
        <f>((cc_D/2*(1-COS(($BH367+5*($BI367-$BH367)/12)))-$BF367)/$BG367)^2*SIN(($BH367+5*($BI367-$BH367)/12))^2</f>
        <v/>
      </c>
      <c r="BP367">
        <f>((cc_D/2*(1-COS(($BH367+6*($BI367-$BH367)/12)))-$BF367)/$BG367)^2*SIN(($BH367+6*($BI367-$BH367)/12))^2</f>
        <v/>
      </c>
      <c r="BQ367">
        <f>((cc_D/2*(1-COS(($BH367+7*($BI367-$BH367)/12)))-$BF367)/$BG367)^2*SIN(($BH367+7*($BI367-$BH367)/12))^2</f>
        <v/>
      </c>
      <c r="BR367">
        <f>((cc_D/2*(1-COS(($BH367+8*($BI367-$BH367)/12)))-$BF367)/$BG367)^2*SIN(($BH367+8*($BI367-$BH367)/12))^2</f>
        <v/>
      </c>
      <c r="BS367">
        <f>((cc_D/2*(1-COS(($BH367+9*($BI367-$BH367)/12)))-$BF367)/$BG367)^2*SIN(($BH367+9*($BI367-$BH367)/12))^2</f>
        <v/>
      </c>
      <c r="BT367">
        <f>((cc_D/2*(1-COS(($BH367+10*($BI367-$BH367)/12)))-$BF367)/$BG367)^2*SIN(($BH367+10*($BI367-$BH367)/12))^2</f>
        <v/>
      </c>
      <c r="BU367">
        <f>((cc_D/2*(1-COS(($BH367+11*($BI367-$BH367)/12)))-$BF367)/$BG367)^2*SIN(($BH367+11*($BI367-$BH367)/12))^2</f>
        <v/>
      </c>
      <c r="BV367">
        <f>((cc_D/2*(1-COS(($BH367+12*($BI367-$BH367)/12)))-$BF367)/$BG367)^2*SIN(($BH367+12*($BI367-$BH367)/12))^2</f>
        <v/>
      </c>
      <c r="BW367">
        <f>BJ367*COS(($BH367+0*($BI367-$BH367)/12))</f>
        <v/>
      </c>
      <c r="BX367">
        <f>BK367*COS(($BH367+1*($BI367-$BH367)/12))</f>
        <v/>
      </c>
      <c r="BY367">
        <f>BL367*COS(($BH367+2*($BI367-$BH367)/12))</f>
        <v/>
      </c>
      <c r="BZ367">
        <f>BM367*COS(($BH367+3*($BI367-$BH367)/12))</f>
        <v/>
      </c>
      <c r="CA367">
        <f>BN367*COS(($BH367+4*($BI367-$BH367)/12))</f>
        <v/>
      </c>
      <c r="CB367">
        <f>BO367*COS(($BH367+5*($BI367-$BH367)/12))</f>
        <v/>
      </c>
      <c r="CC367">
        <f>BP367*COS(($BH367+6*($BI367-$BH367)/12))</f>
        <v/>
      </c>
      <c r="CD367">
        <f>BQ367*COS(($BH367+7*($BI367-$BH367)/12))</f>
        <v/>
      </c>
      <c r="CE367">
        <f>BR367*COS(($BH367+8*($BI367-$BH367)/12))</f>
        <v/>
      </c>
      <c r="CF367">
        <f>BS367*COS(($BH367+9*($BI367-$BH367)/12))</f>
        <v/>
      </c>
      <c r="CG367">
        <f>BT367*COS(($BH367+10*($BI367-$BH367)/12))</f>
        <v/>
      </c>
      <c r="CH367">
        <f>BU367*COS(($BH367+11*($BI367-$BH367)/12))</f>
        <v/>
      </c>
      <c r="CI367">
        <f>BV367*COS(($BH367+12*($BI367-$BH367)/12))</f>
        <v/>
      </c>
    </row>
    <row r="368">
      <c r="B368" s="65" t="n">
        <v>27</v>
      </c>
      <c r="C368" s="66">
        <f>IF($G367&lt;cc_NEd-1E-9*ABS(cc_NEd),($C367+$D367)/2,$C367)</f>
        <v/>
      </c>
      <c r="D368" s="66">
        <f>IF($G367&lt;cc_NEd-1E-9*ABS(cc_NEd),$D367,($C367+$D367)/2)</f>
        <v/>
      </c>
      <c r="E368" s="67">
        <f>cc_D*(($C368+$D368)/2)/(1-(($C368+$D368)/2))</f>
        <v/>
      </c>
      <c r="F368" s="68">
        <f>IF($E368&lt;=cc_D,3.5,2*$E368/($E368-3*cc_D/7))</f>
        <v/>
      </c>
      <c r="G368" s="67">
        <f>(fcd_cc*((cc_D/2)^2*($BI368-COS($BI368)*SIN($BI368))-2*(cc_D/2)^2*($BI368-$BH368)/12/3*SUMPRODUCT($BJ$4:$BV$4,$BJ368:$BV368))+SUMPRODUCT($J$5:$AG$5,$J368:$AG368))/1000</f>
        <v/>
      </c>
      <c r="H368" s="67">
        <f>(fcd_cc*(2/3*(cc_D/2)^3*SIN($BI368)^3-2*(cc_D/2)^3*($BI368-$BH368)/12/3*SUMPRODUCT($BW$4:$CI$4,$BW368:$CI368))+SUMPRODUCT($J$5:$AG$5,$J368:$AG368,$J$19:$AG$19))/1E6</f>
        <v/>
      </c>
      <c r="I368" s="67">
        <f>SUMPRODUCT($J$5:$AG$5,$J368:$AG368,$J$20:$AG$20)/1E6</f>
        <v/>
      </c>
      <c r="J368">
        <f>MAX(-fyd_cc,MIN(fyd_cc,Es_cc*IF($E368&lt;=cc_D,0.0035*($E368-J$18)/$E368,0.002*($E368-J$18)/($E368-3*cc_D/7))))-fcd_cc*(1-(1-MAX(0,MIN(1,IF($E368&lt;=cc_D,0.0035*($E368-J$18)/$E368,0.002*($E368-J$18)/($E368-3*cc_D/7))/0.002)))^2)</f>
        <v/>
      </c>
      <c r="K368">
        <f>MAX(-fyd_cc,MIN(fyd_cc,Es_cc*IF($E368&lt;=cc_D,0.0035*($E368-K$18)/$E368,0.002*($E368-K$18)/($E368-3*cc_D/7))))-fcd_cc*(1-(1-MAX(0,MIN(1,IF($E368&lt;=cc_D,0.0035*($E368-K$18)/$E368,0.002*($E368-K$18)/($E368-3*cc_D/7))/0.002)))^2)</f>
        <v/>
      </c>
      <c r="L368">
        <f>MAX(-fyd_cc,MIN(fyd_cc,Es_cc*IF($E368&lt;=cc_D,0.0035*($E368-L$18)/$E368,0.002*($E368-L$18)/($E368-3*cc_D/7))))-fcd_cc*(1-(1-MAX(0,MIN(1,IF($E368&lt;=cc_D,0.0035*($E368-L$18)/$E368,0.002*($E368-L$18)/($E368-3*cc_D/7))/0.002)))^2)</f>
        <v/>
      </c>
      <c r="M368">
        <f>MAX(-fyd_cc,MIN(fyd_cc,Es_cc*IF($E368&lt;=cc_D,0.0035*($E368-M$18)/$E368,0.002*($E368-M$18)/($E368-3*cc_D/7))))-fcd_cc*(1-(1-MAX(0,MIN(1,IF($E368&lt;=cc_D,0.0035*($E368-M$18)/$E368,0.002*($E368-M$18)/($E368-3*cc_D/7))/0.002)))^2)</f>
        <v/>
      </c>
      <c r="N368">
        <f>MAX(-fyd_cc,MIN(fyd_cc,Es_cc*IF($E368&lt;=cc_D,0.0035*($E368-N$18)/$E368,0.002*($E368-N$18)/($E368-3*cc_D/7))))-fcd_cc*(1-(1-MAX(0,MIN(1,IF($E368&lt;=cc_D,0.0035*($E368-N$18)/$E368,0.002*($E368-N$18)/($E368-3*cc_D/7))/0.002)))^2)</f>
        <v/>
      </c>
      <c r="O368">
        <f>MAX(-fyd_cc,MIN(fyd_cc,Es_cc*IF($E368&lt;=cc_D,0.0035*($E368-O$18)/$E368,0.002*($E368-O$18)/($E368-3*cc_D/7))))-fcd_cc*(1-(1-MAX(0,MIN(1,IF($E368&lt;=cc_D,0.0035*($E368-O$18)/$E368,0.002*($E368-O$18)/($E368-3*cc_D/7))/0.002)))^2)</f>
        <v/>
      </c>
      <c r="P368">
        <f>MAX(-fyd_cc,MIN(fyd_cc,Es_cc*IF($E368&lt;=cc_D,0.0035*($E368-P$18)/$E368,0.002*($E368-P$18)/($E368-3*cc_D/7))))-fcd_cc*(1-(1-MAX(0,MIN(1,IF($E368&lt;=cc_D,0.0035*($E368-P$18)/$E368,0.002*($E368-P$18)/($E368-3*cc_D/7))/0.002)))^2)</f>
        <v/>
      </c>
      <c r="Q368">
        <f>MAX(-fyd_cc,MIN(fyd_cc,Es_cc*IF($E368&lt;=cc_D,0.0035*($E368-Q$18)/$E368,0.002*($E368-Q$18)/($E368-3*cc_D/7))))-fcd_cc*(1-(1-MAX(0,MIN(1,IF($E368&lt;=cc_D,0.0035*($E368-Q$18)/$E368,0.002*($E368-Q$18)/($E368-3*cc_D/7))/0.002)))^2)</f>
        <v/>
      </c>
      <c r="R368">
        <f>MAX(-fyd_cc,MIN(fyd_cc,Es_cc*IF($E368&lt;=cc_D,0.0035*($E368-R$18)/$E368,0.002*($E368-R$18)/($E368-3*cc_D/7))))-fcd_cc*(1-(1-MAX(0,MIN(1,IF($E368&lt;=cc_D,0.0035*($E368-R$18)/$E368,0.002*($E368-R$18)/($E368-3*cc_D/7))/0.002)))^2)</f>
        <v/>
      </c>
      <c r="S368">
        <f>MAX(-fyd_cc,MIN(fyd_cc,Es_cc*IF($E368&lt;=cc_D,0.0035*($E368-S$18)/$E368,0.002*($E368-S$18)/($E368-3*cc_D/7))))-fcd_cc*(1-(1-MAX(0,MIN(1,IF($E368&lt;=cc_D,0.0035*($E368-S$18)/$E368,0.002*($E368-S$18)/($E368-3*cc_D/7))/0.002)))^2)</f>
        <v/>
      </c>
      <c r="T368">
        <f>MAX(-fyd_cc,MIN(fyd_cc,Es_cc*IF($E368&lt;=cc_D,0.0035*($E368-T$18)/$E368,0.002*($E368-T$18)/($E368-3*cc_D/7))))-fcd_cc*(1-(1-MAX(0,MIN(1,IF($E368&lt;=cc_D,0.0035*($E368-T$18)/$E368,0.002*($E368-T$18)/($E368-3*cc_D/7))/0.002)))^2)</f>
        <v/>
      </c>
      <c r="U368">
        <f>MAX(-fyd_cc,MIN(fyd_cc,Es_cc*IF($E368&lt;=cc_D,0.0035*($E368-U$18)/$E368,0.002*($E368-U$18)/($E368-3*cc_D/7))))-fcd_cc*(1-(1-MAX(0,MIN(1,IF($E368&lt;=cc_D,0.0035*($E368-U$18)/$E368,0.002*($E368-U$18)/($E368-3*cc_D/7))/0.002)))^2)</f>
        <v/>
      </c>
      <c r="V368">
        <f>MAX(-fyd_cc,MIN(fyd_cc,Es_cc*IF($E368&lt;=cc_D,0.0035*($E368-V$18)/$E368,0.002*($E368-V$18)/($E368-3*cc_D/7))))-fcd_cc*(1-(1-MAX(0,MIN(1,IF($E368&lt;=cc_D,0.0035*($E368-V$18)/$E368,0.002*($E368-V$18)/($E368-3*cc_D/7))/0.002)))^2)</f>
        <v/>
      </c>
      <c r="W368">
        <f>MAX(-fyd_cc,MIN(fyd_cc,Es_cc*IF($E368&lt;=cc_D,0.0035*($E368-W$18)/$E368,0.002*($E368-W$18)/($E368-3*cc_D/7))))-fcd_cc*(1-(1-MAX(0,MIN(1,IF($E368&lt;=cc_D,0.0035*($E368-W$18)/$E368,0.002*($E368-W$18)/($E368-3*cc_D/7))/0.002)))^2)</f>
        <v/>
      </c>
      <c r="X368">
        <f>MAX(-fyd_cc,MIN(fyd_cc,Es_cc*IF($E368&lt;=cc_D,0.0035*($E368-X$18)/$E368,0.002*($E368-X$18)/($E368-3*cc_D/7))))-fcd_cc*(1-(1-MAX(0,MIN(1,IF($E368&lt;=cc_D,0.0035*($E368-X$18)/$E368,0.002*($E368-X$18)/($E368-3*cc_D/7))/0.002)))^2)</f>
        <v/>
      </c>
      <c r="Y368">
        <f>MAX(-fyd_cc,MIN(fyd_cc,Es_cc*IF($E368&lt;=cc_D,0.0035*($E368-Y$18)/$E368,0.002*($E368-Y$18)/($E368-3*cc_D/7))))-fcd_cc*(1-(1-MAX(0,MIN(1,IF($E368&lt;=cc_D,0.0035*($E368-Y$18)/$E368,0.002*($E368-Y$18)/($E368-3*cc_D/7))/0.002)))^2)</f>
        <v/>
      </c>
      <c r="Z368">
        <f>MAX(-fyd_cc,MIN(fyd_cc,Es_cc*IF($E368&lt;=cc_D,0.0035*($E368-Z$18)/$E368,0.002*($E368-Z$18)/($E368-3*cc_D/7))))-fcd_cc*(1-(1-MAX(0,MIN(1,IF($E368&lt;=cc_D,0.0035*($E368-Z$18)/$E368,0.002*($E368-Z$18)/($E368-3*cc_D/7))/0.002)))^2)</f>
        <v/>
      </c>
      <c r="AA368">
        <f>MAX(-fyd_cc,MIN(fyd_cc,Es_cc*IF($E368&lt;=cc_D,0.0035*($E368-AA$18)/$E368,0.002*($E368-AA$18)/($E368-3*cc_D/7))))-fcd_cc*(1-(1-MAX(0,MIN(1,IF($E368&lt;=cc_D,0.0035*($E368-AA$18)/$E368,0.002*($E368-AA$18)/($E368-3*cc_D/7))/0.002)))^2)</f>
        <v/>
      </c>
      <c r="AB368">
        <f>MAX(-fyd_cc,MIN(fyd_cc,Es_cc*IF($E368&lt;=cc_D,0.0035*($E368-AB$18)/$E368,0.002*($E368-AB$18)/($E368-3*cc_D/7))))-fcd_cc*(1-(1-MAX(0,MIN(1,IF($E368&lt;=cc_D,0.0035*($E368-AB$18)/$E368,0.002*($E368-AB$18)/($E368-3*cc_D/7))/0.002)))^2)</f>
        <v/>
      </c>
      <c r="AC368">
        <f>MAX(-fyd_cc,MIN(fyd_cc,Es_cc*IF($E368&lt;=cc_D,0.0035*($E368-AC$18)/$E368,0.002*($E368-AC$18)/($E368-3*cc_D/7))))-fcd_cc*(1-(1-MAX(0,MIN(1,IF($E368&lt;=cc_D,0.0035*($E368-AC$18)/$E368,0.002*($E368-AC$18)/($E368-3*cc_D/7))/0.002)))^2)</f>
        <v/>
      </c>
      <c r="AD368">
        <f>MAX(-fyd_cc,MIN(fyd_cc,Es_cc*IF($E368&lt;=cc_D,0.0035*($E368-AD$18)/$E368,0.002*($E368-AD$18)/($E368-3*cc_D/7))))-fcd_cc*(1-(1-MAX(0,MIN(1,IF($E368&lt;=cc_D,0.0035*($E368-AD$18)/$E368,0.002*($E368-AD$18)/($E368-3*cc_D/7))/0.002)))^2)</f>
        <v/>
      </c>
      <c r="AE368">
        <f>MAX(-fyd_cc,MIN(fyd_cc,Es_cc*IF($E368&lt;=cc_D,0.0035*($E368-AE$18)/$E368,0.002*($E368-AE$18)/($E368-3*cc_D/7))))-fcd_cc*(1-(1-MAX(0,MIN(1,IF($E368&lt;=cc_D,0.0035*($E368-AE$18)/$E368,0.002*($E368-AE$18)/($E368-3*cc_D/7))/0.002)))^2)</f>
        <v/>
      </c>
      <c r="AF368">
        <f>MAX(-fyd_cc,MIN(fyd_cc,Es_cc*IF($E368&lt;=cc_D,0.0035*($E368-AF$18)/$E368,0.002*($E368-AF$18)/($E368-3*cc_D/7))))-fcd_cc*(1-(1-MAX(0,MIN(1,IF($E368&lt;=cc_D,0.0035*($E368-AF$18)/$E368,0.002*($E368-AF$18)/($E368-3*cc_D/7))/0.002)))^2)</f>
        <v/>
      </c>
      <c r="AG368">
        <f>MAX(-fyd_cc,MIN(fyd_cc,Es_cc*IF($E368&lt;=cc_D,0.0035*($E368-AG$18)/$E368,0.002*($E368-AG$18)/($E368-3*cc_D/7))))-fcd_cc*(1-(1-MAX(0,MIN(1,IF($E368&lt;=cc_D,0.0035*($E368-AG$18)/$E368,0.002*($E368-AG$18)/($E368-3*cc_D/7))/0.002)))^2)</f>
        <v/>
      </c>
      <c r="BF368">
        <f>3*MIN($E368,cc_D)/7</f>
        <v/>
      </c>
      <c r="BG368">
        <f>$E368-$BF368</f>
        <v/>
      </c>
      <c r="BH368">
        <f>ACOS(MAX(-1,MIN(1,1-$BF368/(cc_D/2))))</f>
        <v/>
      </c>
      <c r="BI368">
        <f>ACOS(MAX(-1,MIN(1,1-MIN($E368,cc_D)/(cc_D/2))))</f>
        <v/>
      </c>
      <c r="BJ368">
        <f>((cc_D/2*(1-COS(($BH368+0*($BI368-$BH368)/12)))-$BF368)/$BG368)^2*SIN(($BH368+0*($BI368-$BH368)/12))^2</f>
        <v/>
      </c>
      <c r="BK368">
        <f>((cc_D/2*(1-COS(($BH368+1*($BI368-$BH368)/12)))-$BF368)/$BG368)^2*SIN(($BH368+1*($BI368-$BH368)/12))^2</f>
        <v/>
      </c>
      <c r="BL368">
        <f>((cc_D/2*(1-COS(($BH368+2*($BI368-$BH368)/12)))-$BF368)/$BG368)^2*SIN(($BH368+2*($BI368-$BH368)/12))^2</f>
        <v/>
      </c>
      <c r="BM368">
        <f>((cc_D/2*(1-COS(($BH368+3*($BI368-$BH368)/12)))-$BF368)/$BG368)^2*SIN(($BH368+3*($BI368-$BH368)/12))^2</f>
        <v/>
      </c>
      <c r="BN368">
        <f>((cc_D/2*(1-COS(($BH368+4*($BI368-$BH368)/12)))-$BF368)/$BG368)^2*SIN(($BH368+4*($BI368-$BH368)/12))^2</f>
        <v/>
      </c>
      <c r="BO368">
        <f>((cc_D/2*(1-COS(($BH368+5*($BI368-$BH368)/12)))-$BF368)/$BG368)^2*SIN(($BH368+5*($BI368-$BH368)/12))^2</f>
        <v/>
      </c>
      <c r="BP368">
        <f>((cc_D/2*(1-COS(($BH368+6*($BI368-$BH368)/12)))-$BF368)/$BG368)^2*SIN(($BH368+6*($BI368-$BH368)/12))^2</f>
        <v/>
      </c>
      <c r="BQ368">
        <f>((cc_D/2*(1-COS(($BH368+7*($BI368-$BH368)/12)))-$BF368)/$BG368)^2*SIN(($BH368+7*($BI368-$BH368)/12))^2</f>
        <v/>
      </c>
      <c r="BR368">
        <f>((cc_D/2*(1-COS(($BH368+8*($BI368-$BH368)/12)))-$BF368)/$BG368)^2*SIN(($BH368+8*($BI368-$BH368)/12))^2</f>
        <v/>
      </c>
      <c r="BS368">
        <f>((cc_D/2*(1-COS(($BH368+9*($BI368-$BH368)/12)))-$BF368)/$BG368)^2*SIN(($BH368+9*($BI368-$BH368)/12))^2</f>
        <v/>
      </c>
      <c r="BT368">
        <f>((cc_D/2*(1-COS(($BH368+10*($BI368-$BH368)/12)))-$BF368)/$BG368)^2*SIN(($BH368+10*($BI368-$BH368)/12))^2</f>
        <v/>
      </c>
      <c r="BU368">
        <f>((cc_D/2*(1-COS(($BH368+11*($BI368-$BH368)/12)))-$BF368)/$BG368)^2*SIN(($BH368+11*($BI368-$BH368)/12))^2</f>
        <v/>
      </c>
      <c r="BV368">
        <f>((cc_D/2*(1-COS(($BH368+12*($BI368-$BH368)/12)))-$BF368)/$BG368)^2*SIN(($BH368+12*($BI368-$BH368)/12))^2</f>
        <v/>
      </c>
      <c r="BW368">
        <f>BJ368*COS(($BH368+0*($BI368-$BH368)/12))</f>
        <v/>
      </c>
      <c r="BX368">
        <f>BK368*COS(($BH368+1*($BI368-$BH368)/12))</f>
        <v/>
      </c>
      <c r="BY368">
        <f>BL368*COS(($BH368+2*($BI368-$BH368)/12))</f>
        <v/>
      </c>
      <c r="BZ368">
        <f>BM368*COS(($BH368+3*($BI368-$BH368)/12))</f>
        <v/>
      </c>
      <c r="CA368">
        <f>BN368*COS(($BH368+4*($BI368-$BH368)/12))</f>
        <v/>
      </c>
      <c r="CB368">
        <f>BO368*COS(($BH368+5*($BI368-$BH368)/12))</f>
        <v/>
      </c>
      <c r="CC368">
        <f>BP368*COS(($BH368+6*($BI368-$BH368)/12))</f>
        <v/>
      </c>
      <c r="CD368">
        <f>BQ368*COS(($BH368+7*($BI368-$BH368)/12))</f>
        <v/>
      </c>
      <c r="CE368">
        <f>BR368*COS(($BH368+8*($BI368-$BH368)/12))</f>
        <v/>
      </c>
      <c r="CF368">
        <f>BS368*COS(($BH368+9*($BI368-$BH368)/12))</f>
        <v/>
      </c>
      <c r="CG368">
        <f>BT368*COS(($BH368+10*($BI368-$BH368)/12))</f>
        <v/>
      </c>
      <c r="CH368">
        <f>BU368*COS(($BH368+11*($BI368-$BH368)/12))</f>
        <v/>
      </c>
      <c r="CI368">
        <f>BV368*COS(($BH368+12*($BI368-$BH368)/12))</f>
        <v/>
      </c>
    </row>
    <row r="369">
      <c r="B369" s="65" t="n">
        <v>28</v>
      </c>
      <c r="C369" s="66">
        <f>IF($G368&lt;cc_NEd-1E-9*ABS(cc_NEd),($C368+$D368)/2,$C368)</f>
        <v/>
      </c>
      <c r="D369" s="66">
        <f>IF($G368&lt;cc_NEd-1E-9*ABS(cc_NEd),$D368,($C368+$D368)/2)</f>
        <v/>
      </c>
      <c r="E369" s="67">
        <f>cc_D*(($C369+$D369)/2)/(1-(($C369+$D369)/2))</f>
        <v/>
      </c>
      <c r="F369" s="68">
        <f>IF($E369&lt;=cc_D,3.5,2*$E369/($E369-3*cc_D/7))</f>
        <v/>
      </c>
      <c r="G369" s="67">
        <f>(fcd_cc*((cc_D/2)^2*($BI369-COS($BI369)*SIN($BI369))-2*(cc_D/2)^2*($BI369-$BH369)/12/3*SUMPRODUCT($BJ$4:$BV$4,$BJ369:$BV369))+SUMPRODUCT($J$5:$AG$5,$J369:$AG369))/1000</f>
        <v/>
      </c>
      <c r="H369" s="67">
        <f>(fcd_cc*(2/3*(cc_D/2)^3*SIN($BI369)^3-2*(cc_D/2)^3*($BI369-$BH369)/12/3*SUMPRODUCT($BW$4:$CI$4,$BW369:$CI369))+SUMPRODUCT($J$5:$AG$5,$J369:$AG369,$J$19:$AG$19))/1E6</f>
        <v/>
      </c>
      <c r="I369" s="67">
        <f>SUMPRODUCT($J$5:$AG$5,$J369:$AG369,$J$20:$AG$20)/1E6</f>
        <v/>
      </c>
      <c r="J369">
        <f>MAX(-fyd_cc,MIN(fyd_cc,Es_cc*IF($E369&lt;=cc_D,0.0035*($E369-J$18)/$E369,0.002*($E369-J$18)/($E369-3*cc_D/7))))-fcd_cc*(1-(1-MAX(0,MIN(1,IF($E369&lt;=cc_D,0.0035*($E369-J$18)/$E369,0.002*($E369-J$18)/($E369-3*cc_D/7))/0.002)))^2)</f>
        <v/>
      </c>
      <c r="K369">
        <f>MAX(-fyd_cc,MIN(fyd_cc,Es_cc*IF($E369&lt;=cc_D,0.0035*($E369-K$18)/$E369,0.002*($E369-K$18)/($E369-3*cc_D/7))))-fcd_cc*(1-(1-MAX(0,MIN(1,IF($E369&lt;=cc_D,0.0035*($E369-K$18)/$E369,0.002*($E369-K$18)/($E369-3*cc_D/7))/0.002)))^2)</f>
        <v/>
      </c>
      <c r="L369">
        <f>MAX(-fyd_cc,MIN(fyd_cc,Es_cc*IF($E369&lt;=cc_D,0.0035*($E369-L$18)/$E369,0.002*($E369-L$18)/($E369-3*cc_D/7))))-fcd_cc*(1-(1-MAX(0,MIN(1,IF($E369&lt;=cc_D,0.0035*($E369-L$18)/$E369,0.002*($E369-L$18)/($E369-3*cc_D/7))/0.002)))^2)</f>
        <v/>
      </c>
      <c r="M369">
        <f>MAX(-fyd_cc,MIN(fyd_cc,Es_cc*IF($E369&lt;=cc_D,0.0035*($E369-M$18)/$E369,0.002*($E369-M$18)/($E369-3*cc_D/7))))-fcd_cc*(1-(1-MAX(0,MIN(1,IF($E369&lt;=cc_D,0.0035*($E369-M$18)/$E369,0.002*($E369-M$18)/($E369-3*cc_D/7))/0.002)))^2)</f>
        <v/>
      </c>
      <c r="N369">
        <f>MAX(-fyd_cc,MIN(fyd_cc,Es_cc*IF($E369&lt;=cc_D,0.0035*($E369-N$18)/$E369,0.002*($E369-N$18)/($E369-3*cc_D/7))))-fcd_cc*(1-(1-MAX(0,MIN(1,IF($E369&lt;=cc_D,0.0035*($E369-N$18)/$E369,0.002*($E369-N$18)/($E369-3*cc_D/7))/0.002)))^2)</f>
        <v/>
      </c>
      <c r="O369">
        <f>MAX(-fyd_cc,MIN(fyd_cc,Es_cc*IF($E369&lt;=cc_D,0.0035*($E369-O$18)/$E369,0.002*($E369-O$18)/($E369-3*cc_D/7))))-fcd_cc*(1-(1-MAX(0,MIN(1,IF($E369&lt;=cc_D,0.0035*($E369-O$18)/$E369,0.002*($E369-O$18)/($E369-3*cc_D/7))/0.002)))^2)</f>
        <v/>
      </c>
      <c r="P369">
        <f>MAX(-fyd_cc,MIN(fyd_cc,Es_cc*IF($E369&lt;=cc_D,0.0035*($E369-P$18)/$E369,0.002*($E369-P$18)/($E369-3*cc_D/7))))-fcd_cc*(1-(1-MAX(0,MIN(1,IF($E369&lt;=cc_D,0.0035*($E369-P$18)/$E369,0.002*($E369-P$18)/($E369-3*cc_D/7))/0.002)))^2)</f>
        <v/>
      </c>
      <c r="Q369">
        <f>MAX(-fyd_cc,MIN(fyd_cc,Es_cc*IF($E369&lt;=cc_D,0.0035*($E369-Q$18)/$E369,0.002*($E369-Q$18)/($E369-3*cc_D/7))))-fcd_cc*(1-(1-MAX(0,MIN(1,IF($E369&lt;=cc_D,0.0035*($E369-Q$18)/$E369,0.002*($E369-Q$18)/($E369-3*cc_D/7))/0.002)))^2)</f>
        <v/>
      </c>
      <c r="R369">
        <f>MAX(-fyd_cc,MIN(fyd_cc,Es_cc*IF($E369&lt;=cc_D,0.0035*($E369-R$18)/$E369,0.002*($E369-R$18)/($E369-3*cc_D/7))))-fcd_cc*(1-(1-MAX(0,MIN(1,IF($E369&lt;=cc_D,0.0035*($E369-R$18)/$E369,0.002*($E369-R$18)/($E369-3*cc_D/7))/0.002)))^2)</f>
        <v/>
      </c>
      <c r="S369">
        <f>MAX(-fyd_cc,MIN(fyd_cc,Es_cc*IF($E369&lt;=cc_D,0.0035*($E369-S$18)/$E369,0.002*($E369-S$18)/($E369-3*cc_D/7))))-fcd_cc*(1-(1-MAX(0,MIN(1,IF($E369&lt;=cc_D,0.0035*($E369-S$18)/$E369,0.002*($E369-S$18)/($E369-3*cc_D/7))/0.002)))^2)</f>
        <v/>
      </c>
      <c r="T369">
        <f>MAX(-fyd_cc,MIN(fyd_cc,Es_cc*IF($E369&lt;=cc_D,0.0035*($E369-T$18)/$E369,0.002*($E369-T$18)/($E369-3*cc_D/7))))-fcd_cc*(1-(1-MAX(0,MIN(1,IF($E369&lt;=cc_D,0.0035*($E369-T$18)/$E369,0.002*($E369-T$18)/($E369-3*cc_D/7))/0.002)))^2)</f>
        <v/>
      </c>
      <c r="U369">
        <f>MAX(-fyd_cc,MIN(fyd_cc,Es_cc*IF($E369&lt;=cc_D,0.0035*($E369-U$18)/$E369,0.002*($E369-U$18)/($E369-3*cc_D/7))))-fcd_cc*(1-(1-MAX(0,MIN(1,IF($E369&lt;=cc_D,0.0035*($E369-U$18)/$E369,0.002*($E369-U$18)/($E369-3*cc_D/7))/0.002)))^2)</f>
        <v/>
      </c>
      <c r="V369">
        <f>MAX(-fyd_cc,MIN(fyd_cc,Es_cc*IF($E369&lt;=cc_D,0.0035*($E369-V$18)/$E369,0.002*($E369-V$18)/($E369-3*cc_D/7))))-fcd_cc*(1-(1-MAX(0,MIN(1,IF($E369&lt;=cc_D,0.0035*($E369-V$18)/$E369,0.002*($E369-V$18)/($E369-3*cc_D/7))/0.002)))^2)</f>
        <v/>
      </c>
      <c r="W369">
        <f>MAX(-fyd_cc,MIN(fyd_cc,Es_cc*IF($E369&lt;=cc_D,0.0035*($E369-W$18)/$E369,0.002*($E369-W$18)/($E369-3*cc_D/7))))-fcd_cc*(1-(1-MAX(0,MIN(1,IF($E369&lt;=cc_D,0.0035*($E369-W$18)/$E369,0.002*($E369-W$18)/($E369-3*cc_D/7))/0.002)))^2)</f>
        <v/>
      </c>
      <c r="X369">
        <f>MAX(-fyd_cc,MIN(fyd_cc,Es_cc*IF($E369&lt;=cc_D,0.0035*($E369-X$18)/$E369,0.002*($E369-X$18)/($E369-3*cc_D/7))))-fcd_cc*(1-(1-MAX(0,MIN(1,IF($E369&lt;=cc_D,0.0035*($E369-X$18)/$E369,0.002*($E369-X$18)/($E369-3*cc_D/7))/0.002)))^2)</f>
        <v/>
      </c>
      <c r="Y369">
        <f>MAX(-fyd_cc,MIN(fyd_cc,Es_cc*IF($E369&lt;=cc_D,0.0035*($E369-Y$18)/$E369,0.002*($E369-Y$18)/($E369-3*cc_D/7))))-fcd_cc*(1-(1-MAX(0,MIN(1,IF($E369&lt;=cc_D,0.0035*($E369-Y$18)/$E369,0.002*($E369-Y$18)/($E369-3*cc_D/7))/0.002)))^2)</f>
        <v/>
      </c>
      <c r="Z369">
        <f>MAX(-fyd_cc,MIN(fyd_cc,Es_cc*IF($E369&lt;=cc_D,0.0035*($E369-Z$18)/$E369,0.002*($E369-Z$18)/($E369-3*cc_D/7))))-fcd_cc*(1-(1-MAX(0,MIN(1,IF($E369&lt;=cc_D,0.0035*($E369-Z$18)/$E369,0.002*($E369-Z$18)/($E369-3*cc_D/7))/0.002)))^2)</f>
        <v/>
      </c>
      <c r="AA369">
        <f>MAX(-fyd_cc,MIN(fyd_cc,Es_cc*IF($E369&lt;=cc_D,0.0035*($E369-AA$18)/$E369,0.002*($E369-AA$18)/($E369-3*cc_D/7))))-fcd_cc*(1-(1-MAX(0,MIN(1,IF($E369&lt;=cc_D,0.0035*($E369-AA$18)/$E369,0.002*($E369-AA$18)/($E369-3*cc_D/7))/0.002)))^2)</f>
        <v/>
      </c>
      <c r="AB369">
        <f>MAX(-fyd_cc,MIN(fyd_cc,Es_cc*IF($E369&lt;=cc_D,0.0035*($E369-AB$18)/$E369,0.002*($E369-AB$18)/($E369-3*cc_D/7))))-fcd_cc*(1-(1-MAX(0,MIN(1,IF($E369&lt;=cc_D,0.0035*($E369-AB$18)/$E369,0.002*($E369-AB$18)/($E369-3*cc_D/7))/0.002)))^2)</f>
        <v/>
      </c>
      <c r="AC369">
        <f>MAX(-fyd_cc,MIN(fyd_cc,Es_cc*IF($E369&lt;=cc_D,0.0035*($E369-AC$18)/$E369,0.002*($E369-AC$18)/($E369-3*cc_D/7))))-fcd_cc*(1-(1-MAX(0,MIN(1,IF($E369&lt;=cc_D,0.0035*($E369-AC$18)/$E369,0.002*($E369-AC$18)/($E369-3*cc_D/7))/0.002)))^2)</f>
        <v/>
      </c>
      <c r="AD369">
        <f>MAX(-fyd_cc,MIN(fyd_cc,Es_cc*IF($E369&lt;=cc_D,0.0035*($E369-AD$18)/$E369,0.002*($E369-AD$18)/($E369-3*cc_D/7))))-fcd_cc*(1-(1-MAX(0,MIN(1,IF($E369&lt;=cc_D,0.0035*($E369-AD$18)/$E369,0.002*($E369-AD$18)/($E369-3*cc_D/7))/0.002)))^2)</f>
        <v/>
      </c>
      <c r="AE369">
        <f>MAX(-fyd_cc,MIN(fyd_cc,Es_cc*IF($E369&lt;=cc_D,0.0035*($E369-AE$18)/$E369,0.002*($E369-AE$18)/($E369-3*cc_D/7))))-fcd_cc*(1-(1-MAX(0,MIN(1,IF($E369&lt;=cc_D,0.0035*($E369-AE$18)/$E369,0.002*($E369-AE$18)/($E369-3*cc_D/7))/0.002)))^2)</f>
        <v/>
      </c>
      <c r="AF369">
        <f>MAX(-fyd_cc,MIN(fyd_cc,Es_cc*IF($E369&lt;=cc_D,0.0035*($E369-AF$18)/$E369,0.002*($E369-AF$18)/($E369-3*cc_D/7))))-fcd_cc*(1-(1-MAX(0,MIN(1,IF($E369&lt;=cc_D,0.0035*($E369-AF$18)/$E369,0.002*($E369-AF$18)/($E369-3*cc_D/7))/0.002)))^2)</f>
        <v/>
      </c>
      <c r="AG369">
        <f>MAX(-fyd_cc,MIN(fyd_cc,Es_cc*IF($E369&lt;=cc_D,0.0035*($E369-AG$18)/$E369,0.002*($E369-AG$18)/($E369-3*cc_D/7))))-fcd_cc*(1-(1-MAX(0,MIN(1,IF($E369&lt;=cc_D,0.0035*($E369-AG$18)/$E369,0.002*($E369-AG$18)/($E369-3*cc_D/7))/0.002)))^2)</f>
        <v/>
      </c>
      <c r="BF369">
        <f>3*MIN($E369,cc_D)/7</f>
        <v/>
      </c>
      <c r="BG369">
        <f>$E369-$BF369</f>
        <v/>
      </c>
      <c r="BH369">
        <f>ACOS(MAX(-1,MIN(1,1-$BF369/(cc_D/2))))</f>
        <v/>
      </c>
      <c r="BI369">
        <f>ACOS(MAX(-1,MIN(1,1-MIN($E369,cc_D)/(cc_D/2))))</f>
        <v/>
      </c>
      <c r="BJ369">
        <f>((cc_D/2*(1-COS(($BH369+0*($BI369-$BH369)/12)))-$BF369)/$BG369)^2*SIN(($BH369+0*($BI369-$BH369)/12))^2</f>
        <v/>
      </c>
      <c r="BK369">
        <f>((cc_D/2*(1-COS(($BH369+1*($BI369-$BH369)/12)))-$BF369)/$BG369)^2*SIN(($BH369+1*($BI369-$BH369)/12))^2</f>
        <v/>
      </c>
      <c r="BL369">
        <f>((cc_D/2*(1-COS(($BH369+2*($BI369-$BH369)/12)))-$BF369)/$BG369)^2*SIN(($BH369+2*($BI369-$BH369)/12))^2</f>
        <v/>
      </c>
      <c r="BM369">
        <f>((cc_D/2*(1-COS(($BH369+3*($BI369-$BH369)/12)))-$BF369)/$BG369)^2*SIN(($BH369+3*($BI369-$BH369)/12))^2</f>
        <v/>
      </c>
      <c r="BN369">
        <f>((cc_D/2*(1-COS(($BH369+4*($BI369-$BH369)/12)))-$BF369)/$BG369)^2*SIN(($BH369+4*($BI369-$BH369)/12))^2</f>
        <v/>
      </c>
      <c r="BO369">
        <f>((cc_D/2*(1-COS(($BH369+5*($BI369-$BH369)/12)))-$BF369)/$BG369)^2*SIN(($BH369+5*($BI369-$BH369)/12))^2</f>
        <v/>
      </c>
      <c r="BP369">
        <f>((cc_D/2*(1-COS(($BH369+6*($BI369-$BH369)/12)))-$BF369)/$BG369)^2*SIN(($BH369+6*($BI369-$BH369)/12))^2</f>
        <v/>
      </c>
      <c r="BQ369">
        <f>((cc_D/2*(1-COS(($BH369+7*($BI369-$BH369)/12)))-$BF369)/$BG369)^2*SIN(($BH369+7*($BI369-$BH369)/12))^2</f>
        <v/>
      </c>
      <c r="BR369">
        <f>((cc_D/2*(1-COS(($BH369+8*($BI369-$BH369)/12)))-$BF369)/$BG369)^2*SIN(($BH369+8*($BI369-$BH369)/12))^2</f>
        <v/>
      </c>
      <c r="BS369">
        <f>((cc_D/2*(1-COS(($BH369+9*($BI369-$BH369)/12)))-$BF369)/$BG369)^2*SIN(($BH369+9*($BI369-$BH369)/12))^2</f>
        <v/>
      </c>
      <c r="BT369">
        <f>((cc_D/2*(1-COS(($BH369+10*($BI369-$BH369)/12)))-$BF369)/$BG369)^2*SIN(($BH369+10*($BI369-$BH369)/12))^2</f>
        <v/>
      </c>
      <c r="BU369">
        <f>((cc_D/2*(1-COS(($BH369+11*($BI369-$BH369)/12)))-$BF369)/$BG369)^2*SIN(($BH369+11*($BI369-$BH369)/12))^2</f>
        <v/>
      </c>
      <c r="BV369">
        <f>((cc_D/2*(1-COS(($BH369+12*($BI369-$BH369)/12)))-$BF369)/$BG369)^2*SIN(($BH369+12*($BI369-$BH369)/12))^2</f>
        <v/>
      </c>
      <c r="BW369">
        <f>BJ369*COS(($BH369+0*($BI369-$BH369)/12))</f>
        <v/>
      </c>
      <c r="BX369">
        <f>BK369*COS(($BH369+1*($BI369-$BH369)/12))</f>
        <v/>
      </c>
      <c r="BY369">
        <f>BL369*COS(($BH369+2*($BI369-$BH369)/12))</f>
        <v/>
      </c>
      <c r="BZ369">
        <f>BM369*COS(($BH369+3*($BI369-$BH369)/12))</f>
        <v/>
      </c>
      <c r="CA369">
        <f>BN369*COS(($BH369+4*($BI369-$BH369)/12))</f>
        <v/>
      </c>
      <c r="CB369">
        <f>BO369*COS(($BH369+5*($BI369-$BH369)/12))</f>
        <v/>
      </c>
      <c r="CC369">
        <f>BP369*COS(($BH369+6*($BI369-$BH369)/12))</f>
        <v/>
      </c>
      <c r="CD369">
        <f>BQ369*COS(($BH369+7*($BI369-$BH369)/12))</f>
        <v/>
      </c>
      <c r="CE369">
        <f>BR369*COS(($BH369+8*($BI369-$BH369)/12))</f>
        <v/>
      </c>
      <c r="CF369">
        <f>BS369*COS(($BH369+9*($BI369-$BH369)/12))</f>
        <v/>
      </c>
      <c r="CG369">
        <f>BT369*COS(($BH369+10*($BI369-$BH369)/12))</f>
        <v/>
      </c>
      <c r="CH369">
        <f>BU369*COS(($BH369+11*($BI369-$BH369)/12))</f>
        <v/>
      </c>
      <c r="CI369">
        <f>BV369*COS(($BH369+12*($BI369-$BH369)/12))</f>
        <v/>
      </c>
    </row>
    <row r="370">
      <c r="B370" s="65" t="n">
        <v>29</v>
      </c>
      <c r="C370" s="66">
        <f>IF($G369&lt;cc_NEd-1E-9*ABS(cc_NEd),($C369+$D369)/2,$C369)</f>
        <v/>
      </c>
      <c r="D370" s="66">
        <f>IF($G369&lt;cc_NEd-1E-9*ABS(cc_NEd),$D369,($C369+$D369)/2)</f>
        <v/>
      </c>
      <c r="E370" s="67">
        <f>cc_D*(($C370+$D370)/2)/(1-(($C370+$D370)/2))</f>
        <v/>
      </c>
      <c r="F370" s="68">
        <f>IF($E370&lt;=cc_D,3.5,2*$E370/($E370-3*cc_D/7))</f>
        <v/>
      </c>
      <c r="G370" s="67">
        <f>(fcd_cc*((cc_D/2)^2*($BI370-COS($BI370)*SIN($BI370))-2*(cc_D/2)^2*($BI370-$BH370)/12/3*SUMPRODUCT($BJ$4:$BV$4,$BJ370:$BV370))+SUMPRODUCT($J$5:$AG$5,$J370:$AG370))/1000</f>
        <v/>
      </c>
      <c r="H370" s="67">
        <f>(fcd_cc*(2/3*(cc_D/2)^3*SIN($BI370)^3-2*(cc_D/2)^3*($BI370-$BH370)/12/3*SUMPRODUCT($BW$4:$CI$4,$BW370:$CI370))+SUMPRODUCT($J$5:$AG$5,$J370:$AG370,$J$19:$AG$19))/1E6</f>
        <v/>
      </c>
      <c r="I370" s="67">
        <f>SUMPRODUCT($J$5:$AG$5,$J370:$AG370,$J$20:$AG$20)/1E6</f>
        <v/>
      </c>
      <c r="J370">
        <f>MAX(-fyd_cc,MIN(fyd_cc,Es_cc*IF($E370&lt;=cc_D,0.0035*($E370-J$18)/$E370,0.002*($E370-J$18)/($E370-3*cc_D/7))))-fcd_cc*(1-(1-MAX(0,MIN(1,IF($E370&lt;=cc_D,0.0035*($E370-J$18)/$E370,0.002*($E370-J$18)/($E370-3*cc_D/7))/0.002)))^2)</f>
        <v/>
      </c>
      <c r="K370">
        <f>MAX(-fyd_cc,MIN(fyd_cc,Es_cc*IF($E370&lt;=cc_D,0.0035*($E370-K$18)/$E370,0.002*($E370-K$18)/($E370-3*cc_D/7))))-fcd_cc*(1-(1-MAX(0,MIN(1,IF($E370&lt;=cc_D,0.0035*($E370-K$18)/$E370,0.002*($E370-K$18)/($E370-3*cc_D/7))/0.002)))^2)</f>
        <v/>
      </c>
      <c r="L370">
        <f>MAX(-fyd_cc,MIN(fyd_cc,Es_cc*IF($E370&lt;=cc_D,0.0035*($E370-L$18)/$E370,0.002*($E370-L$18)/($E370-3*cc_D/7))))-fcd_cc*(1-(1-MAX(0,MIN(1,IF($E370&lt;=cc_D,0.0035*($E370-L$18)/$E370,0.002*($E370-L$18)/($E370-3*cc_D/7))/0.002)))^2)</f>
        <v/>
      </c>
      <c r="M370">
        <f>MAX(-fyd_cc,MIN(fyd_cc,Es_cc*IF($E370&lt;=cc_D,0.0035*($E370-M$18)/$E370,0.002*($E370-M$18)/($E370-3*cc_D/7))))-fcd_cc*(1-(1-MAX(0,MIN(1,IF($E370&lt;=cc_D,0.0035*($E370-M$18)/$E370,0.002*($E370-M$18)/($E370-3*cc_D/7))/0.002)))^2)</f>
        <v/>
      </c>
      <c r="N370">
        <f>MAX(-fyd_cc,MIN(fyd_cc,Es_cc*IF($E370&lt;=cc_D,0.0035*($E370-N$18)/$E370,0.002*($E370-N$18)/($E370-3*cc_D/7))))-fcd_cc*(1-(1-MAX(0,MIN(1,IF($E370&lt;=cc_D,0.0035*($E370-N$18)/$E370,0.002*($E370-N$18)/($E370-3*cc_D/7))/0.002)))^2)</f>
        <v/>
      </c>
      <c r="O370">
        <f>MAX(-fyd_cc,MIN(fyd_cc,Es_cc*IF($E370&lt;=cc_D,0.0035*($E370-O$18)/$E370,0.002*($E370-O$18)/($E370-3*cc_D/7))))-fcd_cc*(1-(1-MAX(0,MIN(1,IF($E370&lt;=cc_D,0.0035*($E370-O$18)/$E370,0.002*($E370-O$18)/($E370-3*cc_D/7))/0.002)))^2)</f>
        <v/>
      </c>
      <c r="P370">
        <f>MAX(-fyd_cc,MIN(fyd_cc,Es_cc*IF($E370&lt;=cc_D,0.0035*($E370-P$18)/$E370,0.002*($E370-P$18)/($E370-3*cc_D/7))))-fcd_cc*(1-(1-MAX(0,MIN(1,IF($E370&lt;=cc_D,0.0035*($E370-P$18)/$E370,0.002*($E370-P$18)/($E370-3*cc_D/7))/0.002)))^2)</f>
        <v/>
      </c>
      <c r="Q370">
        <f>MAX(-fyd_cc,MIN(fyd_cc,Es_cc*IF($E370&lt;=cc_D,0.0035*($E370-Q$18)/$E370,0.002*($E370-Q$18)/($E370-3*cc_D/7))))-fcd_cc*(1-(1-MAX(0,MIN(1,IF($E370&lt;=cc_D,0.0035*($E370-Q$18)/$E370,0.002*($E370-Q$18)/($E370-3*cc_D/7))/0.002)))^2)</f>
        <v/>
      </c>
      <c r="R370">
        <f>MAX(-fyd_cc,MIN(fyd_cc,Es_cc*IF($E370&lt;=cc_D,0.0035*($E370-R$18)/$E370,0.002*($E370-R$18)/($E370-3*cc_D/7))))-fcd_cc*(1-(1-MAX(0,MIN(1,IF($E370&lt;=cc_D,0.0035*($E370-R$18)/$E370,0.002*($E370-R$18)/($E370-3*cc_D/7))/0.002)))^2)</f>
        <v/>
      </c>
      <c r="S370">
        <f>MAX(-fyd_cc,MIN(fyd_cc,Es_cc*IF($E370&lt;=cc_D,0.0035*($E370-S$18)/$E370,0.002*($E370-S$18)/($E370-3*cc_D/7))))-fcd_cc*(1-(1-MAX(0,MIN(1,IF($E370&lt;=cc_D,0.0035*($E370-S$18)/$E370,0.002*($E370-S$18)/($E370-3*cc_D/7))/0.002)))^2)</f>
        <v/>
      </c>
      <c r="T370">
        <f>MAX(-fyd_cc,MIN(fyd_cc,Es_cc*IF($E370&lt;=cc_D,0.0035*($E370-T$18)/$E370,0.002*($E370-T$18)/($E370-3*cc_D/7))))-fcd_cc*(1-(1-MAX(0,MIN(1,IF($E370&lt;=cc_D,0.0035*($E370-T$18)/$E370,0.002*($E370-T$18)/($E370-3*cc_D/7))/0.002)))^2)</f>
        <v/>
      </c>
      <c r="U370">
        <f>MAX(-fyd_cc,MIN(fyd_cc,Es_cc*IF($E370&lt;=cc_D,0.0035*($E370-U$18)/$E370,0.002*($E370-U$18)/($E370-3*cc_D/7))))-fcd_cc*(1-(1-MAX(0,MIN(1,IF($E370&lt;=cc_D,0.0035*($E370-U$18)/$E370,0.002*($E370-U$18)/($E370-3*cc_D/7))/0.002)))^2)</f>
        <v/>
      </c>
      <c r="V370">
        <f>MAX(-fyd_cc,MIN(fyd_cc,Es_cc*IF($E370&lt;=cc_D,0.0035*($E370-V$18)/$E370,0.002*($E370-V$18)/($E370-3*cc_D/7))))-fcd_cc*(1-(1-MAX(0,MIN(1,IF($E370&lt;=cc_D,0.0035*($E370-V$18)/$E370,0.002*($E370-V$18)/($E370-3*cc_D/7))/0.002)))^2)</f>
        <v/>
      </c>
      <c r="W370">
        <f>MAX(-fyd_cc,MIN(fyd_cc,Es_cc*IF($E370&lt;=cc_D,0.0035*($E370-W$18)/$E370,0.002*($E370-W$18)/($E370-3*cc_D/7))))-fcd_cc*(1-(1-MAX(0,MIN(1,IF($E370&lt;=cc_D,0.0035*($E370-W$18)/$E370,0.002*($E370-W$18)/($E370-3*cc_D/7))/0.002)))^2)</f>
        <v/>
      </c>
      <c r="X370">
        <f>MAX(-fyd_cc,MIN(fyd_cc,Es_cc*IF($E370&lt;=cc_D,0.0035*($E370-X$18)/$E370,0.002*($E370-X$18)/($E370-3*cc_D/7))))-fcd_cc*(1-(1-MAX(0,MIN(1,IF($E370&lt;=cc_D,0.0035*($E370-X$18)/$E370,0.002*($E370-X$18)/($E370-3*cc_D/7))/0.002)))^2)</f>
        <v/>
      </c>
      <c r="Y370">
        <f>MAX(-fyd_cc,MIN(fyd_cc,Es_cc*IF($E370&lt;=cc_D,0.0035*($E370-Y$18)/$E370,0.002*($E370-Y$18)/($E370-3*cc_D/7))))-fcd_cc*(1-(1-MAX(0,MIN(1,IF($E370&lt;=cc_D,0.0035*($E370-Y$18)/$E370,0.002*($E370-Y$18)/($E370-3*cc_D/7))/0.002)))^2)</f>
        <v/>
      </c>
      <c r="Z370">
        <f>MAX(-fyd_cc,MIN(fyd_cc,Es_cc*IF($E370&lt;=cc_D,0.0035*($E370-Z$18)/$E370,0.002*($E370-Z$18)/($E370-3*cc_D/7))))-fcd_cc*(1-(1-MAX(0,MIN(1,IF($E370&lt;=cc_D,0.0035*($E370-Z$18)/$E370,0.002*($E370-Z$18)/($E370-3*cc_D/7))/0.002)))^2)</f>
        <v/>
      </c>
      <c r="AA370">
        <f>MAX(-fyd_cc,MIN(fyd_cc,Es_cc*IF($E370&lt;=cc_D,0.0035*($E370-AA$18)/$E370,0.002*($E370-AA$18)/($E370-3*cc_D/7))))-fcd_cc*(1-(1-MAX(0,MIN(1,IF($E370&lt;=cc_D,0.0035*($E370-AA$18)/$E370,0.002*($E370-AA$18)/($E370-3*cc_D/7))/0.002)))^2)</f>
        <v/>
      </c>
      <c r="AB370">
        <f>MAX(-fyd_cc,MIN(fyd_cc,Es_cc*IF($E370&lt;=cc_D,0.0035*($E370-AB$18)/$E370,0.002*($E370-AB$18)/($E370-3*cc_D/7))))-fcd_cc*(1-(1-MAX(0,MIN(1,IF($E370&lt;=cc_D,0.0035*($E370-AB$18)/$E370,0.002*($E370-AB$18)/($E370-3*cc_D/7))/0.002)))^2)</f>
        <v/>
      </c>
      <c r="AC370">
        <f>MAX(-fyd_cc,MIN(fyd_cc,Es_cc*IF($E370&lt;=cc_D,0.0035*($E370-AC$18)/$E370,0.002*($E370-AC$18)/($E370-3*cc_D/7))))-fcd_cc*(1-(1-MAX(0,MIN(1,IF($E370&lt;=cc_D,0.0035*($E370-AC$18)/$E370,0.002*($E370-AC$18)/($E370-3*cc_D/7))/0.002)))^2)</f>
        <v/>
      </c>
      <c r="AD370">
        <f>MAX(-fyd_cc,MIN(fyd_cc,Es_cc*IF($E370&lt;=cc_D,0.0035*($E370-AD$18)/$E370,0.002*($E370-AD$18)/($E370-3*cc_D/7))))-fcd_cc*(1-(1-MAX(0,MIN(1,IF($E370&lt;=cc_D,0.0035*($E370-AD$18)/$E370,0.002*($E370-AD$18)/($E370-3*cc_D/7))/0.002)))^2)</f>
        <v/>
      </c>
      <c r="AE370">
        <f>MAX(-fyd_cc,MIN(fyd_cc,Es_cc*IF($E370&lt;=cc_D,0.0035*($E370-AE$18)/$E370,0.002*($E370-AE$18)/($E370-3*cc_D/7))))-fcd_cc*(1-(1-MAX(0,MIN(1,IF($E370&lt;=cc_D,0.0035*($E370-AE$18)/$E370,0.002*($E370-AE$18)/($E370-3*cc_D/7))/0.002)))^2)</f>
        <v/>
      </c>
      <c r="AF370">
        <f>MAX(-fyd_cc,MIN(fyd_cc,Es_cc*IF($E370&lt;=cc_D,0.0035*($E370-AF$18)/$E370,0.002*($E370-AF$18)/($E370-3*cc_D/7))))-fcd_cc*(1-(1-MAX(0,MIN(1,IF($E370&lt;=cc_D,0.0035*($E370-AF$18)/$E370,0.002*($E370-AF$18)/($E370-3*cc_D/7))/0.002)))^2)</f>
        <v/>
      </c>
      <c r="AG370">
        <f>MAX(-fyd_cc,MIN(fyd_cc,Es_cc*IF($E370&lt;=cc_D,0.0035*($E370-AG$18)/$E370,0.002*($E370-AG$18)/($E370-3*cc_D/7))))-fcd_cc*(1-(1-MAX(0,MIN(1,IF($E370&lt;=cc_D,0.0035*($E370-AG$18)/$E370,0.002*($E370-AG$18)/($E370-3*cc_D/7))/0.002)))^2)</f>
        <v/>
      </c>
      <c r="BF370">
        <f>3*MIN($E370,cc_D)/7</f>
        <v/>
      </c>
      <c r="BG370">
        <f>$E370-$BF370</f>
        <v/>
      </c>
      <c r="BH370">
        <f>ACOS(MAX(-1,MIN(1,1-$BF370/(cc_D/2))))</f>
        <v/>
      </c>
      <c r="BI370">
        <f>ACOS(MAX(-1,MIN(1,1-MIN($E370,cc_D)/(cc_D/2))))</f>
        <v/>
      </c>
      <c r="BJ370">
        <f>((cc_D/2*(1-COS(($BH370+0*($BI370-$BH370)/12)))-$BF370)/$BG370)^2*SIN(($BH370+0*($BI370-$BH370)/12))^2</f>
        <v/>
      </c>
      <c r="BK370">
        <f>((cc_D/2*(1-COS(($BH370+1*($BI370-$BH370)/12)))-$BF370)/$BG370)^2*SIN(($BH370+1*($BI370-$BH370)/12))^2</f>
        <v/>
      </c>
      <c r="BL370">
        <f>((cc_D/2*(1-COS(($BH370+2*($BI370-$BH370)/12)))-$BF370)/$BG370)^2*SIN(($BH370+2*($BI370-$BH370)/12))^2</f>
        <v/>
      </c>
      <c r="BM370">
        <f>((cc_D/2*(1-COS(($BH370+3*($BI370-$BH370)/12)))-$BF370)/$BG370)^2*SIN(($BH370+3*($BI370-$BH370)/12))^2</f>
        <v/>
      </c>
      <c r="BN370">
        <f>((cc_D/2*(1-COS(($BH370+4*($BI370-$BH370)/12)))-$BF370)/$BG370)^2*SIN(($BH370+4*($BI370-$BH370)/12))^2</f>
        <v/>
      </c>
      <c r="BO370">
        <f>((cc_D/2*(1-COS(($BH370+5*($BI370-$BH370)/12)))-$BF370)/$BG370)^2*SIN(($BH370+5*($BI370-$BH370)/12))^2</f>
        <v/>
      </c>
      <c r="BP370">
        <f>((cc_D/2*(1-COS(($BH370+6*($BI370-$BH370)/12)))-$BF370)/$BG370)^2*SIN(($BH370+6*($BI370-$BH370)/12))^2</f>
        <v/>
      </c>
      <c r="BQ370">
        <f>((cc_D/2*(1-COS(($BH370+7*($BI370-$BH370)/12)))-$BF370)/$BG370)^2*SIN(($BH370+7*($BI370-$BH370)/12))^2</f>
        <v/>
      </c>
      <c r="BR370">
        <f>((cc_D/2*(1-COS(($BH370+8*($BI370-$BH370)/12)))-$BF370)/$BG370)^2*SIN(($BH370+8*($BI370-$BH370)/12))^2</f>
        <v/>
      </c>
      <c r="BS370">
        <f>((cc_D/2*(1-COS(($BH370+9*($BI370-$BH370)/12)))-$BF370)/$BG370)^2*SIN(($BH370+9*($BI370-$BH370)/12))^2</f>
        <v/>
      </c>
      <c r="BT370">
        <f>((cc_D/2*(1-COS(($BH370+10*($BI370-$BH370)/12)))-$BF370)/$BG370)^2*SIN(($BH370+10*($BI370-$BH370)/12))^2</f>
        <v/>
      </c>
      <c r="BU370">
        <f>((cc_D/2*(1-COS(($BH370+11*($BI370-$BH370)/12)))-$BF370)/$BG370)^2*SIN(($BH370+11*($BI370-$BH370)/12))^2</f>
        <v/>
      </c>
      <c r="BV370">
        <f>((cc_D/2*(1-COS(($BH370+12*($BI370-$BH370)/12)))-$BF370)/$BG370)^2*SIN(($BH370+12*($BI370-$BH370)/12))^2</f>
        <v/>
      </c>
      <c r="BW370">
        <f>BJ370*COS(($BH370+0*($BI370-$BH370)/12))</f>
        <v/>
      </c>
      <c r="BX370">
        <f>BK370*COS(($BH370+1*($BI370-$BH370)/12))</f>
        <v/>
      </c>
      <c r="BY370">
        <f>BL370*COS(($BH370+2*($BI370-$BH370)/12))</f>
        <v/>
      </c>
      <c r="BZ370">
        <f>BM370*COS(($BH370+3*($BI370-$BH370)/12))</f>
        <v/>
      </c>
      <c r="CA370">
        <f>BN370*COS(($BH370+4*($BI370-$BH370)/12))</f>
        <v/>
      </c>
      <c r="CB370">
        <f>BO370*COS(($BH370+5*($BI370-$BH370)/12))</f>
        <v/>
      </c>
      <c r="CC370">
        <f>BP370*COS(($BH370+6*($BI370-$BH370)/12))</f>
        <v/>
      </c>
      <c r="CD370">
        <f>BQ370*COS(($BH370+7*($BI370-$BH370)/12))</f>
        <v/>
      </c>
      <c r="CE370">
        <f>BR370*COS(($BH370+8*($BI370-$BH370)/12))</f>
        <v/>
      </c>
      <c r="CF370">
        <f>BS370*COS(($BH370+9*($BI370-$BH370)/12))</f>
        <v/>
      </c>
      <c r="CG370">
        <f>BT370*COS(($BH370+10*($BI370-$BH370)/12))</f>
        <v/>
      </c>
      <c r="CH370">
        <f>BU370*COS(($BH370+11*($BI370-$BH370)/12))</f>
        <v/>
      </c>
      <c r="CI370">
        <f>BV370*COS(($BH370+12*($BI370-$BH370)/12))</f>
        <v/>
      </c>
    </row>
    <row r="371">
      <c r="B371" s="65" t="n">
        <v>30</v>
      </c>
      <c r="C371" s="66">
        <f>IF($G370&lt;cc_NEd-1E-9*ABS(cc_NEd),($C370+$D370)/2,$C370)</f>
        <v/>
      </c>
      <c r="D371" s="66">
        <f>IF($G370&lt;cc_NEd-1E-9*ABS(cc_NEd),$D370,($C370+$D370)/2)</f>
        <v/>
      </c>
      <c r="E371" s="67">
        <f>cc_D*(($C371+$D371)/2)/(1-(($C371+$D371)/2))</f>
        <v/>
      </c>
      <c r="F371" s="68">
        <f>IF($E371&lt;=cc_D,3.5,2*$E371/($E371-3*cc_D/7))</f>
        <v/>
      </c>
      <c r="G371" s="67">
        <f>(fcd_cc*((cc_D/2)^2*($BI371-COS($BI371)*SIN($BI371))-2*(cc_D/2)^2*($BI371-$BH371)/12/3*SUMPRODUCT($BJ$4:$BV$4,$BJ371:$BV371))+SUMPRODUCT($J$5:$AG$5,$J371:$AG371))/1000</f>
        <v/>
      </c>
      <c r="H371" s="67">
        <f>(fcd_cc*(2/3*(cc_D/2)^3*SIN($BI371)^3-2*(cc_D/2)^3*($BI371-$BH371)/12/3*SUMPRODUCT($BW$4:$CI$4,$BW371:$CI371))+SUMPRODUCT($J$5:$AG$5,$J371:$AG371,$J$19:$AG$19))/1E6</f>
        <v/>
      </c>
      <c r="I371" s="67">
        <f>SUMPRODUCT($J$5:$AG$5,$J371:$AG371,$J$20:$AG$20)/1E6</f>
        <v/>
      </c>
      <c r="J371">
        <f>MAX(-fyd_cc,MIN(fyd_cc,Es_cc*IF($E371&lt;=cc_D,0.0035*($E371-J$18)/$E371,0.002*($E371-J$18)/($E371-3*cc_D/7))))-fcd_cc*(1-(1-MAX(0,MIN(1,IF($E371&lt;=cc_D,0.0035*($E371-J$18)/$E371,0.002*($E371-J$18)/($E371-3*cc_D/7))/0.002)))^2)</f>
        <v/>
      </c>
      <c r="K371">
        <f>MAX(-fyd_cc,MIN(fyd_cc,Es_cc*IF($E371&lt;=cc_D,0.0035*($E371-K$18)/$E371,0.002*($E371-K$18)/($E371-3*cc_D/7))))-fcd_cc*(1-(1-MAX(0,MIN(1,IF($E371&lt;=cc_D,0.0035*($E371-K$18)/$E371,0.002*($E371-K$18)/($E371-3*cc_D/7))/0.002)))^2)</f>
        <v/>
      </c>
      <c r="L371">
        <f>MAX(-fyd_cc,MIN(fyd_cc,Es_cc*IF($E371&lt;=cc_D,0.0035*($E371-L$18)/$E371,0.002*($E371-L$18)/($E371-3*cc_D/7))))-fcd_cc*(1-(1-MAX(0,MIN(1,IF($E371&lt;=cc_D,0.0035*($E371-L$18)/$E371,0.002*($E371-L$18)/($E371-3*cc_D/7))/0.002)))^2)</f>
        <v/>
      </c>
      <c r="M371">
        <f>MAX(-fyd_cc,MIN(fyd_cc,Es_cc*IF($E371&lt;=cc_D,0.0035*($E371-M$18)/$E371,0.002*($E371-M$18)/($E371-3*cc_D/7))))-fcd_cc*(1-(1-MAX(0,MIN(1,IF($E371&lt;=cc_D,0.0035*($E371-M$18)/$E371,0.002*($E371-M$18)/($E371-3*cc_D/7))/0.002)))^2)</f>
        <v/>
      </c>
      <c r="N371">
        <f>MAX(-fyd_cc,MIN(fyd_cc,Es_cc*IF($E371&lt;=cc_D,0.0035*($E371-N$18)/$E371,0.002*($E371-N$18)/($E371-3*cc_D/7))))-fcd_cc*(1-(1-MAX(0,MIN(1,IF($E371&lt;=cc_D,0.0035*($E371-N$18)/$E371,0.002*($E371-N$18)/($E371-3*cc_D/7))/0.002)))^2)</f>
        <v/>
      </c>
      <c r="O371">
        <f>MAX(-fyd_cc,MIN(fyd_cc,Es_cc*IF($E371&lt;=cc_D,0.0035*($E371-O$18)/$E371,0.002*($E371-O$18)/($E371-3*cc_D/7))))-fcd_cc*(1-(1-MAX(0,MIN(1,IF($E371&lt;=cc_D,0.0035*($E371-O$18)/$E371,0.002*($E371-O$18)/($E371-3*cc_D/7))/0.002)))^2)</f>
        <v/>
      </c>
      <c r="P371">
        <f>MAX(-fyd_cc,MIN(fyd_cc,Es_cc*IF($E371&lt;=cc_D,0.0035*($E371-P$18)/$E371,0.002*($E371-P$18)/($E371-3*cc_D/7))))-fcd_cc*(1-(1-MAX(0,MIN(1,IF($E371&lt;=cc_D,0.0035*($E371-P$18)/$E371,0.002*($E371-P$18)/($E371-3*cc_D/7))/0.002)))^2)</f>
        <v/>
      </c>
      <c r="Q371">
        <f>MAX(-fyd_cc,MIN(fyd_cc,Es_cc*IF($E371&lt;=cc_D,0.0035*($E371-Q$18)/$E371,0.002*($E371-Q$18)/($E371-3*cc_D/7))))-fcd_cc*(1-(1-MAX(0,MIN(1,IF($E371&lt;=cc_D,0.0035*($E371-Q$18)/$E371,0.002*($E371-Q$18)/($E371-3*cc_D/7))/0.002)))^2)</f>
        <v/>
      </c>
      <c r="R371">
        <f>MAX(-fyd_cc,MIN(fyd_cc,Es_cc*IF($E371&lt;=cc_D,0.0035*($E371-R$18)/$E371,0.002*($E371-R$18)/($E371-3*cc_D/7))))-fcd_cc*(1-(1-MAX(0,MIN(1,IF($E371&lt;=cc_D,0.0035*($E371-R$18)/$E371,0.002*($E371-R$18)/($E371-3*cc_D/7))/0.002)))^2)</f>
        <v/>
      </c>
      <c r="S371">
        <f>MAX(-fyd_cc,MIN(fyd_cc,Es_cc*IF($E371&lt;=cc_D,0.0035*($E371-S$18)/$E371,0.002*($E371-S$18)/($E371-3*cc_D/7))))-fcd_cc*(1-(1-MAX(0,MIN(1,IF($E371&lt;=cc_D,0.0035*($E371-S$18)/$E371,0.002*($E371-S$18)/($E371-3*cc_D/7))/0.002)))^2)</f>
        <v/>
      </c>
      <c r="T371">
        <f>MAX(-fyd_cc,MIN(fyd_cc,Es_cc*IF($E371&lt;=cc_D,0.0035*($E371-T$18)/$E371,0.002*($E371-T$18)/($E371-3*cc_D/7))))-fcd_cc*(1-(1-MAX(0,MIN(1,IF($E371&lt;=cc_D,0.0035*($E371-T$18)/$E371,0.002*($E371-T$18)/($E371-3*cc_D/7))/0.002)))^2)</f>
        <v/>
      </c>
      <c r="U371">
        <f>MAX(-fyd_cc,MIN(fyd_cc,Es_cc*IF($E371&lt;=cc_D,0.0035*($E371-U$18)/$E371,0.002*($E371-U$18)/($E371-3*cc_D/7))))-fcd_cc*(1-(1-MAX(0,MIN(1,IF($E371&lt;=cc_D,0.0035*($E371-U$18)/$E371,0.002*($E371-U$18)/($E371-3*cc_D/7))/0.002)))^2)</f>
        <v/>
      </c>
      <c r="V371">
        <f>MAX(-fyd_cc,MIN(fyd_cc,Es_cc*IF($E371&lt;=cc_D,0.0035*($E371-V$18)/$E371,0.002*($E371-V$18)/($E371-3*cc_D/7))))-fcd_cc*(1-(1-MAX(0,MIN(1,IF($E371&lt;=cc_D,0.0035*($E371-V$18)/$E371,0.002*($E371-V$18)/($E371-3*cc_D/7))/0.002)))^2)</f>
        <v/>
      </c>
      <c r="W371">
        <f>MAX(-fyd_cc,MIN(fyd_cc,Es_cc*IF($E371&lt;=cc_D,0.0035*($E371-W$18)/$E371,0.002*($E371-W$18)/($E371-3*cc_D/7))))-fcd_cc*(1-(1-MAX(0,MIN(1,IF($E371&lt;=cc_D,0.0035*($E371-W$18)/$E371,0.002*($E371-W$18)/($E371-3*cc_D/7))/0.002)))^2)</f>
        <v/>
      </c>
      <c r="X371">
        <f>MAX(-fyd_cc,MIN(fyd_cc,Es_cc*IF($E371&lt;=cc_D,0.0035*($E371-X$18)/$E371,0.002*($E371-X$18)/($E371-3*cc_D/7))))-fcd_cc*(1-(1-MAX(0,MIN(1,IF($E371&lt;=cc_D,0.0035*($E371-X$18)/$E371,0.002*($E371-X$18)/($E371-3*cc_D/7))/0.002)))^2)</f>
        <v/>
      </c>
      <c r="Y371">
        <f>MAX(-fyd_cc,MIN(fyd_cc,Es_cc*IF($E371&lt;=cc_D,0.0035*($E371-Y$18)/$E371,0.002*($E371-Y$18)/($E371-3*cc_D/7))))-fcd_cc*(1-(1-MAX(0,MIN(1,IF($E371&lt;=cc_D,0.0035*($E371-Y$18)/$E371,0.002*($E371-Y$18)/($E371-3*cc_D/7))/0.002)))^2)</f>
        <v/>
      </c>
      <c r="Z371">
        <f>MAX(-fyd_cc,MIN(fyd_cc,Es_cc*IF($E371&lt;=cc_D,0.0035*($E371-Z$18)/$E371,0.002*($E371-Z$18)/($E371-3*cc_D/7))))-fcd_cc*(1-(1-MAX(0,MIN(1,IF($E371&lt;=cc_D,0.0035*($E371-Z$18)/$E371,0.002*($E371-Z$18)/($E371-3*cc_D/7))/0.002)))^2)</f>
        <v/>
      </c>
      <c r="AA371">
        <f>MAX(-fyd_cc,MIN(fyd_cc,Es_cc*IF($E371&lt;=cc_D,0.0035*($E371-AA$18)/$E371,0.002*($E371-AA$18)/($E371-3*cc_D/7))))-fcd_cc*(1-(1-MAX(0,MIN(1,IF($E371&lt;=cc_D,0.0035*($E371-AA$18)/$E371,0.002*($E371-AA$18)/($E371-3*cc_D/7))/0.002)))^2)</f>
        <v/>
      </c>
      <c r="AB371">
        <f>MAX(-fyd_cc,MIN(fyd_cc,Es_cc*IF($E371&lt;=cc_D,0.0035*($E371-AB$18)/$E371,0.002*($E371-AB$18)/($E371-3*cc_D/7))))-fcd_cc*(1-(1-MAX(0,MIN(1,IF($E371&lt;=cc_D,0.0035*($E371-AB$18)/$E371,0.002*($E371-AB$18)/($E371-3*cc_D/7))/0.002)))^2)</f>
        <v/>
      </c>
      <c r="AC371">
        <f>MAX(-fyd_cc,MIN(fyd_cc,Es_cc*IF($E371&lt;=cc_D,0.0035*($E371-AC$18)/$E371,0.002*($E371-AC$18)/($E371-3*cc_D/7))))-fcd_cc*(1-(1-MAX(0,MIN(1,IF($E371&lt;=cc_D,0.0035*($E371-AC$18)/$E371,0.002*($E371-AC$18)/($E371-3*cc_D/7))/0.002)))^2)</f>
        <v/>
      </c>
      <c r="AD371">
        <f>MAX(-fyd_cc,MIN(fyd_cc,Es_cc*IF($E371&lt;=cc_D,0.0035*($E371-AD$18)/$E371,0.002*($E371-AD$18)/($E371-3*cc_D/7))))-fcd_cc*(1-(1-MAX(0,MIN(1,IF($E371&lt;=cc_D,0.0035*($E371-AD$18)/$E371,0.002*($E371-AD$18)/($E371-3*cc_D/7))/0.002)))^2)</f>
        <v/>
      </c>
      <c r="AE371">
        <f>MAX(-fyd_cc,MIN(fyd_cc,Es_cc*IF($E371&lt;=cc_D,0.0035*($E371-AE$18)/$E371,0.002*($E371-AE$18)/($E371-3*cc_D/7))))-fcd_cc*(1-(1-MAX(0,MIN(1,IF($E371&lt;=cc_D,0.0035*($E371-AE$18)/$E371,0.002*($E371-AE$18)/($E371-3*cc_D/7))/0.002)))^2)</f>
        <v/>
      </c>
      <c r="AF371">
        <f>MAX(-fyd_cc,MIN(fyd_cc,Es_cc*IF($E371&lt;=cc_D,0.0035*($E371-AF$18)/$E371,0.002*($E371-AF$18)/($E371-3*cc_D/7))))-fcd_cc*(1-(1-MAX(0,MIN(1,IF($E371&lt;=cc_D,0.0035*($E371-AF$18)/$E371,0.002*($E371-AF$18)/($E371-3*cc_D/7))/0.002)))^2)</f>
        <v/>
      </c>
      <c r="AG371">
        <f>MAX(-fyd_cc,MIN(fyd_cc,Es_cc*IF($E371&lt;=cc_D,0.0035*($E371-AG$18)/$E371,0.002*($E371-AG$18)/($E371-3*cc_D/7))))-fcd_cc*(1-(1-MAX(0,MIN(1,IF($E371&lt;=cc_D,0.0035*($E371-AG$18)/$E371,0.002*($E371-AG$18)/($E371-3*cc_D/7))/0.002)))^2)</f>
        <v/>
      </c>
      <c r="BF371">
        <f>3*MIN($E371,cc_D)/7</f>
        <v/>
      </c>
      <c r="BG371">
        <f>$E371-$BF371</f>
        <v/>
      </c>
      <c r="BH371">
        <f>ACOS(MAX(-1,MIN(1,1-$BF371/(cc_D/2))))</f>
        <v/>
      </c>
      <c r="BI371">
        <f>ACOS(MAX(-1,MIN(1,1-MIN($E371,cc_D)/(cc_D/2))))</f>
        <v/>
      </c>
      <c r="BJ371">
        <f>((cc_D/2*(1-COS(($BH371+0*($BI371-$BH371)/12)))-$BF371)/$BG371)^2*SIN(($BH371+0*($BI371-$BH371)/12))^2</f>
        <v/>
      </c>
      <c r="BK371">
        <f>((cc_D/2*(1-COS(($BH371+1*($BI371-$BH371)/12)))-$BF371)/$BG371)^2*SIN(($BH371+1*($BI371-$BH371)/12))^2</f>
        <v/>
      </c>
      <c r="BL371">
        <f>((cc_D/2*(1-COS(($BH371+2*($BI371-$BH371)/12)))-$BF371)/$BG371)^2*SIN(($BH371+2*($BI371-$BH371)/12))^2</f>
        <v/>
      </c>
      <c r="BM371">
        <f>((cc_D/2*(1-COS(($BH371+3*($BI371-$BH371)/12)))-$BF371)/$BG371)^2*SIN(($BH371+3*($BI371-$BH371)/12))^2</f>
        <v/>
      </c>
      <c r="BN371">
        <f>((cc_D/2*(1-COS(($BH371+4*($BI371-$BH371)/12)))-$BF371)/$BG371)^2*SIN(($BH371+4*($BI371-$BH371)/12))^2</f>
        <v/>
      </c>
      <c r="BO371">
        <f>((cc_D/2*(1-COS(($BH371+5*($BI371-$BH371)/12)))-$BF371)/$BG371)^2*SIN(($BH371+5*($BI371-$BH371)/12))^2</f>
        <v/>
      </c>
      <c r="BP371">
        <f>((cc_D/2*(1-COS(($BH371+6*($BI371-$BH371)/12)))-$BF371)/$BG371)^2*SIN(($BH371+6*($BI371-$BH371)/12))^2</f>
        <v/>
      </c>
      <c r="BQ371">
        <f>((cc_D/2*(1-COS(($BH371+7*($BI371-$BH371)/12)))-$BF371)/$BG371)^2*SIN(($BH371+7*($BI371-$BH371)/12))^2</f>
        <v/>
      </c>
      <c r="BR371">
        <f>((cc_D/2*(1-COS(($BH371+8*($BI371-$BH371)/12)))-$BF371)/$BG371)^2*SIN(($BH371+8*($BI371-$BH371)/12))^2</f>
        <v/>
      </c>
      <c r="BS371">
        <f>((cc_D/2*(1-COS(($BH371+9*($BI371-$BH371)/12)))-$BF371)/$BG371)^2*SIN(($BH371+9*($BI371-$BH371)/12))^2</f>
        <v/>
      </c>
      <c r="BT371">
        <f>((cc_D/2*(1-COS(($BH371+10*($BI371-$BH371)/12)))-$BF371)/$BG371)^2*SIN(($BH371+10*($BI371-$BH371)/12))^2</f>
        <v/>
      </c>
      <c r="BU371">
        <f>((cc_D/2*(1-COS(($BH371+11*($BI371-$BH371)/12)))-$BF371)/$BG371)^2*SIN(($BH371+11*($BI371-$BH371)/12))^2</f>
        <v/>
      </c>
      <c r="BV371">
        <f>((cc_D/2*(1-COS(($BH371+12*($BI371-$BH371)/12)))-$BF371)/$BG371)^2*SIN(($BH371+12*($BI371-$BH371)/12))^2</f>
        <v/>
      </c>
      <c r="BW371">
        <f>BJ371*COS(($BH371+0*($BI371-$BH371)/12))</f>
        <v/>
      </c>
      <c r="BX371">
        <f>BK371*COS(($BH371+1*($BI371-$BH371)/12))</f>
        <v/>
      </c>
      <c r="BY371">
        <f>BL371*COS(($BH371+2*($BI371-$BH371)/12))</f>
        <v/>
      </c>
      <c r="BZ371">
        <f>BM371*COS(($BH371+3*($BI371-$BH371)/12))</f>
        <v/>
      </c>
      <c r="CA371">
        <f>BN371*COS(($BH371+4*($BI371-$BH371)/12))</f>
        <v/>
      </c>
      <c r="CB371">
        <f>BO371*COS(($BH371+5*($BI371-$BH371)/12))</f>
        <v/>
      </c>
      <c r="CC371">
        <f>BP371*COS(($BH371+6*($BI371-$BH371)/12))</f>
        <v/>
      </c>
      <c r="CD371">
        <f>BQ371*COS(($BH371+7*($BI371-$BH371)/12))</f>
        <v/>
      </c>
      <c r="CE371">
        <f>BR371*COS(($BH371+8*($BI371-$BH371)/12))</f>
        <v/>
      </c>
      <c r="CF371">
        <f>BS371*COS(($BH371+9*($BI371-$BH371)/12))</f>
        <v/>
      </c>
      <c r="CG371">
        <f>BT371*COS(($BH371+10*($BI371-$BH371)/12))</f>
        <v/>
      </c>
      <c r="CH371">
        <f>BU371*COS(($BH371+11*($BI371-$BH371)/12))</f>
        <v/>
      </c>
      <c r="CI371">
        <f>BV371*COS(($BH371+12*($BI371-$BH371)/12))</f>
        <v/>
      </c>
    </row>
    <row r="372">
      <c r="B372" s="65" t="n">
        <v>31</v>
      </c>
      <c r="C372" s="66">
        <f>IF($G371&lt;cc_NEd-1E-9*ABS(cc_NEd),($C371+$D371)/2,$C371)</f>
        <v/>
      </c>
      <c r="D372" s="66">
        <f>IF($G371&lt;cc_NEd-1E-9*ABS(cc_NEd),$D371,($C371+$D371)/2)</f>
        <v/>
      </c>
      <c r="E372" s="67">
        <f>cc_D*(($C372+$D372)/2)/(1-(($C372+$D372)/2))</f>
        <v/>
      </c>
      <c r="F372" s="68">
        <f>IF($E372&lt;=cc_D,3.5,2*$E372/($E372-3*cc_D/7))</f>
        <v/>
      </c>
      <c r="G372" s="67">
        <f>(fcd_cc*((cc_D/2)^2*($BI372-COS($BI372)*SIN($BI372))-2*(cc_D/2)^2*($BI372-$BH372)/12/3*SUMPRODUCT($BJ$4:$BV$4,$BJ372:$BV372))+SUMPRODUCT($J$5:$AG$5,$J372:$AG372))/1000</f>
        <v/>
      </c>
      <c r="H372" s="67">
        <f>(fcd_cc*(2/3*(cc_D/2)^3*SIN($BI372)^3-2*(cc_D/2)^3*($BI372-$BH372)/12/3*SUMPRODUCT($BW$4:$CI$4,$BW372:$CI372))+SUMPRODUCT($J$5:$AG$5,$J372:$AG372,$J$19:$AG$19))/1E6</f>
        <v/>
      </c>
      <c r="I372" s="67">
        <f>SUMPRODUCT($J$5:$AG$5,$J372:$AG372,$J$20:$AG$20)/1E6</f>
        <v/>
      </c>
      <c r="J372">
        <f>MAX(-fyd_cc,MIN(fyd_cc,Es_cc*IF($E372&lt;=cc_D,0.0035*($E372-J$18)/$E372,0.002*($E372-J$18)/($E372-3*cc_D/7))))-fcd_cc*(1-(1-MAX(0,MIN(1,IF($E372&lt;=cc_D,0.0035*($E372-J$18)/$E372,0.002*($E372-J$18)/($E372-3*cc_D/7))/0.002)))^2)</f>
        <v/>
      </c>
      <c r="K372">
        <f>MAX(-fyd_cc,MIN(fyd_cc,Es_cc*IF($E372&lt;=cc_D,0.0035*($E372-K$18)/$E372,0.002*($E372-K$18)/($E372-3*cc_D/7))))-fcd_cc*(1-(1-MAX(0,MIN(1,IF($E372&lt;=cc_D,0.0035*($E372-K$18)/$E372,0.002*($E372-K$18)/($E372-3*cc_D/7))/0.002)))^2)</f>
        <v/>
      </c>
      <c r="L372">
        <f>MAX(-fyd_cc,MIN(fyd_cc,Es_cc*IF($E372&lt;=cc_D,0.0035*($E372-L$18)/$E372,0.002*($E372-L$18)/($E372-3*cc_D/7))))-fcd_cc*(1-(1-MAX(0,MIN(1,IF($E372&lt;=cc_D,0.0035*($E372-L$18)/$E372,0.002*($E372-L$18)/($E372-3*cc_D/7))/0.002)))^2)</f>
        <v/>
      </c>
      <c r="M372">
        <f>MAX(-fyd_cc,MIN(fyd_cc,Es_cc*IF($E372&lt;=cc_D,0.0035*($E372-M$18)/$E372,0.002*($E372-M$18)/($E372-3*cc_D/7))))-fcd_cc*(1-(1-MAX(0,MIN(1,IF($E372&lt;=cc_D,0.0035*($E372-M$18)/$E372,0.002*($E372-M$18)/($E372-3*cc_D/7))/0.002)))^2)</f>
        <v/>
      </c>
      <c r="N372">
        <f>MAX(-fyd_cc,MIN(fyd_cc,Es_cc*IF($E372&lt;=cc_D,0.0035*($E372-N$18)/$E372,0.002*($E372-N$18)/($E372-3*cc_D/7))))-fcd_cc*(1-(1-MAX(0,MIN(1,IF($E372&lt;=cc_D,0.0035*($E372-N$18)/$E372,0.002*($E372-N$18)/($E372-3*cc_D/7))/0.002)))^2)</f>
        <v/>
      </c>
      <c r="O372">
        <f>MAX(-fyd_cc,MIN(fyd_cc,Es_cc*IF($E372&lt;=cc_D,0.0035*($E372-O$18)/$E372,0.002*($E372-O$18)/($E372-3*cc_D/7))))-fcd_cc*(1-(1-MAX(0,MIN(1,IF($E372&lt;=cc_D,0.0035*($E372-O$18)/$E372,0.002*($E372-O$18)/($E372-3*cc_D/7))/0.002)))^2)</f>
        <v/>
      </c>
      <c r="P372">
        <f>MAX(-fyd_cc,MIN(fyd_cc,Es_cc*IF($E372&lt;=cc_D,0.0035*($E372-P$18)/$E372,0.002*($E372-P$18)/($E372-3*cc_D/7))))-fcd_cc*(1-(1-MAX(0,MIN(1,IF($E372&lt;=cc_D,0.0035*($E372-P$18)/$E372,0.002*($E372-P$18)/($E372-3*cc_D/7))/0.002)))^2)</f>
        <v/>
      </c>
      <c r="Q372">
        <f>MAX(-fyd_cc,MIN(fyd_cc,Es_cc*IF($E372&lt;=cc_D,0.0035*($E372-Q$18)/$E372,0.002*($E372-Q$18)/($E372-3*cc_D/7))))-fcd_cc*(1-(1-MAX(0,MIN(1,IF($E372&lt;=cc_D,0.0035*($E372-Q$18)/$E372,0.002*($E372-Q$18)/($E372-3*cc_D/7))/0.002)))^2)</f>
        <v/>
      </c>
      <c r="R372">
        <f>MAX(-fyd_cc,MIN(fyd_cc,Es_cc*IF($E372&lt;=cc_D,0.0035*($E372-R$18)/$E372,0.002*($E372-R$18)/($E372-3*cc_D/7))))-fcd_cc*(1-(1-MAX(0,MIN(1,IF($E372&lt;=cc_D,0.0035*($E372-R$18)/$E372,0.002*($E372-R$18)/($E372-3*cc_D/7))/0.002)))^2)</f>
        <v/>
      </c>
      <c r="S372">
        <f>MAX(-fyd_cc,MIN(fyd_cc,Es_cc*IF($E372&lt;=cc_D,0.0035*($E372-S$18)/$E372,0.002*($E372-S$18)/($E372-3*cc_D/7))))-fcd_cc*(1-(1-MAX(0,MIN(1,IF($E372&lt;=cc_D,0.0035*($E372-S$18)/$E372,0.002*($E372-S$18)/($E372-3*cc_D/7))/0.002)))^2)</f>
        <v/>
      </c>
      <c r="T372">
        <f>MAX(-fyd_cc,MIN(fyd_cc,Es_cc*IF($E372&lt;=cc_D,0.0035*($E372-T$18)/$E372,0.002*($E372-T$18)/($E372-3*cc_D/7))))-fcd_cc*(1-(1-MAX(0,MIN(1,IF($E372&lt;=cc_D,0.0035*($E372-T$18)/$E372,0.002*($E372-T$18)/($E372-3*cc_D/7))/0.002)))^2)</f>
        <v/>
      </c>
      <c r="U372">
        <f>MAX(-fyd_cc,MIN(fyd_cc,Es_cc*IF($E372&lt;=cc_D,0.0035*($E372-U$18)/$E372,0.002*($E372-U$18)/($E372-3*cc_D/7))))-fcd_cc*(1-(1-MAX(0,MIN(1,IF($E372&lt;=cc_D,0.0035*($E372-U$18)/$E372,0.002*($E372-U$18)/($E372-3*cc_D/7))/0.002)))^2)</f>
        <v/>
      </c>
      <c r="V372">
        <f>MAX(-fyd_cc,MIN(fyd_cc,Es_cc*IF($E372&lt;=cc_D,0.0035*($E372-V$18)/$E372,0.002*($E372-V$18)/($E372-3*cc_D/7))))-fcd_cc*(1-(1-MAX(0,MIN(1,IF($E372&lt;=cc_D,0.0035*($E372-V$18)/$E372,0.002*($E372-V$18)/($E372-3*cc_D/7))/0.002)))^2)</f>
        <v/>
      </c>
      <c r="W372">
        <f>MAX(-fyd_cc,MIN(fyd_cc,Es_cc*IF($E372&lt;=cc_D,0.0035*($E372-W$18)/$E372,0.002*($E372-W$18)/($E372-3*cc_D/7))))-fcd_cc*(1-(1-MAX(0,MIN(1,IF($E372&lt;=cc_D,0.0035*($E372-W$18)/$E372,0.002*($E372-W$18)/($E372-3*cc_D/7))/0.002)))^2)</f>
        <v/>
      </c>
      <c r="X372">
        <f>MAX(-fyd_cc,MIN(fyd_cc,Es_cc*IF($E372&lt;=cc_D,0.0035*($E372-X$18)/$E372,0.002*($E372-X$18)/($E372-3*cc_D/7))))-fcd_cc*(1-(1-MAX(0,MIN(1,IF($E372&lt;=cc_D,0.0035*($E372-X$18)/$E372,0.002*($E372-X$18)/($E372-3*cc_D/7))/0.002)))^2)</f>
        <v/>
      </c>
      <c r="Y372">
        <f>MAX(-fyd_cc,MIN(fyd_cc,Es_cc*IF($E372&lt;=cc_D,0.0035*($E372-Y$18)/$E372,0.002*($E372-Y$18)/($E372-3*cc_D/7))))-fcd_cc*(1-(1-MAX(0,MIN(1,IF($E372&lt;=cc_D,0.0035*($E372-Y$18)/$E372,0.002*($E372-Y$18)/($E372-3*cc_D/7))/0.002)))^2)</f>
        <v/>
      </c>
      <c r="Z372">
        <f>MAX(-fyd_cc,MIN(fyd_cc,Es_cc*IF($E372&lt;=cc_D,0.0035*($E372-Z$18)/$E372,0.002*($E372-Z$18)/($E372-3*cc_D/7))))-fcd_cc*(1-(1-MAX(0,MIN(1,IF($E372&lt;=cc_D,0.0035*($E372-Z$18)/$E372,0.002*($E372-Z$18)/($E372-3*cc_D/7))/0.002)))^2)</f>
        <v/>
      </c>
      <c r="AA372">
        <f>MAX(-fyd_cc,MIN(fyd_cc,Es_cc*IF($E372&lt;=cc_D,0.0035*($E372-AA$18)/$E372,0.002*($E372-AA$18)/($E372-3*cc_D/7))))-fcd_cc*(1-(1-MAX(0,MIN(1,IF($E372&lt;=cc_D,0.0035*($E372-AA$18)/$E372,0.002*($E372-AA$18)/($E372-3*cc_D/7))/0.002)))^2)</f>
        <v/>
      </c>
      <c r="AB372">
        <f>MAX(-fyd_cc,MIN(fyd_cc,Es_cc*IF($E372&lt;=cc_D,0.0035*($E372-AB$18)/$E372,0.002*($E372-AB$18)/($E372-3*cc_D/7))))-fcd_cc*(1-(1-MAX(0,MIN(1,IF($E372&lt;=cc_D,0.0035*($E372-AB$18)/$E372,0.002*($E372-AB$18)/($E372-3*cc_D/7))/0.002)))^2)</f>
        <v/>
      </c>
      <c r="AC372">
        <f>MAX(-fyd_cc,MIN(fyd_cc,Es_cc*IF($E372&lt;=cc_D,0.0035*($E372-AC$18)/$E372,0.002*($E372-AC$18)/($E372-3*cc_D/7))))-fcd_cc*(1-(1-MAX(0,MIN(1,IF($E372&lt;=cc_D,0.0035*($E372-AC$18)/$E372,0.002*($E372-AC$18)/($E372-3*cc_D/7))/0.002)))^2)</f>
        <v/>
      </c>
      <c r="AD372">
        <f>MAX(-fyd_cc,MIN(fyd_cc,Es_cc*IF($E372&lt;=cc_D,0.0035*($E372-AD$18)/$E372,0.002*($E372-AD$18)/($E372-3*cc_D/7))))-fcd_cc*(1-(1-MAX(0,MIN(1,IF($E372&lt;=cc_D,0.0035*($E372-AD$18)/$E372,0.002*($E372-AD$18)/($E372-3*cc_D/7))/0.002)))^2)</f>
        <v/>
      </c>
      <c r="AE372">
        <f>MAX(-fyd_cc,MIN(fyd_cc,Es_cc*IF($E372&lt;=cc_D,0.0035*($E372-AE$18)/$E372,0.002*($E372-AE$18)/($E372-3*cc_D/7))))-fcd_cc*(1-(1-MAX(0,MIN(1,IF($E372&lt;=cc_D,0.0035*($E372-AE$18)/$E372,0.002*($E372-AE$18)/($E372-3*cc_D/7))/0.002)))^2)</f>
        <v/>
      </c>
      <c r="AF372">
        <f>MAX(-fyd_cc,MIN(fyd_cc,Es_cc*IF($E372&lt;=cc_D,0.0035*($E372-AF$18)/$E372,0.002*($E372-AF$18)/($E372-3*cc_D/7))))-fcd_cc*(1-(1-MAX(0,MIN(1,IF($E372&lt;=cc_D,0.0035*($E372-AF$18)/$E372,0.002*($E372-AF$18)/($E372-3*cc_D/7))/0.002)))^2)</f>
        <v/>
      </c>
      <c r="AG372">
        <f>MAX(-fyd_cc,MIN(fyd_cc,Es_cc*IF($E372&lt;=cc_D,0.0035*($E372-AG$18)/$E372,0.002*($E372-AG$18)/($E372-3*cc_D/7))))-fcd_cc*(1-(1-MAX(0,MIN(1,IF($E372&lt;=cc_D,0.0035*($E372-AG$18)/$E372,0.002*($E372-AG$18)/($E372-3*cc_D/7))/0.002)))^2)</f>
        <v/>
      </c>
      <c r="BF372">
        <f>3*MIN($E372,cc_D)/7</f>
        <v/>
      </c>
      <c r="BG372">
        <f>$E372-$BF372</f>
        <v/>
      </c>
      <c r="BH372">
        <f>ACOS(MAX(-1,MIN(1,1-$BF372/(cc_D/2))))</f>
        <v/>
      </c>
      <c r="BI372">
        <f>ACOS(MAX(-1,MIN(1,1-MIN($E372,cc_D)/(cc_D/2))))</f>
        <v/>
      </c>
      <c r="BJ372">
        <f>((cc_D/2*(1-COS(($BH372+0*($BI372-$BH372)/12)))-$BF372)/$BG372)^2*SIN(($BH372+0*($BI372-$BH372)/12))^2</f>
        <v/>
      </c>
      <c r="BK372">
        <f>((cc_D/2*(1-COS(($BH372+1*($BI372-$BH372)/12)))-$BF372)/$BG372)^2*SIN(($BH372+1*($BI372-$BH372)/12))^2</f>
        <v/>
      </c>
      <c r="BL372">
        <f>((cc_D/2*(1-COS(($BH372+2*($BI372-$BH372)/12)))-$BF372)/$BG372)^2*SIN(($BH372+2*($BI372-$BH372)/12))^2</f>
        <v/>
      </c>
      <c r="BM372">
        <f>((cc_D/2*(1-COS(($BH372+3*($BI372-$BH372)/12)))-$BF372)/$BG372)^2*SIN(($BH372+3*($BI372-$BH372)/12))^2</f>
        <v/>
      </c>
      <c r="BN372">
        <f>((cc_D/2*(1-COS(($BH372+4*($BI372-$BH372)/12)))-$BF372)/$BG372)^2*SIN(($BH372+4*($BI372-$BH372)/12))^2</f>
        <v/>
      </c>
      <c r="BO372">
        <f>((cc_D/2*(1-COS(($BH372+5*($BI372-$BH372)/12)))-$BF372)/$BG372)^2*SIN(($BH372+5*($BI372-$BH372)/12))^2</f>
        <v/>
      </c>
      <c r="BP372">
        <f>((cc_D/2*(1-COS(($BH372+6*($BI372-$BH372)/12)))-$BF372)/$BG372)^2*SIN(($BH372+6*($BI372-$BH372)/12))^2</f>
        <v/>
      </c>
      <c r="BQ372">
        <f>((cc_D/2*(1-COS(($BH372+7*($BI372-$BH372)/12)))-$BF372)/$BG372)^2*SIN(($BH372+7*($BI372-$BH372)/12))^2</f>
        <v/>
      </c>
      <c r="BR372">
        <f>((cc_D/2*(1-COS(($BH372+8*($BI372-$BH372)/12)))-$BF372)/$BG372)^2*SIN(($BH372+8*($BI372-$BH372)/12))^2</f>
        <v/>
      </c>
      <c r="BS372">
        <f>((cc_D/2*(1-COS(($BH372+9*($BI372-$BH372)/12)))-$BF372)/$BG372)^2*SIN(($BH372+9*($BI372-$BH372)/12))^2</f>
        <v/>
      </c>
      <c r="BT372">
        <f>((cc_D/2*(1-COS(($BH372+10*($BI372-$BH372)/12)))-$BF372)/$BG372)^2*SIN(($BH372+10*($BI372-$BH372)/12))^2</f>
        <v/>
      </c>
      <c r="BU372">
        <f>((cc_D/2*(1-COS(($BH372+11*($BI372-$BH372)/12)))-$BF372)/$BG372)^2*SIN(($BH372+11*($BI372-$BH372)/12))^2</f>
        <v/>
      </c>
      <c r="BV372">
        <f>((cc_D/2*(1-COS(($BH372+12*($BI372-$BH372)/12)))-$BF372)/$BG372)^2*SIN(($BH372+12*($BI372-$BH372)/12))^2</f>
        <v/>
      </c>
      <c r="BW372">
        <f>BJ372*COS(($BH372+0*($BI372-$BH372)/12))</f>
        <v/>
      </c>
      <c r="BX372">
        <f>BK372*COS(($BH372+1*($BI372-$BH372)/12))</f>
        <v/>
      </c>
      <c r="BY372">
        <f>BL372*COS(($BH372+2*($BI372-$BH372)/12))</f>
        <v/>
      </c>
      <c r="BZ372">
        <f>BM372*COS(($BH372+3*($BI372-$BH372)/12))</f>
        <v/>
      </c>
      <c r="CA372">
        <f>BN372*COS(($BH372+4*($BI372-$BH372)/12))</f>
        <v/>
      </c>
      <c r="CB372">
        <f>BO372*COS(($BH372+5*($BI372-$BH372)/12))</f>
        <v/>
      </c>
      <c r="CC372">
        <f>BP372*COS(($BH372+6*($BI372-$BH372)/12))</f>
        <v/>
      </c>
      <c r="CD372">
        <f>BQ372*COS(($BH372+7*($BI372-$BH372)/12))</f>
        <v/>
      </c>
      <c r="CE372">
        <f>BR372*COS(($BH372+8*($BI372-$BH372)/12))</f>
        <v/>
      </c>
      <c r="CF372">
        <f>BS372*COS(($BH372+9*($BI372-$BH372)/12))</f>
        <v/>
      </c>
      <c r="CG372">
        <f>BT372*COS(($BH372+10*($BI372-$BH372)/12))</f>
        <v/>
      </c>
      <c r="CH372">
        <f>BU372*COS(($BH372+11*($BI372-$BH372)/12))</f>
        <v/>
      </c>
      <c r="CI372">
        <f>BV372*COS(($BH372+12*($BI372-$BH372)/12))</f>
        <v/>
      </c>
    </row>
    <row r="373">
      <c r="B373" s="65" t="n">
        <v>32</v>
      </c>
      <c r="C373" s="66">
        <f>IF($G372&lt;cc_NEd-1E-9*ABS(cc_NEd),($C372+$D372)/2,$C372)</f>
        <v/>
      </c>
      <c r="D373" s="66">
        <f>IF($G372&lt;cc_NEd-1E-9*ABS(cc_NEd),$D372,($C372+$D372)/2)</f>
        <v/>
      </c>
      <c r="E373" s="67">
        <f>cc_D*(($C373+$D373)/2)/(1-(($C373+$D373)/2))</f>
        <v/>
      </c>
      <c r="F373" s="68">
        <f>IF($E373&lt;=cc_D,3.5,2*$E373/($E373-3*cc_D/7))</f>
        <v/>
      </c>
      <c r="G373" s="67">
        <f>(fcd_cc*((cc_D/2)^2*($BI373-COS($BI373)*SIN($BI373))-2*(cc_D/2)^2*($BI373-$BH373)/12/3*SUMPRODUCT($BJ$4:$BV$4,$BJ373:$BV373))+SUMPRODUCT($J$5:$AG$5,$J373:$AG373))/1000</f>
        <v/>
      </c>
      <c r="H373" s="67">
        <f>(fcd_cc*(2/3*(cc_D/2)^3*SIN($BI373)^3-2*(cc_D/2)^3*($BI373-$BH373)/12/3*SUMPRODUCT($BW$4:$CI$4,$BW373:$CI373))+SUMPRODUCT($J$5:$AG$5,$J373:$AG373,$J$19:$AG$19))/1E6</f>
        <v/>
      </c>
      <c r="I373" s="67">
        <f>SUMPRODUCT($J$5:$AG$5,$J373:$AG373,$J$20:$AG$20)/1E6</f>
        <v/>
      </c>
      <c r="J373">
        <f>MAX(-fyd_cc,MIN(fyd_cc,Es_cc*IF($E373&lt;=cc_D,0.0035*($E373-J$18)/$E373,0.002*($E373-J$18)/($E373-3*cc_D/7))))-fcd_cc*(1-(1-MAX(0,MIN(1,IF($E373&lt;=cc_D,0.0035*($E373-J$18)/$E373,0.002*($E373-J$18)/($E373-3*cc_D/7))/0.002)))^2)</f>
        <v/>
      </c>
      <c r="K373">
        <f>MAX(-fyd_cc,MIN(fyd_cc,Es_cc*IF($E373&lt;=cc_D,0.0035*($E373-K$18)/$E373,0.002*($E373-K$18)/($E373-3*cc_D/7))))-fcd_cc*(1-(1-MAX(0,MIN(1,IF($E373&lt;=cc_D,0.0035*($E373-K$18)/$E373,0.002*($E373-K$18)/($E373-3*cc_D/7))/0.002)))^2)</f>
        <v/>
      </c>
      <c r="L373">
        <f>MAX(-fyd_cc,MIN(fyd_cc,Es_cc*IF($E373&lt;=cc_D,0.0035*($E373-L$18)/$E373,0.002*($E373-L$18)/($E373-3*cc_D/7))))-fcd_cc*(1-(1-MAX(0,MIN(1,IF($E373&lt;=cc_D,0.0035*($E373-L$18)/$E373,0.002*($E373-L$18)/($E373-3*cc_D/7))/0.002)))^2)</f>
        <v/>
      </c>
      <c r="M373">
        <f>MAX(-fyd_cc,MIN(fyd_cc,Es_cc*IF($E373&lt;=cc_D,0.0035*($E373-M$18)/$E373,0.002*($E373-M$18)/($E373-3*cc_D/7))))-fcd_cc*(1-(1-MAX(0,MIN(1,IF($E373&lt;=cc_D,0.0035*($E373-M$18)/$E373,0.002*($E373-M$18)/($E373-3*cc_D/7))/0.002)))^2)</f>
        <v/>
      </c>
      <c r="N373">
        <f>MAX(-fyd_cc,MIN(fyd_cc,Es_cc*IF($E373&lt;=cc_D,0.0035*($E373-N$18)/$E373,0.002*($E373-N$18)/($E373-3*cc_D/7))))-fcd_cc*(1-(1-MAX(0,MIN(1,IF($E373&lt;=cc_D,0.0035*($E373-N$18)/$E373,0.002*($E373-N$18)/($E373-3*cc_D/7))/0.002)))^2)</f>
        <v/>
      </c>
      <c r="O373">
        <f>MAX(-fyd_cc,MIN(fyd_cc,Es_cc*IF($E373&lt;=cc_D,0.0035*($E373-O$18)/$E373,0.002*($E373-O$18)/($E373-3*cc_D/7))))-fcd_cc*(1-(1-MAX(0,MIN(1,IF($E373&lt;=cc_D,0.0035*($E373-O$18)/$E373,0.002*($E373-O$18)/($E373-3*cc_D/7))/0.002)))^2)</f>
        <v/>
      </c>
      <c r="P373">
        <f>MAX(-fyd_cc,MIN(fyd_cc,Es_cc*IF($E373&lt;=cc_D,0.0035*($E373-P$18)/$E373,0.002*($E373-P$18)/($E373-3*cc_D/7))))-fcd_cc*(1-(1-MAX(0,MIN(1,IF($E373&lt;=cc_D,0.0035*($E373-P$18)/$E373,0.002*($E373-P$18)/($E373-3*cc_D/7))/0.002)))^2)</f>
        <v/>
      </c>
      <c r="Q373">
        <f>MAX(-fyd_cc,MIN(fyd_cc,Es_cc*IF($E373&lt;=cc_D,0.0035*($E373-Q$18)/$E373,0.002*($E373-Q$18)/($E373-3*cc_D/7))))-fcd_cc*(1-(1-MAX(0,MIN(1,IF($E373&lt;=cc_D,0.0035*($E373-Q$18)/$E373,0.002*($E373-Q$18)/($E373-3*cc_D/7))/0.002)))^2)</f>
        <v/>
      </c>
      <c r="R373">
        <f>MAX(-fyd_cc,MIN(fyd_cc,Es_cc*IF($E373&lt;=cc_D,0.0035*($E373-R$18)/$E373,0.002*($E373-R$18)/($E373-3*cc_D/7))))-fcd_cc*(1-(1-MAX(0,MIN(1,IF($E373&lt;=cc_D,0.0035*($E373-R$18)/$E373,0.002*($E373-R$18)/($E373-3*cc_D/7))/0.002)))^2)</f>
        <v/>
      </c>
      <c r="S373">
        <f>MAX(-fyd_cc,MIN(fyd_cc,Es_cc*IF($E373&lt;=cc_D,0.0035*($E373-S$18)/$E373,0.002*($E373-S$18)/($E373-3*cc_D/7))))-fcd_cc*(1-(1-MAX(0,MIN(1,IF($E373&lt;=cc_D,0.0035*($E373-S$18)/$E373,0.002*($E373-S$18)/($E373-3*cc_D/7))/0.002)))^2)</f>
        <v/>
      </c>
      <c r="T373">
        <f>MAX(-fyd_cc,MIN(fyd_cc,Es_cc*IF($E373&lt;=cc_D,0.0035*($E373-T$18)/$E373,0.002*($E373-T$18)/($E373-3*cc_D/7))))-fcd_cc*(1-(1-MAX(0,MIN(1,IF($E373&lt;=cc_D,0.0035*($E373-T$18)/$E373,0.002*($E373-T$18)/($E373-3*cc_D/7))/0.002)))^2)</f>
        <v/>
      </c>
      <c r="U373">
        <f>MAX(-fyd_cc,MIN(fyd_cc,Es_cc*IF($E373&lt;=cc_D,0.0035*($E373-U$18)/$E373,0.002*($E373-U$18)/($E373-3*cc_D/7))))-fcd_cc*(1-(1-MAX(0,MIN(1,IF($E373&lt;=cc_D,0.0035*($E373-U$18)/$E373,0.002*($E373-U$18)/($E373-3*cc_D/7))/0.002)))^2)</f>
        <v/>
      </c>
      <c r="V373">
        <f>MAX(-fyd_cc,MIN(fyd_cc,Es_cc*IF($E373&lt;=cc_D,0.0035*($E373-V$18)/$E373,0.002*($E373-V$18)/($E373-3*cc_D/7))))-fcd_cc*(1-(1-MAX(0,MIN(1,IF($E373&lt;=cc_D,0.0035*($E373-V$18)/$E373,0.002*($E373-V$18)/($E373-3*cc_D/7))/0.002)))^2)</f>
        <v/>
      </c>
      <c r="W373">
        <f>MAX(-fyd_cc,MIN(fyd_cc,Es_cc*IF($E373&lt;=cc_D,0.0035*($E373-W$18)/$E373,0.002*($E373-W$18)/($E373-3*cc_D/7))))-fcd_cc*(1-(1-MAX(0,MIN(1,IF($E373&lt;=cc_D,0.0035*($E373-W$18)/$E373,0.002*($E373-W$18)/($E373-3*cc_D/7))/0.002)))^2)</f>
        <v/>
      </c>
      <c r="X373">
        <f>MAX(-fyd_cc,MIN(fyd_cc,Es_cc*IF($E373&lt;=cc_D,0.0035*($E373-X$18)/$E373,0.002*($E373-X$18)/($E373-3*cc_D/7))))-fcd_cc*(1-(1-MAX(0,MIN(1,IF($E373&lt;=cc_D,0.0035*($E373-X$18)/$E373,0.002*($E373-X$18)/($E373-3*cc_D/7))/0.002)))^2)</f>
        <v/>
      </c>
      <c r="Y373">
        <f>MAX(-fyd_cc,MIN(fyd_cc,Es_cc*IF($E373&lt;=cc_D,0.0035*($E373-Y$18)/$E373,0.002*($E373-Y$18)/($E373-3*cc_D/7))))-fcd_cc*(1-(1-MAX(0,MIN(1,IF($E373&lt;=cc_D,0.0035*($E373-Y$18)/$E373,0.002*($E373-Y$18)/($E373-3*cc_D/7))/0.002)))^2)</f>
        <v/>
      </c>
      <c r="Z373">
        <f>MAX(-fyd_cc,MIN(fyd_cc,Es_cc*IF($E373&lt;=cc_D,0.0035*($E373-Z$18)/$E373,0.002*($E373-Z$18)/($E373-3*cc_D/7))))-fcd_cc*(1-(1-MAX(0,MIN(1,IF($E373&lt;=cc_D,0.0035*($E373-Z$18)/$E373,0.002*($E373-Z$18)/($E373-3*cc_D/7))/0.002)))^2)</f>
        <v/>
      </c>
      <c r="AA373">
        <f>MAX(-fyd_cc,MIN(fyd_cc,Es_cc*IF($E373&lt;=cc_D,0.0035*($E373-AA$18)/$E373,0.002*($E373-AA$18)/($E373-3*cc_D/7))))-fcd_cc*(1-(1-MAX(0,MIN(1,IF($E373&lt;=cc_D,0.0035*($E373-AA$18)/$E373,0.002*($E373-AA$18)/($E373-3*cc_D/7))/0.002)))^2)</f>
        <v/>
      </c>
      <c r="AB373">
        <f>MAX(-fyd_cc,MIN(fyd_cc,Es_cc*IF($E373&lt;=cc_D,0.0035*($E373-AB$18)/$E373,0.002*($E373-AB$18)/($E373-3*cc_D/7))))-fcd_cc*(1-(1-MAX(0,MIN(1,IF($E373&lt;=cc_D,0.0035*($E373-AB$18)/$E373,0.002*($E373-AB$18)/($E373-3*cc_D/7))/0.002)))^2)</f>
        <v/>
      </c>
      <c r="AC373">
        <f>MAX(-fyd_cc,MIN(fyd_cc,Es_cc*IF($E373&lt;=cc_D,0.0035*($E373-AC$18)/$E373,0.002*($E373-AC$18)/($E373-3*cc_D/7))))-fcd_cc*(1-(1-MAX(0,MIN(1,IF($E373&lt;=cc_D,0.0035*($E373-AC$18)/$E373,0.002*($E373-AC$18)/($E373-3*cc_D/7))/0.002)))^2)</f>
        <v/>
      </c>
      <c r="AD373">
        <f>MAX(-fyd_cc,MIN(fyd_cc,Es_cc*IF($E373&lt;=cc_D,0.0035*($E373-AD$18)/$E373,0.002*($E373-AD$18)/($E373-3*cc_D/7))))-fcd_cc*(1-(1-MAX(0,MIN(1,IF($E373&lt;=cc_D,0.0035*($E373-AD$18)/$E373,0.002*($E373-AD$18)/($E373-3*cc_D/7))/0.002)))^2)</f>
        <v/>
      </c>
      <c r="AE373">
        <f>MAX(-fyd_cc,MIN(fyd_cc,Es_cc*IF($E373&lt;=cc_D,0.0035*($E373-AE$18)/$E373,0.002*($E373-AE$18)/($E373-3*cc_D/7))))-fcd_cc*(1-(1-MAX(0,MIN(1,IF($E373&lt;=cc_D,0.0035*($E373-AE$18)/$E373,0.002*($E373-AE$18)/($E373-3*cc_D/7))/0.002)))^2)</f>
        <v/>
      </c>
      <c r="AF373">
        <f>MAX(-fyd_cc,MIN(fyd_cc,Es_cc*IF($E373&lt;=cc_D,0.0035*($E373-AF$18)/$E373,0.002*($E373-AF$18)/($E373-3*cc_D/7))))-fcd_cc*(1-(1-MAX(0,MIN(1,IF($E373&lt;=cc_D,0.0035*($E373-AF$18)/$E373,0.002*($E373-AF$18)/($E373-3*cc_D/7))/0.002)))^2)</f>
        <v/>
      </c>
      <c r="AG373">
        <f>MAX(-fyd_cc,MIN(fyd_cc,Es_cc*IF($E373&lt;=cc_D,0.0035*($E373-AG$18)/$E373,0.002*($E373-AG$18)/($E373-3*cc_D/7))))-fcd_cc*(1-(1-MAX(0,MIN(1,IF($E373&lt;=cc_D,0.0035*($E373-AG$18)/$E373,0.002*($E373-AG$18)/($E373-3*cc_D/7))/0.002)))^2)</f>
        <v/>
      </c>
      <c r="BF373">
        <f>3*MIN($E373,cc_D)/7</f>
        <v/>
      </c>
      <c r="BG373">
        <f>$E373-$BF373</f>
        <v/>
      </c>
      <c r="BH373">
        <f>ACOS(MAX(-1,MIN(1,1-$BF373/(cc_D/2))))</f>
        <v/>
      </c>
      <c r="BI373">
        <f>ACOS(MAX(-1,MIN(1,1-MIN($E373,cc_D)/(cc_D/2))))</f>
        <v/>
      </c>
      <c r="BJ373">
        <f>((cc_D/2*(1-COS(($BH373+0*($BI373-$BH373)/12)))-$BF373)/$BG373)^2*SIN(($BH373+0*($BI373-$BH373)/12))^2</f>
        <v/>
      </c>
      <c r="BK373">
        <f>((cc_D/2*(1-COS(($BH373+1*($BI373-$BH373)/12)))-$BF373)/$BG373)^2*SIN(($BH373+1*($BI373-$BH373)/12))^2</f>
        <v/>
      </c>
      <c r="BL373">
        <f>((cc_D/2*(1-COS(($BH373+2*($BI373-$BH373)/12)))-$BF373)/$BG373)^2*SIN(($BH373+2*($BI373-$BH373)/12))^2</f>
        <v/>
      </c>
      <c r="BM373">
        <f>((cc_D/2*(1-COS(($BH373+3*($BI373-$BH373)/12)))-$BF373)/$BG373)^2*SIN(($BH373+3*($BI373-$BH373)/12))^2</f>
        <v/>
      </c>
      <c r="BN373">
        <f>((cc_D/2*(1-COS(($BH373+4*($BI373-$BH373)/12)))-$BF373)/$BG373)^2*SIN(($BH373+4*($BI373-$BH373)/12))^2</f>
        <v/>
      </c>
      <c r="BO373">
        <f>((cc_D/2*(1-COS(($BH373+5*($BI373-$BH373)/12)))-$BF373)/$BG373)^2*SIN(($BH373+5*($BI373-$BH373)/12))^2</f>
        <v/>
      </c>
      <c r="BP373">
        <f>((cc_D/2*(1-COS(($BH373+6*($BI373-$BH373)/12)))-$BF373)/$BG373)^2*SIN(($BH373+6*($BI373-$BH373)/12))^2</f>
        <v/>
      </c>
      <c r="BQ373">
        <f>((cc_D/2*(1-COS(($BH373+7*($BI373-$BH373)/12)))-$BF373)/$BG373)^2*SIN(($BH373+7*($BI373-$BH373)/12))^2</f>
        <v/>
      </c>
      <c r="BR373">
        <f>((cc_D/2*(1-COS(($BH373+8*($BI373-$BH373)/12)))-$BF373)/$BG373)^2*SIN(($BH373+8*($BI373-$BH373)/12))^2</f>
        <v/>
      </c>
      <c r="BS373">
        <f>((cc_D/2*(1-COS(($BH373+9*($BI373-$BH373)/12)))-$BF373)/$BG373)^2*SIN(($BH373+9*($BI373-$BH373)/12))^2</f>
        <v/>
      </c>
      <c r="BT373">
        <f>((cc_D/2*(1-COS(($BH373+10*($BI373-$BH373)/12)))-$BF373)/$BG373)^2*SIN(($BH373+10*($BI373-$BH373)/12))^2</f>
        <v/>
      </c>
      <c r="BU373">
        <f>((cc_D/2*(1-COS(($BH373+11*($BI373-$BH373)/12)))-$BF373)/$BG373)^2*SIN(($BH373+11*($BI373-$BH373)/12))^2</f>
        <v/>
      </c>
      <c r="BV373">
        <f>((cc_D/2*(1-COS(($BH373+12*($BI373-$BH373)/12)))-$BF373)/$BG373)^2*SIN(($BH373+12*($BI373-$BH373)/12))^2</f>
        <v/>
      </c>
      <c r="BW373">
        <f>BJ373*COS(($BH373+0*($BI373-$BH373)/12))</f>
        <v/>
      </c>
      <c r="BX373">
        <f>BK373*COS(($BH373+1*($BI373-$BH373)/12))</f>
        <v/>
      </c>
      <c r="BY373">
        <f>BL373*COS(($BH373+2*($BI373-$BH373)/12))</f>
        <v/>
      </c>
      <c r="BZ373">
        <f>BM373*COS(($BH373+3*($BI373-$BH373)/12))</f>
        <v/>
      </c>
      <c r="CA373">
        <f>BN373*COS(($BH373+4*($BI373-$BH373)/12))</f>
        <v/>
      </c>
      <c r="CB373">
        <f>BO373*COS(($BH373+5*($BI373-$BH373)/12))</f>
        <v/>
      </c>
      <c r="CC373">
        <f>BP373*COS(($BH373+6*($BI373-$BH373)/12))</f>
        <v/>
      </c>
      <c r="CD373">
        <f>BQ373*COS(($BH373+7*($BI373-$BH373)/12))</f>
        <v/>
      </c>
      <c r="CE373">
        <f>BR373*COS(($BH373+8*($BI373-$BH373)/12))</f>
        <v/>
      </c>
      <c r="CF373">
        <f>BS373*COS(($BH373+9*($BI373-$BH373)/12))</f>
        <v/>
      </c>
      <c r="CG373">
        <f>BT373*COS(($BH373+10*($BI373-$BH373)/12))</f>
        <v/>
      </c>
      <c r="CH373">
        <f>BU373*COS(($BH373+11*($BI373-$BH373)/12))</f>
        <v/>
      </c>
      <c r="CI373">
        <f>BV373*COS(($BH373+12*($BI373-$BH373)/12))</f>
        <v/>
      </c>
    </row>
    <row r="374">
      <c r="B374" s="65" t="n">
        <v>33</v>
      </c>
      <c r="C374" s="66">
        <f>IF($G373&lt;cc_NEd-1E-9*ABS(cc_NEd),($C373+$D373)/2,$C373)</f>
        <v/>
      </c>
      <c r="D374" s="66">
        <f>IF($G373&lt;cc_NEd-1E-9*ABS(cc_NEd),$D373,($C373+$D373)/2)</f>
        <v/>
      </c>
      <c r="E374" s="67">
        <f>cc_D*(($C374+$D374)/2)/(1-(($C374+$D374)/2))</f>
        <v/>
      </c>
      <c r="F374" s="68">
        <f>IF($E374&lt;=cc_D,3.5,2*$E374/($E374-3*cc_D/7))</f>
        <v/>
      </c>
      <c r="G374" s="67">
        <f>(fcd_cc*((cc_D/2)^2*($BI374-COS($BI374)*SIN($BI374))-2*(cc_D/2)^2*($BI374-$BH374)/12/3*SUMPRODUCT($BJ$4:$BV$4,$BJ374:$BV374))+SUMPRODUCT($J$5:$AG$5,$J374:$AG374))/1000</f>
        <v/>
      </c>
      <c r="H374" s="67">
        <f>(fcd_cc*(2/3*(cc_D/2)^3*SIN($BI374)^3-2*(cc_D/2)^3*($BI374-$BH374)/12/3*SUMPRODUCT($BW$4:$CI$4,$BW374:$CI374))+SUMPRODUCT($J$5:$AG$5,$J374:$AG374,$J$19:$AG$19))/1E6</f>
        <v/>
      </c>
      <c r="I374" s="67">
        <f>SUMPRODUCT($J$5:$AG$5,$J374:$AG374,$J$20:$AG$20)/1E6</f>
        <v/>
      </c>
      <c r="J374">
        <f>MAX(-fyd_cc,MIN(fyd_cc,Es_cc*IF($E374&lt;=cc_D,0.0035*($E374-J$18)/$E374,0.002*($E374-J$18)/($E374-3*cc_D/7))))-fcd_cc*(1-(1-MAX(0,MIN(1,IF($E374&lt;=cc_D,0.0035*($E374-J$18)/$E374,0.002*($E374-J$18)/($E374-3*cc_D/7))/0.002)))^2)</f>
        <v/>
      </c>
      <c r="K374">
        <f>MAX(-fyd_cc,MIN(fyd_cc,Es_cc*IF($E374&lt;=cc_D,0.0035*($E374-K$18)/$E374,0.002*($E374-K$18)/($E374-3*cc_D/7))))-fcd_cc*(1-(1-MAX(0,MIN(1,IF($E374&lt;=cc_D,0.0035*($E374-K$18)/$E374,0.002*($E374-K$18)/($E374-3*cc_D/7))/0.002)))^2)</f>
        <v/>
      </c>
      <c r="L374">
        <f>MAX(-fyd_cc,MIN(fyd_cc,Es_cc*IF($E374&lt;=cc_D,0.0035*($E374-L$18)/$E374,0.002*($E374-L$18)/($E374-3*cc_D/7))))-fcd_cc*(1-(1-MAX(0,MIN(1,IF($E374&lt;=cc_D,0.0035*($E374-L$18)/$E374,0.002*($E374-L$18)/($E374-3*cc_D/7))/0.002)))^2)</f>
        <v/>
      </c>
      <c r="M374">
        <f>MAX(-fyd_cc,MIN(fyd_cc,Es_cc*IF($E374&lt;=cc_D,0.0035*($E374-M$18)/$E374,0.002*($E374-M$18)/($E374-3*cc_D/7))))-fcd_cc*(1-(1-MAX(0,MIN(1,IF($E374&lt;=cc_D,0.0035*($E374-M$18)/$E374,0.002*($E374-M$18)/($E374-3*cc_D/7))/0.002)))^2)</f>
        <v/>
      </c>
      <c r="N374">
        <f>MAX(-fyd_cc,MIN(fyd_cc,Es_cc*IF($E374&lt;=cc_D,0.0035*($E374-N$18)/$E374,0.002*($E374-N$18)/($E374-3*cc_D/7))))-fcd_cc*(1-(1-MAX(0,MIN(1,IF($E374&lt;=cc_D,0.0035*($E374-N$18)/$E374,0.002*($E374-N$18)/($E374-3*cc_D/7))/0.002)))^2)</f>
        <v/>
      </c>
      <c r="O374">
        <f>MAX(-fyd_cc,MIN(fyd_cc,Es_cc*IF($E374&lt;=cc_D,0.0035*($E374-O$18)/$E374,0.002*($E374-O$18)/($E374-3*cc_D/7))))-fcd_cc*(1-(1-MAX(0,MIN(1,IF($E374&lt;=cc_D,0.0035*($E374-O$18)/$E374,0.002*($E374-O$18)/($E374-3*cc_D/7))/0.002)))^2)</f>
        <v/>
      </c>
      <c r="P374">
        <f>MAX(-fyd_cc,MIN(fyd_cc,Es_cc*IF($E374&lt;=cc_D,0.0035*($E374-P$18)/$E374,0.002*($E374-P$18)/($E374-3*cc_D/7))))-fcd_cc*(1-(1-MAX(0,MIN(1,IF($E374&lt;=cc_D,0.0035*($E374-P$18)/$E374,0.002*($E374-P$18)/($E374-3*cc_D/7))/0.002)))^2)</f>
        <v/>
      </c>
      <c r="Q374">
        <f>MAX(-fyd_cc,MIN(fyd_cc,Es_cc*IF($E374&lt;=cc_D,0.0035*($E374-Q$18)/$E374,0.002*($E374-Q$18)/($E374-3*cc_D/7))))-fcd_cc*(1-(1-MAX(0,MIN(1,IF($E374&lt;=cc_D,0.0035*($E374-Q$18)/$E374,0.002*($E374-Q$18)/($E374-3*cc_D/7))/0.002)))^2)</f>
        <v/>
      </c>
      <c r="R374">
        <f>MAX(-fyd_cc,MIN(fyd_cc,Es_cc*IF($E374&lt;=cc_D,0.0035*($E374-R$18)/$E374,0.002*($E374-R$18)/($E374-3*cc_D/7))))-fcd_cc*(1-(1-MAX(0,MIN(1,IF($E374&lt;=cc_D,0.0035*($E374-R$18)/$E374,0.002*($E374-R$18)/($E374-3*cc_D/7))/0.002)))^2)</f>
        <v/>
      </c>
      <c r="S374">
        <f>MAX(-fyd_cc,MIN(fyd_cc,Es_cc*IF($E374&lt;=cc_D,0.0035*($E374-S$18)/$E374,0.002*($E374-S$18)/($E374-3*cc_D/7))))-fcd_cc*(1-(1-MAX(0,MIN(1,IF($E374&lt;=cc_D,0.0035*($E374-S$18)/$E374,0.002*($E374-S$18)/($E374-3*cc_D/7))/0.002)))^2)</f>
        <v/>
      </c>
      <c r="T374">
        <f>MAX(-fyd_cc,MIN(fyd_cc,Es_cc*IF($E374&lt;=cc_D,0.0035*($E374-T$18)/$E374,0.002*($E374-T$18)/($E374-3*cc_D/7))))-fcd_cc*(1-(1-MAX(0,MIN(1,IF($E374&lt;=cc_D,0.0035*($E374-T$18)/$E374,0.002*($E374-T$18)/($E374-3*cc_D/7))/0.002)))^2)</f>
        <v/>
      </c>
      <c r="U374">
        <f>MAX(-fyd_cc,MIN(fyd_cc,Es_cc*IF($E374&lt;=cc_D,0.0035*($E374-U$18)/$E374,0.002*($E374-U$18)/($E374-3*cc_D/7))))-fcd_cc*(1-(1-MAX(0,MIN(1,IF($E374&lt;=cc_D,0.0035*($E374-U$18)/$E374,0.002*($E374-U$18)/($E374-3*cc_D/7))/0.002)))^2)</f>
        <v/>
      </c>
      <c r="V374">
        <f>MAX(-fyd_cc,MIN(fyd_cc,Es_cc*IF($E374&lt;=cc_D,0.0035*($E374-V$18)/$E374,0.002*($E374-V$18)/($E374-3*cc_D/7))))-fcd_cc*(1-(1-MAX(0,MIN(1,IF($E374&lt;=cc_D,0.0035*($E374-V$18)/$E374,0.002*($E374-V$18)/($E374-3*cc_D/7))/0.002)))^2)</f>
        <v/>
      </c>
      <c r="W374">
        <f>MAX(-fyd_cc,MIN(fyd_cc,Es_cc*IF($E374&lt;=cc_D,0.0035*($E374-W$18)/$E374,0.002*($E374-W$18)/($E374-3*cc_D/7))))-fcd_cc*(1-(1-MAX(0,MIN(1,IF($E374&lt;=cc_D,0.0035*($E374-W$18)/$E374,0.002*($E374-W$18)/($E374-3*cc_D/7))/0.002)))^2)</f>
        <v/>
      </c>
      <c r="X374">
        <f>MAX(-fyd_cc,MIN(fyd_cc,Es_cc*IF($E374&lt;=cc_D,0.0035*($E374-X$18)/$E374,0.002*($E374-X$18)/($E374-3*cc_D/7))))-fcd_cc*(1-(1-MAX(0,MIN(1,IF($E374&lt;=cc_D,0.0035*($E374-X$18)/$E374,0.002*($E374-X$18)/($E374-3*cc_D/7))/0.002)))^2)</f>
        <v/>
      </c>
      <c r="Y374">
        <f>MAX(-fyd_cc,MIN(fyd_cc,Es_cc*IF($E374&lt;=cc_D,0.0035*($E374-Y$18)/$E374,0.002*($E374-Y$18)/($E374-3*cc_D/7))))-fcd_cc*(1-(1-MAX(0,MIN(1,IF($E374&lt;=cc_D,0.0035*($E374-Y$18)/$E374,0.002*($E374-Y$18)/($E374-3*cc_D/7))/0.002)))^2)</f>
        <v/>
      </c>
      <c r="Z374">
        <f>MAX(-fyd_cc,MIN(fyd_cc,Es_cc*IF($E374&lt;=cc_D,0.0035*($E374-Z$18)/$E374,0.002*($E374-Z$18)/($E374-3*cc_D/7))))-fcd_cc*(1-(1-MAX(0,MIN(1,IF($E374&lt;=cc_D,0.0035*($E374-Z$18)/$E374,0.002*($E374-Z$18)/($E374-3*cc_D/7))/0.002)))^2)</f>
        <v/>
      </c>
      <c r="AA374">
        <f>MAX(-fyd_cc,MIN(fyd_cc,Es_cc*IF($E374&lt;=cc_D,0.0035*($E374-AA$18)/$E374,0.002*($E374-AA$18)/($E374-3*cc_D/7))))-fcd_cc*(1-(1-MAX(0,MIN(1,IF($E374&lt;=cc_D,0.0035*($E374-AA$18)/$E374,0.002*($E374-AA$18)/($E374-3*cc_D/7))/0.002)))^2)</f>
        <v/>
      </c>
      <c r="AB374">
        <f>MAX(-fyd_cc,MIN(fyd_cc,Es_cc*IF($E374&lt;=cc_D,0.0035*($E374-AB$18)/$E374,0.002*($E374-AB$18)/($E374-3*cc_D/7))))-fcd_cc*(1-(1-MAX(0,MIN(1,IF($E374&lt;=cc_D,0.0035*($E374-AB$18)/$E374,0.002*($E374-AB$18)/($E374-3*cc_D/7))/0.002)))^2)</f>
        <v/>
      </c>
      <c r="AC374">
        <f>MAX(-fyd_cc,MIN(fyd_cc,Es_cc*IF($E374&lt;=cc_D,0.0035*($E374-AC$18)/$E374,0.002*($E374-AC$18)/($E374-3*cc_D/7))))-fcd_cc*(1-(1-MAX(0,MIN(1,IF($E374&lt;=cc_D,0.0035*($E374-AC$18)/$E374,0.002*($E374-AC$18)/($E374-3*cc_D/7))/0.002)))^2)</f>
        <v/>
      </c>
      <c r="AD374">
        <f>MAX(-fyd_cc,MIN(fyd_cc,Es_cc*IF($E374&lt;=cc_D,0.0035*($E374-AD$18)/$E374,0.002*($E374-AD$18)/($E374-3*cc_D/7))))-fcd_cc*(1-(1-MAX(0,MIN(1,IF($E374&lt;=cc_D,0.0035*($E374-AD$18)/$E374,0.002*($E374-AD$18)/($E374-3*cc_D/7))/0.002)))^2)</f>
        <v/>
      </c>
      <c r="AE374">
        <f>MAX(-fyd_cc,MIN(fyd_cc,Es_cc*IF($E374&lt;=cc_D,0.0035*($E374-AE$18)/$E374,0.002*($E374-AE$18)/($E374-3*cc_D/7))))-fcd_cc*(1-(1-MAX(0,MIN(1,IF($E374&lt;=cc_D,0.0035*($E374-AE$18)/$E374,0.002*($E374-AE$18)/($E374-3*cc_D/7))/0.002)))^2)</f>
        <v/>
      </c>
      <c r="AF374">
        <f>MAX(-fyd_cc,MIN(fyd_cc,Es_cc*IF($E374&lt;=cc_D,0.0035*($E374-AF$18)/$E374,0.002*($E374-AF$18)/($E374-3*cc_D/7))))-fcd_cc*(1-(1-MAX(0,MIN(1,IF($E374&lt;=cc_D,0.0035*($E374-AF$18)/$E374,0.002*($E374-AF$18)/($E374-3*cc_D/7))/0.002)))^2)</f>
        <v/>
      </c>
      <c r="AG374">
        <f>MAX(-fyd_cc,MIN(fyd_cc,Es_cc*IF($E374&lt;=cc_D,0.0035*($E374-AG$18)/$E374,0.002*($E374-AG$18)/($E374-3*cc_D/7))))-fcd_cc*(1-(1-MAX(0,MIN(1,IF($E374&lt;=cc_D,0.0035*($E374-AG$18)/$E374,0.002*($E374-AG$18)/($E374-3*cc_D/7))/0.002)))^2)</f>
        <v/>
      </c>
      <c r="BF374">
        <f>3*MIN($E374,cc_D)/7</f>
        <v/>
      </c>
      <c r="BG374">
        <f>$E374-$BF374</f>
        <v/>
      </c>
      <c r="BH374">
        <f>ACOS(MAX(-1,MIN(1,1-$BF374/(cc_D/2))))</f>
        <v/>
      </c>
      <c r="BI374">
        <f>ACOS(MAX(-1,MIN(1,1-MIN($E374,cc_D)/(cc_D/2))))</f>
        <v/>
      </c>
      <c r="BJ374">
        <f>((cc_D/2*(1-COS(($BH374+0*($BI374-$BH374)/12)))-$BF374)/$BG374)^2*SIN(($BH374+0*($BI374-$BH374)/12))^2</f>
        <v/>
      </c>
      <c r="BK374">
        <f>((cc_D/2*(1-COS(($BH374+1*($BI374-$BH374)/12)))-$BF374)/$BG374)^2*SIN(($BH374+1*($BI374-$BH374)/12))^2</f>
        <v/>
      </c>
      <c r="BL374">
        <f>((cc_D/2*(1-COS(($BH374+2*($BI374-$BH374)/12)))-$BF374)/$BG374)^2*SIN(($BH374+2*($BI374-$BH374)/12))^2</f>
        <v/>
      </c>
      <c r="BM374">
        <f>((cc_D/2*(1-COS(($BH374+3*($BI374-$BH374)/12)))-$BF374)/$BG374)^2*SIN(($BH374+3*($BI374-$BH374)/12))^2</f>
        <v/>
      </c>
      <c r="BN374">
        <f>((cc_D/2*(1-COS(($BH374+4*($BI374-$BH374)/12)))-$BF374)/$BG374)^2*SIN(($BH374+4*($BI374-$BH374)/12))^2</f>
        <v/>
      </c>
      <c r="BO374">
        <f>((cc_D/2*(1-COS(($BH374+5*($BI374-$BH374)/12)))-$BF374)/$BG374)^2*SIN(($BH374+5*($BI374-$BH374)/12))^2</f>
        <v/>
      </c>
      <c r="BP374">
        <f>((cc_D/2*(1-COS(($BH374+6*($BI374-$BH374)/12)))-$BF374)/$BG374)^2*SIN(($BH374+6*($BI374-$BH374)/12))^2</f>
        <v/>
      </c>
      <c r="BQ374">
        <f>((cc_D/2*(1-COS(($BH374+7*($BI374-$BH374)/12)))-$BF374)/$BG374)^2*SIN(($BH374+7*($BI374-$BH374)/12))^2</f>
        <v/>
      </c>
      <c r="BR374">
        <f>((cc_D/2*(1-COS(($BH374+8*($BI374-$BH374)/12)))-$BF374)/$BG374)^2*SIN(($BH374+8*($BI374-$BH374)/12))^2</f>
        <v/>
      </c>
      <c r="BS374">
        <f>((cc_D/2*(1-COS(($BH374+9*($BI374-$BH374)/12)))-$BF374)/$BG374)^2*SIN(($BH374+9*($BI374-$BH374)/12))^2</f>
        <v/>
      </c>
      <c r="BT374">
        <f>((cc_D/2*(1-COS(($BH374+10*($BI374-$BH374)/12)))-$BF374)/$BG374)^2*SIN(($BH374+10*($BI374-$BH374)/12))^2</f>
        <v/>
      </c>
      <c r="BU374">
        <f>((cc_D/2*(1-COS(($BH374+11*($BI374-$BH374)/12)))-$BF374)/$BG374)^2*SIN(($BH374+11*($BI374-$BH374)/12))^2</f>
        <v/>
      </c>
      <c r="BV374">
        <f>((cc_D/2*(1-COS(($BH374+12*($BI374-$BH374)/12)))-$BF374)/$BG374)^2*SIN(($BH374+12*($BI374-$BH374)/12))^2</f>
        <v/>
      </c>
      <c r="BW374">
        <f>BJ374*COS(($BH374+0*($BI374-$BH374)/12))</f>
        <v/>
      </c>
      <c r="BX374">
        <f>BK374*COS(($BH374+1*($BI374-$BH374)/12))</f>
        <v/>
      </c>
      <c r="BY374">
        <f>BL374*COS(($BH374+2*($BI374-$BH374)/12))</f>
        <v/>
      </c>
      <c r="BZ374">
        <f>BM374*COS(($BH374+3*($BI374-$BH374)/12))</f>
        <v/>
      </c>
      <c r="CA374">
        <f>BN374*COS(($BH374+4*($BI374-$BH374)/12))</f>
        <v/>
      </c>
      <c r="CB374">
        <f>BO374*COS(($BH374+5*($BI374-$BH374)/12))</f>
        <v/>
      </c>
      <c r="CC374">
        <f>BP374*COS(($BH374+6*($BI374-$BH374)/12))</f>
        <v/>
      </c>
      <c r="CD374">
        <f>BQ374*COS(($BH374+7*($BI374-$BH374)/12))</f>
        <v/>
      </c>
      <c r="CE374">
        <f>BR374*COS(($BH374+8*($BI374-$BH374)/12))</f>
        <v/>
      </c>
      <c r="CF374">
        <f>BS374*COS(($BH374+9*($BI374-$BH374)/12))</f>
        <v/>
      </c>
      <c r="CG374">
        <f>BT374*COS(($BH374+10*($BI374-$BH374)/12))</f>
        <v/>
      </c>
      <c r="CH374">
        <f>BU374*COS(($BH374+11*($BI374-$BH374)/12))</f>
        <v/>
      </c>
      <c r="CI374">
        <f>BV374*COS(($BH374+12*($BI374-$BH374)/12))</f>
        <v/>
      </c>
    </row>
    <row r="375">
      <c r="B375" s="65" t="n">
        <v>34</v>
      </c>
      <c r="C375" s="66">
        <f>IF($G374&lt;cc_NEd-1E-9*ABS(cc_NEd),($C374+$D374)/2,$C374)</f>
        <v/>
      </c>
      <c r="D375" s="66">
        <f>IF($G374&lt;cc_NEd-1E-9*ABS(cc_NEd),$D374,($C374+$D374)/2)</f>
        <v/>
      </c>
      <c r="E375" s="67">
        <f>cc_D*(($C375+$D375)/2)/(1-(($C375+$D375)/2))</f>
        <v/>
      </c>
      <c r="F375" s="68">
        <f>IF($E375&lt;=cc_D,3.5,2*$E375/($E375-3*cc_D/7))</f>
        <v/>
      </c>
      <c r="G375" s="67">
        <f>(fcd_cc*((cc_D/2)^2*($BI375-COS($BI375)*SIN($BI375))-2*(cc_D/2)^2*($BI375-$BH375)/12/3*SUMPRODUCT($BJ$4:$BV$4,$BJ375:$BV375))+SUMPRODUCT($J$5:$AG$5,$J375:$AG375))/1000</f>
        <v/>
      </c>
      <c r="H375" s="67">
        <f>(fcd_cc*(2/3*(cc_D/2)^3*SIN($BI375)^3-2*(cc_D/2)^3*($BI375-$BH375)/12/3*SUMPRODUCT($BW$4:$CI$4,$BW375:$CI375))+SUMPRODUCT($J$5:$AG$5,$J375:$AG375,$J$19:$AG$19))/1E6</f>
        <v/>
      </c>
      <c r="I375" s="67">
        <f>SUMPRODUCT($J$5:$AG$5,$J375:$AG375,$J$20:$AG$20)/1E6</f>
        <v/>
      </c>
      <c r="J375">
        <f>MAX(-fyd_cc,MIN(fyd_cc,Es_cc*IF($E375&lt;=cc_D,0.0035*($E375-J$18)/$E375,0.002*($E375-J$18)/($E375-3*cc_D/7))))-fcd_cc*(1-(1-MAX(0,MIN(1,IF($E375&lt;=cc_D,0.0035*($E375-J$18)/$E375,0.002*($E375-J$18)/($E375-3*cc_D/7))/0.002)))^2)</f>
        <v/>
      </c>
      <c r="K375">
        <f>MAX(-fyd_cc,MIN(fyd_cc,Es_cc*IF($E375&lt;=cc_D,0.0035*($E375-K$18)/$E375,0.002*($E375-K$18)/($E375-3*cc_D/7))))-fcd_cc*(1-(1-MAX(0,MIN(1,IF($E375&lt;=cc_D,0.0035*($E375-K$18)/$E375,0.002*($E375-K$18)/($E375-3*cc_D/7))/0.002)))^2)</f>
        <v/>
      </c>
      <c r="L375">
        <f>MAX(-fyd_cc,MIN(fyd_cc,Es_cc*IF($E375&lt;=cc_D,0.0035*($E375-L$18)/$E375,0.002*($E375-L$18)/($E375-3*cc_D/7))))-fcd_cc*(1-(1-MAX(0,MIN(1,IF($E375&lt;=cc_D,0.0035*($E375-L$18)/$E375,0.002*($E375-L$18)/($E375-3*cc_D/7))/0.002)))^2)</f>
        <v/>
      </c>
      <c r="M375">
        <f>MAX(-fyd_cc,MIN(fyd_cc,Es_cc*IF($E375&lt;=cc_D,0.0035*($E375-M$18)/$E375,0.002*($E375-M$18)/($E375-3*cc_D/7))))-fcd_cc*(1-(1-MAX(0,MIN(1,IF($E375&lt;=cc_D,0.0035*($E375-M$18)/$E375,0.002*($E375-M$18)/($E375-3*cc_D/7))/0.002)))^2)</f>
        <v/>
      </c>
      <c r="N375">
        <f>MAX(-fyd_cc,MIN(fyd_cc,Es_cc*IF($E375&lt;=cc_D,0.0035*($E375-N$18)/$E375,0.002*($E375-N$18)/($E375-3*cc_D/7))))-fcd_cc*(1-(1-MAX(0,MIN(1,IF($E375&lt;=cc_D,0.0035*($E375-N$18)/$E375,0.002*($E375-N$18)/($E375-3*cc_D/7))/0.002)))^2)</f>
        <v/>
      </c>
      <c r="O375">
        <f>MAX(-fyd_cc,MIN(fyd_cc,Es_cc*IF($E375&lt;=cc_D,0.0035*($E375-O$18)/$E375,0.002*($E375-O$18)/($E375-3*cc_D/7))))-fcd_cc*(1-(1-MAX(0,MIN(1,IF($E375&lt;=cc_D,0.0035*($E375-O$18)/$E375,0.002*($E375-O$18)/($E375-3*cc_D/7))/0.002)))^2)</f>
        <v/>
      </c>
      <c r="P375">
        <f>MAX(-fyd_cc,MIN(fyd_cc,Es_cc*IF($E375&lt;=cc_D,0.0035*($E375-P$18)/$E375,0.002*($E375-P$18)/($E375-3*cc_D/7))))-fcd_cc*(1-(1-MAX(0,MIN(1,IF($E375&lt;=cc_D,0.0035*($E375-P$18)/$E375,0.002*($E375-P$18)/($E375-3*cc_D/7))/0.002)))^2)</f>
        <v/>
      </c>
      <c r="Q375">
        <f>MAX(-fyd_cc,MIN(fyd_cc,Es_cc*IF($E375&lt;=cc_D,0.0035*($E375-Q$18)/$E375,0.002*($E375-Q$18)/($E375-3*cc_D/7))))-fcd_cc*(1-(1-MAX(0,MIN(1,IF($E375&lt;=cc_D,0.0035*($E375-Q$18)/$E375,0.002*($E375-Q$18)/($E375-3*cc_D/7))/0.002)))^2)</f>
        <v/>
      </c>
      <c r="R375">
        <f>MAX(-fyd_cc,MIN(fyd_cc,Es_cc*IF($E375&lt;=cc_D,0.0035*($E375-R$18)/$E375,0.002*($E375-R$18)/($E375-3*cc_D/7))))-fcd_cc*(1-(1-MAX(0,MIN(1,IF($E375&lt;=cc_D,0.0035*($E375-R$18)/$E375,0.002*($E375-R$18)/($E375-3*cc_D/7))/0.002)))^2)</f>
        <v/>
      </c>
      <c r="S375">
        <f>MAX(-fyd_cc,MIN(fyd_cc,Es_cc*IF($E375&lt;=cc_D,0.0035*($E375-S$18)/$E375,0.002*($E375-S$18)/($E375-3*cc_D/7))))-fcd_cc*(1-(1-MAX(0,MIN(1,IF($E375&lt;=cc_D,0.0035*($E375-S$18)/$E375,0.002*($E375-S$18)/($E375-3*cc_D/7))/0.002)))^2)</f>
        <v/>
      </c>
      <c r="T375">
        <f>MAX(-fyd_cc,MIN(fyd_cc,Es_cc*IF($E375&lt;=cc_D,0.0035*($E375-T$18)/$E375,0.002*($E375-T$18)/($E375-3*cc_D/7))))-fcd_cc*(1-(1-MAX(0,MIN(1,IF($E375&lt;=cc_D,0.0035*($E375-T$18)/$E375,0.002*($E375-T$18)/($E375-3*cc_D/7))/0.002)))^2)</f>
        <v/>
      </c>
      <c r="U375">
        <f>MAX(-fyd_cc,MIN(fyd_cc,Es_cc*IF($E375&lt;=cc_D,0.0035*($E375-U$18)/$E375,0.002*($E375-U$18)/($E375-3*cc_D/7))))-fcd_cc*(1-(1-MAX(0,MIN(1,IF($E375&lt;=cc_D,0.0035*($E375-U$18)/$E375,0.002*($E375-U$18)/($E375-3*cc_D/7))/0.002)))^2)</f>
        <v/>
      </c>
      <c r="V375">
        <f>MAX(-fyd_cc,MIN(fyd_cc,Es_cc*IF($E375&lt;=cc_D,0.0035*($E375-V$18)/$E375,0.002*($E375-V$18)/($E375-3*cc_D/7))))-fcd_cc*(1-(1-MAX(0,MIN(1,IF($E375&lt;=cc_D,0.0035*($E375-V$18)/$E375,0.002*($E375-V$18)/($E375-3*cc_D/7))/0.002)))^2)</f>
        <v/>
      </c>
      <c r="W375">
        <f>MAX(-fyd_cc,MIN(fyd_cc,Es_cc*IF($E375&lt;=cc_D,0.0035*($E375-W$18)/$E375,0.002*($E375-W$18)/($E375-3*cc_D/7))))-fcd_cc*(1-(1-MAX(0,MIN(1,IF($E375&lt;=cc_D,0.0035*($E375-W$18)/$E375,0.002*($E375-W$18)/($E375-3*cc_D/7))/0.002)))^2)</f>
        <v/>
      </c>
      <c r="X375">
        <f>MAX(-fyd_cc,MIN(fyd_cc,Es_cc*IF($E375&lt;=cc_D,0.0035*($E375-X$18)/$E375,0.002*($E375-X$18)/($E375-3*cc_D/7))))-fcd_cc*(1-(1-MAX(0,MIN(1,IF($E375&lt;=cc_D,0.0035*($E375-X$18)/$E375,0.002*($E375-X$18)/($E375-3*cc_D/7))/0.002)))^2)</f>
        <v/>
      </c>
      <c r="Y375">
        <f>MAX(-fyd_cc,MIN(fyd_cc,Es_cc*IF($E375&lt;=cc_D,0.0035*($E375-Y$18)/$E375,0.002*($E375-Y$18)/($E375-3*cc_D/7))))-fcd_cc*(1-(1-MAX(0,MIN(1,IF($E375&lt;=cc_D,0.0035*($E375-Y$18)/$E375,0.002*($E375-Y$18)/($E375-3*cc_D/7))/0.002)))^2)</f>
        <v/>
      </c>
      <c r="Z375">
        <f>MAX(-fyd_cc,MIN(fyd_cc,Es_cc*IF($E375&lt;=cc_D,0.0035*($E375-Z$18)/$E375,0.002*($E375-Z$18)/($E375-3*cc_D/7))))-fcd_cc*(1-(1-MAX(0,MIN(1,IF($E375&lt;=cc_D,0.0035*($E375-Z$18)/$E375,0.002*($E375-Z$18)/($E375-3*cc_D/7))/0.002)))^2)</f>
        <v/>
      </c>
      <c r="AA375">
        <f>MAX(-fyd_cc,MIN(fyd_cc,Es_cc*IF($E375&lt;=cc_D,0.0035*($E375-AA$18)/$E375,0.002*($E375-AA$18)/($E375-3*cc_D/7))))-fcd_cc*(1-(1-MAX(0,MIN(1,IF($E375&lt;=cc_D,0.0035*($E375-AA$18)/$E375,0.002*($E375-AA$18)/($E375-3*cc_D/7))/0.002)))^2)</f>
        <v/>
      </c>
      <c r="AB375">
        <f>MAX(-fyd_cc,MIN(fyd_cc,Es_cc*IF($E375&lt;=cc_D,0.0035*($E375-AB$18)/$E375,0.002*($E375-AB$18)/($E375-3*cc_D/7))))-fcd_cc*(1-(1-MAX(0,MIN(1,IF($E375&lt;=cc_D,0.0035*($E375-AB$18)/$E375,0.002*($E375-AB$18)/($E375-3*cc_D/7))/0.002)))^2)</f>
        <v/>
      </c>
      <c r="AC375">
        <f>MAX(-fyd_cc,MIN(fyd_cc,Es_cc*IF($E375&lt;=cc_D,0.0035*($E375-AC$18)/$E375,0.002*($E375-AC$18)/($E375-3*cc_D/7))))-fcd_cc*(1-(1-MAX(0,MIN(1,IF($E375&lt;=cc_D,0.0035*($E375-AC$18)/$E375,0.002*($E375-AC$18)/($E375-3*cc_D/7))/0.002)))^2)</f>
        <v/>
      </c>
      <c r="AD375">
        <f>MAX(-fyd_cc,MIN(fyd_cc,Es_cc*IF($E375&lt;=cc_D,0.0035*($E375-AD$18)/$E375,0.002*($E375-AD$18)/($E375-3*cc_D/7))))-fcd_cc*(1-(1-MAX(0,MIN(1,IF($E375&lt;=cc_D,0.0035*($E375-AD$18)/$E375,0.002*($E375-AD$18)/($E375-3*cc_D/7))/0.002)))^2)</f>
        <v/>
      </c>
      <c r="AE375">
        <f>MAX(-fyd_cc,MIN(fyd_cc,Es_cc*IF($E375&lt;=cc_D,0.0035*($E375-AE$18)/$E375,0.002*($E375-AE$18)/($E375-3*cc_D/7))))-fcd_cc*(1-(1-MAX(0,MIN(1,IF($E375&lt;=cc_D,0.0035*($E375-AE$18)/$E375,0.002*($E375-AE$18)/($E375-3*cc_D/7))/0.002)))^2)</f>
        <v/>
      </c>
      <c r="AF375">
        <f>MAX(-fyd_cc,MIN(fyd_cc,Es_cc*IF($E375&lt;=cc_D,0.0035*($E375-AF$18)/$E375,0.002*($E375-AF$18)/($E375-3*cc_D/7))))-fcd_cc*(1-(1-MAX(0,MIN(1,IF($E375&lt;=cc_D,0.0035*($E375-AF$18)/$E375,0.002*($E375-AF$18)/($E375-3*cc_D/7))/0.002)))^2)</f>
        <v/>
      </c>
      <c r="AG375">
        <f>MAX(-fyd_cc,MIN(fyd_cc,Es_cc*IF($E375&lt;=cc_D,0.0035*($E375-AG$18)/$E375,0.002*($E375-AG$18)/($E375-3*cc_D/7))))-fcd_cc*(1-(1-MAX(0,MIN(1,IF($E375&lt;=cc_D,0.0035*($E375-AG$18)/$E375,0.002*($E375-AG$18)/($E375-3*cc_D/7))/0.002)))^2)</f>
        <v/>
      </c>
      <c r="BF375">
        <f>3*MIN($E375,cc_D)/7</f>
        <v/>
      </c>
      <c r="BG375">
        <f>$E375-$BF375</f>
        <v/>
      </c>
      <c r="BH375">
        <f>ACOS(MAX(-1,MIN(1,1-$BF375/(cc_D/2))))</f>
        <v/>
      </c>
      <c r="BI375">
        <f>ACOS(MAX(-1,MIN(1,1-MIN($E375,cc_D)/(cc_D/2))))</f>
        <v/>
      </c>
      <c r="BJ375">
        <f>((cc_D/2*(1-COS(($BH375+0*($BI375-$BH375)/12)))-$BF375)/$BG375)^2*SIN(($BH375+0*($BI375-$BH375)/12))^2</f>
        <v/>
      </c>
      <c r="BK375">
        <f>((cc_D/2*(1-COS(($BH375+1*($BI375-$BH375)/12)))-$BF375)/$BG375)^2*SIN(($BH375+1*($BI375-$BH375)/12))^2</f>
        <v/>
      </c>
      <c r="BL375">
        <f>((cc_D/2*(1-COS(($BH375+2*($BI375-$BH375)/12)))-$BF375)/$BG375)^2*SIN(($BH375+2*($BI375-$BH375)/12))^2</f>
        <v/>
      </c>
      <c r="BM375">
        <f>((cc_D/2*(1-COS(($BH375+3*($BI375-$BH375)/12)))-$BF375)/$BG375)^2*SIN(($BH375+3*($BI375-$BH375)/12))^2</f>
        <v/>
      </c>
      <c r="BN375">
        <f>((cc_D/2*(1-COS(($BH375+4*($BI375-$BH375)/12)))-$BF375)/$BG375)^2*SIN(($BH375+4*($BI375-$BH375)/12))^2</f>
        <v/>
      </c>
      <c r="BO375">
        <f>((cc_D/2*(1-COS(($BH375+5*($BI375-$BH375)/12)))-$BF375)/$BG375)^2*SIN(($BH375+5*($BI375-$BH375)/12))^2</f>
        <v/>
      </c>
      <c r="BP375">
        <f>((cc_D/2*(1-COS(($BH375+6*($BI375-$BH375)/12)))-$BF375)/$BG375)^2*SIN(($BH375+6*($BI375-$BH375)/12))^2</f>
        <v/>
      </c>
      <c r="BQ375">
        <f>((cc_D/2*(1-COS(($BH375+7*($BI375-$BH375)/12)))-$BF375)/$BG375)^2*SIN(($BH375+7*($BI375-$BH375)/12))^2</f>
        <v/>
      </c>
      <c r="BR375">
        <f>((cc_D/2*(1-COS(($BH375+8*($BI375-$BH375)/12)))-$BF375)/$BG375)^2*SIN(($BH375+8*($BI375-$BH375)/12))^2</f>
        <v/>
      </c>
      <c r="BS375">
        <f>((cc_D/2*(1-COS(($BH375+9*($BI375-$BH375)/12)))-$BF375)/$BG375)^2*SIN(($BH375+9*($BI375-$BH375)/12))^2</f>
        <v/>
      </c>
      <c r="BT375">
        <f>((cc_D/2*(1-COS(($BH375+10*($BI375-$BH375)/12)))-$BF375)/$BG375)^2*SIN(($BH375+10*($BI375-$BH375)/12))^2</f>
        <v/>
      </c>
      <c r="BU375">
        <f>((cc_D/2*(1-COS(($BH375+11*($BI375-$BH375)/12)))-$BF375)/$BG375)^2*SIN(($BH375+11*($BI375-$BH375)/12))^2</f>
        <v/>
      </c>
      <c r="BV375">
        <f>((cc_D/2*(1-COS(($BH375+12*($BI375-$BH375)/12)))-$BF375)/$BG375)^2*SIN(($BH375+12*($BI375-$BH375)/12))^2</f>
        <v/>
      </c>
      <c r="BW375">
        <f>BJ375*COS(($BH375+0*($BI375-$BH375)/12))</f>
        <v/>
      </c>
      <c r="BX375">
        <f>BK375*COS(($BH375+1*($BI375-$BH375)/12))</f>
        <v/>
      </c>
      <c r="BY375">
        <f>BL375*COS(($BH375+2*($BI375-$BH375)/12))</f>
        <v/>
      </c>
      <c r="BZ375">
        <f>BM375*COS(($BH375+3*($BI375-$BH375)/12))</f>
        <v/>
      </c>
      <c r="CA375">
        <f>BN375*COS(($BH375+4*($BI375-$BH375)/12))</f>
        <v/>
      </c>
      <c r="CB375">
        <f>BO375*COS(($BH375+5*($BI375-$BH375)/12))</f>
        <v/>
      </c>
      <c r="CC375">
        <f>BP375*COS(($BH375+6*($BI375-$BH375)/12))</f>
        <v/>
      </c>
      <c r="CD375">
        <f>BQ375*COS(($BH375+7*($BI375-$BH375)/12))</f>
        <v/>
      </c>
      <c r="CE375">
        <f>BR375*COS(($BH375+8*($BI375-$BH375)/12))</f>
        <v/>
      </c>
      <c r="CF375">
        <f>BS375*COS(($BH375+9*($BI375-$BH375)/12))</f>
        <v/>
      </c>
      <c r="CG375">
        <f>BT375*COS(($BH375+10*($BI375-$BH375)/12))</f>
        <v/>
      </c>
      <c r="CH375">
        <f>BU375*COS(($BH375+11*($BI375-$BH375)/12))</f>
        <v/>
      </c>
      <c r="CI375">
        <f>BV375*COS(($BH375+12*($BI375-$BH375)/12))</f>
        <v/>
      </c>
    </row>
    <row r="376">
      <c r="B376" s="65" t="n">
        <v>35</v>
      </c>
      <c r="C376" s="66">
        <f>IF($G375&lt;cc_NEd-1E-9*ABS(cc_NEd),($C375+$D375)/2,$C375)</f>
        <v/>
      </c>
      <c r="D376" s="66">
        <f>IF($G375&lt;cc_NEd-1E-9*ABS(cc_NEd),$D375,($C375+$D375)/2)</f>
        <v/>
      </c>
      <c r="E376" s="67">
        <f>cc_D*(($C376+$D376)/2)/(1-(($C376+$D376)/2))</f>
        <v/>
      </c>
      <c r="F376" s="68">
        <f>IF($E376&lt;=cc_D,3.5,2*$E376/($E376-3*cc_D/7))</f>
        <v/>
      </c>
      <c r="G376" s="67">
        <f>(fcd_cc*((cc_D/2)^2*($BI376-COS($BI376)*SIN($BI376))-2*(cc_D/2)^2*($BI376-$BH376)/12/3*SUMPRODUCT($BJ$4:$BV$4,$BJ376:$BV376))+SUMPRODUCT($J$5:$AG$5,$J376:$AG376))/1000</f>
        <v/>
      </c>
      <c r="H376" s="67">
        <f>(fcd_cc*(2/3*(cc_D/2)^3*SIN($BI376)^3-2*(cc_D/2)^3*($BI376-$BH376)/12/3*SUMPRODUCT($BW$4:$CI$4,$BW376:$CI376))+SUMPRODUCT($J$5:$AG$5,$J376:$AG376,$J$19:$AG$19))/1E6</f>
        <v/>
      </c>
      <c r="I376" s="67">
        <f>SUMPRODUCT($J$5:$AG$5,$J376:$AG376,$J$20:$AG$20)/1E6</f>
        <v/>
      </c>
      <c r="J376">
        <f>MAX(-fyd_cc,MIN(fyd_cc,Es_cc*IF($E376&lt;=cc_D,0.0035*($E376-J$18)/$E376,0.002*($E376-J$18)/($E376-3*cc_D/7))))-fcd_cc*(1-(1-MAX(0,MIN(1,IF($E376&lt;=cc_D,0.0035*($E376-J$18)/$E376,0.002*($E376-J$18)/($E376-3*cc_D/7))/0.002)))^2)</f>
        <v/>
      </c>
      <c r="K376">
        <f>MAX(-fyd_cc,MIN(fyd_cc,Es_cc*IF($E376&lt;=cc_D,0.0035*($E376-K$18)/$E376,0.002*($E376-K$18)/($E376-3*cc_D/7))))-fcd_cc*(1-(1-MAX(0,MIN(1,IF($E376&lt;=cc_D,0.0035*($E376-K$18)/$E376,0.002*($E376-K$18)/($E376-3*cc_D/7))/0.002)))^2)</f>
        <v/>
      </c>
      <c r="L376">
        <f>MAX(-fyd_cc,MIN(fyd_cc,Es_cc*IF($E376&lt;=cc_D,0.0035*($E376-L$18)/$E376,0.002*($E376-L$18)/($E376-3*cc_D/7))))-fcd_cc*(1-(1-MAX(0,MIN(1,IF($E376&lt;=cc_D,0.0035*($E376-L$18)/$E376,0.002*($E376-L$18)/($E376-3*cc_D/7))/0.002)))^2)</f>
        <v/>
      </c>
      <c r="M376">
        <f>MAX(-fyd_cc,MIN(fyd_cc,Es_cc*IF($E376&lt;=cc_D,0.0035*($E376-M$18)/$E376,0.002*($E376-M$18)/($E376-3*cc_D/7))))-fcd_cc*(1-(1-MAX(0,MIN(1,IF($E376&lt;=cc_D,0.0035*($E376-M$18)/$E376,0.002*($E376-M$18)/($E376-3*cc_D/7))/0.002)))^2)</f>
        <v/>
      </c>
      <c r="N376">
        <f>MAX(-fyd_cc,MIN(fyd_cc,Es_cc*IF($E376&lt;=cc_D,0.0035*($E376-N$18)/$E376,0.002*($E376-N$18)/($E376-3*cc_D/7))))-fcd_cc*(1-(1-MAX(0,MIN(1,IF($E376&lt;=cc_D,0.0035*($E376-N$18)/$E376,0.002*($E376-N$18)/($E376-3*cc_D/7))/0.002)))^2)</f>
        <v/>
      </c>
      <c r="O376">
        <f>MAX(-fyd_cc,MIN(fyd_cc,Es_cc*IF($E376&lt;=cc_D,0.0035*($E376-O$18)/$E376,0.002*($E376-O$18)/($E376-3*cc_D/7))))-fcd_cc*(1-(1-MAX(0,MIN(1,IF($E376&lt;=cc_D,0.0035*($E376-O$18)/$E376,0.002*($E376-O$18)/($E376-3*cc_D/7))/0.002)))^2)</f>
        <v/>
      </c>
      <c r="P376">
        <f>MAX(-fyd_cc,MIN(fyd_cc,Es_cc*IF($E376&lt;=cc_D,0.0035*($E376-P$18)/$E376,0.002*($E376-P$18)/($E376-3*cc_D/7))))-fcd_cc*(1-(1-MAX(0,MIN(1,IF($E376&lt;=cc_D,0.0035*($E376-P$18)/$E376,0.002*($E376-P$18)/($E376-3*cc_D/7))/0.002)))^2)</f>
        <v/>
      </c>
      <c r="Q376">
        <f>MAX(-fyd_cc,MIN(fyd_cc,Es_cc*IF($E376&lt;=cc_D,0.0035*($E376-Q$18)/$E376,0.002*($E376-Q$18)/($E376-3*cc_D/7))))-fcd_cc*(1-(1-MAX(0,MIN(1,IF($E376&lt;=cc_D,0.0035*($E376-Q$18)/$E376,0.002*($E376-Q$18)/($E376-3*cc_D/7))/0.002)))^2)</f>
        <v/>
      </c>
      <c r="R376">
        <f>MAX(-fyd_cc,MIN(fyd_cc,Es_cc*IF($E376&lt;=cc_D,0.0035*($E376-R$18)/$E376,0.002*($E376-R$18)/($E376-3*cc_D/7))))-fcd_cc*(1-(1-MAX(0,MIN(1,IF($E376&lt;=cc_D,0.0035*($E376-R$18)/$E376,0.002*($E376-R$18)/($E376-3*cc_D/7))/0.002)))^2)</f>
        <v/>
      </c>
      <c r="S376">
        <f>MAX(-fyd_cc,MIN(fyd_cc,Es_cc*IF($E376&lt;=cc_D,0.0035*($E376-S$18)/$E376,0.002*($E376-S$18)/($E376-3*cc_D/7))))-fcd_cc*(1-(1-MAX(0,MIN(1,IF($E376&lt;=cc_D,0.0035*($E376-S$18)/$E376,0.002*($E376-S$18)/($E376-3*cc_D/7))/0.002)))^2)</f>
        <v/>
      </c>
      <c r="T376">
        <f>MAX(-fyd_cc,MIN(fyd_cc,Es_cc*IF($E376&lt;=cc_D,0.0035*($E376-T$18)/$E376,0.002*($E376-T$18)/($E376-3*cc_D/7))))-fcd_cc*(1-(1-MAX(0,MIN(1,IF($E376&lt;=cc_D,0.0035*($E376-T$18)/$E376,0.002*($E376-T$18)/($E376-3*cc_D/7))/0.002)))^2)</f>
        <v/>
      </c>
      <c r="U376">
        <f>MAX(-fyd_cc,MIN(fyd_cc,Es_cc*IF($E376&lt;=cc_D,0.0035*($E376-U$18)/$E376,0.002*($E376-U$18)/($E376-3*cc_D/7))))-fcd_cc*(1-(1-MAX(0,MIN(1,IF($E376&lt;=cc_D,0.0035*($E376-U$18)/$E376,0.002*($E376-U$18)/($E376-3*cc_D/7))/0.002)))^2)</f>
        <v/>
      </c>
      <c r="V376">
        <f>MAX(-fyd_cc,MIN(fyd_cc,Es_cc*IF($E376&lt;=cc_D,0.0035*($E376-V$18)/$E376,0.002*($E376-V$18)/($E376-3*cc_D/7))))-fcd_cc*(1-(1-MAX(0,MIN(1,IF($E376&lt;=cc_D,0.0035*($E376-V$18)/$E376,0.002*($E376-V$18)/($E376-3*cc_D/7))/0.002)))^2)</f>
        <v/>
      </c>
      <c r="W376">
        <f>MAX(-fyd_cc,MIN(fyd_cc,Es_cc*IF($E376&lt;=cc_D,0.0035*($E376-W$18)/$E376,0.002*($E376-W$18)/($E376-3*cc_D/7))))-fcd_cc*(1-(1-MAX(0,MIN(1,IF($E376&lt;=cc_D,0.0035*($E376-W$18)/$E376,0.002*($E376-W$18)/($E376-3*cc_D/7))/0.002)))^2)</f>
        <v/>
      </c>
      <c r="X376">
        <f>MAX(-fyd_cc,MIN(fyd_cc,Es_cc*IF($E376&lt;=cc_D,0.0035*($E376-X$18)/$E376,0.002*($E376-X$18)/($E376-3*cc_D/7))))-fcd_cc*(1-(1-MAX(0,MIN(1,IF($E376&lt;=cc_D,0.0035*($E376-X$18)/$E376,0.002*($E376-X$18)/($E376-3*cc_D/7))/0.002)))^2)</f>
        <v/>
      </c>
      <c r="Y376">
        <f>MAX(-fyd_cc,MIN(fyd_cc,Es_cc*IF($E376&lt;=cc_D,0.0035*($E376-Y$18)/$E376,0.002*($E376-Y$18)/($E376-3*cc_D/7))))-fcd_cc*(1-(1-MAX(0,MIN(1,IF($E376&lt;=cc_D,0.0035*($E376-Y$18)/$E376,0.002*($E376-Y$18)/($E376-3*cc_D/7))/0.002)))^2)</f>
        <v/>
      </c>
      <c r="Z376">
        <f>MAX(-fyd_cc,MIN(fyd_cc,Es_cc*IF($E376&lt;=cc_D,0.0035*($E376-Z$18)/$E376,0.002*($E376-Z$18)/($E376-3*cc_D/7))))-fcd_cc*(1-(1-MAX(0,MIN(1,IF($E376&lt;=cc_D,0.0035*($E376-Z$18)/$E376,0.002*($E376-Z$18)/($E376-3*cc_D/7))/0.002)))^2)</f>
        <v/>
      </c>
      <c r="AA376">
        <f>MAX(-fyd_cc,MIN(fyd_cc,Es_cc*IF($E376&lt;=cc_D,0.0035*($E376-AA$18)/$E376,0.002*($E376-AA$18)/($E376-3*cc_D/7))))-fcd_cc*(1-(1-MAX(0,MIN(1,IF($E376&lt;=cc_D,0.0035*($E376-AA$18)/$E376,0.002*($E376-AA$18)/($E376-3*cc_D/7))/0.002)))^2)</f>
        <v/>
      </c>
      <c r="AB376">
        <f>MAX(-fyd_cc,MIN(fyd_cc,Es_cc*IF($E376&lt;=cc_D,0.0035*($E376-AB$18)/$E376,0.002*($E376-AB$18)/($E376-3*cc_D/7))))-fcd_cc*(1-(1-MAX(0,MIN(1,IF($E376&lt;=cc_D,0.0035*($E376-AB$18)/$E376,0.002*($E376-AB$18)/($E376-3*cc_D/7))/0.002)))^2)</f>
        <v/>
      </c>
      <c r="AC376">
        <f>MAX(-fyd_cc,MIN(fyd_cc,Es_cc*IF($E376&lt;=cc_D,0.0035*($E376-AC$18)/$E376,0.002*($E376-AC$18)/($E376-3*cc_D/7))))-fcd_cc*(1-(1-MAX(0,MIN(1,IF($E376&lt;=cc_D,0.0035*($E376-AC$18)/$E376,0.002*($E376-AC$18)/($E376-3*cc_D/7))/0.002)))^2)</f>
        <v/>
      </c>
      <c r="AD376">
        <f>MAX(-fyd_cc,MIN(fyd_cc,Es_cc*IF($E376&lt;=cc_D,0.0035*($E376-AD$18)/$E376,0.002*($E376-AD$18)/($E376-3*cc_D/7))))-fcd_cc*(1-(1-MAX(0,MIN(1,IF($E376&lt;=cc_D,0.0035*($E376-AD$18)/$E376,0.002*($E376-AD$18)/($E376-3*cc_D/7))/0.002)))^2)</f>
        <v/>
      </c>
      <c r="AE376">
        <f>MAX(-fyd_cc,MIN(fyd_cc,Es_cc*IF($E376&lt;=cc_D,0.0035*($E376-AE$18)/$E376,0.002*($E376-AE$18)/($E376-3*cc_D/7))))-fcd_cc*(1-(1-MAX(0,MIN(1,IF($E376&lt;=cc_D,0.0035*($E376-AE$18)/$E376,0.002*($E376-AE$18)/($E376-3*cc_D/7))/0.002)))^2)</f>
        <v/>
      </c>
      <c r="AF376">
        <f>MAX(-fyd_cc,MIN(fyd_cc,Es_cc*IF($E376&lt;=cc_D,0.0035*($E376-AF$18)/$E376,0.002*($E376-AF$18)/($E376-3*cc_D/7))))-fcd_cc*(1-(1-MAX(0,MIN(1,IF($E376&lt;=cc_D,0.0035*($E376-AF$18)/$E376,0.002*($E376-AF$18)/($E376-3*cc_D/7))/0.002)))^2)</f>
        <v/>
      </c>
      <c r="AG376">
        <f>MAX(-fyd_cc,MIN(fyd_cc,Es_cc*IF($E376&lt;=cc_D,0.0035*($E376-AG$18)/$E376,0.002*($E376-AG$18)/($E376-3*cc_D/7))))-fcd_cc*(1-(1-MAX(0,MIN(1,IF($E376&lt;=cc_D,0.0035*($E376-AG$18)/$E376,0.002*($E376-AG$18)/($E376-3*cc_D/7))/0.002)))^2)</f>
        <v/>
      </c>
      <c r="BF376">
        <f>3*MIN($E376,cc_D)/7</f>
        <v/>
      </c>
      <c r="BG376">
        <f>$E376-$BF376</f>
        <v/>
      </c>
      <c r="BH376">
        <f>ACOS(MAX(-1,MIN(1,1-$BF376/(cc_D/2))))</f>
        <v/>
      </c>
      <c r="BI376">
        <f>ACOS(MAX(-1,MIN(1,1-MIN($E376,cc_D)/(cc_D/2))))</f>
        <v/>
      </c>
      <c r="BJ376">
        <f>((cc_D/2*(1-COS(($BH376+0*($BI376-$BH376)/12)))-$BF376)/$BG376)^2*SIN(($BH376+0*($BI376-$BH376)/12))^2</f>
        <v/>
      </c>
      <c r="BK376">
        <f>((cc_D/2*(1-COS(($BH376+1*($BI376-$BH376)/12)))-$BF376)/$BG376)^2*SIN(($BH376+1*($BI376-$BH376)/12))^2</f>
        <v/>
      </c>
      <c r="BL376">
        <f>((cc_D/2*(1-COS(($BH376+2*($BI376-$BH376)/12)))-$BF376)/$BG376)^2*SIN(($BH376+2*($BI376-$BH376)/12))^2</f>
        <v/>
      </c>
      <c r="BM376">
        <f>((cc_D/2*(1-COS(($BH376+3*($BI376-$BH376)/12)))-$BF376)/$BG376)^2*SIN(($BH376+3*($BI376-$BH376)/12))^2</f>
        <v/>
      </c>
      <c r="BN376">
        <f>((cc_D/2*(1-COS(($BH376+4*($BI376-$BH376)/12)))-$BF376)/$BG376)^2*SIN(($BH376+4*($BI376-$BH376)/12))^2</f>
        <v/>
      </c>
      <c r="BO376">
        <f>((cc_D/2*(1-COS(($BH376+5*($BI376-$BH376)/12)))-$BF376)/$BG376)^2*SIN(($BH376+5*($BI376-$BH376)/12))^2</f>
        <v/>
      </c>
      <c r="BP376">
        <f>((cc_D/2*(1-COS(($BH376+6*($BI376-$BH376)/12)))-$BF376)/$BG376)^2*SIN(($BH376+6*($BI376-$BH376)/12))^2</f>
        <v/>
      </c>
      <c r="BQ376">
        <f>((cc_D/2*(1-COS(($BH376+7*($BI376-$BH376)/12)))-$BF376)/$BG376)^2*SIN(($BH376+7*($BI376-$BH376)/12))^2</f>
        <v/>
      </c>
      <c r="BR376">
        <f>((cc_D/2*(1-COS(($BH376+8*($BI376-$BH376)/12)))-$BF376)/$BG376)^2*SIN(($BH376+8*($BI376-$BH376)/12))^2</f>
        <v/>
      </c>
      <c r="BS376">
        <f>((cc_D/2*(1-COS(($BH376+9*($BI376-$BH376)/12)))-$BF376)/$BG376)^2*SIN(($BH376+9*($BI376-$BH376)/12))^2</f>
        <v/>
      </c>
      <c r="BT376">
        <f>((cc_D/2*(1-COS(($BH376+10*($BI376-$BH376)/12)))-$BF376)/$BG376)^2*SIN(($BH376+10*($BI376-$BH376)/12))^2</f>
        <v/>
      </c>
      <c r="BU376">
        <f>((cc_D/2*(1-COS(($BH376+11*($BI376-$BH376)/12)))-$BF376)/$BG376)^2*SIN(($BH376+11*($BI376-$BH376)/12))^2</f>
        <v/>
      </c>
      <c r="BV376">
        <f>((cc_D/2*(1-COS(($BH376+12*($BI376-$BH376)/12)))-$BF376)/$BG376)^2*SIN(($BH376+12*($BI376-$BH376)/12))^2</f>
        <v/>
      </c>
      <c r="BW376">
        <f>BJ376*COS(($BH376+0*($BI376-$BH376)/12))</f>
        <v/>
      </c>
      <c r="BX376">
        <f>BK376*COS(($BH376+1*($BI376-$BH376)/12))</f>
        <v/>
      </c>
      <c r="BY376">
        <f>BL376*COS(($BH376+2*($BI376-$BH376)/12))</f>
        <v/>
      </c>
      <c r="BZ376">
        <f>BM376*COS(($BH376+3*($BI376-$BH376)/12))</f>
        <v/>
      </c>
      <c r="CA376">
        <f>BN376*COS(($BH376+4*($BI376-$BH376)/12))</f>
        <v/>
      </c>
      <c r="CB376">
        <f>BO376*COS(($BH376+5*($BI376-$BH376)/12))</f>
        <v/>
      </c>
      <c r="CC376">
        <f>BP376*COS(($BH376+6*($BI376-$BH376)/12))</f>
        <v/>
      </c>
      <c r="CD376">
        <f>BQ376*COS(($BH376+7*($BI376-$BH376)/12))</f>
        <v/>
      </c>
      <c r="CE376">
        <f>BR376*COS(($BH376+8*($BI376-$BH376)/12))</f>
        <v/>
      </c>
      <c r="CF376">
        <f>BS376*COS(($BH376+9*($BI376-$BH376)/12))</f>
        <v/>
      </c>
      <c r="CG376">
        <f>BT376*COS(($BH376+10*($BI376-$BH376)/12))</f>
        <v/>
      </c>
      <c r="CH376">
        <f>BU376*COS(($BH376+11*($BI376-$BH376)/12))</f>
        <v/>
      </c>
      <c r="CI376">
        <f>BV376*COS(($BH376+12*($BI376-$BH376)/12))</f>
        <v/>
      </c>
    </row>
    <row r="377">
      <c r="B377" s="65" t="n">
        <v>36</v>
      </c>
      <c r="C377" s="66">
        <f>IF($G376&lt;cc_NEd-1E-9*ABS(cc_NEd),($C376+$D376)/2,$C376)</f>
        <v/>
      </c>
      <c r="D377" s="66">
        <f>IF($G376&lt;cc_NEd-1E-9*ABS(cc_NEd),$D376,($C376+$D376)/2)</f>
        <v/>
      </c>
      <c r="E377" s="67">
        <f>cc_D*(($C377+$D377)/2)/(1-(($C377+$D377)/2))</f>
        <v/>
      </c>
      <c r="F377" s="68">
        <f>IF($E377&lt;=cc_D,3.5,2*$E377/($E377-3*cc_D/7))</f>
        <v/>
      </c>
      <c r="G377" s="67">
        <f>(fcd_cc*((cc_D/2)^2*($BI377-COS($BI377)*SIN($BI377))-2*(cc_D/2)^2*($BI377-$BH377)/12/3*SUMPRODUCT($BJ$4:$BV$4,$BJ377:$BV377))+SUMPRODUCT($J$5:$AG$5,$J377:$AG377))/1000</f>
        <v/>
      </c>
      <c r="H377" s="67">
        <f>(fcd_cc*(2/3*(cc_D/2)^3*SIN($BI377)^3-2*(cc_D/2)^3*($BI377-$BH377)/12/3*SUMPRODUCT($BW$4:$CI$4,$BW377:$CI377))+SUMPRODUCT($J$5:$AG$5,$J377:$AG377,$J$19:$AG$19))/1E6</f>
        <v/>
      </c>
      <c r="I377" s="67">
        <f>SUMPRODUCT($J$5:$AG$5,$J377:$AG377,$J$20:$AG$20)/1E6</f>
        <v/>
      </c>
      <c r="J377">
        <f>MAX(-fyd_cc,MIN(fyd_cc,Es_cc*IF($E377&lt;=cc_D,0.0035*($E377-J$18)/$E377,0.002*($E377-J$18)/($E377-3*cc_D/7))))-fcd_cc*(1-(1-MAX(0,MIN(1,IF($E377&lt;=cc_D,0.0035*($E377-J$18)/$E377,0.002*($E377-J$18)/($E377-3*cc_D/7))/0.002)))^2)</f>
        <v/>
      </c>
      <c r="K377">
        <f>MAX(-fyd_cc,MIN(fyd_cc,Es_cc*IF($E377&lt;=cc_D,0.0035*($E377-K$18)/$E377,0.002*($E377-K$18)/($E377-3*cc_D/7))))-fcd_cc*(1-(1-MAX(0,MIN(1,IF($E377&lt;=cc_D,0.0035*($E377-K$18)/$E377,0.002*($E377-K$18)/($E377-3*cc_D/7))/0.002)))^2)</f>
        <v/>
      </c>
      <c r="L377">
        <f>MAX(-fyd_cc,MIN(fyd_cc,Es_cc*IF($E377&lt;=cc_D,0.0035*($E377-L$18)/$E377,0.002*($E377-L$18)/($E377-3*cc_D/7))))-fcd_cc*(1-(1-MAX(0,MIN(1,IF($E377&lt;=cc_D,0.0035*($E377-L$18)/$E377,0.002*($E377-L$18)/($E377-3*cc_D/7))/0.002)))^2)</f>
        <v/>
      </c>
      <c r="M377">
        <f>MAX(-fyd_cc,MIN(fyd_cc,Es_cc*IF($E377&lt;=cc_D,0.0035*($E377-M$18)/$E377,0.002*($E377-M$18)/($E377-3*cc_D/7))))-fcd_cc*(1-(1-MAX(0,MIN(1,IF($E377&lt;=cc_D,0.0035*($E377-M$18)/$E377,0.002*($E377-M$18)/($E377-3*cc_D/7))/0.002)))^2)</f>
        <v/>
      </c>
      <c r="N377">
        <f>MAX(-fyd_cc,MIN(fyd_cc,Es_cc*IF($E377&lt;=cc_D,0.0035*($E377-N$18)/$E377,0.002*($E377-N$18)/($E377-3*cc_D/7))))-fcd_cc*(1-(1-MAX(0,MIN(1,IF($E377&lt;=cc_D,0.0035*($E377-N$18)/$E377,0.002*($E377-N$18)/($E377-3*cc_D/7))/0.002)))^2)</f>
        <v/>
      </c>
      <c r="O377">
        <f>MAX(-fyd_cc,MIN(fyd_cc,Es_cc*IF($E377&lt;=cc_D,0.0035*($E377-O$18)/$E377,0.002*($E377-O$18)/($E377-3*cc_D/7))))-fcd_cc*(1-(1-MAX(0,MIN(1,IF($E377&lt;=cc_D,0.0035*($E377-O$18)/$E377,0.002*($E377-O$18)/($E377-3*cc_D/7))/0.002)))^2)</f>
        <v/>
      </c>
      <c r="P377">
        <f>MAX(-fyd_cc,MIN(fyd_cc,Es_cc*IF($E377&lt;=cc_D,0.0035*($E377-P$18)/$E377,0.002*($E377-P$18)/($E377-3*cc_D/7))))-fcd_cc*(1-(1-MAX(0,MIN(1,IF($E377&lt;=cc_D,0.0035*($E377-P$18)/$E377,0.002*($E377-P$18)/($E377-3*cc_D/7))/0.002)))^2)</f>
        <v/>
      </c>
      <c r="Q377">
        <f>MAX(-fyd_cc,MIN(fyd_cc,Es_cc*IF($E377&lt;=cc_D,0.0035*($E377-Q$18)/$E377,0.002*($E377-Q$18)/($E377-3*cc_D/7))))-fcd_cc*(1-(1-MAX(0,MIN(1,IF($E377&lt;=cc_D,0.0035*($E377-Q$18)/$E377,0.002*($E377-Q$18)/($E377-3*cc_D/7))/0.002)))^2)</f>
        <v/>
      </c>
      <c r="R377">
        <f>MAX(-fyd_cc,MIN(fyd_cc,Es_cc*IF($E377&lt;=cc_D,0.0035*($E377-R$18)/$E377,0.002*($E377-R$18)/($E377-3*cc_D/7))))-fcd_cc*(1-(1-MAX(0,MIN(1,IF($E377&lt;=cc_D,0.0035*($E377-R$18)/$E377,0.002*($E377-R$18)/($E377-3*cc_D/7))/0.002)))^2)</f>
        <v/>
      </c>
      <c r="S377">
        <f>MAX(-fyd_cc,MIN(fyd_cc,Es_cc*IF($E377&lt;=cc_D,0.0035*($E377-S$18)/$E377,0.002*($E377-S$18)/($E377-3*cc_D/7))))-fcd_cc*(1-(1-MAX(0,MIN(1,IF($E377&lt;=cc_D,0.0035*($E377-S$18)/$E377,0.002*($E377-S$18)/($E377-3*cc_D/7))/0.002)))^2)</f>
        <v/>
      </c>
      <c r="T377">
        <f>MAX(-fyd_cc,MIN(fyd_cc,Es_cc*IF($E377&lt;=cc_D,0.0035*($E377-T$18)/$E377,0.002*($E377-T$18)/($E377-3*cc_D/7))))-fcd_cc*(1-(1-MAX(0,MIN(1,IF($E377&lt;=cc_D,0.0035*($E377-T$18)/$E377,0.002*($E377-T$18)/($E377-3*cc_D/7))/0.002)))^2)</f>
        <v/>
      </c>
      <c r="U377">
        <f>MAX(-fyd_cc,MIN(fyd_cc,Es_cc*IF($E377&lt;=cc_D,0.0035*($E377-U$18)/$E377,0.002*($E377-U$18)/($E377-3*cc_D/7))))-fcd_cc*(1-(1-MAX(0,MIN(1,IF($E377&lt;=cc_D,0.0035*($E377-U$18)/$E377,0.002*($E377-U$18)/($E377-3*cc_D/7))/0.002)))^2)</f>
        <v/>
      </c>
      <c r="V377">
        <f>MAX(-fyd_cc,MIN(fyd_cc,Es_cc*IF($E377&lt;=cc_D,0.0035*($E377-V$18)/$E377,0.002*($E377-V$18)/($E377-3*cc_D/7))))-fcd_cc*(1-(1-MAX(0,MIN(1,IF($E377&lt;=cc_D,0.0035*($E377-V$18)/$E377,0.002*($E377-V$18)/($E377-3*cc_D/7))/0.002)))^2)</f>
        <v/>
      </c>
      <c r="W377">
        <f>MAX(-fyd_cc,MIN(fyd_cc,Es_cc*IF($E377&lt;=cc_D,0.0035*($E377-W$18)/$E377,0.002*($E377-W$18)/($E377-3*cc_D/7))))-fcd_cc*(1-(1-MAX(0,MIN(1,IF($E377&lt;=cc_D,0.0035*($E377-W$18)/$E377,0.002*($E377-W$18)/($E377-3*cc_D/7))/0.002)))^2)</f>
        <v/>
      </c>
      <c r="X377">
        <f>MAX(-fyd_cc,MIN(fyd_cc,Es_cc*IF($E377&lt;=cc_D,0.0035*($E377-X$18)/$E377,0.002*($E377-X$18)/($E377-3*cc_D/7))))-fcd_cc*(1-(1-MAX(0,MIN(1,IF($E377&lt;=cc_D,0.0035*($E377-X$18)/$E377,0.002*($E377-X$18)/($E377-3*cc_D/7))/0.002)))^2)</f>
        <v/>
      </c>
      <c r="Y377">
        <f>MAX(-fyd_cc,MIN(fyd_cc,Es_cc*IF($E377&lt;=cc_D,0.0035*($E377-Y$18)/$E377,0.002*($E377-Y$18)/($E377-3*cc_D/7))))-fcd_cc*(1-(1-MAX(0,MIN(1,IF($E377&lt;=cc_D,0.0035*($E377-Y$18)/$E377,0.002*($E377-Y$18)/($E377-3*cc_D/7))/0.002)))^2)</f>
        <v/>
      </c>
      <c r="Z377">
        <f>MAX(-fyd_cc,MIN(fyd_cc,Es_cc*IF($E377&lt;=cc_D,0.0035*($E377-Z$18)/$E377,0.002*($E377-Z$18)/($E377-3*cc_D/7))))-fcd_cc*(1-(1-MAX(0,MIN(1,IF($E377&lt;=cc_D,0.0035*($E377-Z$18)/$E377,0.002*($E377-Z$18)/($E377-3*cc_D/7))/0.002)))^2)</f>
        <v/>
      </c>
      <c r="AA377">
        <f>MAX(-fyd_cc,MIN(fyd_cc,Es_cc*IF($E377&lt;=cc_D,0.0035*($E377-AA$18)/$E377,0.002*($E377-AA$18)/($E377-3*cc_D/7))))-fcd_cc*(1-(1-MAX(0,MIN(1,IF($E377&lt;=cc_D,0.0035*($E377-AA$18)/$E377,0.002*($E377-AA$18)/($E377-3*cc_D/7))/0.002)))^2)</f>
        <v/>
      </c>
      <c r="AB377">
        <f>MAX(-fyd_cc,MIN(fyd_cc,Es_cc*IF($E377&lt;=cc_D,0.0035*($E377-AB$18)/$E377,0.002*($E377-AB$18)/($E377-3*cc_D/7))))-fcd_cc*(1-(1-MAX(0,MIN(1,IF($E377&lt;=cc_D,0.0035*($E377-AB$18)/$E377,0.002*($E377-AB$18)/($E377-3*cc_D/7))/0.002)))^2)</f>
        <v/>
      </c>
      <c r="AC377">
        <f>MAX(-fyd_cc,MIN(fyd_cc,Es_cc*IF($E377&lt;=cc_D,0.0035*($E377-AC$18)/$E377,0.002*($E377-AC$18)/($E377-3*cc_D/7))))-fcd_cc*(1-(1-MAX(0,MIN(1,IF($E377&lt;=cc_D,0.0035*($E377-AC$18)/$E377,0.002*($E377-AC$18)/($E377-3*cc_D/7))/0.002)))^2)</f>
        <v/>
      </c>
      <c r="AD377">
        <f>MAX(-fyd_cc,MIN(fyd_cc,Es_cc*IF($E377&lt;=cc_D,0.0035*($E377-AD$18)/$E377,0.002*($E377-AD$18)/($E377-3*cc_D/7))))-fcd_cc*(1-(1-MAX(0,MIN(1,IF($E377&lt;=cc_D,0.0035*($E377-AD$18)/$E377,0.002*($E377-AD$18)/($E377-3*cc_D/7))/0.002)))^2)</f>
        <v/>
      </c>
      <c r="AE377">
        <f>MAX(-fyd_cc,MIN(fyd_cc,Es_cc*IF($E377&lt;=cc_D,0.0035*($E377-AE$18)/$E377,0.002*($E377-AE$18)/($E377-3*cc_D/7))))-fcd_cc*(1-(1-MAX(0,MIN(1,IF($E377&lt;=cc_D,0.0035*($E377-AE$18)/$E377,0.002*($E377-AE$18)/($E377-3*cc_D/7))/0.002)))^2)</f>
        <v/>
      </c>
      <c r="AF377">
        <f>MAX(-fyd_cc,MIN(fyd_cc,Es_cc*IF($E377&lt;=cc_D,0.0035*($E377-AF$18)/$E377,0.002*($E377-AF$18)/($E377-3*cc_D/7))))-fcd_cc*(1-(1-MAX(0,MIN(1,IF($E377&lt;=cc_D,0.0035*($E377-AF$18)/$E377,0.002*($E377-AF$18)/($E377-3*cc_D/7))/0.002)))^2)</f>
        <v/>
      </c>
      <c r="AG377">
        <f>MAX(-fyd_cc,MIN(fyd_cc,Es_cc*IF($E377&lt;=cc_D,0.0035*($E377-AG$18)/$E377,0.002*($E377-AG$18)/($E377-3*cc_D/7))))-fcd_cc*(1-(1-MAX(0,MIN(1,IF($E377&lt;=cc_D,0.0035*($E377-AG$18)/$E377,0.002*($E377-AG$18)/($E377-3*cc_D/7))/0.002)))^2)</f>
        <v/>
      </c>
      <c r="BF377">
        <f>3*MIN($E377,cc_D)/7</f>
        <v/>
      </c>
      <c r="BG377">
        <f>$E377-$BF377</f>
        <v/>
      </c>
      <c r="BH377">
        <f>ACOS(MAX(-1,MIN(1,1-$BF377/(cc_D/2))))</f>
        <v/>
      </c>
      <c r="BI377">
        <f>ACOS(MAX(-1,MIN(1,1-MIN($E377,cc_D)/(cc_D/2))))</f>
        <v/>
      </c>
      <c r="BJ377">
        <f>((cc_D/2*(1-COS(($BH377+0*($BI377-$BH377)/12)))-$BF377)/$BG377)^2*SIN(($BH377+0*($BI377-$BH377)/12))^2</f>
        <v/>
      </c>
      <c r="BK377">
        <f>((cc_D/2*(1-COS(($BH377+1*($BI377-$BH377)/12)))-$BF377)/$BG377)^2*SIN(($BH377+1*($BI377-$BH377)/12))^2</f>
        <v/>
      </c>
      <c r="BL377">
        <f>((cc_D/2*(1-COS(($BH377+2*($BI377-$BH377)/12)))-$BF377)/$BG377)^2*SIN(($BH377+2*($BI377-$BH377)/12))^2</f>
        <v/>
      </c>
      <c r="BM377">
        <f>((cc_D/2*(1-COS(($BH377+3*($BI377-$BH377)/12)))-$BF377)/$BG377)^2*SIN(($BH377+3*($BI377-$BH377)/12))^2</f>
        <v/>
      </c>
      <c r="BN377">
        <f>((cc_D/2*(1-COS(($BH377+4*($BI377-$BH377)/12)))-$BF377)/$BG377)^2*SIN(($BH377+4*($BI377-$BH377)/12))^2</f>
        <v/>
      </c>
      <c r="BO377">
        <f>((cc_D/2*(1-COS(($BH377+5*($BI377-$BH377)/12)))-$BF377)/$BG377)^2*SIN(($BH377+5*($BI377-$BH377)/12))^2</f>
        <v/>
      </c>
      <c r="BP377">
        <f>((cc_D/2*(1-COS(($BH377+6*($BI377-$BH377)/12)))-$BF377)/$BG377)^2*SIN(($BH377+6*($BI377-$BH377)/12))^2</f>
        <v/>
      </c>
      <c r="BQ377">
        <f>((cc_D/2*(1-COS(($BH377+7*($BI377-$BH377)/12)))-$BF377)/$BG377)^2*SIN(($BH377+7*($BI377-$BH377)/12))^2</f>
        <v/>
      </c>
      <c r="BR377">
        <f>((cc_D/2*(1-COS(($BH377+8*($BI377-$BH377)/12)))-$BF377)/$BG377)^2*SIN(($BH377+8*($BI377-$BH377)/12))^2</f>
        <v/>
      </c>
      <c r="BS377">
        <f>((cc_D/2*(1-COS(($BH377+9*($BI377-$BH377)/12)))-$BF377)/$BG377)^2*SIN(($BH377+9*($BI377-$BH377)/12))^2</f>
        <v/>
      </c>
      <c r="BT377">
        <f>((cc_D/2*(1-COS(($BH377+10*($BI377-$BH377)/12)))-$BF377)/$BG377)^2*SIN(($BH377+10*($BI377-$BH377)/12))^2</f>
        <v/>
      </c>
      <c r="BU377">
        <f>((cc_D/2*(1-COS(($BH377+11*($BI377-$BH377)/12)))-$BF377)/$BG377)^2*SIN(($BH377+11*($BI377-$BH377)/12))^2</f>
        <v/>
      </c>
      <c r="BV377">
        <f>((cc_D/2*(1-COS(($BH377+12*($BI377-$BH377)/12)))-$BF377)/$BG377)^2*SIN(($BH377+12*($BI377-$BH377)/12))^2</f>
        <v/>
      </c>
      <c r="BW377">
        <f>BJ377*COS(($BH377+0*($BI377-$BH377)/12))</f>
        <v/>
      </c>
      <c r="BX377">
        <f>BK377*COS(($BH377+1*($BI377-$BH377)/12))</f>
        <v/>
      </c>
      <c r="BY377">
        <f>BL377*COS(($BH377+2*($BI377-$BH377)/12))</f>
        <v/>
      </c>
      <c r="BZ377">
        <f>BM377*COS(($BH377+3*($BI377-$BH377)/12))</f>
        <v/>
      </c>
      <c r="CA377">
        <f>BN377*COS(($BH377+4*($BI377-$BH377)/12))</f>
        <v/>
      </c>
      <c r="CB377">
        <f>BO377*COS(($BH377+5*($BI377-$BH377)/12))</f>
        <v/>
      </c>
      <c r="CC377">
        <f>BP377*COS(($BH377+6*($BI377-$BH377)/12))</f>
        <v/>
      </c>
      <c r="CD377">
        <f>BQ377*COS(($BH377+7*($BI377-$BH377)/12))</f>
        <v/>
      </c>
      <c r="CE377">
        <f>BR377*COS(($BH377+8*($BI377-$BH377)/12))</f>
        <v/>
      </c>
      <c r="CF377">
        <f>BS377*COS(($BH377+9*($BI377-$BH377)/12))</f>
        <v/>
      </c>
      <c r="CG377">
        <f>BT377*COS(($BH377+10*($BI377-$BH377)/12))</f>
        <v/>
      </c>
      <c r="CH377">
        <f>BU377*COS(($BH377+11*($BI377-$BH377)/12))</f>
        <v/>
      </c>
      <c r="CI377">
        <f>BV377*COS(($BH377+12*($BI377-$BH377)/12))</f>
        <v/>
      </c>
    </row>
    <row r="378">
      <c r="B378" s="65" t="n">
        <v>37</v>
      </c>
      <c r="C378" s="66">
        <f>IF($G377&lt;cc_NEd-1E-9*ABS(cc_NEd),($C377+$D377)/2,$C377)</f>
        <v/>
      </c>
      <c r="D378" s="66">
        <f>IF($G377&lt;cc_NEd-1E-9*ABS(cc_NEd),$D377,($C377+$D377)/2)</f>
        <v/>
      </c>
      <c r="E378" s="67">
        <f>cc_D*(($C378+$D378)/2)/(1-(($C378+$D378)/2))</f>
        <v/>
      </c>
      <c r="F378" s="68">
        <f>IF($E378&lt;=cc_D,3.5,2*$E378/($E378-3*cc_D/7))</f>
        <v/>
      </c>
      <c r="G378" s="67">
        <f>(fcd_cc*((cc_D/2)^2*($BI378-COS($BI378)*SIN($BI378))-2*(cc_D/2)^2*($BI378-$BH378)/12/3*SUMPRODUCT($BJ$4:$BV$4,$BJ378:$BV378))+SUMPRODUCT($J$5:$AG$5,$J378:$AG378))/1000</f>
        <v/>
      </c>
      <c r="H378" s="67">
        <f>(fcd_cc*(2/3*(cc_D/2)^3*SIN($BI378)^3-2*(cc_D/2)^3*($BI378-$BH378)/12/3*SUMPRODUCT($BW$4:$CI$4,$BW378:$CI378))+SUMPRODUCT($J$5:$AG$5,$J378:$AG378,$J$19:$AG$19))/1E6</f>
        <v/>
      </c>
      <c r="I378" s="67">
        <f>SUMPRODUCT($J$5:$AG$5,$J378:$AG378,$J$20:$AG$20)/1E6</f>
        <v/>
      </c>
      <c r="J378">
        <f>MAX(-fyd_cc,MIN(fyd_cc,Es_cc*IF($E378&lt;=cc_D,0.0035*($E378-J$18)/$E378,0.002*($E378-J$18)/($E378-3*cc_D/7))))-fcd_cc*(1-(1-MAX(0,MIN(1,IF($E378&lt;=cc_D,0.0035*($E378-J$18)/$E378,0.002*($E378-J$18)/($E378-3*cc_D/7))/0.002)))^2)</f>
        <v/>
      </c>
      <c r="K378">
        <f>MAX(-fyd_cc,MIN(fyd_cc,Es_cc*IF($E378&lt;=cc_D,0.0035*($E378-K$18)/$E378,0.002*($E378-K$18)/($E378-3*cc_D/7))))-fcd_cc*(1-(1-MAX(0,MIN(1,IF($E378&lt;=cc_D,0.0035*($E378-K$18)/$E378,0.002*($E378-K$18)/($E378-3*cc_D/7))/0.002)))^2)</f>
        <v/>
      </c>
      <c r="L378">
        <f>MAX(-fyd_cc,MIN(fyd_cc,Es_cc*IF($E378&lt;=cc_D,0.0035*($E378-L$18)/$E378,0.002*($E378-L$18)/($E378-3*cc_D/7))))-fcd_cc*(1-(1-MAX(0,MIN(1,IF($E378&lt;=cc_D,0.0035*($E378-L$18)/$E378,0.002*($E378-L$18)/($E378-3*cc_D/7))/0.002)))^2)</f>
        <v/>
      </c>
      <c r="M378">
        <f>MAX(-fyd_cc,MIN(fyd_cc,Es_cc*IF($E378&lt;=cc_D,0.0035*($E378-M$18)/$E378,0.002*($E378-M$18)/($E378-3*cc_D/7))))-fcd_cc*(1-(1-MAX(0,MIN(1,IF($E378&lt;=cc_D,0.0035*($E378-M$18)/$E378,0.002*($E378-M$18)/($E378-3*cc_D/7))/0.002)))^2)</f>
        <v/>
      </c>
      <c r="N378">
        <f>MAX(-fyd_cc,MIN(fyd_cc,Es_cc*IF($E378&lt;=cc_D,0.0035*($E378-N$18)/$E378,0.002*($E378-N$18)/($E378-3*cc_D/7))))-fcd_cc*(1-(1-MAX(0,MIN(1,IF($E378&lt;=cc_D,0.0035*($E378-N$18)/$E378,0.002*($E378-N$18)/($E378-3*cc_D/7))/0.002)))^2)</f>
        <v/>
      </c>
      <c r="O378">
        <f>MAX(-fyd_cc,MIN(fyd_cc,Es_cc*IF($E378&lt;=cc_D,0.0035*($E378-O$18)/$E378,0.002*($E378-O$18)/($E378-3*cc_D/7))))-fcd_cc*(1-(1-MAX(0,MIN(1,IF($E378&lt;=cc_D,0.0035*($E378-O$18)/$E378,0.002*($E378-O$18)/($E378-3*cc_D/7))/0.002)))^2)</f>
        <v/>
      </c>
      <c r="P378">
        <f>MAX(-fyd_cc,MIN(fyd_cc,Es_cc*IF($E378&lt;=cc_D,0.0035*($E378-P$18)/$E378,0.002*($E378-P$18)/($E378-3*cc_D/7))))-fcd_cc*(1-(1-MAX(0,MIN(1,IF($E378&lt;=cc_D,0.0035*($E378-P$18)/$E378,0.002*($E378-P$18)/($E378-3*cc_D/7))/0.002)))^2)</f>
        <v/>
      </c>
      <c r="Q378">
        <f>MAX(-fyd_cc,MIN(fyd_cc,Es_cc*IF($E378&lt;=cc_D,0.0035*($E378-Q$18)/$E378,0.002*($E378-Q$18)/($E378-3*cc_D/7))))-fcd_cc*(1-(1-MAX(0,MIN(1,IF($E378&lt;=cc_D,0.0035*($E378-Q$18)/$E378,0.002*($E378-Q$18)/($E378-3*cc_D/7))/0.002)))^2)</f>
        <v/>
      </c>
      <c r="R378">
        <f>MAX(-fyd_cc,MIN(fyd_cc,Es_cc*IF($E378&lt;=cc_D,0.0035*($E378-R$18)/$E378,0.002*($E378-R$18)/($E378-3*cc_D/7))))-fcd_cc*(1-(1-MAX(0,MIN(1,IF($E378&lt;=cc_D,0.0035*($E378-R$18)/$E378,0.002*($E378-R$18)/($E378-3*cc_D/7))/0.002)))^2)</f>
        <v/>
      </c>
      <c r="S378">
        <f>MAX(-fyd_cc,MIN(fyd_cc,Es_cc*IF($E378&lt;=cc_D,0.0035*($E378-S$18)/$E378,0.002*($E378-S$18)/($E378-3*cc_D/7))))-fcd_cc*(1-(1-MAX(0,MIN(1,IF($E378&lt;=cc_D,0.0035*($E378-S$18)/$E378,0.002*($E378-S$18)/($E378-3*cc_D/7))/0.002)))^2)</f>
        <v/>
      </c>
      <c r="T378">
        <f>MAX(-fyd_cc,MIN(fyd_cc,Es_cc*IF($E378&lt;=cc_D,0.0035*($E378-T$18)/$E378,0.002*($E378-T$18)/($E378-3*cc_D/7))))-fcd_cc*(1-(1-MAX(0,MIN(1,IF($E378&lt;=cc_D,0.0035*($E378-T$18)/$E378,0.002*($E378-T$18)/($E378-3*cc_D/7))/0.002)))^2)</f>
        <v/>
      </c>
      <c r="U378">
        <f>MAX(-fyd_cc,MIN(fyd_cc,Es_cc*IF($E378&lt;=cc_D,0.0035*($E378-U$18)/$E378,0.002*($E378-U$18)/($E378-3*cc_D/7))))-fcd_cc*(1-(1-MAX(0,MIN(1,IF($E378&lt;=cc_D,0.0035*($E378-U$18)/$E378,0.002*($E378-U$18)/($E378-3*cc_D/7))/0.002)))^2)</f>
        <v/>
      </c>
      <c r="V378">
        <f>MAX(-fyd_cc,MIN(fyd_cc,Es_cc*IF($E378&lt;=cc_D,0.0035*($E378-V$18)/$E378,0.002*($E378-V$18)/($E378-3*cc_D/7))))-fcd_cc*(1-(1-MAX(0,MIN(1,IF($E378&lt;=cc_D,0.0035*($E378-V$18)/$E378,0.002*($E378-V$18)/($E378-3*cc_D/7))/0.002)))^2)</f>
        <v/>
      </c>
      <c r="W378">
        <f>MAX(-fyd_cc,MIN(fyd_cc,Es_cc*IF($E378&lt;=cc_D,0.0035*($E378-W$18)/$E378,0.002*($E378-W$18)/($E378-3*cc_D/7))))-fcd_cc*(1-(1-MAX(0,MIN(1,IF($E378&lt;=cc_D,0.0035*($E378-W$18)/$E378,0.002*($E378-W$18)/($E378-3*cc_D/7))/0.002)))^2)</f>
        <v/>
      </c>
      <c r="X378">
        <f>MAX(-fyd_cc,MIN(fyd_cc,Es_cc*IF($E378&lt;=cc_D,0.0035*($E378-X$18)/$E378,0.002*($E378-X$18)/($E378-3*cc_D/7))))-fcd_cc*(1-(1-MAX(0,MIN(1,IF($E378&lt;=cc_D,0.0035*($E378-X$18)/$E378,0.002*($E378-X$18)/($E378-3*cc_D/7))/0.002)))^2)</f>
        <v/>
      </c>
      <c r="Y378">
        <f>MAX(-fyd_cc,MIN(fyd_cc,Es_cc*IF($E378&lt;=cc_D,0.0035*($E378-Y$18)/$E378,0.002*($E378-Y$18)/($E378-3*cc_D/7))))-fcd_cc*(1-(1-MAX(0,MIN(1,IF($E378&lt;=cc_D,0.0035*($E378-Y$18)/$E378,0.002*($E378-Y$18)/($E378-3*cc_D/7))/0.002)))^2)</f>
        <v/>
      </c>
      <c r="Z378">
        <f>MAX(-fyd_cc,MIN(fyd_cc,Es_cc*IF($E378&lt;=cc_D,0.0035*($E378-Z$18)/$E378,0.002*($E378-Z$18)/($E378-3*cc_D/7))))-fcd_cc*(1-(1-MAX(0,MIN(1,IF($E378&lt;=cc_D,0.0035*($E378-Z$18)/$E378,0.002*($E378-Z$18)/($E378-3*cc_D/7))/0.002)))^2)</f>
        <v/>
      </c>
      <c r="AA378">
        <f>MAX(-fyd_cc,MIN(fyd_cc,Es_cc*IF($E378&lt;=cc_D,0.0035*($E378-AA$18)/$E378,0.002*($E378-AA$18)/($E378-3*cc_D/7))))-fcd_cc*(1-(1-MAX(0,MIN(1,IF($E378&lt;=cc_D,0.0035*($E378-AA$18)/$E378,0.002*($E378-AA$18)/($E378-3*cc_D/7))/0.002)))^2)</f>
        <v/>
      </c>
      <c r="AB378">
        <f>MAX(-fyd_cc,MIN(fyd_cc,Es_cc*IF($E378&lt;=cc_D,0.0035*($E378-AB$18)/$E378,0.002*($E378-AB$18)/($E378-3*cc_D/7))))-fcd_cc*(1-(1-MAX(0,MIN(1,IF($E378&lt;=cc_D,0.0035*($E378-AB$18)/$E378,0.002*($E378-AB$18)/($E378-3*cc_D/7))/0.002)))^2)</f>
        <v/>
      </c>
      <c r="AC378">
        <f>MAX(-fyd_cc,MIN(fyd_cc,Es_cc*IF($E378&lt;=cc_D,0.0035*($E378-AC$18)/$E378,0.002*($E378-AC$18)/($E378-3*cc_D/7))))-fcd_cc*(1-(1-MAX(0,MIN(1,IF($E378&lt;=cc_D,0.0035*($E378-AC$18)/$E378,0.002*($E378-AC$18)/($E378-3*cc_D/7))/0.002)))^2)</f>
        <v/>
      </c>
      <c r="AD378">
        <f>MAX(-fyd_cc,MIN(fyd_cc,Es_cc*IF($E378&lt;=cc_D,0.0035*($E378-AD$18)/$E378,0.002*($E378-AD$18)/($E378-3*cc_D/7))))-fcd_cc*(1-(1-MAX(0,MIN(1,IF($E378&lt;=cc_D,0.0035*($E378-AD$18)/$E378,0.002*($E378-AD$18)/($E378-3*cc_D/7))/0.002)))^2)</f>
        <v/>
      </c>
      <c r="AE378">
        <f>MAX(-fyd_cc,MIN(fyd_cc,Es_cc*IF($E378&lt;=cc_D,0.0035*($E378-AE$18)/$E378,0.002*($E378-AE$18)/($E378-3*cc_D/7))))-fcd_cc*(1-(1-MAX(0,MIN(1,IF($E378&lt;=cc_D,0.0035*($E378-AE$18)/$E378,0.002*($E378-AE$18)/($E378-3*cc_D/7))/0.002)))^2)</f>
        <v/>
      </c>
      <c r="AF378">
        <f>MAX(-fyd_cc,MIN(fyd_cc,Es_cc*IF($E378&lt;=cc_D,0.0035*($E378-AF$18)/$E378,0.002*($E378-AF$18)/($E378-3*cc_D/7))))-fcd_cc*(1-(1-MAX(0,MIN(1,IF($E378&lt;=cc_D,0.0035*($E378-AF$18)/$E378,0.002*($E378-AF$18)/($E378-3*cc_D/7))/0.002)))^2)</f>
        <v/>
      </c>
      <c r="AG378">
        <f>MAX(-fyd_cc,MIN(fyd_cc,Es_cc*IF($E378&lt;=cc_D,0.0035*($E378-AG$18)/$E378,0.002*($E378-AG$18)/($E378-3*cc_D/7))))-fcd_cc*(1-(1-MAX(0,MIN(1,IF($E378&lt;=cc_D,0.0035*($E378-AG$18)/$E378,0.002*($E378-AG$18)/($E378-3*cc_D/7))/0.002)))^2)</f>
        <v/>
      </c>
      <c r="BF378">
        <f>3*MIN($E378,cc_D)/7</f>
        <v/>
      </c>
      <c r="BG378">
        <f>$E378-$BF378</f>
        <v/>
      </c>
      <c r="BH378">
        <f>ACOS(MAX(-1,MIN(1,1-$BF378/(cc_D/2))))</f>
        <v/>
      </c>
      <c r="BI378">
        <f>ACOS(MAX(-1,MIN(1,1-MIN($E378,cc_D)/(cc_D/2))))</f>
        <v/>
      </c>
      <c r="BJ378">
        <f>((cc_D/2*(1-COS(($BH378+0*($BI378-$BH378)/12)))-$BF378)/$BG378)^2*SIN(($BH378+0*($BI378-$BH378)/12))^2</f>
        <v/>
      </c>
      <c r="BK378">
        <f>((cc_D/2*(1-COS(($BH378+1*($BI378-$BH378)/12)))-$BF378)/$BG378)^2*SIN(($BH378+1*($BI378-$BH378)/12))^2</f>
        <v/>
      </c>
      <c r="BL378">
        <f>((cc_D/2*(1-COS(($BH378+2*($BI378-$BH378)/12)))-$BF378)/$BG378)^2*SIN(($BH378+2*($BI378-$BH378)/12))^2</f>
        <v/>
      </c>
      <c r="BM378">
        <f>((cc_D/2*(1-COS(($BH378+3*($BI378-$BH378)/12)))-$BF378)/$BG378)^2*SIN(($BH378+3*($BI378-$BH378)/12))^2</f>
        <v/>
      </c>
      <c r="BN378">
        <f>((cc_D/2*(1-COS(($BH378+4*($BI378-$BH378)/12)))-$BF378)/$BG378)^2*SIN(($BH378+4*($BI378-$BH378)/12))^2</f>
        <v/>
      </c>
      <c r="BO378">
        <f>((cc_D/2*(1-COS(($BH378+5*($BI378-$BH378)/12)))-$BF378)/$BG378)^2*SIN(($BH378+5*($BI378-$BH378)/12))^2</f>
        <v/>
      </c>
      <c r="BP378">
        <f>((cc_D/2*(1-COS(($BH378+6*($BI378-$BH378)/12)))-$BF378)/$BG378)^2*SIN(($BH378+6*($BI378-$BH378)/12))^2</f>
        <v/>
      </c>
      <c r="BQ378">
        <f>((cc_D/2*(1-COS(($BH378+7*($BI378-$BH378)/12)))-$BF378)/$BG378)^2*SIN(($BH378+7*($BI378-$BH378)/12))^2</f>
        <v/>
      </c>
      <c r="BR378">
        <f>((cc_D/2*(1-COS(($BH378+8*($BI378-$BH378)/12)))-$BF378)/$BG378)^2*SIN(($BH378+8*($BI378-$BH378)/12))^2</f>
        <v/>
      </c>
      <c r="BS378">
        <f>((cc_D/2*(1-COS(($BH378+9*($BI378-$BH378)/12)))-$BF378)/$BG378)^2*SIN(($BH378+9*($BI378-$BH378)/12))^2</f>
        <v/>
      </c>
      <c r="BT378">
        <f>((cc_D/2*(1-COS(($BH378+10*($BI378-$BH378)/12)))-$BF378)/$BG378)^2*SIN(($BH378+10*($BI378-$BH378)/12))^2</f>
        <v/>
      </c>
      <c r="BU378">
        <f>((cc_D/2*(1-COS(($BH378+11*($BI378-$BH378)/12)))-$BF378)/$BG378)^2*SIN(($BH378+11*($BI378-$BH378)/12))^2</f>
        <v/>
      </c>
      <c r="BV378">
        <f>((cc_D/2*(1-COS(($BH378+12*($BI378-$BH378)/12)))-$BF378)/$BG378)^2*SIN(($BH378+12*($BI378-$BH378)/12))^2</f>
        <v/>
      </c>
      <c r="BW378">
        <f>BJ378*COS(($BH378+0*($BI378-$BH378)/12))</f>
        <v/>
      </c>
      <c r="BX378">
        <f>BK378*COS(($BH378+1*($BI378-$BH378)/12))</f>
        <v/>
      </c>
      <c r="BY378">
        <f>BL378*COS(($BH378+2*($BI378-$BH378)/12))</f>
        <v/>
      </c>
      <c r="BZ378">
        <f>BM378*COS(($BH378+3*($BI378-$BH378)/12))</f>
        <v/>
      </c>
      <c r="CA378">
        <f>BN378*COS(($BH378+4*($BI378-$BH378)/12))</f>
        <v/>
      </c>
      <c r="CB378">
        <f>BO378*COS(($BH378+5*($BI378-$BH378)/12))</f>
        <v/>
      </c>
      <c r="CC378">
        <f>BP378*COS(($BH378+6*($BI378-$BH378)/12))</f>
        <v/>
      </c>
      <c r="CD378">
        <f>BQ378*COS(($BH378+7*($BI378-$BH378)/12))</f>
        <v/>
      </c>
      <c r="CE378">
        <f>BR378*COS(($BH378+8*($BI378-$BH378)/12))</f>
        <v/>
      </c>
      <c r="CF378">
        <f>BS378*COS(($BH378+9*($BI378-$BH378)/12))</f>
        <v/>
      </c>
      <c r="CG378">
        <f>BT378*COS(($BH378+10*($BI378-$BH378)/12))</f>
        <v/>
      </c>
      <c r="CH378">
        <f>BU378*COS(($BH378+11*($BI378-$BH378)/12))</f>
        <v/>
      </c>
      <c r="CI378">
        <f>BV378*COS(($BH378+12*($BI378-$BH378)/12))</f>
        <v/>
      </c>
    </row>
    <row r="379">
      <c r="B379" s="65" t="n">
        <v>38</v>
      </c>
      <c r="C379" s="66">
        <f>IF($G378&lt;cc_NEd-1E-9*ABS(cc_NEd),($C378+$D378)/2,$C378)</f>
        <v/>
      </c>
      <c r="D379" s="66">
        <f>IF($G378&lt;cc_NEd-1E-9*ABS(cc_NEd),$D378,($C378+$D378)/2)</f>
        <v/>
      </c>
      <c r="E379" s="67">
        <f>cc_D*(($C379+$D379)/2)/(1-(($C379+$D379)/2))</f>
        <v/>
      </c>
      <c r="F379" s="68">
        <f>IF($E379&lt;=cc_D,3.5,2*$E379/($E379-3*cc_D/7))</f>
        <v/>
      </c>
      <c r="G379" s="67">
        <f>(fcd_cc*((cc_D/2)^2*($BI379-COS($BI379)*SIN($BI379))-2*(cc_D/2)^2*($BI379-$BH379)/12/3*SUMPRODUCT($BJ$4:$BV$4,$BJ379:$BV379))+SUMPRODUCT($J$5:$AG$5,$J379:$AG379))/1000</f>
        <v/>
      </c>
      <c r="H379" s="67">
        <f>(fcd_cc*(2/3*(cc_D/2)^3*SIN($BI379)^3-2*(cc_D/2)^3*($BI379-$BH379)/12/3*SUMPRODUCT($BW$4:$CI$4,$BW379:$CI379))+SUMPRODUCT($J$5:$AG$5,$J379:$AG379,$J$19:$AG$19))/1E6</f>
        <v/>
      </c>
      <c r="I379" s="67">
        <f>SUMPRODUCT($J$5:$AG$5,$J379:$AG379,$J$20:$AG$20)/1E6</f>
        <v/>
      </c>
      <c r="J379">
        <f>MAX(-fyd_cc,MIN(fyd_cc,Es_cc*IF($E379&lt;=cc_D,0.0035*($E379-J$18)/$E379,0.002*($E379-J$18)/($E379-3*cc_D/7))))-fcd_cc*(1-(1-MAX(0,MIN(1,IF($E379&lt;=cc_D,0.0035*($E379-J$18)/$E379,0.002*($E379-J$18)/($E379-3*cc_D/7))/0.002)))^2)</f>
        <v/>
      </c>
      <c r="K379">
        <f>MAX(-fyd_cc,MIN(fyd_cc,Es_cc*IF($E379&lt;=cc_D,0.0035*($E379-K$18)/$E379,0.002*($E379-K$18)/($E379-3*cc_D/7))))-fcd_cc*(1-(1-MAX(0,MIN(1,IF($E379&lt;=cc_D,0.0035*($E379-K$18)/$E379,0.002*($E379-K$18)/($E379-3*cc_D/7))/0.002)))^2)</f>
        <v/>
      </c>
      <c r="L379">
        <f>MAX(-fyd_cc,MIN(fyd_cc,Es_cc*IF($E379&lt;=cc_D,0.0035*($E379-L$18)/$E379,0.002*($E379-L$18)/($E379-3*cc_D/7))))-fcd_cc*(1-(1-MAX(0,MIN(1,IF($E379&lt;=cc_D,0.0035*($E379-L$18)/$E379,0.002*($E379-L$18)/($E379-3*cc_D/7))/0.002)))^2)</f>
        <v/>
      </c>
      <c r="M379">
        <f>MAX(-fyd_cc,MIN(fyd_cc,Es_cc*IF($E379&lt;=cc_D,0.0035*($E379-M$18)/$E379,0.002*($E379-M$18)/($E379-3*cc_D/7))))-fcd_cc*(1-(1-MAX(0,MIN(1,IF($E379&lt;=cc_D,0.0035*($E379-M$18)/$E379,0.002*($E379-M$18)/($E379-3*cc_D/7))/0.002)))^2)</f>
        <v/>
      </c>
      <c r="N379">
        <f>MAX(-fyd_cc,MIN(fyd_cc,Es_cc*IF($E379&lt;=cc_D,0.0035*($E379-N$18)/$E379,0.002*($E379-N$18)/($E379-3*cc_D/7))))-fcd_cc*(1-(1-MAX(0,MIN(1,IF($E379&lt;=cc_D,0.0035*($E379-N$18)/$E379,0.002*($E379-N$18)/($E379-3*cc_D/7))/0.002)))^2)</f>
        <v/>
      </c>
      <c r="O379">
        <f>MAX(-fyd_cc,MIN(fyd_cc,Es_cc*IF($E379&lt;=cc_D,0.0035*($E379-O$18)/$E379,0.002*($E379-O$18)/($E379-3*cc_D/7))))-fcd_cc*(1-(1-MAX(0,MIN(1,IF($E379&lt;=cc_D,0.0035*($E379-O$18)/$E379,0.002*($E379-O$18)/($E379-3*cc_D/7))/0.002)))^2)</f>
        <v/>
      </c>
      <c r="P379">
        <f>MAX(-fyd_cc,MIN(fyd_cc,Es_cc*IF($E379&lt;=cc_D,0.0035*($E379-P$18)/$E379,0.002*($E379-P$18)/($E379-3*cc_D/7))))-fcd_cc*(1-(1-MAX(0,MIN(1,IF($E379&lt;=cc_D,0.0035*($E379-P$18)/$E379,0.002*($E379-P$18)/($E379-3*cc_D/7))/0.002)))^2)</f>
        <v/>
      </c>
      <c r="Q379">
        <f>MAX(-fyd_cc,MIN(fyd_cc,Es_cc*IF($E379&lt;=cc_D,0.0035*($E379-Q$18)/$E379,0.002*($E379-Q$18)/($E379-3*cc_D/7))))-fcd_cc*(1-(1-MAX(0,MIN(1,IF($E379&lt;=cc_D,0.0035*($E379-Q$18)/$E379,0.002*($E379-Q$18)/($E379-3*cc_D/7))/0.002)))^2)</f>
        <v/>
      </c>
      <c r="R379">
        <f>MAX(-fyd_cc,MIN(fyd_cc,Es_cc*IF($E379&lt;=cc_D,0.0035*($E379-R$18)/$E379,0.002*($E379-R$18)/($E379-3*cc_D/7))))-fcd_cc*(1-(1-MAX(0,MIN(1,IF($E379&lt;=cc_D,0.0035*($E379-R$18)/$E379,0.002*($E379-R$18)/($E379-3*cc_D/7))/0.002)))^2)</f>
        <v/>
      </c>
      <c r="S379">
        <f>MAX(-fyd_cc,MIN(fyd_cc,Es_cc*IF($E379&lt;=cc_D,0.0035*($E379-S$18)/$E379,0.002*($E379-S$18)/($E379-3*cc_D/7))))-fcd_cc*(1-(1-MAX(0,MIN(1,IF($E379&lt;=cc_D,0.0035*($E379-S$18)/$E379,0.002*($E379-S$18)/($E379-3*cc_D/7))/0.002)))^2)</f>
        <v/>
      </c>
      <c r="T379">
        <f>MAX(-fyd_cc,MIN(fyd_cc,Es_cc*IF($E379&lt;=cc_D,0.0035*($E379-T$18)/$E379,0.002*($E379-T$18)/($E379-3*cc_D/7))))-fcd_cc*(1-(1-MAX(0,MIN(1,IF($E379&lt;=cc_D,0.0035*($E379-T$18)/$E379,0.002*($E379-T$18)/($E379-3*cc_D/7))/0.002)))^2)</f>
        <v/>
      </c>
      <c r="U379">
        <f>MAX(-fyd_cc,MIN(fyd_cc,Es_cc*IF($E379&lt;=cc_D,0.0035*($E379-U$18)/$E379,0.002*($E379-U$18)/($E379-3*cc_D/7))))-fcd_cc*(1-(1-MAX(0,MIN(1,IF($E379&lt;=cc_D,0.0035*($E379-U$18)/$E379,0.002*($E379-U$18)/($E379-3*cc_D/7))/0.002)))^2)</f>
        <v/>
      </c>
      <c r="V379">
        <f>MAX(-fyd_cc,MIN(fyd_cc,Es_cc*IF($E379&lt;=cc_D,0.0035*($E379-V$18)/$E379,0.002*($E379-V$18)/($E379-3*cc_D/7))))-fcd_cc*(1-(1-MAX(0,MIN(1,IF($E379&lt;=cc_D,0.0035*($E379-V$18)/$E379,0.002*($E379-V$18)/($E379-3*cc_D/7))/0.002)))^2)</f>
        <v/>
      </c>
      <c r="W379">
        <f>MAX(-fyd_cc,MIN(fyd_cc,Es_cc*IF($E379&lt;=cc_D,0.0035*($E379-W$18)/$E379,0.002*($E379-W$18)/($E379-3*cc_D/7))))-fcd_cc*(1-(1-MAX(0,MIN(1,IF($E379&lt;=cc_D,0.0035*($E379-W$18)/$E379,0.002*($E379-W$18)/($E379-3*cc_D/7))/0.002)))^2)</f>
        <v/>
      </c>
      <c r="X379">
        <f>MAX(-fyd_cc,MIN(fyd_cc,Es_cc*IF($E379&lt;=cc_D,0.0035*($E379-X$18)/$E379,0.002*($E379-X$18)/($E379-3*cc_D/7))))-fcd_cc*(1-(1-MAX(0,MIN(1,IF($E379&lt;=cc_D,0.0035*($E379-X$18)/$E379,0.002*($E379-X$18)/($E379-3*cc_D/7))/0.002)))^2)</f>
        <v/>
      </c>
      <c r="Y379">
        <f>MAX(-fyd_cc,MIN(fyd_cc,Es_cc*IF($E379&lt;=cc_D,0.0035*($E379-Y$18)/$E379,0.002*($E379-Y$18)/($E379-3*cc_D/7))))-fcd_cc*(1-(1-MAX(0,MIN(1,IF($E379&lt;=cc_D,0.0035*($E379-Y$18)/$E379,0.002*($E379-Y$18)/($E379-3*cc_D/7))/0.002)))^2)</f>
        <v/>
      </c>
      <c r="Z379">
        <f>MAX(-fyd_cc,MIN(fyd_cc,Es_cc*IF($E379&lt;=cc_D,0.0035*($E379-Z$18)/$E379,0.002*($E379-Z$18)/($E379-3*cc_D/7))))-fcd_cc*(1-(1-MAX(0,MIN(1,IF($E379&lt;=cc_D,0.0035*($E379-Z$18)/$E379,0.002*($E379-Z$18)/($E379-3*cc_D/7))/0.002)))^2)</f>
        <v/>
      </c>
      <c r="AA379">
        <f>MAX(-fyd_cc,MIN(fyd_cc,Es_cc*IF($E379&lt;=cc_D,0.0035*($E379-AA$18)/$E379,0.002*($E379-AA$18)/($E379-3*cc_D/7))))-fcd_cc*(1-(1-MAX(0,MIN(1,IF($E379&lt;=cc_D,0.0035*($E379-AA$18)/$E379,0.002*($E379-AA$18)/($E379-3*cc_D/7))/0.002)))^2)</f>
        <v/>
      </c>
      <c r="AB379">
        <f>MAX(-fyd_cc,MIN(fyd_cc,Es_cc*IF($E379&lt;=cc_D,0.0035*($E379-AB$18)/$E379,0.002*($E379-AB$18)/($E379-3*cc_D/7))))-fcd_cc*(1-(1-MAX(0,MIN(1,IF($E379&lt;=cc_D,0.0035*($E379-AB$18)/$E379,0.002*($E379-AB$18)/($E379-3*cc_D/7))/0.002)))^2)</f>
        <v/>
      </c>
      <c r="AC379">
        <f>MAX(-fyd_cc,MIN(fyd_cc,Es_cc*IF($E379&lt;=cc_D,0.0035*($E379-AC$18)/$E379,0.002*($E379-AC$18)/($E379-3*cc_D/7))))-fcd_cc*(1-(1-MAX(0,MIN(1,IF($E379&lt;=cc_D,0.0035*($E379-AC$18)/$E379,0.002*($E379-AC$18)/($E379-3*cc_D/7))/0.002)))^2)</f>
        <v/>
      </c>
      <c r="AD379">
        <f>MAX(-fyd_cc,MIN(fyd_cc,Es_cc*IF($E379&lt;=cc_D,0.0035*($E379-AD$18)/$E379,0.002*($E379-AD$18)/($E379-3*cc_D/7))))-fcd_cc*(1-(1-MAX(0,MIN(1,IF($E379&lt;=cc_D,0.0035*($E379-AD$18)/$E379,0.002*($E379-AD$18)/($E379-3*cc_D/7))/0.002)))^2)</f>
        <v/>
      </c>
      <c r="AE379">
        <f>MAX(-fyd_cc,MIN(fyd_cc,Es_cc*IF($E379&lt;=cc_D,0.0035*($E379-AE$18)/$E379,0.002*($E379-AE$18)/($E379-3*cc_D/7))))-fcd_cc*(1-(1-MAX(0,MIN(1,IF($E379&lt;=cc_D,0.0035*($E379-AE$18)/$E379,0.002*($E379-AE$18)/($E379-3*cc_D/7))/0.002)))^2)</f>
        <v/>
      </c>
      <c r="AF379">
        <f>MAX(-fyd_cc,MIN(fyd_cc,Es_cc*IF($E379&lt;=cc_D,0.0035*($E379-AF$18)/$E379,0.002*($E379-AF$18)/($E379-3*cc_D/7))))-fcd_cc*(1-(1-MAX(0,MIN(1,IF($E379&lt;=cc_D,0.0035*($E379-AF$18)/$E379,0.002*($E379-AF$18)/($E379-3*cc_D/7))/0.002)))^2)</f>
        <v/>
      </c>
      <c r="AG379">
        <f>MAX(-fyd_cc,MIN(fyd_cc,Es_cc*IF($E379&lt;=cc_D,0.0035*($E379-AG$18)/$E379,0.002*($E379-AG$18)/($E379-3*cc_D/7))))-fcd_cc*(1-(1-MAX(0,MIN(1,IF($E379&lt;=cc_D,0.0035*($E379-AG$18)/$E379,0.002*($E379-AG$18)/($E379-3*cc_D/7))/0.002)))^2)</f>
        <v/>
      </c>
      <c r="BF379">
        <f>3*MIN($E379,cc_D)/7</f>
        <v/>
      </c>
      <c r="BG379">
        <f>$E379-$BF379</f>
        <v/>
      </c>
      <c r="BH379">
        <f>ACOS(MAX(-1,MIN(1,1-$BF379/(cc_D/2))))</f>
        <v/>
      </c>
      <c r="BI379">
        <f>ACOS(MAX(-1,MIN(1,1-MIN($E379,cc_D)/(cc_D/2))))</f>
        <v/>
      </c>
      <c r="BJ379">
        <f>((cc_D/2*(1-COS(($BH379+0*($BI379-$BH379)/12)))-$BF379)/$BG379)^2*SIN(($BH379+0*($BI379-$BH379)/12))^2</f>
        <v/>
      </c>
      <c r="BK379">
        <f>((cc_D/2*(1-COS(($BH379+1*($BI379-$BH379)/12)))-$BF379)/$BG379)^2*SIN(($BH379+1*($BI379-$BH379)/12))^2</f>
        <v/>
      </c>
      <c r="BL379">
        <f>((cc_D/2*(1-COS(($BH379+2*($BI379-$BH379)/12)))-$BF379)/$BG379)^2*SIN(($BH379+2*($BI379-$BH379)/12))^2</f>
        <v/>
      </c>
      <c r="BM379">
        <f>((cc_D/2*(1-COS(($BH379+3*($BI379-$BH379)/12)))-$BF379)/$BG379)^2*SIN(($BH379+3*($BI379-$BH379)/12))^2</f>
        <v/>
      </c>
      <c r="BN379">
        <f>((cc_D/2*(1-COS(($BH379+4*($BI379-$BH379)/12)))-$BF379)/$BG379)^2*SIN(($BH379+4*($BI379-$BH379)/12))^2</f>
        <v/>
      </c>
      <c r="BO379">
        <f>((cc_D/2*(1-COS(($BH379+5*($BI379-$BH379)/12)))-$BF379)/$BG379)^2*SIN(($BH379+5*($BI379-$BH379)/12))^2</f>
        <v/>
      </c>
      <c r="BP379">
        <f>((cc_D/2*(1-COS(($BH379+6*($BI379-$BH379)/12)))-$BF379)/$BG379)^2*SIN(($BH379+6*($BI379-$BH379)/12))^2</f>
        <v/>
      </c>
      <c r="BQ379">
        <f>((cc_D/2*(1-COS(($BH379+7*($BI379-$BH379)/12)))-$BF379)/$BG379)^2*SIN(($BH379+7*($BI379-$BH379)/12))^2</f>
        <v/>
      </c>
      <c r="BR379">
        <f>((cc_D/2*(1-COS(($BH379+8*($BI379-$BH379)/12)))-$BF379)/$BG379)^2*SIN(($BH379+8*($BI379-$BH379)/12))^2</f>
        <v/>
      </c>
      <c r="BS379">
        <f>((cc_D/2*(1-COS(($BH379+9*($BI379-$BH379)/12)))-$BF379)/$BG379)^2*SIN(($BH379+9*($BI379-$BH379)/12))^2</f>
        <v/>
      </c>
      <c r="BT379">
        <f>((cc_D/2*(1-COS(($BH379+10*($BI379-$BH379)/12)))-$BF379)/$BG379)^2*SIN(($BH379+10*($BI379-$BH379)/12))^2</f>
        <v/>
      </c>
      <c r="BU379">
        <f>((cc_D/2*(1-COS(($BH379+11*($BI379-$BH379)/12)))-$BF379)/$BG379)^2*SIN(($BH379+11*($BI379-$BH379)/12))^2</f>
        <v/>
      </c>
      <c r="BV379">
        <f>((cc_D/2*(1-COS(($BH379+12*($BI379-$BH379)/12)))-$BF379)/$BG379)^2*SIN(($BH379+12*($BI379-$BH379)/12))^2</f>
        <v/>
      </c>
      <c r="BW379">
        <f>BJ379*COS(($BH379+0*($BI379-$BH379)/12))</f>
        <v/>
      </c>
      <c r="BX379">
        <f>BK379*COS(($BH379+1*($BI379-$BH379)/12))</f>
        <v/>
      </c>
      <c r="BY379">
        <f>BL379*COS(($BH379+2*($BI379-$BH379)/12))</f>
        <v/>
      </c>
      <c r="BZ379">
        <f>BM379*COS(($BH379+3*($BI379-$BH379)/12))</f>
        <v/>
      </c>
      <c r="CA379">
        <f>BN379*COS(($BH379+4*($BI379-$BH379)/12))</f>
        <v/>
      </c>
      <c r="CB379">
        <f>BO379*COS(($BH379+5*($BI379-$BH379)/12))</f>
        <v/>
      </c>
      <c r="CC379">
        <f>BP379*COS(($BH379+6*($BI379-$BH379)/12))</f>
        <v/>
      </c>
      <c r="CD379">
        <f>BQ379*COS(($BH379+7*($BI379-$BH379)/12))</f>
        <v/>
      </c>
      <c r="CE379">
        <f>BR379*COS(($BH379+8*($BI379-$BH379)/12))</f>
        <v/>
      </c>
      <c r="CF379">
        <f>BS379*COS(($BH379+9*($BI379-$BH379)/12))</f>
        <v/>
      </c>
      <c r="CG379">
        <f>BT379*COS(($BH379+10*($BI379-$BH379)/12))</f>
        <v/>
      </c>
      <c r="CH379">
        <f>BU379*COS(($BH379+11*($BI379-$BH379)/12))</f>
        <v/>
      </c>
      <c r="CI379">
        <f>BV379*COS(($BH379+12*($BI379-$BH379)/12))</f>
        <v/>
      </c>
    </row>
    <row r="380">
      <c r="B380" s="65" t="n">
        <v>39</v>
      </c>
      <c r="C380" s="66">
        <f>IF($G379&lt;cc_NEd-1E-9*ABS(cc_NEd),($C379+$D379)/2,$C379)</f>
        <v/>
      </c>
      <c r="D380" s="66">
        <f>IF($G379&lt;cc_NEd-1E-9*ABS(cc_NEd),$D379,($C379+$D379)/2)</f>
        <v/>
      </c>
      <c r="E380" s="67">
        <f>cc_D*(($C380+$D380)/2)/(1-(($C380+$D380)/2))</f>
        <v/>
      </c>
      <c r="F380" s="68">
        <f>IF($E380&lt;=cc_D,3.5,2*$E380/($E380-3*cc_D/7))</f>
        <v/>
      </c>
      <c r="G380" s="67">
        <f>(fcd_cc*((cc_D/2)^2*($BI380-COS($BI380)*SIN($BI380))-2*(cc_D/2)^2*($BI380-$BH380)/12/3*SUMPRODUCT($BJ$4:$BV$4,$BJ380:$BV380))+SUMPRODUCT($J$5:$AG$5,$J380:$AG380))/1000</f>
        <v/>
      </c>
      <c r="H380" s="67">
        <f>(fcd_cc*(2/3*(cc_D/2)^3*SIN($BI380)^3-2*(cc_D/2)^3*($BI380-$BH380)/12/3*SUMPRODUCT($BW$4:$CI$4,$BW380:$CI380))+SUMPRODUCT($J$5:$AG$5,$J380:$AG380,$J$19:$AG$19))/1E6</f>
        <v/>
      </c>
      <c r="I380" s="67">
        <f>SUMPRODUCT($J$5:$AG$5,$J380:$AG380,$J$20:$AG$20)/1E6</f>
        <v/>
      </c>
      <c r="J380">
        <f>MAX(-fyd_cc,MIN(fyd_cc,Es_cc*IF($E380&lt;=cc_D,0.0035*($E380-J$18)/$E380,0.002*($E380-J$18)/($E380-3*cc_D/7))))-fcd_cc*(1-(1-MAX(0,MIN(1,IF($E380&lt;=cc_D,0.0035*($E380-J$18)/$E380,0.002*($E380-J$18)/($E380-3*cc_D/7))/0.002)))^2)</f>
        <v/>
      </c>
      <c r="K380">
        <f>MAX(-fyd_cc,MIN(fyd_cc,Es_cc*IF($E380&lt;=cc_D,0.0035*($E380-K$18)/$E380,0.002*($E380-K$18)/($E380-3*cc_D/7))))-fcd_cc*(1-(1-MAX(0,MIN(1,IF($E380&lt;=cc_D,0.0035*($E380-K$18)/$E380,0.002*($E380-K$18)/($E380-3*cc_D/7))/0.002)))^2)</f>
        <v/>
      </c>
      <c r="L380">
        <f>MAX(-fyd_cc,MIN(fyd_cc,Es_cc*IF($E380&lt;=cc_D,0.0035*($E380-L$18)/$E380,0.002*($E380-L$18)/($E380-3*cc_D/7))))-fcd_cc*(1-(1-MAX(0,MIN(1,IF($E380&lt;=cc_D,0.0035*($E380-L$18)/$E380,0.002*($E380-L$18)/($E380-3*cc_D/7))/0.002)))^2)</f>
        <v/>
      </c>
      <c r="M380">
        <f>MAX(-fyd_cc,MIN(fyd_cc,Es_cc*IF($E380&lt;=cc_D,0.0035*($E380-M$18)/$E380,0.002*($E380-M$18)/($E380-3*cc_D/7))))-fcd_cc*(1-(1-MAX(0,MIN(1,IF($E380&lt;=cc_D,0.0035*($E380-M$18)/$E380,0.002*($E380-M$18)/($E380-3*cc_D/7))/0.002)))^2)</f>
        <v/>
      </c>
      <c r="N380">
        <f>MAX(-fyd_cc,MIN(fyd_cc,Es_cc*IF($E380&lt;=cc_D,0.0035*($E380-N$18)/$E380,0.002*($E380-N$18)/($E380-3*cc_D/7))))-fcd_cc*(1-(1-MAX(0,MIN(1,IF($E380&lt;=cc_D,0.0035*($E380-N$18)/$E380,0.002*($E380-N$18)/($E380-3*cc_D/7))/0.002)))^2)</f>
        <v/>
      </c>
      <c r="O380">
        <f>MAX(-fyd_cc,MIN(fyd_cc,Es_cc*IF($E380&lt;=cc_D,0.0035*($E380-O$18)/$E380,0.002*($E380-O$18)/($E380-3*cc_D/7))))-fcd_cc*(1-(1-MAX(0,MIN(1,IF($E380&lt;=cc_D,0.0035*($E380-O$18)/$E380,0.002*($E380-O$18)/($E380-3*cc_D/7))/0.002)))^2)</f>
        <v/>
      </c>
      <c r="P380">
        <f>MAX(-fyd_cc,MIN(fyd_cc,Es_cc*IF($E380&lt;=cc_D,0.0035*($E380-P$18)/$E380,0.002*($E380-P$18)/($E380-3*cc_D/7))))-fcd_cc*(1-(1-MAX(0,MIN(1,IF($E380&lt;=cc_D,0.0035*($E380-P$18)/$E380,0.002*($E380-P$18)/($E380-3*cc_D/7))/0.002)))^2)</f>
        <v/>
      </c>
      <c r="Q380">
        <f>MAX(-fyd_cc,MIN(fyd_cc,Es_cc*IF($E380&lt;=cc_D,0.0035*($E380-Q$18)/$E380,0.002*($E380-Q$18)/($E380-3*cc_D/7))))-fcd_cc*(1-(1-MAX(0,MIN(1,IF($E380&lt;=cc_D,0.0035*($E380-Q$18)/$E380,0.002*($E380-Q$18)/($E380-3*cc_D/7))/0.002)))^2)</f>
        <v/>
      </c>
      <c r="R380">
        <f>MAX(-fyd_cc,MIN(fyd_cc,Es_cc*IF($E380&lt;=cc_D,0.0035*($E380-R$18)/$E380,0.002*($E380-R$18)/($E380-3*cc_D/7))))-fcd_cc*(1-(1-MAX(0,MIN(1,IF($E380&lt;=cc_D,0.0035*($E380-R$18)/$E380,0.002*($E380-R$18)/($E380-3*cc_D/7))/0.002)))^2)</f>
        <v/>
      </c>
      <c r="S380">
        <f>MAX(-fyd_cc,MIN(fyd_cc,Es_cc*IF($E380&lt;=cc_D,0.0035*($E380-S$18)/$E380,0.002*($E380-S$18)/($E380-3*cc_D/7))))-fcd_cc*(1-(1-MAX(0,MIN(1,IF($E380&lt;=cc_D,0.0035*($E380-S$18)/$E380,0.002*($E380-S$18)/($E380-3*cc_D/7))/0.002)))^2)</f>
        <v/>
      </c>
      <c r="T380">
        <f>MAX(-fyd_cc,MIN(fyd_cc,Es_cc*IF($E380&lt;=cc_D,0.0035*($E380-T$18)/$E380,0.002*($E380-T$18)/($E380-3*cc_D/7))))-fcd_cc*(1-(1-MAX(0,MIN(1,IF($E380&lt;=cc_D,0.0035*($E380-T$18)/$E380,0.002*($E380-T$18)/($E380-3*cc_D/7))/0.002)))^2)</f>
        <v/>
      </c>
      <c r="U380">
        <f>MAX(-fyd_cc,MIN(fyd_cc,Es_cc*IF($E380&lt;=cc_D,0.0035*($E380-U$18)/$E380,0.002*($E380-U$18)/($E380-3*cc_D/7))))-fcd_cc*(1-(1-MAX(0,MIN(1,IF($E380&lt;=cc_D,0.0035*($E380-U$18)/$E380,0.002*($E380-U$18)/($E380-3*cc_D/7))/0.002)))^2)</f>
        <v/>
      </c>
      <c r="V380">
        <f>MAX(-fyd_cc,MIN(fyd_cc,Es_cc*IF($E380&lt;=cc_D,0.0035*($E380-V$18)/$E380,0.002*($E380-V$18)/($E380-3*cc_D/7))))-fcd_cc*(1-(1-MAX(0,MIN(1,IF($E380&lt;=cc_D,0.0035*($E380-V$18)/$E380,0.002*($E380-V$18)/($E380-3*cc_D/7))/0.002)))^2)</f>
        <v/>
      </c>
      <c r="W380">
        <f>MAX(-fyd_cc,MIN(fyd_cc,Es_cc*IF($E380&lt;=cc_D,0.0035*($E380-W$18)/$E380,0.002*($E380-W$18)/($E380-3*cc_D/7))))-fcd_cc*(1-(1-MAX(0,MIN(1,IF($E380&lt;=cc_D,0.0035*($E380-W$18)/$E380,0.002*($E380-W$18)/($E380-3*cc_D/7))/0.002)))^2)</f>
        <v/>
      </c>
      <c r="X380">
        <f>MAX(-fyd_cc,MIN(fyd_cc,Es_cc*IF($E380&lt;=cc_D,0.0035*($E380-X$18)/$E380,0.002*($E380-X$18)/($E380-3*cc_D/7))))-fcd_cc*(1-(1-MAX(0,MIN(1,IF($E380&lt;=cc_D,0.0035*($E380-X$18)/$E380,0.002*($E380-X$18)/($E380-3*cc_D/7))/0.002)))^2)</f>
        <v/>
      </c>
      <c r="Y380">
        <f>MAX(-fyd_cc,MIN(fyd_cc,Es_cc*IF($E380&lt;=cc_D,0.0035*($E380-Y$18)/$E380,0.002*($E380-Y$18)/($E380-3*cc_D/7))))-fcd_cc*(1-(1-MAX(0,MIN(1,IF($E380&lt;=cc_D,0.0035*($E380-Y$18)/$E380,0.002*($E380-Y$18)/($E380-3*cc_D/7))/0.002)))^2)</f>
        <v/>
      </c>
      <c r="Z380">
        <f>MAX(-fyd_cc,MIN(fyd_cc,Es_cc*IF($E380&lt;=cc_D,0.0035*($E380-Z$18)/$E380,0.002*($E380-Z$18)/($E380-3*cc_D/7))))-fcd_cc*(1-(1-MAX(0,MIN(1,IF($E380&lt;=cc_D,0.0035*($E380-Z$18)/$E380,0.002*($E380-Z$18)/($E380-3*cc_D/7))/0.002)))^2)</f>
        <v/>
      </c>
      <c r="AA380">
        <f>MAX(-fyd_cc,MIN(fyd_cc,Es_cc*IF($E380&lt;=cc_D,0.0035*($E380-AA$18)/$E380,0.002*($E380-AA$18)/($E380-3*cc_D/7))))-fcd_cc*(1-(1-MAX(0,MIN(1,IF($E380&lt;=cc_D,0.0035*($E380-AA$18)/$E380,0.002*($E380-AA$18)/($E380-3*cc_D/7))/0.002)))^2)</f>
        <v/>
      </c>
      <c r="AB380">
        <f>MAX(-fyd_cc,MIN(fyd_cc,Es_cc*IF($E380&lt;=cc_D,0.0035*($E380-AB$18)/$E380,0.002*($E380-AB$18)/($E380-3*cc_D/7))))-fcd_cc*(1-(1-MAX(0,MIN(1,IF($E380&lt;=cc_D,0.0035*($E380-AB$18)/$E380,0.002*($E380-AB$18)/($E380-3*cc_D/7))/0.002)))^2)</f>
        <v/>
      </c>
      <c r="AC380">
        <f>MAX(-fyd_cc,MIN(fyd_cc,Es_cc*IF($E380&lt;=cc_D,0.0035*($E380-AC$18)/$E380,0.002*($E380-AC$18)/($E380-3*cc_D/7))))-fcd_cc*(1-(1-MAX(0,MIN(1,IF($E380&lt;=cc_D,0.0035*($E380-AC$18)/$E380,0.002*($E380-AC$18)/($E380-3*cc_D/7))/0.002)))^2)</f>
        <v/>
      </c>
      <c r="AD380">
        <f>MAX(-fyd_cc,MIN(fyd_cc,Es_cc*IF($E380&lt;=cc_D,0.0035*($E380-AD$18)/$E380,0.002*($E380-AD$18)/($E380-3*cc_D/7))))-fcd_cc*(1-(1-MAX(0,MIN(1,IF($E380&lt;=cc_D,0.0035*($E380-AD$18)/$E380,0.002*($E380-AD$18)/($E380-3*cc_D/7))/0.002)))^2)</f>
        <v/>
      </c>
      <c r="AE380">
        <f>MAX(-fyd_cc,MIN(fyd_cc,Es_cc*IF($E380&lt;=cc_D,0.0035*($E380-AE$18)/$E380,0.002*($E380-AE$18)/($E380-3*cc_D/7))))-fcd_cc*(1-(1-MAX(0,MIN(1,IF($E380&lt;=cc_D,0.0035*($E380-AE$18)/$E380,0.002*($E380-AE$18)/($E380-3*cc_D/7))/0.002)))^2)</f>
        <v/>
      </c>
      <c r="AF380">
        <f>MAX(-fyd_cc,MIN(fyd_cc,Es_cc*IF($E380&lt;=cc_D,0.0035*($E380-AF$18)/$E380,0.002*($E380-AF$18)/($E380-3*cc_D/7))))-fcd_cc*(1-(1-MAX(0,MIN(1,IF($E380&lt;=cc_D,0.0035*($E380-AF$18)/$E380,0.002*($E380-AF$18)/($E380-3*cc_D/7))/0.002)))^2)</f>
        <v/>
      </c>
      <c r="AG380">
        <f>MAX(-fyd_cc,MIN(fyd_cc,Es_cc*IF($E380&lt;=cc_D,0.0035*($E380-AG$18)/$E380,0.002*($E380-AG$18)/($E380-3*cc_D/7))))-fcd_cc*(1-(1-MAX(0,MIN(1,IF($E380&lt;=cc_D,0.0035*($E380-AG$18)/$E380,0.002*($E380-AG$18)/($E380-3*cc_D/7))/0.002)))^2)</f>
        <v/>
      </c>
      <c r="BF380">
        <f>3*MIN($E380,cc_D)/7</f>
        <v/>
      </c>
      <c r="BG380">
        <f>$E380-$BF380</f>
        <v/>
      </c>
      <c r="BH380">
        <f>ACOS(MAX(-1,MIN(1,1-$BF380/(cc_D/2))))</f>
        <v/>
      </c>
      <c r="BI380">
        <f>ACOS(MAX(-1,MIN(1,1-MIN($E380,cc_D)/(cc_D/2))))</f>
        <v/>
      </c>
      <c r="BJ380">
        <f>((cc_D/2*(1-COS(($BH380+0*($BI380-$BH380)/12)))-$BF380)/$BG380)^2*SIN(($BH380+0*($BI380-$BH380)/12))^2</f>
        <v/>
      </c>
      <c r="BK380">
        <f>((cc_D/2*(1-COS(($BH380+1*($BI380-$BH380)/12)))-$BF380)/$BG380)^2*SIN(($BH380+1*($BI380-$BH380)/12))^2</f>
        <v/>
      </c>
      <c r="BL380">
        <f>((cc_D/2*(1-COS(($BH380+2*($BI380-$BH380)/12)))-$BF380)/$BG380)^2*SIN(($BH380+2*($BI380-$BH380)/12))^2</f>
        <v/>
      </c>
      <c r="BM380">
        <f>((cc_D/2*(1-COS(($BH380+3*($BI380-$BH380)/12)))-$BF380)/$BG380)^2*SIN(($BH380+3*($BI380-$BH380)/12))^2</f>
        <v/>
      </c>
      <c r="BN380">
        <f>((cc_D/2*(1-COS(($BH380+4*($BI380-$BH380)/12)))-$BF380)/$BG380)^2*SIN(($BH380+4*($BI380-$BH380)/12))^2</f>
        <v/>
      </c>
      <c r="BO380">
        <f>((cc_D/2*(1-COS(($BH380+5*($BI380-$BH380)/12)))-$BF380)/$BG380)^2*SIN(($BH380+5*($BI380-$BH380)/12))^2</f>
        <v/>
      </c>
      <c r="BP380">
        <f>((cc_D/2*(1-COS(($BH380+6*($BI380-$BH380)/12)))-$BF380)/$BG380)^2*SIN(($BH380+6*($BI380-$BH380)/12))^2</f>
        <v/>
      </c>
      <c r="BQ380">
        <f>((cc_D/2*(1-COS(($BH380+7*($BI380-$BH380)/12)))-$BF380)/$BG380)^2*SIN(($BH380+7*($BI380-$BH380)/12))^2</f>
        <v/>
      </c>
      <c r="BR380">
        <f>((cc_D/2*(1-COS(($BH380+8*($BI380-$BH380)/12)))-$BF380)/$BG380)^2*SIN(($BH380+8*($BI380-$BH380)/12))^2</f>
        <v/>
      </c>
      <c r="BS380">
        <f>((cc_D/2*(1-COS(($BH380+9*($BI380-$BH380)/12)))-$BF380)/$BG380)^2*SIN(($BH380+9*($BI380-$BH380)/12))^2</f>
        <v/>
      </c>
      <c r="BT380">
        <f>((cc_D/2*(1-COS(($BH380+10*($BI380-$BH380)/12)))-$BF380)/$BG380)^2*SIN(($BH380+10*($BI380-$BH380)/12))^2</f>
        <v/>
      </c>
      <c r="BU380">
        <f>((cc_D/2*(1-COS(($BH380+11*($BI380-$BH380)/12)))-$BF380)/$BG380)^2*SIN(($BH380+11*($BI380-$BH380)/12))^2</f>
        <v/>
      </c>
      <c r="BV380">
        <f>((cc_D/2*(1-COS(($BH380+12*($BI380-$BH380)/12)))-$BF380)/$BG380)^2*SIN(($BH380+12*($BI380-$BH380)/12))^2</f>
        <v/>
      </c>
      <c r="BW380">
        <f>BJ380*COS(($BH380+0*($BI380-$BH380)/12))</f>
        <v/>
      </c>
      <c r="BX380">
        <f>BK380*COS(($BH380+1*($BI380-$BH380)/12))</f>
        <v/>
      </c>
      <c r="BY380">
        <f>BL380*COS(($BH380+2*($BI380-$BH380)/12))</f>
        <v/>
      </c>
      <c r="BZ380">
        <f>BM380*COS(($BH380+3*($BI380-$BH380)/12))</f>
        <v/>
      </c>
      <c r="CA380">
        <f>BN380*COS(($BH380+4*($BI380-$BH380)/12))</f>
        <v/>
      </c>
      <c r="CB380">
        <f>BO380*COS(($BH380+5*($BI380-$BH380)/12))</f>
        <v/>
      </c>
      <c r="CC380">
        <f>BP380*COS(($BH380+6*($BI380-$BH380)/12))</f>
        <v/>
      </c>
      <c r="CD380">
        <f>BQ380*COS(($BH380+7*($BI380-$BH380)/12))</f>
        <v/>
      </c>
      <c r="CE380">
        <f>BR380*COS(($BH380+8*($BI380-$BH380)/12))</f>
        <v/>
      </c>
      <c r="CF380">
        <f>BS380*COS(($BH380+9*($BI380-$BH380)/12))</f>
        <v/>
      </c>
      <c r="CG380">
        <f>BT380*COS(($BH380+10*($BI380-$BH380)/12))</f>
        <v/>
      </c>
      <c r="CH380">
        <f>BU380*COS(($BH380+11*($BI380-$BH380)/12))</f>
        <v/>
      </c>
      <c r="CI380">
        <f>BV380*COS(($BH380+12*($BI380-$BH380)/12))</f>
        <v/>
      </c>
    </row>
    <row r="381">
      <c r="B381" s="65" t="n">
        <v>40</v>
      </c>
      <c r="C381" s="66">
        <f>IF($G380&lt;cc_NEd-1E-9*ABS(cc_NEd),($C380+$D380)/2,$C380)</f>
        <v/>
      </c>
      <c r="D381" s="66">
        <f>IF($G380&lt;cc_NEd-1E-9*ABS(cc_NEd),$D380,($C380+$D380)/2)</f>
        <v/>
      </c>
      <c r="E381" s="67">
        <f>cc_D*(($C381+$D381)/2)/(1-(($C381+$D381)/2))</f>
        <v/>
      </c>
      <c r="F381" s="68">
        <f>IF($E381&lt;=cc_D,3.5,2*$E381/($E381-3*cc_D/7))</f>
        <v/>
      </c>
      <c r="G381" s="67">
        <f>(fcd_cc*((cc_D/2)^2*($BI381-COS($BI381)*SIN($BI381))-2*(cc_D/2)^2*($BI381-$BH381)/12/3*SUMPRODUCT($BJ$4:$BV$4,$BJ381:$BV381))+SUMPRODUCT($J$5:$AG$5,$J381:$AG381))/1000</f>
        <v/>
      </c>
      <c r="H381" s="67">
        <f>(fcd_cc*(2/3*(cc_D/2)^3*SIN($BI381)^3-2*(cc_D/2)^3*($BI381-$BH381)/12/3*SUMPRODUCT($BW$4:$CI$4,$BW381:$CI381))+SUMPRODUCT($J$5:$AG$5,$J381:$AG381,$J$19:$AG$19))/1E6</f>
        <v/>
      </c>
      <c r="I381" s="67">
        <f>SUMPRODUCT($J$5:$AG$5,$J381:$AG381,$J$20:$AG$20)/1E6</f>
        <v/>
      </c>
      <c r="J381">
        <f>MAX(-fyd_cc,MIN(fyd_cc,Es_cc*IF($E381&lt;=cc_D,0.0035*($E381-J$18)/$E381,0.002*($E381-J$18)/($E381-3*cc_D/7))))-fcd_cc*(1-(1-MAX(0,MIN(1,IF($E381&lt;=cc_D,0.0035*($E381-J$18)/$E381,0.002*($E381-J$18)/($E381-3*cc_D/7))/0.002)))^2)</f>
        <v/>
      </c>
      <c r="K381">
        <f>MAX(-fyd_cc,MIN(fyd_cc,Es_cc*IF($E381&lt;=cc_D,0.0035*($E381-K$18)/$E381,0.002*($E381-K$18)/($E381-3*cc_D/7))))-fcd_cc*(1-(1-MAX(0,MIN(1,IF($E381&lt;=cc_D,0.0035*($E381-K$18)/$E381,0.002*($E381-K$18)/($E381-3*cc_D/7))/0.002)))^2)</f>
        <v/>
      </c>
      <c r="L381">
        <f>MAX(-fyd_cc,MIN(fyd_cc,Es_cc*IF($E381&lt;=cc_D,0.0035*($E381-L$18)/$E381,0.002*($E381-L$18)/($E381-3*cc_D/7))))-fcd_cc*(1-(1-MAX(0,MIN(1,IF($E381&lt;=cc_D,0.0035*($E381-L$18)/$E381,0.002*($E381-L$18)/($E381-3*cc_D/7))/0.002)))^2)</f>
        <v/>
      </c>
      <c r="M381">
        <f>MAX(-fyd_cc,MIN(fyd_cc,Es_cc*IF($E381&lt;=cc_D,0.0035*($E381-M$18)/$E381,0.002*($E381-M$18)/($E381-3*cc_D/7))))-fcd_cc*(1-(1-MAX(0,MIN(1,IF($E381&lt;=cc_D,0.0035*($E381-M$18)/$E381,0.002*($E381-M$18)/($E381-3*cc_D/7))/0.002)))^2)</f>
        <v/>
      </c>
      <c r="N381">
        <f>MAX(-fyd_cc,MIN(fyd_cc,Es_cc*IF($E381&lt;=cc_D,0.0035*($E381-N$18)/$E381,0.002*($E381-N$18)/($E381-3*cc_D/7))))-fcd_cc*(1-(1-MAX(0,MIN(1,IF($E381&lt;=cc_D,0.0035*($E381-N$18)/$E381,0.002*($E381-N$18)/($E381-3*cc_D/7))/0.002)))^2)</f>
        <v/>
      </c>
      <c r="O381">
        <f>MAX(-fyd_cc,MIN(fyd_cc,Es_cc*IF($E381&lt;=cc_D,0.0035*($E381-O$18)/$E381,0.002*($E381-O$18)/($E381-3*cc_D/7))))-fcd_cc*(1-(1-MAX(0,MIN(1,IF($E381&lt;=cc_D,0.0035*($E381-O$18)/$E381,0.002*($E381-O$18)/($E381-3*cc_D/7))/0.002)))^2)</f>
        <v/>
      </c>
      <c r="P381">
        <f>MAX(-fyd_cc,MIN(fyd_cc,Es_cc*IF($E381&lt;=cc_D,0.0035*($E381-P$18)/$E381,0.002*($E381-P$18)/($E381-3*cc_D/7))))-fcd_cc*(1-(1-MAX(0,MIN(1,IF($E381&lt;=cc_D,0.0035*($E381-P$18)/$E381,0.002*($E381-P$18)/($E381-3*cc_D/7))/0.002)))^2)</f>
        <v/>
      </c>
      <c r="Q381">
        <f>MAX(-fyd_cc,MIN(fyd_cc,Es_cc*IF($E381&lt;=cc_D,0.0035*($E381-Q$18)/$E381,0.002*($E381-Q$18)/($E381-3*cc_D/7))))-fcd_cc*(1-(1-MAX(0,MIN(1,IF($E381&lt;=cc_D,0.0035*($E381-Q$18)/$E381,0.002*($E381-Q$18)/($E381-3*cc_D/7))/0.002)))^2)</f>
        <v/>
      </c>
      <c r="R381">
        <f>MAX(-fyd_cc,MIN(fyd_cc,Es_cc*IF($E381&lt;=cc_D,0.0035*($E381-R$18)/$E381,0.002*($E381-R$18)/($E381-3*cc_D/7))))-fcd_cc*(1-(1-MAX(0,MIN(1,IF($E381&lt;=cc_D,0.0035*($E381-R$18)/$E381,0.002*($E381-R$18)/($E381-3*cc_D/7))/0.002)))^2)</f>
        <v/>
      </c>
      <c r="S381">
        <f>MAX(-fyd_cc,MIN(fyd_cc,Es_cc*IF($E381&lt;=cc_D,0.0035*($E381-S$18)/$E381,0.002*($E381-S$18)/($E381-3*cc_D/7))))-fcd_cc*(1-(1-MAX(0,MIN(1,IF($E381&lt;=cc_D,0.0035*($E381-S$18)/$E381,0.002*($E381-S$18)/($E381-3*cc_D/7))/0.002)))^2)</f>
        <v/>
      </c>
      <c r="T381">
        <f>MAX(-fyd_cc,MIN(fyd_cc,Es_cc*IF($E381&lt;=cc_D,0.0035*($E381-T$18)/$E381,0.002*($E381-T$18)/($E381-3*cc_D/7))))-fcd_cc*(1-(1-MAX(0,MIN(1,IF($E381&lt;=cc_D,0.0035*($E381-T$18)/$E381,0.002*($E381-T$18)/($E381-3*cc_D/7))/0.002)))^2)</f>
        <v/>
      </c>
      <c r="U381">
        <f>MAX(-fyd_cc,MIN(fyd_cc,Es_cc*IF($E381&lt;=cc_D,0.0035*($E381-U$18)/$E381,0.002*($E381-U$18)/($E381-3*cc_D/7))))-fcd_cc*(1-(1-MAX(0,MIN(1,IF($E381&lt;=cc_D,0.0035*($E381-U$18)/$E381,0.002*($E381-U$18)/($E381-3*cc_D/7))/0.002)))^2)</f>
        <v/>
      </c>
      <c r="V381">
        <f>MAX(-fyd_cc,MIN(fyd_cc,Es_cc*IF($E381&lt;=cc_D,0.0035*($E381-V$18)/$E381,0.002*($E381-V$18)/($E381-3*cc_D/7))))-fcd_cc*(1-(1-MAX(0,MIN(1,IF($E381&lt;=cc_D,0.0035*($E381-V$18)/$E381,0.002*($E381-V$18)/($E381-3*cc_D/7))/0.002)))^2)</f>
        <v/>
      </c>
      <c r="W381">
        <f>MAX(-fyd_cc,MIN(fyd_cc,Es_cc*IF($E381&lt;=cc_D,0.0035*($E381-W$18)/$E381,0.002*($E381-W$18)/($E381-3*cc_D/7))))-fcd_cc*(1-(1-MAX(0,MIN(1,IF($E381&lt;=cc_D,0.0035*($E381-W$18)/$E381,0.002*($E381-W$18)/($E381-3*cc_D/7))/0.002)))^2)</f>
        <v/>
      </c>
      <c r="X381">
        <f>MAX(-fyd_cc,MIN(fyd_cc,Es_cc*IF($E381&lt;=cc_D,0.0035*($E381-X$18)/$E381,0.002*($E381-X$18)/($E381-3*cc_D/7))))-fcd_cc*(1-(1-MAX(0,MIN(1,IF($E381&lt;=cc_D,0.0035*($E381-X$18)/$E381,0.002*($E381-X$18)/($E381-3*cc_D/7))/0.002)))^2)</f>
        <v/>
      </c>
      <c r="Y381">
        <f>MAX(-fyd_cc,MIN(fyd_cc,Es_cc*IF($E381&lt;=cc_D,0.0035*($E381-Y$18)/$E381,0.002*($E381-Y$18)/($E381-3*cc_D/7))))-fcd_cc*(1-(1-MAX(0,MIN(1,IF($E381&lt;=cc_D,0.0035*($E381-Y$18)/$E381,0.002*($E381-Y$18)/($E381-3*cc_D/7))/0.002)))^2)</f>
        <v/>
      </c>
      <c r="Z381">
        <f>MAX(-fyd_cc,MIN(fyd_cc,Es_cc*IF($E381&lt;=cc_D,0.0035*($E381-Z$18)/$E381,0.002*($E381-Z$18)/($E381-3*cc_D/7))))-fcd_cc*(1-(1-MAX(0,MIN(1,IF($E381&lt;=cc_D,0.0035*($E381-Z$18)/$E381,0.002*($E381-Z$18)/($E381-3*cc_D/7))/0.002)))^2)</f>
        <v/>
      </c>
      <c r="AA381">
        <f>MAX(-fyd_cc,MIN(fyd_cc,Es_cc*IF($E381&lt;=cc_D,0.0035*($E381-AA$18)/$E381,0.002*($E381-AA$18)/($E381-3*cc_D/7))))-fcd_cc*(1-(1-MAX(0,MIN(1,IF($E381&lt;=cc_D,0.0035*($E381-AA$18)/$E381,0.002*($E381-AA$18)/($E381-3*cc_D/7))/0.002)))^2)</f>
        <v/>
      </c>
      <c r="AB381">
        <f>MAX(-fyd_cc,MIN(fyd_cc,Es_cc*IF($E381&lt;=cc_D,0.0035*($E381-AB$18)/$E381,0.002*($E381-AB$18)/($E381-3*cc_D/7))))-fcd_cc*(1-(1-MAX(0,MIN(1,IF($E381&lt;=cc_D,0.0035*($E381-AB$18)/$E381,0.002*($E381-AB$18)/($E381-3*cc_D/7))/0.002)))^2)</f>
        <v/>
      </c>
      <c r="AC381">
        <f>MAX(-fyd_cc,MIN(fyd_cc,Es_cc*IF($E381&lt;=cc_D,0.0035*($E381-AC$18)/$E381,0.002*($E381-AC$18)/($E381-3*cc_D/7))))-fcd_cc*(1-(1-MAX(0,MIN(1,IF($E381&lt;=cc_D,0.0035*($E381-AC$18)/$E381,0.002*($E381-AC$18)/($E381-3*cc_D/7))/0.002)))^2)</f>
        <v/>
      </c>
      <c r="AD381">
        <f>MAX(-fyd_cc,MIN(fyd_cc,Es_cc*IF($E381&lt;=cc_D,0.0035*($E381-AD$18)/$E381,0.002*($E381-AD$18)/($E381-3*cc_D/7))))-fcd_cc*(1-(1-MAX(0,MIN(1,IF($E381&lt;=cc_D,0.0035*($E381-AD$18)/$E381,0.002*($E381-AD$18)/($E381-3*cc_D/7))/0.002)))^2)</f>
        <v/>
      </c>
      <c r="AE381">
        <f>MAX(-fyd_cc,MIN(fyd_cc,Es_cc*IF($E381&lt;=cc_D,0.0035*($E381-AE$18)/$E381,0.002*($E381-AE$18)/($E381-3*cc_D/7))))-fcd_cc*(1-(1-MAX(0,MIN(1,IF($E381&lt;=cc_D,0.0035*($E381-AE$18)/$E381,0.002*($E381-AE$18)/($E381-3*cc_D/7))/0.002)))^2)</f>
        <v/>
      </c>
      <c r="AF381">
        <f>MAX(-fyd_cc,MIN(fyd_cc,Es_cc*IF($E381&lt;=cc_D,0.0035*($E381-AF$18)/$E381,0.002*($E381-AF$18)/($E381-3*cc_D/7))))-fcd_cc*(1-(1-MAX(0,MIN(1,IF($E381&lt;=cc_D,0.0035*($E381-AF$18)/$E381,0.002*($E381-AF$18)/($E381-3*cc_D/7))/0.002)))^2)</f>
        <v/>
      </c>
      <c r="AG381">
        <f>MAX(-fyd_cc,MIN(fyd_cc,Es_cc*IF($E381&lt;=cc_D,0.0035*($E381-AG$18)/$E381,0.002*($E381-AG$18)/($E381-3*cc_D/7))))-fcd_cc*(1-(1-MAX(0,MIN(1,IF($E381&lt;=cc_D,0.0035*($E381-AG$18)/$E381,0.002*($E381-AG$18)/($E381-3*cc_D/7))/0.002)))^2)</f>
        <v/>
      </c>
      <c r="BF381">
        <f>3*MIN($E381,cc_D)/7</f>
        <v/>
      </c>
      <c r="BG381">
        <f>$E381-$BF381</f>
        <v/>
      </c>
      <c r="BH381">
        <f>ACOS(MAX(-1,MIN(1,1-$BF381/(cc_D/2))))</f>
        <v/>
      </c>
      <c r="BI381">
        <f>ACOS(MAX(-1,MIN(1,1-MIN($E381,cc_D)/(cc_D/2))))</f>
        <v/>
      </c>
      <c r="BJ381">
        <f>((cc_D/2*(1-COS(($BH381+0*($BI381-$BH381)/12)))-$BF381)/$BG381)^2*SIN(($BH381+0*($BI381-$BH381)/12))^2</f>
        <v/>
      </c>
      <c r="BK381">
        <f>((cc_D/2*(1-COS(($BH381+1*($BI381-$BH381)/12)))-$BF381)/$BG381)^2*SIN(($BH381+1*($BI381-$BH381)/12))^2</f>
        <v/>
      </c>
      <c r="BL381">
        <f>((cc_D/2*(1-COS(($BH381+2*($BI381-$BH381)/12)))-$BF381)/$BG381)^2*SIN(($BH381+2*($BI381-$BH381)/12))^2</f>
        <v/>
      </c>
      <c r="BM381">
        <f>((cc_D/2*(1-COS(($BH381+3*($BI381-$BH381)/12)))-$BF381)/$BG381)^2*SIN(($BH381+3*($BI381-$BH381)/12))^2</f>
        <v/>
      </c>
      <c r="BN381">
        <f>((cc_D/2*(1-COS(($BH381+4*($BI381-$BH381)/12)))-$BF381)/$BG381)^2*SIN(($BH381+4*($BI381-$BH381)/12))^2</f>
        <v/>
      </c>
      <c r="BO381">
        <f>((cc_D/2*(1-COS(($BH381+5*($BI381-$BH381)/12)))-$BF381)/$BG381)^2*SIN(($BH381+5*($BI381-$BH381)/12))^2</f>
        <v/>
      </c>
      <c r="BP381">
        <f>((cc_D/2*(1-COS(($BH381+6*($BI381-$BH381)/12)))-$BF381)/$BG381)^2*SIN(($BH381+6*($BI381-$BH381)/12))^2</f>
        <v/>
      </c>
      <c r="BQ381">
        <f>((cc_D/2*(1-COS(($BH381+7*($BI381-$BH381)/12)))-$BF381)/$BG381)^2*SIN(($BH381+7*($BI381-$BH381)/12))^2</f>
        <v/>
      </c>
      <c r="BR381">
        <f>((cc_D/2*(1-COS(($BH381+8*($BI381-$BH381)/12)))-$BF381)/$BG381)^2*SIN(($BH381+8*($BI381-$BH381)/12))^2</f>
        <v/>
      </c>
      <c r="BS381">
        <f>((cc_D/2*(1-COS(($BH381+9*($BI381-$BH381)/12)))-$BF381)/$BG381)^2*SIN(($BH381+9*($BI381-$BH381)/12))^2</f>
        <v/>
      </c>
      <c r="BT381">
        <f>((cc_D/2*(1-COS(($BH381+10*($BI381-$BH381)/12)))-$BF381)/$BG381)^2*SIN(($BH381+10*($BI381-$BH381)/12))^2</f>
        <v/>
      </c>
      <c r="BU381">
        <f>((cc_D/2*(1-COS(($BH381+11*($BI381-$BH381)/12)))-$BF381)/$BG381)^2*SIN(($BH381+11*($BI381-$BH381)/12))^2</f>
        <v/>
      </c>
      <c r="BV381">
        <f>((cc_D/2*(1-COS(($BH381+12*($BI381-$BH381)/12)))-$BF381)/$BG381)^2*SIN(($BH381+12*($BI381-$BH381)/12))^2</f>
        <v/>
      </c>
      <c r="BW381">
        <f>BJ381*COS(($BH381+0*($BI381-$BH381)/12))</f>
        <v/>
      </c>
      <c r="BX381">
        <f>BK381*COS(($BH381+1*($BI381-$BH381)/12))</f>
        <v/>
      </c>
      <c r="BY381">
        <f>BL381*COS(($BH381+2*($BI381-$BH381)/12))</f>
        <v/>
      </c>
      <c r="BZ381">
        <f>BM381*COS(($BH381+3*($BI381-$BH381)/12))</f>
        <v/>
      </c>
      <c r="CA381">
        <f>BN381*COS(($BH381+4*($BI381-$BH381)/12))</f>
        <v/>
      </c>
      <c r="CB381">
        <f>BO381*COS(($BH381+5*($BI381-$BH381)/12))</f>
        <v/>
      </c>
      <c r="CC381">
        <f>BP381*COS(($BH381+6*($BI381-$BH381)/12))</f>
        <v/>
      </c>
      <c r="CD381">
        <f>BQ381*COS(($BH381+7*($BI381-$BH381)/12))</f>
        <v/>
      </c>
      <c r="CE381">
        <f>BR381*COS(($BH381+8*($BI381-$BH381)/12))</f>
        <v/>
      </c>
      <c r="CF381">
        <f>BS381*COS(($BH381+9*($BI381-$BH381)/12))</f>
        <v/>
      </c>
      <c r="CG381">
        <f>BT381*COS(($BH381+10*($BI381-$BH381)/12))</f>
        <v/>
      </c>
      <c r="CH381">
        <f>BU381*COS(($BH381+11*($BI381-$BH381)/12))</f>
        <v/>
      </c>
      <c r="CI381">
        <f>BV381*COS(($BH381+12*($BI381-$BH381)/12))</f>
        <v/>
      </c>
    </row>
    <row r="382">
      <c r="B382" s="65" t="n">
        <v>41</v>
      </c>
      <c r="C382" s="66">
        <f>IF($G381&lt;cc_NEd-1E-9*ABS(cc_NEd),($C381+$D381)/2,$C381)</f>
        <v/>
      </c>
      <c r="D382" s="66">
        <f>IF($G381&lt;cc_NEd-1E-9*ABS(cc_NEd),$D381,($C381+$D381)/2)</f>
        <v/>
      </c>
      <c r="E382" s="67">
        <f>cc_D*(($C382+$D382)/2)/(1-(($C382+$D382)/2))</f>
        <v/>
      </c>
      <c r="F382" s="68">
        <f>IF($E382&lt;=cc_D,3.5,2*$E382/($E382-3*cc_D/7))</f>
        <v/>
      </c>
      <c r="G382" s="67">
        <f>(fcd_cc*((cc_D/2)^2*($BI382-COS($BI382)*SIN($BI382))-2*(cc_D/2)^2*($BI382-$BH382)/12/3*SUMPRODUCT($BJ$4:$BV$4,$BJ382:$BV382))+SUMPRODUCT($J$5:$AG$5,$J382:$AG382))/1000</f>
        <v/>
      </c>
      <c r="H382" s="67">
        <f>(fcd_cc*(2/3*(cc_D/2)^3*SIN($BI382)^3-2*(cc_D/2)^3*($BI382-$BH382)/12/3*SUMPRODUCT($BW$4:$CI$4,$BW382:$CI382))+SUMPRODUCT($J$5:$AG$5,$J382:$AG382,$J$19:$AG$19))/1E6</f>
        <v/>
      </c>
      <c r="I382" s="67">
        <f>SUMPRODUCT($J$5:$AG$5,$J382:$AG382,$J$20:$AG$20)/1E6</f>
        <v/>
      </c>
      <c r="J382">
        <f>MAX(-fyd_cc,MIN(fyd_cc,Es_cc*IF($E382&lt;=cc_D,0.0035*($E382-J$18)/$E382,0.002*($E382-J$18)/($E382-3*cc_D/7))))-fcd_cc*(1-(1-MAX(0,MIN(1,IF($E382&lt;=cc_D,0.0035*($E382-J$18)/$E382,0.002*($E382-J$18)/($E382-3*cc_D/7))/0.002)))^2)</f>
        <v/>
      </c>
      <c r="K382">
        <f>MAX(-fyd_cc,MIN(fyd_cc,Es_cc*IF($E382&lt;=cc_D,0.0035*($E382-K$18)/$E382,0.002*($E382-K$18)/($E382-3*cc_D/7))))-fcd_cc*(1-(1-MAX(0,MIN(1,IF($E382&lt;=cc_D,0.0035*($E382-K$18)/$E382,0.002*($E382-K$18)/($E382-3*cc_D/7))/0.002)))^2)</f>
        <v/>
      </c>
      <c r="L382">
        <f>MAX(-fyd_cc,MIN(fyd_cc,Es_cc*IF($E382&lt;=cc_D,0.0035*($E382-L$18)/$E382,0.002*($E382-L$18)/($E382-3*cc_D/7))))-fcd_cc*(1-(1-MAX(0,MIN(1,IF($E382&lt;=cc_D,0.0035*($E382-L$18)/$E382,0.002*($E382-L$18)/($E382-3*cc_D/7))/0.002)))^2)</f>
        <v/>
      </c>
      <c r="M382">
        <f>MAX(-fyd_cc,MIN(fyd_cc,Es_cc*IF($E382&lt;=cc_D,0.0035*($E382-M$18)/$E382,0.002*($E382-M$18)/($E382-3*cc_D/7))))-fcd_cc*(1-(1-MAX(0,MIN(1,IF($E382&lt;=cc_D,0.0035*($E382-M$18)/$E382,0.002*($E382-M$18)/($E382-3*cc_D/7))/0.002)))^2)</f>
        <v/>
      </c>
      <c r="N382">
        <f>MAX(-fyd_cc,MIN(fyd_cc,Es_cc*IF($E382&lt;=cc_D,0.0035*($E382-N$18)/$E382,0.002*($E382-N$18)/($E382-3*cc_D/7))))-fcd_cc*(1-(1-MAX(0,MIN(1,IF($E382&lt;=cc_D,0.0035*($E382-N$18)/$E382,0.002*($E382-N$18)/($E382-3*cc_D/7))/0.002)))^2)</f>
        <v/>
      </c>
      <c r="O382">
        <f>MAX(-fyd_cc,MIN(fyd_cc,Es_cc*IF($E382&lt;=cc_D,0.0035*($E382-O$18)/$E382,0.002*($E382-O$18)/($E382-3*cc_D/7))))-fcd_cc*(1-(1-MAX(0,MIN(1,IF($E382&lt;=cc_D,0.0035*($E382-O$18)/$E382,0.002*($E382-O$18)/($E382-3*cc_D/7))/0.002)))^2)</f>
        <v/>
      </c>
      <c r="P382">
        <f>MAX(-fyd_cc,MIN(fyd_cc,Es_cc*IF($E382&lt;=cc_D,0.0035*($E382-P$18)/$E382,0.002*($E382-P$18)/($E382-3*cc_D/7))))-fcd_cc*(1-(1-MAX(0,MIN(1,IF($E382&lt;=cc_D,0.0035*($E382-P$18)/$E382,0.002*($E382-P$18)/($E382-3*cc_D/7))/0.002)))^2)</f>
        <v/>
      </c>
      <c r="Q382">
        <f>MAX(-fyd_cc,MIN(fyd_cc,Es_cc*IF($E382&lt;=cc_D,0.0035*($E382-Q$18)/$E382,0.002*($E382-Q$18)/($E382-3*cc_D/7))))-fcd_cc*(1-(1-MAX(0,MIN(1,IF($E382&lt;=cc_D,0.0035*($E382-Q$18)/$E382,0.002*($E382-Q$18)/($E382-3*cc_D/7))/0.002)))^2)</f>
        <v/>
      </c>
      <c r="R382">
        <f>MAX(-fyd_cc,MIN(fyd_cc,Es_cc*IF($E382&lt;=cc_D,0.0035*($E382-R$18)/$E382,0.002*($E382-R$18)/($E382-3*cc_D/7))))-fcd_cc*(1-(1-MAX(0,MIN(1,IF($E382&lt;=cc_D,0.0035*($E382-R$18)/$E382,0.002*($E382-R$18)/($E382-3*cc_D/7))/0.002)))^2)</f>
        <v/>
      </c>
      <c r="S382">
        <f>MAX(-fyd_cc,MIN(fyd_cc,Es_cc*IF($E382&lt;=cc_D,0.0035*($E382-S$18)/$E382,0.002*($E382-S$18)/($E382-3*cc_D/7))))-fcd_cc*(1-(1-MAX(0,MIN(1,IF($E382&lt;=cc_D,0.0035*($E382-S$18)/$E382,0.002*($E382-S$18)/($E382-3*cc_D/7))/0.002)))^2)</f>
        <v/>
      </c>
      <c r="T382">
        <f>MAX(-fyd_cc,MIN(fyd_cc,Es_cc*IF($E382&lt;=cc_D,0.0035*($E382-T$18)/$E382,0.002*($E382-T$18)/($E382-3*cc_D/7))))-fcd_cc*(1-(1-MAX(0,MIN(1,IF($E382&lt;=cc_D,0.0035*($E382-T$18)/$E382,0.002*($E382-T$18)/($E382-3*cc_D/7))/0.002)))^2)</f>
        <v/>
      </c>
      <c r="U382">
        <f>MAX(-fyd_cc,MIN(fyd_cc,Es_cc*IF($E382&lt;=cc_D,0.0035*($E382-U$18)/$E382,0.002*($E382-U$18)/($E382-3*cc_D/7))))-fcd_cc*(1-(1-MAX(0,MIN(1,IF($E382&lt;=cc_D,0.0035*($E382-U$18)/$E382,0.002*($E382-U$18)/($E382-3*cc_D/7))/0.002)))^2)</f>
        <v/>
      </c>
      <c r="V382">
        <f>MAX(-fyd_cc,MIN(fyd_cc,Es_cc*IF($E382&lt;=cc_D,0.0035*($E382-V$18)/$E382,0.002*($E382-V$18)/($E382-3*cc_D/7))))-fcd_cc*(1-(1-MAX(0,MIN(1,IF($E382&lt;=cc_D,0.0035*($E382-V$18)/$E382,0.002*($E382-V$18)/($E382-3*cc_D/7))/0.002)))^2)</f>
        <v/>
      </c>
      <c r="W382">
        <f>MAX(-fyd_cc,MIN(fyd_cc,Es_cc*IF($E382&lt;=cc_D,0.0035*($E382-W$18)/$E382,0.002*($E382-W$18)/($E382-3*cc_D/7))))-fcd_cc*(1-(1-MAX(0,MIN(1,IF($E382&lt;=cc_D,0.0035*($E382-W$18)/$E382,0.002*($E382-W$18)/($E382-3*cc_D/7))/0.002)))^2)</f>
        <v/>
      </c>
      <c r="X382">
        <f>MAX(-fyd_cc,MIN(fyd_cc,Es_cc*IF($E382&lt;=cc_D,0.0035*($E382-X$18)/$E382,0.002*($E382-X$18)/($E382-3*cc_D/7))))-fcd_cc*(1-(1-MAX(0,MIN(1,IF($E382&lt;=cc_D,0.0035*($E382-X$18)/$E382,0.002*($E382-X$18)/($E382-3*cc_D/7))/0.002)))^2)</f>
        <v/>
      </c>
      <c r="Y382">
        <f>MAX(-fyd_cc,MIN(fyd_cc,Es_cc*IF($E382&lt;=cc_D,0.0035*($E382-Y$18)/$E382,0.002*($E382-Y$18)/($E382-3*cc_D/7))))-fcd_cc*(1-(1-MAX(0,MIN(1,IF($E382&lt;=cc_D,0.0035*($E382-Y$18)/$E382,0.002*($E382-Y$18)/($E382-3*cc_D/7))/0.002)))^2)</f>
        <v/>
      </c>
      <c r="Z382">
        <f>MAX(-fyd_cc,MIN(fyd_cc,Es_cc*IF($E382&lt;=cc_D,0.0035*($E382-Z$18)/$E382,0.002*($E382-Z$18)/($E382-3*cc_D/7))))-fcd_cc*(1-(1-MAX(0,MIN(1,IF($E382&lt;=cc_D,0.0035*($E382-Z$18)/$E382,0.002*($E382-Z$18)/($E382-3*cc_D/7))/0.002)))^2)</f>
        <v/>
      </c>
      <c r="AA382">
        <f>MAX(-fyd_cc,MIN(fyd_cc,Es_cc*IF($E382&lt;=cc_D,0.0035*($E382-AA$18)/$E382,0.002*($E382-AA$18)/($E382-3*cc_D/7))))-fcd_cc*(1-(1-MAX(0,MIN(1,IF($E382&lt;=cc_D,0.0035*($E382-AA$18)/$E382,0.002*($E382-AA$18)/($E382-3*cc_D/7))/0.002)))^2)</f>
        <v/>
      </c>
      <c r="AB382">
        <f>MAX(-fyd_cc,MIN(fyd_cc,Es_cc*IF($E382&lt;=cc_D,0.0035*($E382-AB$18)/$E382,0.002*($E382-AB$18)/($E382-3*cc_D/7))))-fcd_cc*(1-(1-MAX(0,MIN(1,IF($E382&lt;=cc_D,0.0035*($E382-AB$18)/$E382,0.002*($E382-AB$18)/($E382-3*cc_D/7))/0.002)))^2)</f>
        <v/>
      </c>
      <c r="AC382">
        <f>MAX(-fyd_cc,MIN(fyd_cc,Es_cc*IF($E382&lt;=cc_D,0.0035*($E382-AC$18)/$E382,0.002*($E382-AC$18)/($E382-3*cc_D/7))))-fcd_cc*(1-(1-MAX(0,MIN(1,IF($E382&lt;=cc_D,0.0035*($E382-AC$18)/$E382,0.002*($E382-AC$18)/($E382-3*cc_D/7))/0.002)))^2)</f>
        <v/>
      </c>
      <c r="AD382">
        <f>MAX(-fyd_cc,MIN(fyd_cc,Es_cc*IF($E382&lt;=cc_D,0.0035*($E382-AD$18)/$E382,0.002*($E382-AD$18)/($E382-3*cc_D/7))))-fcd_cc*(1-(1-MAX(0,MIN(1,IF($E382&lt;=cc_D,0.0035*($E382-AD$18)/$E382,0.002*($E382-AD$18)/($E382-3*cc_D/7))/0.002)))^2)</f>
        <v/>
      </c>
      <c r="AE382">
        <f>MAX(-fyd_cc,MIN(fyd_cc,Es_cc*IF($E382&lt;=cc_D,0.0035*($E382-AE$18)/$E382,0.002*($E382-AE$18)/($E382-3*cc_D/7))))-fcd_cc*(1-(1-MAX(0,MIN(1,IF($E382&lt;=cc_D,0.0035*($E382-AE$18)/$E382,0.002*($E382-AE$18)/($E382-3*cc_D/7))/0.002)))^2)</f>
        <v/>
      </c>
      <c r="AF382">
        <f>MAX(-fyd_cc,MIN(fyd_cc,Es_cc*IF($E382&lt;=cc_D,0.0035*($E382-AF$18)/$E382,0.002*($E382-AF$18)/($E382-3*cc_D/7))))-fcd_cc*(1-(1-MAX(0,MIN(1,IF($E382&lt;=cc_D,0.0035*($E382-AF$18)/$E382,0.002*($E382-AF$18)/($E382-3*cc_D/7))/0.002)))^2)</f>
        <v/>
      </c>
      <c r="AG382">
        <f>MAX(-fyd_cc,MIN(fyd_cc,Es_cc*IF($E382&lt;=cc_D,0.0035*($E382-AG$18)/$E382,0.002*($E382-AG$18)/($E382-3*cc_D/7))))-fcd_cc*(1-(1-MAX(0,MIN(1,IF($E382&lt;=cc_D,0.0035*($E382-AG$18)/$E382,0.002*($E382-AG$18)/($E382-3*cc_D/7))/0.002)))^2)</f>
        <v/>
      </c>
      <c r="BF382">
        <f>3*MIN($E382,cc_D)/7</f>
        <v/>
      </c>
      <c r="BG382">
        <f>$E382-$BF382</f>
        <v/>
      </c>
      <c r="BH382">
        <f>ACOS(MAX(-1,MIN(1,1-$BF382/(cc_D/2))))</f>
        <v/>
      </c>
      <c r="BI382">
        <f>ACOS(MAX(-1,MIN(1,1-MIN($E382,cc_D)/(cc_D/2))))</f>
        <v/>
      </c>
      <c r="BJ382">
        <f>((cc_D/2*(1-COS(($BH382+0*($BI382-$BH382)/12)))-$BF382)/$BG382)^2*SIN(($BH382+0*($BI382-$BH382)/12))^2</f>
        <v/>
      </c>
      <c r="BK382">
        <f>((cc_D/2*(1-COS(($BH382+1*($BI382-$BH382)/12)))-$BF382)/$BG382)^2*SIN(($BH382+1*($BI382-$BH382)/12))^2</f>
        <v/>
      </c>
      <c r="BL382">
        <f>((cc_D/2*(1-COS(($BH382+2*($BI382-$BH382)/12)))-$BF382)/$BG382)^2*SIN(($BH382+2*($BI382-$BH382)/12))^2</f>
        <v/>
      </c>
      <c r="BM382">
        <f>((cc_D/2*(1-COS(($BH382+3*($BI382-$BH382)/12)))-$BF382)/$BG382)^2*SIN(($BH382+3*($BI382-$BH382)/12))^2</f>
        <v/>
      </c>
      <c r="BN382">
        <f>((cc_D/2*(1-COS(($BH382+4*($BI382-$BH382)/12)))-$BF382)/$BG382)^2*SIN(($BH382+4*($BI382-$BH382)/12))^2</f>
        <v/>
      </c>
      <c r="BO382">
        <f>((cc_D/2*(1-COS(($BH382+5*($BI382-$BH382)/12)))-$BF382)/$BG382)^2*SIN(($BH382+5*($BI382-$BH382)/12))^2</f>
        <v/>
      </c>
      <c r="BP382">
        <f>((cc_D/2*(1-COS(($BH382+6*($BI382-$BH382)/12)))-$BF382)/$BG382)^2*SIN(($BH382+6*($BI382-$BH382)/12))^2</f>
        <v/>
      </c>
      <c r="BQ382">
        <f>((cc_D/2*(1-COS(($BH382+7*($BI382-$BH382)/12)))-$BF382)/$BG382)^2*SIN(($BH382+7*($BI382-$BH382)/12))^2</f>
        <v/>
      </c>
      <c r="BR382">
        <f>((cc_D/2*(1-COS(($BH382+8*($BI382-$BH382)/12)))-$BF382)/$BG382)^2*SIN(($BH382+8*($BI382-$BH382)/12))^2</f>
        <v/>
      </c>
      <c r="BS382">
        <f>((cc_D/2*(1-COS(($BH382+9*($BI382-$BH382)/12)))-$BF382)/$BG382)^2*SIN(($BH382+9*($BI382-$BH382)/12))^2</f>
        <v/>
      </c>
      <c r="BT382">
        <f>((cc_D/2*(1-COS(($BH382+10*($BI382-$BH382)/12)))-$BF382)/$BG382)^2*SIN(($BH382+10*($BI382-$BH382)/12))^2</f>
        <v/>
      </c>
      <c r="BU382">
        <f>((cc_D/2*(1-COS(($BH382+11*($BI382-$BH382)/12)))-$BF382)/$BG382)^2*SIN(($BH382+11*($BI382-$BH382)/12))^2</f>
        <v/>
      </c>
      <c r="BV382">
        <f>((cc_D/2*(1-COS(($BH382+12*($BI382-$BH382)/12)))-$BF382)/$BG382)^2*SIN(($BH382+12*($BI382-$BH382)/12))^2</f>
        <v/>
      </c>
      <c r="BW382">
        <f>BJ382*COS(($BH382+0*($BI382-$BH382)/12))</f>
        <v/>
      </c>
      <c r="BX382">
        <f>BK382*COS(($BH382+1*($BI382-$BH382)/12))</f>
        <v/>
      </c>
      <c r="BY382">
        <f>BL382*COS(($BH382+2*($BI382-$BH382)/12))</f>
        <v/>
      </c>
      <c r="BZ382">
        <f>BM382*COS(($BH382+3*($BI382-$BH382)/12))</f>
        <v/>
      </c>
      <c r="CA382">
        <f>BN382*COS(($BH382+4*($BI382-$BH382)/12))</f>
        <v/>
      </c>
      <c r="CB382">
        <f>BO382*COS(($BH382+5*($BI382-$BH382)/12))</f>
        <v/>
      </c>
      <c r="CC382">
        <f>BP382*COS(($BH382+6*($BI382-$BH382)/12))</f>
        <v/>
      </c>
      <c r="CD382">
        <f>BQ382*COS(($BH382+7*($BI382-$BH382)/12))</f>
        <v/>
      </c>
      <c r="CE382">
        <f>BR382*COS(($BH382+8*($BI382-$BH382)/12))</f>
        <v/>
      </c>
      <c r="CF382">
        <f>BS382*COS(($BH382+9*($BI382-$BH382)/12))</f>
        <v/>
      </c>
      <c r="CG382">
        <f>BT382*COS(($BH382+10*($BI382-$BH382)/12))</f>
        <v/>
      </c>
      <c r="CH382">
        <f>BU382*COS(($BH382+11*($BI382-$BH382)/12))</f>
        <v/>
      </c>
      <c r="CI382">
        <f>BV382*COS(($BH382+12*($BI382-$BH382)/12))</f>
        <v/>
      </c>
    </row>
    <row r="383">
      <c r="B383" s="65" t="n">
        <v>42</v>
      </c>
      <c r="C383" s="66">
        <f>IF($G382&lt;cc_NEd-1E-9*ABS(cc_NEd),($C382+$D382)/2,$C382)</f>
        <v/>
      </c>
      <c r="D383" s="66">
        <f>IF($G382&lt;cc_NEd-1E-9*ABS(cc_NEd),$D382,($C382+$D382)/2)</f>
        <v/>
      </c>
      <c r="E383" s="67">
        <f>cc_D*(($C383+$D383)/2)/(1-(($C383+$D383)/2))</f>
        <v/>
      </c>
      <c r="F383" s="68">
        <f>IF($E383&lt;=cc_D,3.5,2*$E383/($E383-3*cc_D/7))</f>
        <v/>
      </c>
      <c r="G383" s="67">
        <f>(fcd_cc*((cc_D/2)^2*($BI383-COS($BI383)*SIN($BI383))-2*(cc_D/2)^2*($BI383-$BH383)/12/3*SUMPRODUCT($BJ$4:$BV$4,$BJ383:$BV383))+SUMPRODUCT($J$5:$AG$5,$J383:$AG383))/1000</f>
        <v/>
      </c>
      <c r="H383" s="67">
        <f>(fcd_cc*(2/3*(cc_D/2)^3*SIN($BI383)^3-2*(cc_D/2)^3*($BI383-$BH383)/12/3*SUMPRODUCT($BW$4:$CI$4,$BW383:$CI383))+SUMPRODUCT($J$5:$AG$5,$J383:$AG383,$J$19:$AG$19))/1E6</f>
        <v/>
      </c>
      <c r="I383" s="67">
        <f>SUMPRODUCT($J$5:$AG$5,$J383:$AG383,$J$20:$AG$20)/1E6</f>
        <v/>
      </c>
      <c r="J383">
        <f>MAX(-fyd_cc,MIN(fyd_cc,Es_cc*IF($E383&lt;=cc_D,0.0035*($E383-J$18)/$E383,0.002*($E383-J$18)/($E383-3*cc_D/7))))-fcd_cc*(1-(1-MAX(0,MIN(1,IF($E383&lt;=cc_D,0.0035*($E383-J$18)/$E383,0.002*($E383-J$18)/($E383-3*cc_D/7))/0.002)))^2)</f>
        <v/>
      </c>
      <c r="K383">
        <f>MAX(-fyd_cc,MIN(fyd_cc,Es_cc*IF($E383&lt;=cc_D,0.0035*($E383-K$18)/$E383,0.002*($E383-K$18)/($E383-3*cc_D/7))))-fcd_cc*(1-(1-MAX(0,MIN(1,IF($E383&lt;=cc_D,0.0035*($E383-K$18)/$E383,0.002*($E383-K$18)/($E383-3*cc_D/7))/0.002)))^2)</f>
        <v/>
      </c>
      <c r="L383">
        <f>MAX(-fyd_cc,MIN(fyd_cc,Es_cc*IF($E383&lt;=cc_D,0.0035*($E383-L$18)/$E383,0.002*($E383-L$18)/($E383-3*cc_D/7))))-fcd_cc*(1-(1-MAX(0,MIN(1,IF($E383&lt;=cc_D,0.0035*($E383-L$18)/$E383,0.002*($E383-L$18)/($E383-3*cc_D/7))/0.002)))^2)</f>
        <v/>
      </c>
      <c r="M383">
        <f>MAX(-fyd_cc,MIN(fyd_cc,Es_cc*IF($E383&lt;=cc_D,0.0035*($E383-M$18)/$E383,0.002*($E383-M$18)/($E383-3*cc_D/7))))-fcd_cc*(1-(1-MAX(0,MIN(1,IF($E383&lt;=cc_D,0.0035*($E383-M$18)/$E383,0.002*($E383-M$18)/($E383-3*cc_D/7))/0.002)))^2)</f>
        <v/>
      </c>
      <c r="N383">
        <f>MAX(-fyd_cc,MIN(fyd_cc,Es_cc*IF($E383&lt;=cc_D,0.0035*($E383-N$18)/$E383,0.002*($E383-N$18)/($E383-3*cc_D/7))))-fcd_cc*(1-(1-MAX(0,MIN(1,IF($E383&lt;=cc_D,0.0035*($E383-N$18)/$E383,0.002*($E383-N$18)/($E383-3*cc_D/7))/0.002)))^2)</f>
        <v/>
      </c>
      <c r="O383">
        <f>MAX(-fyd_cc,MIN(fyd_cc,Es_cc*IF($E383&lt;=cc_D,0.0035*($E383-O$18)/$E383,0.002*($E383-O$18)/($E383-3*cc_D/7))))-fcd_cc*(1-(1-MAX(0,MIN(1,IF($E383&lt;=cc_D,0.0035*($E383-O$18)/$E383,0.002*($E383-O$18)/($E383-3*cc_D/7))/0.002)))^2)</f>
        <v/>
      </c>
      <c r="P383">
        <f>MAX(-fyd_cc,MIN(fyd_cc,Es_cc*IF($E383&lt;=cc_D,0.0035*($E383-P$18)/$E383,0.002*($E383-P$18)/($E383-3*cc_D/7))))-fcd_cc*(1-(1-MAX(0,MIN(1,IF($E383&lt;=cc_D,0.0035*($E383-P$18)/$E383,0.002*($E383-P$18)/($E383-3*cc_D/7))/0.002)))^2)</f>
        <v/>
      </c>
      <c r="Q383">
        <f>MAX(-fyd_cc,MIN(fyd_cc,Es_cc*IF($E383&lt;=cc_D,0.0035*($E383-Q$18)/$E383,0.002*($E383-Q$18)/($E383-3*cc_D/7))))-fcd_cc*(1-(1-MAX(0,MIN(1,IF($E383&lt;=cc_D,0.0035*($E383-Q$18)/$E383,0.002*($E383-Q$18)/($E383-3*cc_D/7))/0.002)))^2)</f>
        <v/>
      </c>
      <c r="R383">
        <f>MAX(-fyd_cc,MIN(fyd_cc,Es_cc*IF($E383&lt;=cc_D,0.0035*($E383-R$18)/$E383,0.002*($E383-R$18)/($E383-3*cc_D/7))))-fcd_cc*(1-(1-MAX(0,MIN(1,IF($E383&lt;=cc_D,0.0035*($E383-R$18)/$E383,0.002*($E383-R$18)/($E383-3*cc_D/7))/0.002)))^2)</f>
        <v/>
      </c>
      <c r="S383">
        <f>MAX(-fyd_cc,MIN(fyd_cc,Es_cc*IF($E383&lt;=cc_D,0.0035*($E383-S$18)/$E383,0.002*($E383-S$18)/($E383-3*cc_D/7))))-fcd_cc*(1-(1-MAX(0,MIN(1,IF($E383&lt;=cc_D,0.0035*($E383-S$18)/$E383,0.002*($E383-S$18)/($E383-3*cc_D/7))/0.002)))^2)</f>
        <v/>
      </c>
      <c r="T383">
        <f>MAX(-fyd_cc,MIN(fyd_cc,Es_cc*IF($E383&lt;=cc_D,0.0035*($E383-T$18)/$E383,0.002*($E383-T$18)/($E383-3*cc_D/7))))-fcd_cc*(1-(1-MAX(0,MIN(1,IF($E383&lt;=cc_D,0.0035*($E383-T$18)/$E383,0.002*($E383-T$18)/($E383-3*cc_D/7))/0.002)))^2)</f>
        <v/>
      </c>
      <c r="U383">
        <f>MAX(-fyd_cc,MIN(fyd_cc,Es_cc*IF($E383&lt;=cc_D,0.0035*($E383-U$18)/$E383,0.002*($E383-U$18)/($E383-3*cc_D/7))))-fcd_cc*(1-(1-MAX(0,MIN(1,IF($E383&lt;=cc_D,0.0035*($E383-U$18)/$E383,0.002*($E383-U$18)/($E383-3*cc_D/7))/0.002)))^2)</f>
        <v/>
      </c>
      <c r="V383">
        <f>MAX(-fyd_cc,MIN(fyd_cc,Es_cc*IF($E383&lt;=cc_D,0.0035*($E383-V$18)/$E383,0.002*($E383-V$18)/($E383-3*cc_D/7))))-fcd_cc*(1-(1-MAX(0,MIN(1,IF($E383&lt;=cc_D,0.0035*($E383-V$18)/$E383,0.002*($E383-V$18)/($E383-3*cc_D/7))/0.002)))^2)</f>
        <v/>
      </c>
      <c r="W383">
        <f>MAX(-fyd_cc,MIN(fyd_cc,Es_cc*IF($E383&lt;=cc_D,0.0035*($E383-W$18)/$E383,0.002*($E383-W$18)/($E383-3*cc_D/7))))-fcd_cc*(1-(1-MAX(0,MIN(1,IF($E383&lt;=cc_D,0.0035*($E383-W$18)/$E383,0.002*($E383-W$18)/($E383-3*cc_D/7))/0.002)))^2)</f>
        <v/>
      </c>
      <c r="X383">
        <f>MAX(-fyd_cc,MIN(fyd_cc,Es_cc*IF($E383&lt;=cc_D,0.0035*($E383-X$18)/$E383,0.002*($E383-X$18)/($E383-3*cc_D/7))))-fcd_cc*(1-(1-MAX(0,MIN(1,IF($E383&lt;=cc_D,0.0035*($E383-X$18)/$E383,0.002*($E383-X$18)/($E383-3*cc_D/7))/0.002)))^2)</f>
        <v/>
      </c>
      <c r="Y383">
        <f>MAX(-fyd_cc,MIN(fyd_cc,Es_cc*IF($E383&lt;=cc_D,0.0035*($E383-Y$18)/$E383,0.002*($E383-Y$18)/($E383-3*cc_D/7))))-fcd_cc*(1-(1-MAX(0,MIN(1,IF($E383&lt;=cc_D,0.0035*($E383-Y$18)/$E383,0.002*($E383-Y$18)/($E383-3*cc_D/7))/0.002)))^2)</f>
        <v/>
      </c>
      <c r="Z383">
        <f>MAX(-fyd_cc,MIN(fyd_cc,Es_cc*IF($E383&lt;=cc_D,0.0035*($E383-Z$18)/$E383,0.002*($E383-Z$18)/($E383-3*cc_D/7))))-fcd_cc*(1-(1-MAX(0,MIN(1,IF($E383&lt;=cc_D,0.0035*($E383-Z$18)/$E383,0.002*($E383-Z$18)/($E383-3*cc_D/7))/0.002)))^2)</f>
        <v/>
      </c>
      <c r="AA383">
        <f>MAX(-fyd_cc,MIN(fyd_cc,Es_cc*IF($E383&lt;=cc_D,0.0035*($E383-AA$18)/$E383,0.002*($E383-AA$18)/($E383-3*cc_D/7))))-fcd_cc*(1-(1-MAX(0,MIN(1,IF($E383&lt;=cc_D,0.0035*($E383-AA$18)/$E383,0.002*($E383-AA$18)/($E383-3*cc_D/7))/0.002)))^2)</f>
        <v/>
      </c>
      <c r="AB383">
        <f>MAX(-fyd_cc,MIN(fyd_cc,Es_cc*IF($E383&lt;=cc_D,0.0035*($E383-AB$18)/$E383,0.002*($E383-AB$18)/($E383-3*cc_D/7))))-fcd_cc*(1-(1-MAX(0,MIN(1,IF($E383&lt;=cc_D,0.0035*($E383-AB$18)/$E383,0.002*($E383-AB$18)/($E383-3*cc_D/7))/0.002)))^2)</f>
        <v/>
      </c>
      <c r="AC383">
        <f>MAX(-fyd_cc,MIN(fyd_cc,Es_cc*IF($E383&lt;=cc_D,0.0035*($E383-AC$18)/$E383,0.002*($E383-AC$18)/($E383-3*cc_D/7))))-fcd_cc*(1-(1-MAX(0,MIN(1,IF($E383&lt;=cc_D,0.0035*($E383-AC$18)/$E383,0.002*($E383-AC$18)/($E383-3*cc_D/7))/0.002)))^2)</f>
        <v/>
      </c>
      <c r="AD383">
        <f>MAX(-fyd_cc,MIN(fyd_cc,Es_cc*IF($E383&lt;=cc_D,0.0035*($E383-AD$18)/$E383,0.002*($E383-AD$18)/($E383-3*cc_D/7))))-fcd_cc*(1-(1-MAX(0,MIN(1,IF($E383&lt;=cc_D,0.0035*($E383-AD$18)/$E383,0.002*($E383-AD$18)/($E383-3*cc_D/7))/0.002)))^2)</f>
        <v/>
      </c>
      <c r="AE383">
        <f>MAX(-fyd_cc,MIN(fyd_cc,Es_cc*IF($E383&lt;=cc_D,0.0035*($E383-AE$18)/$E383,0.002*($E383-AE$18)/($E383-3*cc_D/7))))-fcd_cc*(1-(1-MAX(0,MIN(1,IF($E383&lt;=cc_D,0.0035*($E383-AE$18)/$E383,0.002*($E383-AE$18)/($E383-3*cc_D/7))/0.002)))^2)</f>
        <v/>
      </c>
      <c r="AF383">
        <f>MAX(-fyd_cc,MIN(fyd_cc,Es_cc*IF($E383&lt;=cc_D,0.0035*($E383-AF$18)/$E383,0.002*($E383-AF$18)/($E383-3*cc_D/7))))-fcd_cc*(1-(1-MAX(0,MIN(1,IF($E383&lt;=cc_D,0.0035*($E383-AF$18)/$E383,0.002*($E383-AF$18)/($E383-3*cc_D/7))/0.002)))^2)</f>
        <v/>
      </c>
      <c r="AG383">
        <f>MAX(-fyd_cc,MIN(fyd_cc,Es_cc*IF($E383&lt;=cc_D,0.0035*($E383-AG$18)/$E383,0.002*($E383-AG$18)/($E383-3*cc_D/7))))-fcd_cc*(1-(1-MAX(0,MIN(1,IF($E383&lt;=cc_D,0.0035*($E383-AG$18)/$E383,0.002*($E383-AG$18)/($E383-3*cc_D/7))/0.002)))^2)</f>
        <v/>
      </c>
      <c r="BF383">
        <f>3*MIN($E383,cc_D)/7</f>
        <v/>
      </c>
      <c r="BG383">
        <f>$E383-$BF383</f>
        <v/>
      </c>
      <c r="BH383">
        <f>ACOS(MAX(-1,MIN(1,1-$BF383/(cc_D/2))))</f>
        <v/>
      </c>
      <c r="BI383">
        <f>ACOS(MAX(-1,MIN(1,1-MIN($E383,cc_D)/(cc_D/2))))</f>
        <v/>
      </c>
      <c r="BJ383">
        <f>((cc_D/2*(1-COS(($BH383+0*($BI383-$BH383)/12)))-$BF383)/$BG383)^2*SIN(($BH383+0*($BI383-$BH383)/12))^2</f>
        <v/>
      </c>
      <c r="BK383">
        <f>((cc_D/2*(1-COS(($BH383+1*($BI383-$BH383)/12)))-$BF383)/$BG383)^2*SIN(($BH383+1*($BI383-$BH383)/12))^2</f>
        <v/>
      </c>
      <c r="BL383">
        <f>((cc_D/2*(1-COS(($BH383+2*($BI383-$BH383)/12)))-$BF383)/$BG383)^2*SIN(($BH383+2*($BI383-$BH383)/12))^2</f>
        <v/>
      </c>
      <c r="BM383">
        <f>((cc_D/2*(1-COS(($BH383+3*($BI383-$BH383)/12)))-$BF383)/$BG383)^2*SIN(($BH383+3*($BI383-$BH383)/12))^2</f>
        <v/>
      </c>
      <c r="BN383">
        <f>((cc_D/2*(1-COS(($BH383+4*($BI383-$BH383)/12)))-$BF383)/$BG383)^2*SIN(($BH383+4*($BI383-$BH383)/12))^2</f>
        <v/>
      </c>
      <c r="BO383">
        <f>((cc_D/2*(1-COS(($BH383+5*($BI383-$BH383)/12)))-$BF383)/$BG383)^2*SIN(($BH383+5*($BI383-$BH383)/12))^2</f>
        <v/>
      </c>
      <c r="BP383">
        <f>((cc_D/2*(1-COS(($BH383+6*($BI383-$BH383)/12)))-$BF383)/$BG383)^2*SIN(($BH383+6*($BI383-$BH383)/12))^2</f>
        <v/>
      </c>
      <c r="BQ383">
        <f>((cc_D/2*(1-COS(($BH383+7*($BI383-$BH383)/12)))-$BF383)/$BG383)^2*SIN(($BH383+7*($BI383-$BH383)/12))^2</f>
        <v/>
      </c>
      <c r="BR383">
        <f>((cc_D/2*(1-COS(($BH383+8*($BI383-$BH383)/12)))-$BF383)/$BG383)^2*SIN(($BH383+8*($BI383-$BH383)/12))^2</f>
        <v/>
      </c>
      <c r="BS383">
        <f>((cc_D/2*(1-COS(($BH383+9*($BI383-$BH383)/12)))-$BF383)/$BG383)^2*SIN(($BH383+9*($BI383-$BH383)/12))^2</f>
        <v/>
      </c>
      <c r="BT383">
        <f>((cc_D/2*(1-COS(($BH383+10*($BI383-$BH383)/12)))-$BF383)/$BG383)^2*SIN(($BH383+10*($BI383-$BH383)/12))^2</f>
        <v/>
      </c>
      <c r="BU383">
        <f>((cc_D/2*(1-COS(($BH383+11*($BI383-$BH383)/12)))-$BF383)/$BG383)^2*SIN(($BH383+11*($BI383-$BH383)/12))^2</f>
        <v/>
      </c>
      <c r="BV383">
        <f>((cc_D/2*(1-COS(($BH383+12*($BI383-$BH383)/12)))-$BF383)/$BG383)^2*SIN(($BH383+12*($BI383-$BH383)/12))^2</f>
        <v/>
      </c>
      <c r="BW383">
        <f>BJ383*COS(($BH383+0*($BI383-$BH383)/12))</f>
        <v/>
      </c>
      <c r="BX383">
        <f>BK383*COS(($BH383+1*($BI383-$BH383)/12))</f>
        <v/>
      </c>
      <c r="BY383">
        <f>BL383*COS(($BH383+2*($BI383-$BH383)/12))</f>
        <v/>
      </c>
      <c r="BZ383">
        <f>BM383*COS(($BH383+3*($BI383-$BH383)/12))</f>
        <v/>
      </c>
      <c r="CA383">
        <f>BN383*COS(($BH383+4*($BI383-$BH383)/12))</f>
        <v/>
      </c>
      <c r="CB383">
        <f>BO383*COS(($BH383+5*($BI383-$BH383)/12))</f>
        <v/>
      </c>
      <c r="CC383">
        <f>BP383*COS(($BH383+6*($BI383-$BH383)/12))</f>
        <v/>
      </c>
      <c r="CD383">
        <f>BQ383*COS(($BH383+7*($BI383-$BH383)/12))</f>
        <v/>
      </c>
      <c r="CE383">
        <f>BR383*COS(($BH383+8*($BI383-$BH383)/12))</f>
        <v/>
      </c>
      <c r="CF383">
        <f>BS383*COS(($BH383+9*($BI383-$BH383)/12))</f>
        <v/>
      </c>
      <c r="CG383">
        <f>BT383*COS(($BH383+10*($BI383-$BH383)/12))</f>
        <v/>
      </c>
      <c r="CH383">
        <f>BU383*COS(($BH383+11*($BI383-$BH383)/12))</f>
        <v/>
      </c>
      <c r="CI383">
        <f>BV383*COS(($BH383+12*($BI383-$BH383)/12))</f>
        <v/>
      </c>
    </row>
    <row r="384">
      <c r="B384" s="65" t="n">
        <v>43</v>
      </c>
      <c r="C384" s="66">
        <f>IF($G383&lt;cc_NEd-1E-9*ABS(cc_NEd),($C383+$D383)/2,$C383)</f>
        <v/>
      </c>
      <c r="D384" s="66">
        <f>IF($G383&lt;cc_NEd-1E-9*ABS(cc_NEd),$D383,($C383+$D383)/2)</f>
        <v/>
      </c>
      <c r="E384" s="67">
        <f>cc_D*(($C384+$D384)/2)/(1-(($C384+$D384)/2))</f>
        <v/>
      </c>
      <c r="F384" s="68">
        <f>IF($E384&lt;=cc_D,3.5,2*$E384/($E384-3*cc_D/7))</f>
        <v/>
      </c>
      <c r="G384" s="67">
        <f>(fcd_cc*((cc_D/2)^2*($BI384-COS($BI384)*SIN($BI384))-2*(cc_D/2)^2*($BI384-$BH384)/12/3*SUMPRODUCT($BJ$4:$BV$4,$BJ384:$BV384))+SUMPRODUCT($J$5:$AG$5,$J384:$AG384))/1000</f>
        <v/>
      </c>
      <c r="H384" s="67">
        <f>(fcd_cc*(2/3*(cc_D/2)^3*SIN($BI384)^3-2*(cc_D/2)^3*($BI384-$BH384)/12/3*SUMPRODUCT($BW$4:$CI$4,$BW384:$CI384))+SUMPRODUCT($J$5:$AG$5,$J384:$AG384,$J$19:$AG$19))/1E6</f>
        <v/>
      </c>
      <c r="I384" s="67">
        <f>SUMPRODUCT($J$5:$AG$5,$J384:$AG384,$J$20:$AG$20)/1E6</f>
        <v/>
      </c>
      <c r="J384">
        <f>MAX(-fyd_cc,MIN(fyd_cc,Es_cc*IF($E384&lt;=cc_D,0.0035*($E384-J$18)/$E384,0.002*($E384-J$18)/($E384-3*cc_D/7))))-fcd_cc*(1-(1-MAX(0,MIN(1,IF($E384&lt;=cc_D,0.0035*($E384-J$18)/$E384,0.002*($E384-J$18)/($E384-3*cc_D/7))/0.002)))^2)</f>
        <v/>
      </c>
      <c r="K384">
        <f>MAX(-fyd_cc,MIN(fyd_cc,Es_cc*IF($E384&lt;=cc_D,0.0035*($E384-K$18)/$E384,0.002*($E384-K$18)/($E384-3*cc_D/7))))-fcd_cc*(1-(1-MAX(0,MIN(1,IF($E384&lt;=cc_D,0.0035*($E384-K$18)/$E384,0.002*($E384-K$18)/($E384-3*cc_D/7))/0.002)))^2)</f>
        <v/>
      </c>
      <c r="L384">
        <f>MAX(-fyd_cc,MIN(fyd_cc,Es_cc*IF($E384&lt;=cc_D,0.0035*($E384-L$18)/$E384,0.002*($E384-L$18)/($E384-3*cc_D/7))))-fcd_cc*(1-(1-MAX(0,MIN(1,IF($E384&lt;=cc_D,0.0035*($E384-L$18)/$E384,0.002*($E384-L$18)/($E384-3*cc_D/7))/0.002)))^2)</f>
        <v/>
      </c>
      <c r="M384">
        <f>MAX(-fyd_cc,MIN(fyd_cc,Es_cc*IF($E384&lt;=cc_D,0.0035*($E384-M$18)/$E384,0.002*($E384-M$18)/($E384-3*cc_D/7))))-fcd_cc*(1-(1-MAX(0,MIN(1,IF($E384&lt;=cc_D,0.0035*($E384-M$18)/$E384,0.002*($E384-M$18)/($E384-3*cc_D/7))/0.002)))^2)</f>
        <v/>
      </c>
      <c r="N384">
        <f>MAX(-fyd_cc,MIN(fyd_cc,Es_cc*IF($E384&lt;=cc_D,0.0035*($E384-N$18)/$E384,0.002*($E384-N$18)/($E384-3*cc_D/7))))-fcd_cc*(1-(1-MAX(0,MIN(1,IF($E384&lt;=cc_D,0.0035*($E384-N$18)/$E384,0.002*($E384-N$18)/($E384-3*cc_D/7))/0.002)))^2)</f>
        <v/>
      </c>
      <c r="O384">
        <f>MAX(-fyd_cc,MIN(fyd_cc,Es_cc*IF($E384&lt;=cc_D,0.0035*($E384-O$18)/$E384,0.002*($E384-O$18)/($E384-3*cc_D/7))))-fcd_cc*(1-(1-MAX(0,MIN(1,IF($E384&lt;=cc_D,0.0035*($E384-O$18)/$E384,0.002*($E384-O$18)/($E384-3*cc_D/7))/0.002)))^2)</f>
        <v/>
      </c>
      <c r="P384">
        <f>MAX(-fyd_cc,MIN(fyd_cc,Es_cc*IF($E384&lt;=cc_D,0.0035*($E384-P$18)/$E384,0.002*($E384-P$18)/($E384-3*cc_D/7))))-fcd_cc*(1-(1-MAX(0,MIN(1,IF($E384&lt;=cc_D,0.0035*($E384-P$18)/$E384,0.002*($E384-P$18)/($E384-3*cc_D/7))/0.002)))^2)</f>
        <v/>
      </c>
      <c r="Q384">
        <f>MAX(-fyd_cc,MIN(fyd_cc,Es_cc*IF($E384&lt;=cc_D,0.0035*($E384-Q$18)/$E384,0.002*($E384-Q$18)/($E384-3*cc_D/7))))-fcd_cc*(1-(1-MAX(0,MIN(1,IF($E384&lt;=cc_D,0.0035*($E384-Q$18)/$E384,0.002*($E384-Q$18)/($E384-3*cc_D/7))/0.002)))^2)</f>
        <v/>
      </c>
      <c r="R384">
        <f>MAX(-fyd_cc,MIN(fyd_cc,Es_cc*IF($E384&lt;=cc_D,0.0035*($E384-R$18)/$E384,0.002*($E384-R$18)/($E384-3*cc_D/7))))-fcd_cc*(1-(1-MAX(0,MIN(1,IF($E384&lt;=cc_D,0.0035*($E384-R$18)/$E384,0.002*($E384-R$18)/($E384-3*cc_D/7))/0.002)))^2)</f>
        <v/>
      </c>
      <c r="S384">
        <f>MAX(-fyd_cc,MIN(fyd_cc,Es_cc*IF($E384&lt;=cc_D,0.0035*($E384-S$18)/$E384,0.002*($E384-S$18)/($E384-3*cc_D/7))))-fcd_cc*(1-(1-MAX(0,MIN(1,IF($E384&lt;=cc_D,0.0035*($E384-S$18)/$E384,0.002*($E384-S$18)/($E384-3*cc_D/7))/0.002)))^2)</f>
        <v/>
      </c>
      <c r="T384">
        <f>MAX(-fyd_cc,MIN(fyd_cc,Es_cc*IF($E384&lt;=cc_D,0.0035*($E384-T$18)/$E384,0.002*($E384-T$18)/($E384-3*cc_D/7))))-fcd_cc*(1-(1-MAX(0,MIN(1,IF($E384&lt;=cc_D,0.0035*($E384-T$18)/$E384,0.002*($E384-T$18)/($E384-3*cc_D/7))/0.002)))^2)</f>
        <v/>
      </c>
      <c r="U384">
        <f>MAX(-fyd_cc,MIN(fyd_cc,Es_cc*IF($E384&lt;=cc_D,0.0035*($E384-U$18)/$E384,0.002*($E384-U$18)/($E384-3*cc_D/7))))-fcd_cc*(1-(1-MAX(0,MIN(1,IF($E384&lt;=cc_D,0.0035*($E384-U$18)/$E384,0.002*($E384-U$18)/($E384-3*cc_D/7))/0.002)))^2)</f>
        <v/>
      </c>
      <c r="V384">
        <f>MAX(-fyd_cc,MIN(fyd_cc,Es_cc*IF($E384&lt;=cc_D,0.0035*($E384-V$18)/$E384,0.002*($E384-V$18)/($E384-3*cc_D/7))))-fcd_cc*(1-(1-MAX(0,MIN(1,IF($E384&lt;=cc_D,0.0035*($E384-V$18)/$E384,0.002*($E384-V$18)/($E384-3*cc_D/7))/0.002)))^2)</f>
        <v/>
      </c>
      <c r="W384">
        <f>MAX(-fyd_cc,MIN(fyd_cc,Es_cc*IF($E384&lt;=cc_D,0.0035*($E384-W$18)/$E384,0.002*($E384-W$18)/($E384-3*cc_D/7))))-fcd_cc*(1-(1-MAX(0,MIN(1,IF($E384&lt;=cc_D,0.0035*($E384-W$18)/$E384,0.002*($E384-W$18)/($E384-3*cc_D/7))/0.002)))^2)</f>
        <v/>
      </c>
      <c r="X384">
        <f>MAX(-fyd_cc,MIN(fyd_cc,Es_cc*IF($E384&lt;=cc_D,0.0035*($E384-X$18)/$E384,0.002*($E384-X$18)/($E384-3*cc_D/7))))-fcd_cc*(1-(1-MAX(0,MIN(1,IF($E384&lt;=cc_D,0.0035*($E384-X$18)/$E384,0.002*($E384-X$18)/($E384-3*cc_D/7))/0.002)))^2)</f>
        <v/>
      </c>
      <c r="Y384">
        <f>MAX(-fyd_cc,MIN(fyd_cc,Es_cc*IF($E384&lt;=cc_D,0.0035*($E384-Y$18)/$E384,0.002*($E384-Y$18)/($E384-3*cc_D/7))))-fcd_cc*(1-(1-MAX(0,MIN(1,IF($E384&lt;=cc_D,0.0035*($E384-Y$18)/$E384,0.002*($E384-Y$18)/($E384-3*cc_D/7))/0.002)))^2)</f>
        <v/>
      </c>
      <c r="Z384">
        <f>MAX(-fyd_cc,MIN(fyd_cc,Es_cc*IF($E384&lt;=cc_D,0.0035*($E384-Z$18)/$E384,0.002*($E384-Z$18)/($E384-3*cc_D/7))))-fcd_cc*(1-(1-MAX(0,MIN(1,IF($E384&lt;=cc_D,0.0035*($E384-Z$18)/$E384,0.002*($E384-Z$18)/($E384-3*cc_D/7))/0.002)))^2)</f>
        <v/>
      </c>
      <c r="AA384">
        <f>MAX(-fyd_cc,MIN(fyd_cc,Es_cc*IF($E384&lt;=cc_D,0.0035*($E384-AA$18)/$E384,0.002*($E384-AA$18)/($E384-3*cc_D/7))))-fcd_cc*(1-(1-MAX(0,MIN(1,IF($E384&lt;=cc_D,0.0035*($E384-AA$18)/$E384,0.002*($E384-AA$18)/($E384-3*cc_D/7))/0.002)))^2)</f>
        <v/>
      </c>
      <c r="AB384">
        <f>MAX(-fyd_cc,MIN(fyd_cc,Es_cc*IF($E384&lt;=cc_D,0.0035*($E384-AB$18)/$E384,0.002*($E384-AB$18)/($E384-3*cc_D/7))))-fcd_cc*(1-(1-MAX(0,MIN(1,IF($E384&lt;=cc_D,0.0035*($E384-AB$18)/$E384,0.002*($E384-AB$18)/($E384-3*cc_D/7))/0.002)))^2)</f>
        <v/>
      </c>
      <c r="AC384">
        <f>MAX(-fyd_cc,MIN(fyd_cc,Es_cc*IF($E384&lt;=cc_D,0.0035*($E384-AC$18)/$E384,0.002*($E384-AC$18)/($E384-3*cc_D/7))))-fcd_cc*(1-(1-MAX(0,MIN(1,IF($E384&lt;=cc_D,0.0035*($E384-AC$18)/$E384,0.002*($E384-AC$18)/($E384-3*cc_D/7))/0.002)))^2)</f>
        <v/>
      </c>
      <c r="AD384">
        <f>MAX(-fyd_cc,MIN(fyd_cc,Es_cc*IF($E384&lt;=cc_D,0.0035*($E384-AD$18)/$E384,0.002*($E384-AD$18)/($E384-3*cc_D/7))))-fcd_cc*(1-(1-MAX(0,MIN(1,IF($E384&lt;=cc_D,0.0035*($E384-AD$18)/$E384,0.002*($E384-AD$18)/($E384-3*cc_D/7))/0.002)))^2)</f>
        <v/>
      </c>
      <c r="AE384">
        <f>MAX(-fyd_cc,MIN(fyd_cc,Es_cc*IF($E384&lt;=cc_D,0.0035*($E384-AE$18)/$E384,0.002*($E384-AE$18)/($E384-3*cc_D/7))))-fcd_cc*(1-(1-MAX(0,MIN(1,IF($E384&lt;=cc_D,0.0035*($E384-AE$18)/$E384,0.002*($E384-AE$18)/($E384-3*cc_D/7))/0.002)))^2)</f>
        <v/>
      </c>
      <c r="AF384">
        <f>MAX(-fyd_cc,MIN(fyd_cc,Es_cc*IF($E384&lt;=cc_D,0.0035*($E384-AF$18)/$E384,0.002*($E384-AF$18)/($E384-3*cc_D/7))))-fcd_cc*(1-(1-MAX(0,MIN(1,IF($E384&lt;=cc_D,0.0035*($E384-AF$18)/$E384,0.002*($E384-AF$18)/($E384-3*cc_D/7))/0.002)))^2)</f>
        <v/>
      </c>
      <c r="AG384">
        <f>MAX(-fyd_cc,MIN(fyd_cc,Es_cc*IF($E384&lt;=cc_D,0.0035*($E384-AG$18)/$E384,0.002*($E384-AG$18)/($E384-3*cc_D/7))))-fcd_cc*(1-(1-MAX(0,MIN(1,IF($E384&lt;=cc_D,0.0035*($E384-AG$18)/$E384,0.002*($E384-AG$18)/($E384-3*cc_D/7))/0.002)))^2)</f>
        <v/>
      </c>
      <c r="BF384">
        <f>3*MIN($E384,cc_D)/7</f>
        <v/>
      </c>
      <c r="BG384">
        <f>$E384-$BF384</f>
        <v/>
      </c>
      <c r="BH384">
        <f>ACOS(MAX(-1,MIN(1,1-$BF384/(cc_D/2))))</f>
        <v/>
      </c>
      <c r="BI384">
        <f>ACOS(MAX(-1,MIN(1,1-MIN($E384,cc_D)/(cc_D/2))))</f>
        <v/>
      </c>
      <c r="BJ384">
        <f>((cc_D/2*(1-COS(($BH384+0*($BI384-$BH384)/12)))-$BF384)/$BG384)^2*SIN(($BH384+0*($BI384-$BH384)/12))^2</f>
        <v/>
      </c>
      <c r="BK384">
        <f>((cc_D/2*(1-COS(($BH384+1*($BI384-$BH384)/12)))-$BF384)/$BG384)^2*SIN(($BH384+1*($BI384-$BH384)/12))^2</f>
        <v/>
      </c>
      <c r="BL384">
        <f>((cc_D/2*(1-COS(($BH384+2*($BI384-$BH384)/12)))-$BF384)/$BG384)^2*SIN(($BH384+2*($BI384-$BH384)/12))^2</f>
        <v/>
      </c>
      <c r="BM384">
        <f>((cc_D/2*(1-COS(($BH384+3*($BI384-$BH384)/12)))-$BF384)/$BG384)^2*SIN(($BH384+3*($BI384-$BH384)/12))^2</f>
        <v/>
      </c>
      <c r="BN384">
        <f>((cc_D/2*(1-COS(($BH384+4*($BI384-$BH384)/12)))-$BF384)/$BG384)^2*SIN(($BH384+4*($BI384-$BH384)/12))^2</f>
        <v/>
      </c>
      <c r="BO384">
        <f>((cc_D/2*(1-COS(($BH384+5*($BI384-$BH384)/12)))-$BF384)/$BG384)^2*SIN(($BH384+5*($BI384-$BH384)/12))^2</f>
        <v/>
      </c>
      <c r="BP384">
        <f>((cc_D/2*(1-COS(($BH384+6*($BI384-$BH384)/12)))-$BF384)/$BG384)^2*SIN(($BH384+6*($BI384-$BH384)/12))^2</f>
        <v/>
      </c>
      <c r="BQ384">
        <f>((cc_D/2*(1-COS(($BH384+7*($BI384-$BH384)/12)))-$BF384)/$BG384)^2*SIN(($BH384+7*($BI384-$BH384)/12))^2</f>
        <v/>
      </c>
      <c r="BR384">
        <f>((cc_D/2*(1-COS(($BH384+8*($BI384-$BH384)/12)))-$BF384)/$BG384)^2*SIN(($BH384+8*($BI384-$BH384)/12))^2</f>
        <v/>
      </c>
      <c r="BS384">
        <f>((cc_D/2*(1-COS(($BH384+9*($BI384-$BH384)/12)))-$BF384)/$BG384)^2*SIN(($BH384+9*($BI384-$BH384)/12))^2</f>
        <v/>
      </c>
      <c r="BT384">
        <f>((cc_D/2*(1-COS(($BH384+10*($BI384-$BH384)/12)))-$BF384)/$BG384)^2*SIN(($BH384+10*($BI384-$BH384)/12))^2</f>
        <v/>
      </c>
      <c r="BU384">
        <f>((cc_D/2*(1-COS(($BH384+11*($BI384-$BH384)/12)))-$BF384)/$BG384)^2*SIN(($BH384+11*($BI384-$BH384)/12))^2</f>
        <v/>
      </c>
      <c r="BV384">
        <f>((cc_D/2*(1-COS(($BH384+12*($BI384-$BH384)/12)))-$BF384)/$BG384)^2*SIN(($BH384+12*($BI384-$BH384)/12))^2</f>
        <v/>
      </c>
      <c r="BW384">
        <f>BJ384*COS(($BH384+0*($BI384-$BH384)/12))</f>
        <v/>
      </c>
      <c r="BX384">
        <f>BK384*COS(($BH384+1*($BI384-$BH384)/12))</f>
        <v/>
      </c>
      <c r="BY384">
        <f>BL384*COS(($BH384+2*($BI384-$BH384)/12))</f>
        <v/>
      </c>
      <c r="BZ384">
        <f>BM384*COS(($BH384+3*($BI384-$BH384)/12))</f>
        <v/>
      </c>
      <c r="CA384">
        <f>BN384*COS(($BH384+4*($BI384-$BH384)/12))</f>
        <v/>
      </c>
      <c r="CB384">
        <f>BO384*COS(($BH384+5*($BI384-$BH384)/12))</f>
        <v/>
      </c>
      <c r="CC384">
        <f>BP384*COS(($BH384+6*($BI384-$BH384)/12))</f>
        <v/>
      </c>
      <c r="CD384">
        <f>BQ384*COS(($BH384+7*($BI384-$BH384)/12))</f>
        <v/>
      </c>
      <c r="CE384">
        <f>BR384*COS(($BH384+8*($BI384-$BH384)/12))</f>
        <v/>
      </c>
      <c r="CF384">
        <f>BS384*COS(($BH384+9*($BI384-$BH384)/12))</f>
        <v/>
      </c>
      <c r="CG384">
        <f>BT384*COS(($BH384+10*($BI384-$BH384)/12))</f>
        <v/>
      </c>
      <c r="CH384">
        <f>BU384*COS(($BH384+11*($BI384-$BH384)/12))</f>
        <v/>
      </c>
      <c r="CI384">
        <f>BV384*COS(($BH384+12*($BI384-$BH384)/12))</f>
        <v/>
      </c>
    </row>
    <row r="385">
      <c r="B385" s="65" t="n">
        <v>44</v>
      </c>
      <c r="C385" s="66">
        <f>IF($G384&lt;cc_NEd-1E-9*ABS(cc_NEd),($C384+$D384)/2,$C384)</f>
        <v/>
      </c>
      <c r="D385" s="66">
        <f>IF($G384&lt;cc_NEd-1E-9*ABS(cc_NEd),$D384,($C384+$D384)/2)</f>
        <v/>
      </c>
      <c r="E385" s="67">
        <f>cc_D*(($C385+$D385)/2)/(1-(($C385+$D385)/2))</f>
        <v/>
      </c>
      <c r="F385" s="68">
        <f>IF($E385&lt;=cc_D,3.5,2*$E385/($E385-3*cc_D/7))</f>
        <v/>
      </c>
      <c r="G385" s="67">
        <f>(fcd_cc*((cc_D/2)^2*($BI385-COS($BI385)*SIN($BI385))-2*(cc_D/2)^2*($BI385-$BH385)/12/3*SUMPRODUCT($BJ$4:$BV$4,$BJ385:$BV385))+SUMPRODUCT($J$5:$AG$5,$J385:$AG385))/1000</f>
        <v/>
      </c>
      <c r="H385" s="67">
        <f>(fcd_cc*(2/3*(cc_D/2)^3*SIN($BI385)^3-2*(cc_D/2)^3*($BI385-$BH385)/12/3*SUMPRODUCT($BW$4:$CI$4,$BW385:$CI385))+SUMPRODUCT($J$5:$AG$5,$J385:$AG385,$J$19:$AG$19))/1E6</f>
        <v/>
      </c>
      <c r="I385" s="67">
        <f>SUMPRODUCT($J$5:$AG$5,$J385:$AG385,$J$20:$AG$20)/1E6</f>
        <v/>
      </c>
      <c r="J385">
        <f>MAX(-fyd_cc,MIN(fyd_cc,Es_cc*IF($E385&lt;=cc_D,0.0035*($E385-J$18)/$E385,0.002*($E385-J$18)/($E385-3*cc_D/7))))-fcd_cc*(1-(1-MAX(0,MIN(1,IF($E385&lt;=cc_D,0.0035*($E385-J$18)/$E385,0.002*($E385-J$18)/($E385-3*cc_D/7))/0.002)))^2)</f>
        <v/>
      </c>
      <c r="K385">
        <f>MAX(-fyd_cc,MIN(fyd_cc,Es_cc*IF($E385&lt;=cc_D,0.0035*($E385-K$18)/$E385,0.002*($E385-K$18)/($E385-3*cc_D/7))))-fcd_cc*(1-(1-MAX(0,MIN(1,IF($E385&lt;=cc_D,0.0035*($E385-K$18)/$E385,0.002*($E385-K$18)/($E385-3*cc_D/7))/0.002)))^2)</f>
        <v/>
      </c>
      <c r="L385">
        <f>MAX(-fyd_cc,MIN(fyd_cc,Es_cc*IF($E385&lt;=cc_D,0.0035*($E385-L$18)/$E385,0.002*($E385-L$18)/($E385-3*cc_D/7))))-fcd_cc*(1-(1-MAX(0,MIN(1,IF($E385&lt;=cc_D,0.0035*($E385-L$18)/$E385,0.002*($E385-L$18)/($E385-3*cc_D/7))/0.002)))^2)</f>
        <v/>
      </c>
      <c r="M385">
        <f>MAX(-fyd_cc,MIN(fyd_cc,Es_cc*IF($E385&lt;=cc_D,0.0035*($E385-M$18)/$E385,0.002*($E385-M$18)/($E385-3*cc_D/7))))-fcd_cc*(1-(1-MAX(0,MIN(1,IF($E385&lt;=cc_D,0.0035*($E385-M$18)/$E385,0.002*($E385-M$18)/($E385-3*cc_D/7))/0.002)))^2)</f>
        <v/>
      </c>
      <c r="N385">
        <f>MAX(-fyd_cc,MIN(fyd_cc,Es_cc*IF($E385&lt;=cc_D,0.0035*($E385-N$18)/$E385,0.002*($E385-N$18)/($E385-3*cc_D/7))))-fcd_cc*(1-(1-MAX(0,MIN(1,IF($E385&lt;=cc_D,0.0035*($E385-N$18)/$E385,0.002*($E385-N$18)/($E385-3*cc_D/7))/0.002)))^2)</f>
        <v/>
      </c>
      <c r="O385">
        <f>MAX(-fyd_cc,MIN(fyd_cc,Es_cc*IF($E385&lt;=cc_D,0.0035*($E385-O$18)/$E385,0.002*($E385-O$18)/($E385-3*cc_D/7))))-fcd_cc*(1-(1-MAX(0,MIN(1,IF($E385&lt;=cc_D,0.0035*($E385-O$18)/$E385,0.002*($E385-O$18)/($E385-3*cc_D/7))/0.002)))^2)</f>
        <v/>
      </c>
      <c r="P385">
        <f>MAX(-fyd_cc,MIN(fyd_cc,Es_cc*IF($E385&lt;=cc_D,0.0035*($E385-P$18)/$E385,0.002*($E385-P$18)/($E385-3*cc_D/7))))-fcd_cc*(1-(1-MAX(0,MIN(1,IF($E385&lt;=cc_D,0.0035*($E385-P$18)/$E385,0.002*($E385-P$18)/($E385-3*cc_D/7))/0.002)))^2)</f>
        <v/>
      </c>
      <c r="Q385">
        <f>MAX(-fyd_cc,MIN(fyd_cc,Es_cc*IF($E385&lt;=cc_D,0.0035*($E385-Q$18)/$E385,0.002*($E385-Q$18)/($E385-3*cc_D/7))))-fcd_cc*(1-(1-MAX(0,MIN(1,IF($E385&lt;=cc_D,0.0035*($E385-Q$18)/$E385,0.002*($E385-Q$18)/($E385-3*cc_D/7))/0.002)))^2)</f>
        <v/>
      </c>
      <c r="R385">
        <f>MAX(-fyd_cc,MIN(fyd_cc,Es_cc*IF($E385&lt;=cc_D,0.0035*($E385-R$18)/$E385,0.002*($E385-R$18)/($E385-3*cc_D/7))))-fcd_cc*(1-(1-MAX(0,MIN(1,IF($E385&lt;=cc_D,0.0035*($E385-R$18)/$E385,0.002*($E385-R$18)/($E385-3*cc_D/7))/0.002)))^2)</f>
        <v/>
      </c>
      <c r="S385">
        <f>MAX(-fyd_cc,MIN(fyd_cc,Es_cc*IF($E385&lt;=cc_D,0.0035*($E385-S$18)/$E385,0.002*($E385-S$18)/($E385-3*cc_D/7))))-fcd_cc*(1-(1-MAX(0,MIN(1,IF($E385&lt;=cc_D,0.0035*($E385-S$18)/$E385,0.002*($E385-S$18)/($E385-3*cc_D/7))/0.002)))^2)</f>
        <v/>
      </c>
      <c r="T385">
        <f>MAX(-fyd_cc,MIN(fyd_cc,Es_cc*IF($E385&lt;=cc_D,0.0035*($E385-T$18)/$E385,0.002*($E385-T$18)/($E385-3*cc_D/7))))-fcd_cc*(1-(1-MAX(0,MIN(1,IF($E385&lt;=cc_D,0.0035*($E385-T$18)/$E385,0.002*($E385-T$18)/($E385-3*cc_D/7))/0.002)))^2)</f>
        <v/>
      </c>
      <c r="U385">
        <f>MAX(-fyd_cc,MIN(fyd_cc,Es_cc*IF($E385&lt;=cc_D,0.0035*($E385-U$18)/$E385,0.002*($E385-U$18)/($E385-3*cc_D/7))))-fcd_cc*(1-(1-MAX(0,MIN(1,IF($E385&lt;=cc_D,0.0035*($E385-U$18)/$E385,0.002*($E385-U$18)/($E385-3*cc_D/7))/0.002)))^2)</f>
        <v/>
      </c>
      <c r="V385">
        <f>MAX(-fyd_cc,MIN(fyd_cc,Es_cc*IF($E385&lt;=cc_D,0.0035*($E385-V$18)/$E385,0.002*($E385-V$18)/($E385-3*cc_D/7))))-fcd_cc*(1-(1-MAX(0,MIN(1,IF($E385&lt;=cc_D,0.0035*($E385-V$18)/$E385,0.002*($E385-V$18)/($E385-3*cc_D/7))/0.002)))^2)</f>
        <v/>
      </c>
      <c r="W385">
        <f>MAX(-fyd_cc,MIN(fyd_cc,Es_cc*IF($E385&lt;=cc_D,0.0035*($E385-W$18)/$E385,0.002*($E385-W$18)/($E385-3*cc_D/7))))-fcd_cc*(1-(1-MAX(0,MIN(1,IF($E385&lt;=cc_D,0.0035*($E385-W$18)/$E385,0.002*($E385-W$18)/($E385-3*cc_D/7))/0.002)))^2)</f>
        <v/>
      </c>
      <c r="X385">
        <f>MAX(-fyd_cc,MIN(fyd_cc,Es_cc*IF($E385&lt;=cc_D,0.0035*($E385-X$18)/$E385,0.002*($E385-X$18)/($E385-3*cc_D/7))))-fcd_cc*(1-(1-MAX(0,MIN(1,IF($E385&lt;=cc_D,0.0035*($E385-X$18)/$E385,0.002*($E385-X$18)/($E385-3*cc_D/7))/0.002)))^2)</f>
        <v/>
      </c>
      <c r="Y385">
        <f>MAX(-fyd_cc,MIN(fyd_cc,Es_cc*IF($E385&lt;=cc_D,0.0035*($E385-Y$18)/$E385,0.002*($E385-Y$18)/($E385-3*cc_D/7))))-fcd_cc*(1-(1-MAX(0,MIN(1,IF($E385&lt;=cc_D,0.0035*($E385-Y$18)/$E385,0.002*($E385-Y$18)/($E385-3*cc_D/7))/0.002)))^2)</f>
        <v/>
      </c>
      <c r="Z385">
        <f>MAX(-fyd_cc,MIN(fyd_cc,Es_cc*IF($E385&lt;=cc_D,0.0035*($E385-Z$18)/$E385,0.002*($E385-Z$18)/($E385-3*cc_D/7))))-fcd_cc*(1-(1-MAX(0,MIN(1,IF($E385&lt;=cc_D,0.0035*($E385-Z$18)/$E385,0.002*($E385-Z$18)/($E385-3*cc_D/7))/0.002)))^2)</f>
        <v/>
      </c>
      <c r="AA385">
        <f>MAX(-fyd_cc,MIN(fyd_cc,Es_cc*IF($E385&lt;=cc_D,0.0035*($E385-AA$18)/$E385,0.002*($E385-AA$18)/($E385-3*cc_D/7))))-fcd_cc*(1-(1-MAX(0,MIN(1,IF($E385&lt;=cc_D,0.0035*($E385-AA$18)/$E385,0.002*($E385-AA$18)/($E385-3*cc_D/7))/0.002)))^2)</f>
        <v/>
      </c>
      <c r="AB385">
        <f>MAX(-fyd_cc,MIN(fyd_cc,Es_cc*IF($E385&lt;=cc_D,0.0035*($E385-AB$18)/$E385,0.002*($E385-AB$18)/($E385-3*cc_D/7))))-fcd_cc*(1-(1-MAX(0,MIN(1,IF($E385&lt;=cc_D,0.0035*($E385-AB$18)/$E385,0.002*($E385-AB$18)/($E385-3*cc_D/7))/0.002)))^2)</f>
        <v/>
      </c>
      <c r="AC385">
        <f>MAX(-fyd_cc,MIN(fyd_cc,Es_cc*IF($E385&lt;=cc_D,0.0035*($E385-AC$18)/$E385,0.002*($E385-AC$18)/($E385-3*cc_D/7))))-fcd_cc*(1-(1-MAX(0,MIN(1,IF($E385&lt;=cc_D,0.0035*($E385-AC$18)/$E385,0.002*($E385-AC$18)/($E385-3*cc_D/7))/0.002)))^2)</f>
        <v/>
      </c>
      <c r="AD385">
        <f>MAX(-fyd_cc,MIN(fyd_cc,Es_cc*IF($E385&lt;=cc_D,0.0035*($E385-AD$18)/$E385,0.002*($E385-AD$18)/($E385-3*cc_D/7))))-fcd_cc*(1-(1-MAX(0,MIN(1,IF($E385&lt;=cc_D,0.0035*($E385-AD$18)/$E385,0.002*($E385-AD$18)/($E385-3*cc_D/7))/0.002)))^2)</f>
        <v/>
      </c>
      <c r="AE385">
        <f>MAX(-fyd_cc,MIN(fyd_cc,Es_cc*IF($E385&lt;=cc_D,0.0035*($E385-AE$18)/$E385,0.002*($E385-AE$18)/($E385-3*cc_D/7))))-fcd_cc*(1-(1-MAX(0,MIN(1,IF($E385&lt;=cc_D,0.0035*($E385-AE$18)/$E385,0.002*($E385-AE$18)/($E385-3*cc_D/7))/0.002)))^2)</f>
        <v/>
      </c>
      <c r="AF385">
        <f>MAX(-fyd_cc,MIN(fyd_cc,Es_cc*IF($E385&lt;=cc_D,0.0035*($E385-AF$18)/$E385,0.002*($E385-AF$18)/($E385-3*cc_D/7))))-fcd_cc*(1-(1-MAX(0,MIN(1,IF($E385&lt;=cc_D,0.0035*($E385-AF$18)/$E385,0.002*($E385-AF$18)/($E385-3*cc_D/7))/0.002)))^2)</f>
        <v/>
      </c>
      <c r="AG385">
        <f>MAX(-fyd_cc,MIN(fyd_cc,Es_cc*IF($E385&lt;=cc_D,0.0035*($E385-AG$18)/$E385,0.002*($E385-AG$18)/($E385-3*cc_D/7))))-fcd_cc*(1-(1-MAX(0,MIN(1,IF($E385&lt;=cc_D,0.0035*($E385-AG$18)/$E385,0.002*($E385-AG$18)/($E385-3*cc_D/7))/0.002)))^2)</f>
        <v/>
      </c>
      <c r="BF385">
        <f>3*MIN($E385,cc_D)/7</f>
        <v/>
      </c>
      <c r="BG385">
        <f>$E385-$BF385</f>
        <v/>
      </c>
      <c r="BH385">
        <f>ACOS(MAX(-1,MIN(1,1-$BF385/(cc_D/2))))</f>
        <v/>
      </c>
      <c r="BI385">
        <f>ACOS(MAX(-1,MIN(1,1-MIN($E385,cc_D)/(cc_D/2))))</f>
        <v/>
      </c>
      <c r="BJ385">
        <f>((cc_D/2*(1-COS(($BH385+0*($BI385-$BH385)/12)))-$BF385)/$BG385)^2*SIN(($BH385+0*($BI385-$BH385)/12))^2</f>
        <v/>
      </c>
      <c r="BK385">
        <f>((cc_D/2*(1-COS(($BH385+1*($BI385-$BH385)/12)))-$BF385)/$BG385)^2*SIN(($BH385+1*($BI385-$BH385)/12))^2</f>
        <v/>
      </c>
      <c r="BL385">
        <f>((cc_D/2*(1-COS(($BH385+2*($BI385-$BH385)/12)))-$BF385)/$BG385)^2*SIN(($BH385+2*($BI385-$BH385)/12))^2</f>
        <v/>
      </c>
      <c r="BM385">
        <f>((cc_D/2*(1-COS(($BH385+3*($BI385-$BH385)/12)))-$BF385)/$BG385)^2*SIN(($BH385+3*($BI385-$BH385)/12))^2</f>
        <v/>
      </c>
      <c r="BN385">
        <f>((cc_D/2*(1-COS(($BH385+4*($BI385-$BH385)/12)))-$BF385)/$BG385)^2*SIN(($BH385+4*($BI385-$BH385)/12))^2</f>
        <v/>
      </c>
      <c r="BO385">
        <f>((cc_D/2*(1-COS(($BH385+5*($BI385-$BH385)/12)))-$BF385)/$BG385)^2*SIN(($BH385+5*($BI385-$BH385)/12))^2</f>
        <v/>
      </c>
      <c r="BP385">
        <f>((cc_D/2*(1-COS(($BH385+6*($BI385-$BH385)/12)))-$BF385)/$BG385)^2*SIN(($BH385+6*($BI385-$BH385)/12))^2</f>
        <v/>
      </c>
      <c r="BQ385">
        <f>((cc_D/2*(1-COS(($BH385+7*($BI385-$BH385)/12)))-$BF385)/$BG385)^2*SIN(($BH385+7*($BI385-$BH385)/12))^2</f>
        <v/>
      </c>
      <c r="BR385">
        <f>((cc_D/2*(1-COS(($BH385+8*($BI385-$BH385)/12)))-$BF385)/$BG385)^2*SIN(($BH385+8*($BI385-$BH385)/12))^2</f>
        <v/>
      </c>
      <c r="BS385">
        <f>((cc_D/2*(1-COS(($BH385+9*($BI385-$BH385)/12)))-$BF385)/$BG385)^2*SIN(($BH385+9*($BI385-$BH385)/12))^2</f>
        <v/>
      </c>
      <c r="BT385">
        <f>((cc_D/2*(1-COS(($BH385+10*($BI385-$BH385)/12)))-$BF385)/$BG385)^2*SIN(($BH385+10*($BI385-$BH385)/12))^2</f>
        <v/>
      </c>
      <c r="BU385">
        <f>((cc_D/2*(1-COS(($BH385+11*($BI385-$BH385)/12)))-$BF385)/$BG385)^2*SIN(($BH385+11*($BI385-$BH385)/12))^2</f>
        <v/>
      </c>
      <c r="BV385">
        <f>((cc_D/2*(1-COS(($BH385+12*($BI385-$BH385)/12)))-$BF385)/$BG385)^2*SIN(($BH385+12*($BI385-$BH385)/12))^2</f>
        <v/>
      </c>
      <c r="BW385">
        <f>BJ385*COS(($BH385+0*($BI385-$BH385)/12))</f>
        <v/>
      </c>
      <c r="BX385">
        <f>BK385*COS(($BH385+1*($BI385-$BH385)/12))</f>
        <v/>
      </c>
      <c r="BY385">
        <f>BL385*COS(($BH385+2*($BI385-$BH385)/12))</f>
        <v/>
      </c>
      <c r="BZ385">
        <f>BM385*COS(($BH385+3*($BI385-$BH385)/12))</f>
        <v/>
      </c>
      <c r="CA385">
        <f>BN385*COS(($BH385+4*($BI385-$BH385)/12))</f>
        <v/>
      </c>
      <c r="CB385">
        <f>BO385*COS(($BH385+5*($BI385-$BH385)/12))</f>
        <v/>
      </c>
      <c r="CC385">
        <f>BP385*COS(($BH385+6*($BI385-$BH385)/12))</f>
        <v/>
      </c>
      <c r="CD385">
        <f>BQ385*COS(($BH385+7*($BI385-$BH385)/12))</f>
        <v/>
      </c>
      <c r="CE385">
        <f>BR385*COS(($BH385+8*($BI385-$BH385)/12))</f>
        <v/>
      </c>
      <c r="CF385">
        <f>BS385*COS(($BH385+9*($BI385-$BH385)/12))</f>
        <v/>
      </c>
      <c r="CG385">
        <f>BT385*COS(($BH385+10*($BI385-$BH385)/12))</f>
        <v/>
      </c>
      <c r="CH385">
        <f>BU385*COS(($BH385+11*($BI385-$BH385)/12))</f>
        <v/>
      </c>
      <c r="CI385">
        <f>BV385*COS(($BH385+12*($BI385-$BH385)/12))</f>
        <v/>
      </c>
    </row>
    <row r="386">
      <c r="B386" s="65" t="n">
        <v>45</v>
      </c>
      <c r="C386" s="66">
        <f>IF($G385&lt;cc_NEd-1E-9*ABS(cc_NEd),($C385+$D385)/2,$C385)</f>
        <v/>
      </c>
      <c r="D386" s="66">
        <f>IF($G385&lt;cc_NEd-1E-9*ABS(cc_NEd),$D385,($C385+$D385)/2)</f>
        <v/>
      </c>
      <c r="E386" s="67">
        <f>cc_D*(($C386+$D386)/2)/(1-(($C386+$D386)/2))</f>
        <v/>
      </c>
      <c r="F386" s="68">
        <f>IF($E386&lt;=cc_D,3.5,2*$E386/($E386-3*cc_D/7))</f>
        <v/>
      </c>
      <c r="G386" s="67">
        <f>(fcd_cc*((cc_D/2)^2*($BI386-COS($BI386)*SIN($BI386))-2*(cc_D/2)^2*($BI386-$BH386)/12/3*SUMPRODUCT($BJ$4:$BV$4,$BJ386:$BV386))+SUMPRODUCT($J$5:$AG$5,$J386:$AG386))/1000</f>
        <v/>
      </c>
      <c r="H386" s="67">
        <f>(fcd_cc*(2/3*(cc_D/2)^3*SIN($BI386)^3-2*(cc_D/2)^3*($BI386-$BH386)/12/3*SUMPRODUCT($BW$4:$CI$4,$BW386:$CI386))+SUMPRODUCT($J$5:$AG$5,$J386:$AG386,$J$19:$AG$19))/1E6</f>
        <v/>
      </c>
      <c r="I386" s="67">
        <f>SUMPRODUCT($J$5:$AG$5,$J386:$AG386,$J$20:$AG$20)/1E6</f>
        <v/>
      </c>
      <c r="J386">
        <f>MAX(-fyd_cc,MIN(fyd_cc,Es_cc*IF($E386&lt;=cc_D,0.0035*($E386-J$18)/$E386,0.002*($E386-J$18)/($E386-3*cc_D/7))))-fcd_cc*(1-(1-MAX(0,MIN(1,IF($E386&lt;=cc_D,0.0035*($E386-J$18)/$E386,0.002*($E386-J$18)/($E386-3*cc_D/7))/0.002)))^2)</f>
        <v/>
      </c>
      <c r="K386">
        <f>MAX(-fyd_cc,MIN(fyd_cc,Es_cc*IF($E386&lt;=cc_D,0.0035*($E386-K$18)/$E386,0.002*($E386-K$18)/($E386-3*cc_D/7))))-fcd_cc*(1-(1-MAX(0,MIN(1,IF($E386&lt;=cc_D,0.0035*($E386-K$18)/$E386,0.002*($E386-K$18)/($E386-3*cc_D/7))/0.002)))^2)</f>
        <v/>
      </c>
      <c r="L386">
        <f>MAX(-fyd_cc,MIN(fyd_cc,Es_cc*IF($E386&lt;=cc_D,0.0035*($E386-L$18)/$E386,0.002*($E386-L$18)/($E386-3*cc_D/7))))-fcd_cc*(1-(1-MAX(0,MIN(1,IF($E386&lt;=cc_D,0.0035*($E386-L$18)/$E386,0.002*($E386-L$18)/($E386-3*cc_D/7))/0.002)))^2)</f>
        <v/>
      </c>
      <c r="M386">
        <f>MAX(-fyd_cc,MIN(fyd_cc,Es_cc*IF($E386&lt;=cc_D,0.0035*($E386-M$18)/$E386,0.002*($E386-M$18)/($E386-3*cc_D/7))))-fcd_cc*(1-(1-MAX(0,MIN(1,IF($E386&lt;=cc_D,0.0035*($E386-M$18)/$E386,0.002*($E386-M$18)/($E386-3*cc_D/7))/0.002)))^2)</f>
        <v/>
      </c>
      <c r="N386">
        <f>MAX(-fyd_cc,MIN(fyd_cc,Es_cc*IF($E386&lt;=cc_D,0.0035*($E386-N$18)/$E386,0.002*($E386-N$18)/($E386-3*cc_D/7))))-fcd_cc*(1-(1-MAX(0,MIN(1,IF($E386&lt;=cc_D,0.0035*($E386-N$18)/$E386,0.002*($E386-N$18)/($E386-3*cc_D/7))/0.002)))^2)</f>
        <v/>
      </c>
      <c r="O386">
        <f>MAX(-fyd_cc,MIN(fyd_cc,Es_cc*IF($E386&lt;=cc_D,0.0035*($E386-O$18)/$E386,0.002*($E386-O$18)/($E386-3*cc_D/7))))-fcd_cc*(1-(1-MAX(0,MIN(1,IF($E386&lt;=cc_D,0.0035*($E386-O$18)/$E386,0.002*($E386-O$18)/($E386-3*cc_D/7))/0.002)))^2)</f>
        <v/>
      </c>
      <c r="P386">
        <f>MAX(-fyd_cc,MIN(fyd_cc,Es_cc*IF($E386&lt;=cc_D,0.0035*($E386-P$18)/$E386,0.002*($E386-P$18)/($E386-3*cc_D/7))))-fcd_cc*(1-(1-MAX(0,MIN(1,IF($E386&lt;=cc_D,0.0035*($E386-P$18)/$E386,0.002*($E386-P$18)/($E386-3*cc_D/7))/0.002)))^2)</f>
        <v/>
      </c>
      <c r="Q386">
        <f>MAX(-fyd_cc,MIN(fyd_cc,Es_cc*IF($E386&lt;=cc_D,0.0035*($E386-Q$18)/$E386,0.002*($E386-Q$18)/($E386-3*cc_D/7))))-fcd_cc*(1-(1-MAX(0,MIN(1,IF($E386&lt;=cc_D,0.0035*($E386-Q$18)/$E386,0.002*($E386-Q$18)/($E386-3*cc_D/7))/0.002)))^2)</f>
        <v/>
      </c>
      <c r="R386">
        <f>MAX(-fyd_cc,MIN(fyd_cc,Es_cc*IF($E386&lt;=cc_D,0.0035*($E386-R$18)/$E386,0.002*($E386-R$18)/($E386-3*cc_D/7))))-fcd_cc*(1-(1-MAX(0,MIN(1,IF($E386&lt;=cc_D,0.0035*($E386-R$18)/$E386,0.002*($E386-R$18)/($E386-3*cc_D/7))/0.002)))^2)</f>
        <v/>
      </c>
      <c r="S386">
        <f>MAX(-fyd_cc,MIN(fyd_cc,Es_cc*IF($E386&lt;=cc_D,0.0035*($E386-S$18)/$E386,0.002*($E386-S$18)/($E386-3*cc_D/7))))-fcd_cc*(1-(1-MAX(0,MIN(1,IF($E386&lt;=cc_D,0.0035*($E386-S$18)/$E386,0.002*($E386-S$18)/($E386-3*cc_D/7))/0.002)))^2)</f>
        <v/>
      </c>
      <c r="T386">
        <f>MAX(-fyd_cc,MIN(fyd_cc,Es_cc*IF($E386&lt;=cc_D,0.0035*($E386-T$18)/$E386,0.002*($E386-T$18)/($E386-3*cc_D/7))))-fcd_cc*(1-(1-MAX(0,MIN(1,IF($E386&lt;=cc_D,0.0035*($E386-T$18)/$E386,0.002*($E386-T$18)/($E386-3*cc_D/7))/0.002)))^2)</f>
        <v/>
      </c>
      <c r="U386">
        <f>MAX(-fyd_cc,MIN(fyd_cc,Es_cc*IF($E386&lt;=cc_D,0.0035*($E386-U$18)/$E386,0.002*($E386-U$18)/($E386-3*cc_D/7))))-fcd_cc*(1-(1-MAX(0,MIN(1,IF($E386&lt;=cc_D,0.0035*($E386-U$18)/$E386,0.002*($E386-U$18)/($E386-3*cc_D/7))/0.002)))^2)</f>
        <v/>
      </c>
      <c r="V386">
        <f>MAX(-fyd_cc,MIN(fyd_cc,Es_cc*IF($E386&lt;=cc_D,0.0035*($E386-V$18)/$E386,0.002*($E386-V$18)/($E386-3*cc_D/7))))-fcd_cc*(1-(1-MAX(0,MIN(1,IF($E386&lt;=cc_D,0.0035*($E386-V$18)/$E386,0.002*($E386-V$18)/($E386-3*cc_D/7))/0.002)))^2)</f>
        <v/>
      </c>
      <c r="W386">
        <f>MAX(-fyd_cc,MIN(fyd_cc,Es_cc*IF($E386&lt;=cc_D,0.0035*($E386-W$18)/$E386,0.002*($E386-W$18)/($E386-3*cc_D/7))))-fcd_cc*(1-(1-MAX(0,MIN(1,IF($E386&lt;=cc_D,0.0035*($E386-W$18)/$E386,0.002*($E386-W$18)/($E386-3*cc_D/7))/0.002)))^2)</f>
        <v/>
      </c>
      <c r="X386">
        <f>MAX(-fyd_cc,MIN(fyd_cc,Es_cc*IF($E386&lt;=cc_D,0.0035*($E386-X$18)/$E386,0.002*($E386-X$18)/($E386-3*cc_D/7))))-fcd_cc*(1-(1-MAX(0,MIN(1,IF($E386&lt;=cc_D,0.0035*($E386-X$18)/$E386,0.002*($E386-X$18)/($E386-3*cc_D/7))/0.002)))^2)</f>
        <v/>
      </c>
      <c r="Y386">
        <f>MAX(-fyd_cc,MIN(fyd_cc,Es_cc*IF($E386&lt;=cc_D,0.0035*($E386-Y$18)/$E386,0.002*($E386-Y$18)/($E386-3*cc_D/7))))-fcd_cc*(1-(1-MAX(0,MIN(1,IF($E386&lt;=cc_D,0.0035*($E386-Y$18)/$E386,0.002*($E386-Y$18)/($E386-3*cc_D/7))/0.002)))^2)</f>
        <v/>
      </c>
      <c r="Z386">
        <f>MAX(-fyd_cc,MIN(fyd_cc,Es_cc*IF($E386&lt;=cc_D,0.0035*($E386-Z$18)/$E386,0.002*($E386-Z$18)/($E386-3*cc_D/7))))-fcd_cc*(1-(1-MAX(0,MIN(1,IF($E386&lt;=cc_D,0.0035*($E386-Z$18)/$E386,0.002*($E386-Z$18)/($E386-3*cc_D/7))/0.002)))^2)</f>
        <v/>
      </c>
      <c r="AA386">
        <f>MAX(-fyd_cc,MIN(fyd_cc,Es_cc*IF($E386&lt;=cc_D,0.0035*($E386-AA$18)/$E386,0.002*($E386-AA$18)/($E386-3*cc_D/7))))-fcd_cc*(1-(1-MAX(0,MIN(1,IF($E386&lt;=cc_D,0.0035*($E386-AA$18)/$E386,0.002*($E386-AA$18)/($E386-3*cc_D/7))/0.002)))^2)</f>
        <v/>
      </c>
      <c r="AB386">
        <f>MAX(-fyd_cc,MIN(fyd_cc,Es_cc*IF($E386&lt;=cc_D,0.0035*($E386-AB$18)/$E386,0.002*($E386-AB$18)/($E386-3*cc_D/7))))-fcd_cc*(1-(1-MAX(0,MIN(1,IF($E386&lt;=cc_D,0.0035*($E386-AB$18)/$E386,0.002*($E386-AB$18)/($E386-3*cc_D/7))/0.002)))^2)</f>
        <v/>
      </c>
      <c r="AC386">
        <f>MAX(-fyd_cc,MIN(fyd_cc,Es_cc*IF($E386&lt;=cc_D,0.0035*($E386-AC$18)/$E386,0.002*($E386-AC$18)/($E386-3*cc_D/7))))-fcd_cc*(1-(1-MAX(0,MIN(1,IF($E386&lt;=cc_D,0.0035*($E386-AC$18)/$E386,0.002*($E386-AC$18)/($E386-3*cc_D/7))/0.002)))^2)</f>
        <v/>
      </c>
      <c r="AD386">
        <f>MAX(-fyd_cc,MIN(fyd_cc,Es_cc*IF($E386&lt;=cc_D,0.0035*($E386-AD$18)/$E386,0.002*($E386-AD$18)/($E386-3*cc_D/7))))-fcd_cc*(1-(1-MAX(0,MIN(1,IF($E386&lt;=cc_D,0.0035*($E386-AD$18)/$E386,0.002*($E386-AD$18)/($E386-3*cc_D/7))/0.002)))^2)</f>
        <v/>
      </c>
      <c r="AE386">
        <f>MAX(-fyd_cc,MIN(fyd_cc,Es_cc*IF($E386&lt;=cc_D,0.0035*($E386-AE$18)/$E386,0.002*($E386-AE$18)/($E386-3*cc_D/7))))-fcd_cc*(1-(1-MAX(0,MIN(1,IF($E386&lt;=cc_D,0.0035*($E386-AE$18)/$E386,0.002*($E386-AE$18)/($E386-3*cc_D/7))/0.002)))^2)</f>
        <v/>
      </c>
      <c r="AF386">
        <f>MAX(-fyd_cc,MIN(fyd_cc,Es_cc*IF($E386&lt;=cc_D,0.0035*($E386-AF$18)/$E386,0.002*($E386-AF$18)/($E386-3*cc_D/7))))-fcd_cc*(1-(1-MAX(0,MIN(1,IF($E386&lt;=cc_D,0.0035*($E386-AF$18)/$E386,0.002*($E386-AF$18)/($E386-3*cc_D/7))/0.002)))^2)</f>
        <v/>
      </c>
      <c r="AG386">
        <f>MAX(-fyd_cc,MIN(fyd_cc,Es_cc*IF($E386&lt;=cc_D,0.0035*($E386-AG$18)/$E386,0.002*($E386-AG$18)/($E386-3*cc_D/7))))-fcd_cc*(1-(1-MAX(0,MIN(1,IF($E386&lt;=cc_D,0.0035*($E386-AG$18)/$E386,0.002*($E386-AG$18)/($E386-3*cc_D/7))/0.002)))^2)</f>
        <v/>
      </c>
      <c r="BF386">
        <f>3*MIN($E386,cc_D)/7</f>
        <v/>
      </c>
      <c r="BG386">
        <f>$E386-$BF386</f>
        <v/>
      </c>
      <c r="BH386">
        <f>ACOS(MAX(-1,MIN(1,1-$BF386/(cc_D/2))))</f>
        <v/>
      </c>
      <c r="BI386">
        <f>ACOS(MAX(-1,MIN(1,1-MIN($E386,cc_D)/(cc_D/2))))</f>
        <v/>
      </c>
      <c r="BJ386">
        <f>((cc_D/2*(1-COS(($BH386+0*($BI386-$BH386)/12)))-$BF386)/$BG386)^2*SIN(($BH386+0*($BI386-$BH386)/12))^2</f>
        <v/>
      </c>
      <c r="BK386">
        <f>((cc_D/2*(1-COS(($BH386+1*($BI386-$BH386)/12)))-$BF386)/$BG386)^2*SIN(($BH386+1*($BI386-$BH386)/12))^2</f>
        <v/>
      </c>
      <c r="BL386">
        <f>((cc_D/2*(1-COS(($BH386+2*($BI386-$BH386)/12)))-$BF386)/$BG386)^2*SIN(($BH386+2*($BI386-$BH386)/12))^2</f>
        <v/>
      </c>
      <c r="BM386">
        <f>((cc_D/2*(1-COS(($BH386+3*($BI386-$BH386)/12)))-$BF386)/$BG386)^2*SIN(($BH386+3*($BI386-$BH386)/12))^2</f>
        <v/>
      </c>
      <c r="BN386">
        <f>((cc_D/2*(1-COS(($BH386+4*($BI386-$BH386)/12)))-$BF386)/$BG386)^2*SIN(($BH386+4*($BI386-$BH386)/12))^2</f>
        <v/>
      </c>
      <c r="BO386">
        <f>((cc_D/2*(1-COS(($BH386+5*($BI386-$BH386)/12)))-$BF386)/$BG386)^2*SIN(($BH386+5*($BI386-$BH386)/12))^2</f>
        <v/>
      </c>
      <c r="BP386">
        <f>((cc_D/2*(1-COS(($BH386+6*($BI386-$BH386)/12)))-$BF386)/$BG386)^2*SIN(($BH386+6*($BI386-$BH386)/12))^2</f>
        <v/>
      </c>
      <c r="BQ386">
        <f>((cc_D/2*(1-COS(($BH386+7*($BI386-$BH386)/12)))-$BF386)/$BG386)^2*SIN(($BH386+7*($BI386-$BH386)/12))^2</f>
        <v/>
      </c>
      <c r="BR386">
        <f>((cc_D/2*(1-COS(($BH386+8*($BI386-$BH386)/12)))-$BF386)/$BG386)^2*SIN(($BH386+8*($BI386-$BH386)/12))^2</f>
        <v/>
      </c>
      <c r="BS386">
        <f>((cc_D/2*(1-COS(($BH386+9*($BI386-$BH386)/12)))-$BF386)/$BG386)^2*SIN(($BH386+9*($BI386-$BH386)/12))^2</f>
        <v/>
      </c>
      <c r="BT386">
        <f>((cc_D/2*(1-COS(($BH386+10*($BI386-$BH386)/12)))-$BF386)/$BG386)^2*SIN(($BH386+10*($BI386-$BH386)/12))^2</f>
        <v/>
      </c>
      <c r="BU386">
        <f>((cc_D/2*(1-COS(($BH386+11*($BI386-$BH386)/12)))-$BF386)/$BG386)^2*SIN(($BH386+11*($BI386-$BH386)/12))^2</f>
        <v/>
      </c>
      <c r="BV386">
        <f>((cc_D/2*(1-COS(($BH386+12*($BI386-$BH386)/12)))-$BF386)/$BG386)^2*SIN(($BH386+12*($BI386-$BH386)/12))^2</f>
        <v/>
      </c>
      <c r="BW386">
        <f>BJ386*COS(($BH386+0*($BI386-$BH386)/12))</f>
        <v/>
      </c>
      <c r="BX386">
        <f>BK386*COS(($BH386+1*($BI386-$BH386)/12))</f>
        <v/>
      </c>
      <c r="BY386">
        <f>BL386*COS(($BH386+2*($BI386-$BH386)/12))</f>
        <v/>
      </c>
      <c r="BZ386">
        <f>BM386*COS(($BH386+3*($BI386-$BH386)/12))</f>
        <v/>
      </c>
      <c r="CA386">
        <f>BN386*COS(($BH386+4*($BI386-$BH386)/12))</f>
        <v/>
      </c>
      <c r="CB386">
        <f>BO386*COS(($BH386+5*($BI386-$BH386)/12))</f>
        <v/>
      </c>
      <c r="CC386">
        <f>BP386*COS(($BH386+6*($BI386-$BH386)/12))</f>
        <v/>
      </c>
      <c r="CD386">
        <f>BQ386*COS(($BH386+7*($BI386-$BH386)/12))</f>
        <v/>
      </c>
      <c r="CE386">
        <f>BR386*COS(($BH386+8*($BI386-$BH386)/12))</f>
        <v/>
      </c>
      <c r="CF386">
        <f>BS386*COS(($BH386+9*($BI386-$BH386)/12))</f>
        <v/>
      </c>
      <c r="CG386">
        <f>BT386*COS(($BH386+10*($BI386-$BH386)/12))</f>
        <v/>
      </c>
      <c r="CH386">
        <f>BU386*COS(($BH386+11*($BI386-$BH386)/12))</f>
        <v/>
      </c>
      <c r="CI386">
        <f>BV386*COS(($BH386+12*($BI386-$BH386)/12))</f>
        <v/>
      </c>
    </row>
    <row r="387">
      <c r="B387" s="65" t="n">
        <v>46</v>
      </c>
      <c r="C387" s="66">
        <f>IF($G386&lt;cc_NEd-1E-9*ABS(cc_NEd),($C386+$D386)/2,$C386)</f>
        <v/>
      </c>
      <c r="D387" s="66">
        <f>IF($G386&lt;cc_NEd-1E-9*ABS(cc_NEd),$D386,($C386+$D386)/2)</f>
        <v/>
      </c>
      <c r="E387" s="67">
        <f>cc_D*(($C387+$D387)/2)/(1-(($C387+$D387)/2))</f>
        <v/>
      </c>
      <c r="F387" s="68">
        <f>IF($E387&lt;=cc_D,3.5,2*$E387/($E387-3*cc_D/7))</f>
        <v/>
      </c>
      <c r="G387" s="67">
        <f>(fcd_cc*((cc_D/2)^2*($BI387-COS($BI387)*SIN($BI387))-2*(cc_D/2)^2*($BI387-$BH387)/12/3*SUMPRODUCT($BJ$4:$BV$4,$BJ387:$BV387))+SUMPRODUCT($J$5:$AG$5,$J387:$AG387))/1000</f>
        <v/>
      </c>
      <c r="H387" s="67">
        <f>(fcd_cc*(2/3*(cc_D/2)^3*SIN($BI387)^3-2*(cc_D/2)^3*($BI387-$BH387)/12/3*SUMPRODUCT($BW$4:$CI$4,$BW387:$CI387))+SUMPRODUCT($J$5:$AG$5,$J387:$AG387,$J$19:$AG$19))/1E6</f>
        <v/>
      </c>
      <c r="I387" s="67">
        <f>SUMPRODUCT($J$5:$AG$5,$J387:$AG387,$J$20:$AG$20)/1E6</f>
        <v/>
      </c>
      <c r="J387">
        <f>MAX(-fyd_cc,MIN(fyd_cc,Es_cc*IF($E387&lt;=cc_D,0.0035*($E387-J$18)/$E387,0.002*($E387-J$18)/($E387-3*cc_D/7))))-fcd_cc*(1-(1-MAX(0,MIN(1,IF($E387&lt;=cc_D,0.0035*($E387-J$18)/$E387,0.002*($E387-J$18)/($E387-3*cc_D/7))/0.002)))^2)</f>
        <v/>
      </c>
      <c r="K387">
        <f>MAX(-fyd_cc,MIN(fyd_cc,Es_cc*IF($E387&lt;=cc_D,0.0035*($E387-K$18)/$E387,0.002*($E387-K$18)/($E387-3*cc_D/7))))-fcd_cc*(1-(1-MAX(0,MIN(1,IF($E387&lt;=cc_D,0.0035*($E387-K$18)/$E387,0.002*($E387-K$18)/($E387-3*cc_D/7))/0.002)))^2)</f>
        <v/>
      </c>
      <c r="L387">
        <f>MAX(-fyd_cc,MIN(fyd_cc,Es_cc*IF($E387&lt;=cc_D,0.0035*($E387-L$18)/$E387,0.002*($E387-L$18)/($E387-3*cc_D/7))))-fcd_cc*(1-(1-MAX(0,MIN(1,IF($E387&lt;=cc_D,0.0035*($E387-L$18)/$E387,0.002*($E387-L$18)/($E387-3*cc_D/7))/0.002)))^2)</f>
        <v/>
      </c>
      <c r="M387">
        <f>MAX(-fyd_cc,MIN(fyd_cc,Es_cc*IF($E387&lt;=cc_D,0.0035*($E387-M$18)/$E387,0.002*($E387-M$18)/($E387-3*cc_D/7))))-fcd_cc*(1-(1-MAX(0,MIN(1,IF($E387&lt;=cc_D,0.0035*($E387-M$18)/$E387,0.002*($E387-M$18)/($E387-3*cc_D/7))/0.002)))^2)</f>
        <v/>
      </c>
      <c r="N387">
        <f>MAX(-fyd_cc,MIN(fyd_cc,Es_cc*IF($E387&lt;=cc_D,0.0035*($E387-N$18)/$E387,0.002*($E387-N$18)/($E387-3*cc_D/7))))-fcd_cc*(1-(1-MAX(0,MIN(1,IF($E387&lt;=cc_D,0.0035*($E387-N$18)/$E387,0.002*($E387-N$18)/($E387-3*cc_D/7))/0.002)))^2)</f>
        <v/>
      </c>
      <c r="O387">
        <f>MAX(-fyd_cc,MIN(fyd_cc,Es_cc*IF($E387&lt;=cc_D,0.0035*($E387-O$18)/$E387,0.002*($E387-O$18)/($E387-3*cc_D/7))))-fcd_cc*(1-(1-MAX(0,MIN(1,IF($E387&lt;=cc_D,0.0035*($E387-O$18)/$E387,0.002*($E387-O$18)/($E387-3*cc_D/7))/0.002)))^2)</f>
        <v/>
      </c>
      <c r="P387">
        <f>MAX(-fyd_cc,MIN(fyd_cc,Es_cc*IF($E387&lt;=cc_D,0.0035*($E387-P$18)/$E387,0.002*($E387-P$18)/($E387-3*cc_D/7))))-fcd_cc*(1-(1-MAX(0,MIN(1,IF($E387&lt;=cc_D,0.0035*($E387-P$18)/$E387,0.002*($E387-P$18)/($E387-3*cc_D/7))/0.002)))^2)</f>
        <v/>
      </c>
      <c r="Q387">
        <f>MAX(-fyd_cc,MIN(fyd_cc,Es_cc*IF($E387&lt;=cc_D,0.0035*($E387-Q$18)/$E387,0.002*($E387-Q$18)/($E387-3*cc_D/7))))-fcd_cc*(1-(1-MAX(0,MIN(1,IF($E387&lt;=cc_D,0.0035*($E387-Q$18)/$E387,0.002*($E387-Q$18)/($E387-3*cc_D/7))/0.002)))^2)</f>
        <v/>
      </c>
      <c r="R387">
        <f>MAX(-fyd_cc,MIN(fyd_cc,Es_cc*IF($E387&lt;=cc_D,0.0035*($E387-R$18)/$E387,0.002*($E387-R$18)/($E387-3*cc_D/7))))-fcd_cc*(1-(1-MAX(0,MIN(1,IF($E387&lt;=cc_D,0.0035*($E387-R$18)/$E387,0.002*($E387-R$18)/($E387-3*cc_D/7))/0.002)))^2)</f>
        <v/>
      </c>
      <c r="S387">
        <f>MAX(-fyd_cc,MIN(fyd_cc,Es_cc*IF($E387&lt;=cc_D,0.0035*($E387-S$18)/$E387,0.002*($E387-S$18)/($E387-3*cc_D/7))))-fcd_cc*(1-(1-MAX(0,MIN(1,IF($E387&lt;=cc_D,0.0035*($E387-S$18)/$E387,0.002*($E387-S$18)/($E387-3*cc_D/7))/0.002)))^2)</f>
        <v/>
      </c>
      <c r="T387">
        <f>MAX(-fyd_cc,MIN(fyd_cc,Es_cc*IF($E387&lt;=cc_D,0.0035*($E387-T$18)/$E387,0.002*($E387-T$18)/($E387-3*cc_D/7))))-fcd_cc*(1-(1-MAX(0,MIN(1,IF($E387&lt;=cc_D,0.0035*($E387-T$18)/$E387,0.002*($E387-T$18)/($E387-3*cc_D/7))/0.002)))^2)</f>
        <v/>
      </c>
      <c r="U387">
        <f>MAX(-fyd_cc,MIN(fyd_cc,Es_cc*IF($E387&lt;=cc_D,0.0035*($E387-U$18)/$E387,0.002*($E387-U$18)/($E387-3*cc_D/7))))-fcd_cc*(1-(1-MAX(0,MIN(1,IF($E387&lt;=cc_D,0.0035*($E387-U$18)/$E387,0.002*($E387-U$18)/($E387-3*cc_D/7))/0.002)))^2)</f>
        <v/>
      </c>
      <c r="V387">
        <f>MAX(-fyd_cc,MIN(fyd_cc,Es_cc*IF($E387&lt;=cc_D,0.0035*($E387-V$18)/$E387,0.002*($E387-V$18)/($E387-3*cc_D/7))))-fcd_cc*(1-(1-MAX(0,MIN(1,IF($E387&lt;=cc_D,0.0035*($E387-V$18)/$E387,0.002*($E387-V$18)/($E387-3*cc_D/7))/0.002)))^2)</f>
        <v/>
      </c>
      <c r="W387">
        <f>MAX(-fyd_cc,MIN(fyd_cc,Es_cc*IF($E387&lt;=cc_D,0.0035*($E387-W$18)/$E387,0.002*($E387-W$18)/($E387-3*cc_D/7))))-fcd_cc*(1-(1-MAX(0,MIN(1,IF($E387&lt;=cc_D,0.0035*($E387-W$18)/$E387,0.002*($E387-W$18)/($E387-3*cc_D/7))/0.002)))^2)</f>
        <v/>
      </c>
      <c r="X387">
        <f>MAX(-fyd_cc,MIN(fyd_cc,Es_cc*IF($E387&lt;=cc_D,0.0035*($E387-X$18)/$E387,0.002*($E387-X$18)/($E387-3*cc_D/7))))-fcd_cc*(1-(1-MAX(0,MIN(1,IF($E387&lt;=cc_D,0.0035*($E387-X$18)/$E387,0.002*($E387-X$18)/($E387-3*cc_D/7))/0.002)))^2)</f>
        <v/>
      </c>
      <c r="Y387">
        <f>MAX(-fyd_cc,MIN(fyd_cc,Es_cc*IF($E387&lt;=cc_D,0.0035*($E387-Y$18)/$E387,0.002*($E387-Y$18)/($E387-3*cc_D/7))))-fcd_cc*(1-(1-MAX(0,MIN(1,IF($E387&lt;=cc_D,0.0035*($E387-Y$18)/$E387,0.002*($E387-Y$18)/($E387-3*cc_D/7))/0.002)))^2)</f>
        <v/>
      </c>
      <c r="Z387">
        <f>MAX(-fyd_cc,MIN(fyd_cc,Es_cc*IF($E387&lt;=cc_D,0.0035*($E387-Z$18)/$E387,0.002*($E387-Z$18)/($E387-3*cc_D/7))))-fcd_cc*(1-(1-MAX(0,MIN(1,IF($E387&lt;=cc_D,0.0035*($E387-Z$18)/$E387,0.002*($E387-Z$18)/($E387-3*cc_D/7))/0.002)))^2)</f>
        <v/>
      </c>
      <c r="AA387">
        <f>MAX(-fyd_cc,MIN(fyd_cc,Es_cc*IF($E387&lt;=cc_D,0.0035*($E387-AA$18)/$E387,0.002*($E387-AA$18)/($E387-3*cc_D/7))))-fcd_cc*(1-(1-MAX(0,MIN(1,IF($E387&lt;=cc_D,0.0035*($E387-AA$18)/$E387,0.002*($E387-AA$18)/($E387-3*cc_D/7))/0.002)))^2)</f>
        <v/>
      </c>
      <c r="AB387">
        <f>MAX(-fyd_cc,MIN(fyd_cc,Es_cc*IF($E387&lt;=cc_D,0.0035*($E387-AB$18)/$E387,0.002*($E387-AB$18)/($E387-3*cc_D/7))))-fcd_cc*(1-(1-MAX(0,MIN(1,IF($E387&lt;=cc_D,0.0035*($E387-AB$18)/$E387,0.002*($E387-AB$18)/($E387-3*cc_D/7))/0.002)))^2)</f>
        <v/>
      </c>
      <c r="AC387">
        <f>MAX(-fyd_cc,MIN(fyd_cc,Es_cc*IF($E387&lt;=cc_D,0.0035*($E387-AC$18)/$E387,0.002*($E387-AC$18)/($E387-3*cc_D/7))))-fcd_cc*(1-(1-MAX(0,MIN(1,IF($E387&lt;=cc_D,0.0035*($E387-AC$18)/$E387,0.002*($E387-AC$18)/($E387-3*cc_D/7))/0.002)))^2)</f>
        <v/>
      </c>
      <c r="AD387">
        <f>MAX(-fyd_cc,MIN(fyd_cc,Es_cc*IF($E387&lt;=cc_D,0.0035*($E387-AD$18)/$E387,0.002*($E387-AD$18)/($E387-3*cc_D/7))))-fcd_cc*(1-(1-MAX(0,MIN(1,IF($E387&lt;=cc_D,0.0035*($E387-AD$18)/$E387,0.002*($E387-AD$18)/($E387-3*cc_D/7))/0.002)))^2)</f>
        <v/>
      </c>
      <c r="AE387">
        <f>MAX(-fyd_cc,MIN(fyd_cc,Es_cc*IF($E387&lt;=cc_D,0.0035*($E387-AE$18)/$E387,0.002*($E387-AE$18)/($E387-3*cc_D/7))))-fcd_cc*(1-(1-MAX(0,MIN(1,IF($E387&lt;=cc_D,0.0035*($E387-AE$18)/$E387,0.002*($E387-AE$18)/($E387-3*cc_D/7))/0.002)))^2)</f>
        <v/>
      </c>
      <c r="AF387">
        <f>MAX(-fyd_cc,MIN(fyd_cc,Es_cc*IF($E387&lt;=cc_D,0.0035*($E387-AF$18)/$E387,0.002*($E387-AF$18)/($E387-3*cc_D/7))))-fcd_cc*(1-(1-MAX(0,MIN(1,IF($E387&lt;=cc_D,0.0035*($E387-AF$18)/$E387,0.002*($E387-AF$18)/($E387-3*cc_D/7))/0.002)))^2)</f>
        <v/>
      </c>
      <c r="AG387">
        <f>MAX(-fyd_cc,MIN(fyd_cc,Es_cc*IF($E387&lt;=cc_D,0.0035*($E387-AG$18)/$E387,0.002*($E387-AG$18)/($E387-3*cc_D/7))))-fcd_cc*(1-(1-MAX(0,MIN(1,IF($E387&lt;=cc_D,0.0035*($E387-AG$18)/$E387,0.002*($E387-AG$18)/($E387-3*cc_D/7))/0.002)))^2)</f>
        <v/>
      </c>
      <c r="BF387">
        <f>3*MIN($E387,cc_D)/7</f>
        <v/>
      </c>
      <c r="BG387">
        <f>$E387-$BF387</f>
        <v/>
      </c>
      <c r="BH387">
        <f>ACOS(MAX(-1,MIN(1,1-$BF387/(cc_D/2))))</f>
        <v/>
      </c>
      <c r="BI387">
        <f>ACOS(MAX(-1,MIN(1,1-MIN($E387,cc_D)/(cc_D/2))))</f>
        <v/>
      </c>
      <c r="BJ387">
        <f>((cc_D/2*(1-COS(($BH387+0*($BI387-$BH387)/12)))-$BF387)/$BG387)^2*SIN(($BH387+0*($BI387-$BH387)/12))^2</f>
        <v/>
      </c>
      <c r="BK387">
        <f>((cc_D/2*(1-COS(($BH387+1*($BI387-$BH387)/12)))-$BF387)/$BG387)^2*SIN(($BH387+1*($BI387-$BH387)/12))^2</f>
        <v/>
      </c>
      <c r="BL387">
        <f>((cc_D/2*(1-COS(($BH387+2*($BI387-$BH387)/12)))-$BF387)/$BG387)^2*SIN(($BH387+2*($BI387-$BH387)/12))^2</f>
        <v/>
      </c>
      <c r="BM387">
        <f>((cc_D/2*(1-COS(($BH387+3*($BI387-$BH387)/12)))-$BF387)/$BG387)^2*SIN(($BH387+3*($BI387-$BH387)/12))^2</f>
        <v/>
      </c>
      <c r="BN387">
        <f>((cc_D/2*(1-COS(($BH387+4*($BI387-$BH387)/12)))-$BF387)/$BG387)^2*SIN(($BH387+4*($BI387-$BH387)/12))^2</f>
        <v/>
      </c>
      <c r="BO387">
        <f>((cc_D/2*(1-COS(($BH387+5*($BI387-$BH387)/12)))-$BF387)/$BG387)^2*SIN(($BH387+5*($BI387-$BH387)/12))^2</f>
        <v/>
      </c>
      <c r="BP387">
        <f>((cc_D/2*(1-COS(($BH387+6*($BI387-$BH387)/12)))-$BF387)/$BG387)^2*SIN(($BH387+6*($BI387-$BH387)/12))^2</f>
        <v/>
      </c>
      <c r="BQ387">
        <f>((cc_D/2*(1-COS(($BH387+7*($BI387-$BH387)/12)))-$BF387)/$BG387)^2*SIN(($BH387+7*($BI387-$BH387)/12))^2</f>
        <v/>
      </c>
      <c r="BR387">
        <f>((cc_D/2*(1-COS(($BH387+8*($BI387-$BH387)/12)))-$BF387)/$BG387)^2*SIN(($BH387+8*($BI387-$BH387)/12))^2</f>
        <v/>
      </c>
      <c r="BS387">
        <f>((cc_D/2*(1-COS(($BH387+9*($BI387-$BH387)/12)))-$BF387)/$BG387)^2*SIN(($BH387+9*($BI387-$BH387)/12))^2</f>
        <v/>
      </c>
      <c r="BT387">
        <f>((cc_D/2*(1-COS(($BH387+10*($BI387-$BH387)/12)))-$BF387)/$BG387)^2*SIN(($BH387+10*($BI387-$BH387)/12))^2</f>
        <v/>
      </c>
      <c r="BU387">
        <f>((cc_D/2*(1-COS(($BH387+11*($BI387-$BH387)/12)))-$BF387)/$BG387)^2*SIN(($BH387+11*($BI387-$BH387)/12))^2</f>
        <v/>
      </c>
      <c r="BV387">
        <f>((cc_D/2*(1-COS(($BH387+12*($BI387-$BH387)/12)))-$BF387)/$BG387)^2*SIN(($BH387+12*($BI387-$BH387)/12))^2</f>
        <v/>
      </c>
      <c r="BW387">
        <f>BJ387*COS(($BH387+0*($BI387-$BH387)/12))</f>
        <v/>
      </c>
      <c r="BX387">
        <f>BK387*COS(($BH387+1*($BI387-$BH387)/12))</f>
        <v/>
      </c>
      <c r="BY387">
        <f>BL387*COS(($BH387+2*($BI387-$BH387)/12))</f>
        <v/>
      </c>
      <c r="BZ387">
        <f>BM387*COS(($BH387+3*($BI387-$BH387)/12))</f>
        <v/>
      </c>
      <c r="CA387">
        <f>BN387*COS(($BH387+4*($BI387-$BH387)/12))</f>
        <v/>
      </c>
      <c r="CB387">
        <f>BO387*COS(($BH387+5*($BI387-$BH387)/12))</f>
        <v/>
      </c>
      <c r="CC387">
        <f>BP387*COS(($BH387+6*($BI387-$BH387)/12))</f>
        <v/>
      </c>
      <c r="CD387">
        <f>BQ387*COS(($BH387+7*($BI387-$BH387)/12))</f>
        <v/>
      </c>
      <c r="CE387">
        <f>BR387*COS(($BH387+8*($BI387-$BH387)/12))</f>
        <v/>
      </c>
      <c r="CF387">
        <f>BS387*COS(($BH387+9*($BI387-$BH387)/12))</f>
        <v/>
      </c>
      <c r="CG387">
        <f>BT387*COS(($BH387+10*($BI387-$BH387)/12))</f>
        <v/>
      </c>
      <c r="CH387">
        <f>BU387*COS(($BH387+11*($BI387-$BH387)/12))</f>
        <v/>
      </c>
      <c r="CI387">
        <f>BV387*COS(($BH387+12*($BI387-$BH387)/12))</f>
        <v/>
      </c>
    </row>
    <row r="388">
      <c r="B388" s="65" t="n">
        <v>47</v>
      </c>
      <c r="C388" s="66">
        <f>IF($G387&lt;cc_NEd-1E-9*ABS(cc_NEd),($C387+$D387)/2,$C387)</f>
        <v/>
      </c>
      <c r="D388" s="66">
        <f>IF($G387&lt;cc_NEd-1E-9*ABS(cc_NEd),$D387,($C387+$D387)/2)</f>
        <v/>
      </c>
      <c r="E388" s="67">
        <f>cc_D*(($C388+$D388)/2)/(1-(($C388+$D388)/2))</f>
        <v/>
      </c>
      <c r="F388" s="68">
        <f>IF($E388&lt;=cc_D,3.5,2*$E388/($E388-3*cc_D/7))</f>
        <v/>
      </c>
      <c r="G388" s="67">
        <f>(fcd_cc*((cc_D/2)^2*($BI388-COS($BI388)*SIN($BI388))-2*(cc_D/2)^2*($BI388-$BH388)/12/3*SUMPRODUCT($BJ$4:$BV$4,$BJ388:$BV388))+SUMPRODUCT($J$5:$AG$5,$J388:$AG388))/1000</f>
        <v/>
      </c>
      <c r="H388" s="67">
        <f>(fcd_cc*(2/3*(cc_D/2)^3*SIN($BI388)^3-2*(cc_D/2)^3*($BI388-$BH388)/12/3*SUMPRODUCT($BW$4:$CI$4,$BW388:$CI388))+SUMPRODUCT($J$5:$AG$5,$J388:$AG388,$J$19:$AG$19))/1E6</f>
        <v/>
      </c>
      <c r="I388" s="67">
        <f>SUMPRODUCT($J$5:$AG$5,$J388:$AG388,$J$20:$AG$20)/1E6</f>
        <v/>
      </c>
      <c r="J388">
        <f>MAX(-fyd_cc,MIN(fyd_cc,Es_cc*IF($E388&lt;=cc_D,0.0035*($E388-J$18)/$E388,0.002*($E388-J$18)/($E388-3*cc_D/7))))-fcd_cc*(1-(1-MAX(0,MIN(1,IF($E388&lt;=cc_D,0.0035*($E388-J$18)/$E388,0.002*($E388-J$18)/($E388-3*cc_D/7))/0.002)))^2)</f>
        <v/>
      </c>
      <c r="K388">
        <f>MAX(-fyd_cc,MIN(fyd_cc,Es_cc*IF($E388&lt;=cc_D,0.0035*($E388-K$18)/$E388,0.002*($E388-K$18)/($E388-3*cc_D/7))))-fcd_cc*(1-(1-MAX(0,MIN(1,IF($E388&lt;=cc_D,0.0035*($E388-K$18)/$E388,0.002*($E388-K$18)/($E388-3*cc_D/7))/0.002)))^2)</f>
        <v/>
      </c>
      <c r="L388">
        <f>MAX(-fyd_cc,MIN(fyd_cc,Es_cc*IF($E388&lt;=cc_D,0.0035*($E388-L$18)/$E388,0.002*($E388-L$18)/($E388-3*cc_D/7))))-fcd_cc*(1-(1-MAX(0,MIN(1,IF($E388&lt;=cc_D,0.0035*($E388-L$18)/$E388,0.002*($E388-L$18)/($E388-3*cc_D/7))/0.002)))^2)</f>
        <v/>
      </c>
      <c r="M388">
        <f>MAX(-fyd_cc,MIN(fyd_cc,Es_cc*IF($E388&lt;=cc_D,0.0035*($E388-M$18)/$E388,0.002*($E388-M$18)/($E388-3*cc_D/7))))-fcd_cc*(1-(1-MAX(0,MIN(1,IF($E388&lt;=cc_D,0.0035*($E388-M$18)/$E388,0.002*($E388-M$18)/($E388-3*cc_D/7))/0.002)))^2)</f>
        <v/>
      </c>
      <c r="N388">
        <f>MAX(-fyd_cc,MIN(fyd_cc,Es_cc*IF($E388&lt;=cc_D,0.0035*($E388-N$18)/$E388,0.002*($E388-N$18)/($E388-3*cc_D/7))))-fcd_cc*(1-(1-MAX(0,MIN(1,IF($E388&lt;=cc_D,0.0035*($E388-N$18)/$E388,0.002*($E388-N$18)/($E388-3*cc_D/7))/0.002)))^2)</f>
        <v/>
      </c>
      <c r="O388">
        <f>MAX(-fyd_cc,MIN(fyd_cc,Es_cc*IF($E388&lt;=cc_D,0.0035*($E388-O$18)/$E388,0.002*($E388-O$18)/($E388-3*cc_D/7))))-fcd_cc*(1-(1-MAX(0,MIN(1,IF($E388&lt;=cc_D,0.0035*($E388-O$18)/$E388,0.002*($E388-O$18)/($E388-3*cc_D/7))/0.002)))^2)</f>
        <v/>
      </c>
      <c r="P388">
        <f>MAX(-fyd_cc,MIN(fyd_cc,Es_cc*IF($E388&lt;=cc_D,0.0035*($E388-P$18)/$E388,0.002*($E388-P$18)/($E388-3*cc_D/7))))-fcd_cc*(1-(1-MAX(0,MIN(1,IF($E388&lt;=cc_D,0.0035*($E388-P$18)/$E388,0.002*($E388-P$18)/($E388-3*cc_D/7))/0.002)))^2)</f>
        <v/>
      </c>
      <c r="Q388">
        <f>MAX(-fyd_cc,MIN(fyd_cc,Es_cc*IF($E388&lt;=cc_D,0.0035*($E388-Q$18)/$E388,0.002*($E388-Q$18)/($E388-3*cc_D/7))))-fcd_cc*(1-(1-MAX(0,MIN(1,IF($E388&lt;=cc_D,0.0035*($E388-Q$18)/$E388,0.002*($E388-Q$18)/($E388-3*cc_D/7))/0.002)))^2)</f>
        <v/>
      </c>
      <c r="R388">
        <f>MAX(-fyd_cc,MIN(fyd_cc,Es_cc*IF($E388&lt;=cc_D,0.0035*($E388-R$18)/$E388,0.002*($E388-R$18)/($E388-3*cc_D/7))))-fcd_cc*(1-(1-MAX(0,MIN(1,IF($E388&lt;=cc_D,0.0035*($E388-R$18)/$E388,0.002*($E388-R$18)/($E388-3*cc_D/7))/0.002)))^2)</f>
        <v/>
      </c>
      <c r="S388">
        <f>MAX(-fyd_cc,MIN(fyd_cc,Es_cc*IF($E388&lt;=cc_D,0.0035*($E388-S$18)/$E388,0.002*($E388-S$18)/($E388-3*cc_D/7))))-fcd_cc*(1-(1-MAX(0,MIN(1,IF($E388&lt;=cc_D,0.0035*($E388-S$18)/$E388,0.002*($E388-S$18)/($E388-3*cc_D/7))/0.002)))^2)</f>
        <v/>
      </c>
      <c r="T388">
        <f>MAX(-fyd_cc,MIN(fyd_cc,Es_cc*IF($E388&lt;=cc_D,0.0035*($E388-T$18)/$E388,0.002*($E388-T$18)/($E388-3*cc_D/7))))-fcd_cc*(1-(1-MAX(0,MIN(1,IF($E388&lt;=cc_D,0.0035*($E388-T$18)/$E388,0.002*($E388-T$18)/($E388-3*cc_D/7))/0.002)))^2)</f>
        <v/>
      </c>
      <c r="U388">
        <f>MAX(-fyd_cc,MIN(fyd_cc,Es_cc*IF($E388&lt;=cc_D,0.0035*($E388-U$18)/$E388,0.002*($E388-U$18)/($E388-3*cc_D/7))))-fcd_cc*(1-(1-MAX(0,MIN(1,IF($E388&lt;=cc_D,0.0035*($E388-U$18)/$E388,0.002*($E388-U$18)/($E388-3*cc_D/7))/0.002)))^2)</f>
        <v/>
      </c>
      <c r="V388">
        <f>MAX(-fyd_cc,MIN(fyd_cc,Es_cc*IF($E388&lt;=cc_D,0.0035*($E388-V$18)/$E388,0.002*($E388-V$18)/($E388-3*cc_D/7))))-fcd_cc*(1-(1-MAX(0,MIN(1,IF($E388&lt;=cc_D,0.0035*($E388-V$18)/$E388,0.002*($E388-V$18)/($E388-3*cc_D/7))/0.002)))^2)</f>
        <v/>
      </c>
      <c r="W388">
        <f>MAX(-fyd_cc,MIN(fyd_cc,Es_cc*IF($E388&lt;=cc_D,0.0035*($E388-W$18)/$E388,0.002*($E388-W$18)/($E388-3*cc_D/7))))-fcd_cc*(1-(1-MAX(0,MIN(1,IF($E388&lt;=cc_D,0.0035*($E388-W$18)/$E388,0.002*($E388-W$18)/($E388-3*cc_D/7))/0.002)))^2)</f>
        <v/>
      </c>
      <c r="X388">
        <f>MAX(-fyd_cc,MIN(fyd_cc,Es_cc*IF($E388&lt;=cc_D,0.0035*($E388-X$18)/$E388,0.002*($E388-X$18)/($E388-3*cc_D/7))))-fcd_cc*(1-(1-MAX(0,MIN(1,IF($E388&lt;=cc_D,0.0035*($E388-X$18)/$E388,0.002*($E388-X$18)/($E388-3*cc_D/7))/0.002)))^2)</f>
        <v/>
      </c>
      <c r="Y388">
        <f>MAX(-fyd_cc,MIN(fyd_cc,Es_cc*IF($E388&lt;=cc_D,0.0035*($E388-Y$18)/$E388,0.002*($E388-Y$18)/($E388-3*cc_D/7))))-fcd_cc*(1-(1-MAX(0,MIN(1,IF($E388&lt;=cc_D,0.0035*($E388-Y$18)/$E388,0.002*($E388-Y$18)/($E388-3*cc_D/7))/0.002)))^2)</f>
        <v/>
      </c>
      <c r="Z388">
        <f>MAX(-fyd_cc,MIN(fyd_cc,Es_cc*IF($E388&lt;=cc_D,0.0035*($E388-Z$18)/$E388,0.002*($E388-Z$18)/($E388-3*cc_D/7))))-fcd_cc*(1-(1-MAX(0,MIN(1,IF($E388&lt;=cc_D,0.0035*($E388-Z$18)/$E388,0.002*($E388-Z$18)/($E388-3*cc_D/7))/0.002)))^2)</f>
        <v/>
      </c>
      <c r="AA388">
        <f>MAX(-fyd_cc,MIN(fyd_cc,Es_cc*IF($E388&lt;=cc_D,0.0035*($E388-AA$18)/$E388,0.002*($E388-AA$18)/($E388-3*cc_D/7))))-fcd_cc*(1-(1-MAX(0,MIN(1,IF($E388&lt;=cc_D,0.0035*($E388-AA$18)/$E388,0.002*($E388-AA$18)/($E388-3*cc_D/7))/0.002)))^2)</f>
        <v/>
      </c>
      <c r="AB388">
        <f>MAX(-fyd_cc,MIN(fyd_cc,Es_cc*IF($E388&lt;=cc_D,0.0035*($E388-AB$18)/$E388,0.002*($E388-AB$18)/($E388-3*cc_D/7))))-fcd_cc*(1-(1-MAX(0,MIN(1,IF($E388&lt;=cc_D,0.0035*($E388-AB$18)/$E388,0.002*($E388-AB$18)/($E388-3*cc_D/7))/0.002)))^2)</f>
        <v/>
      </c>
      <c r="AC388">
        <f>MAX(-fyd_cc,MIN(fyd_cc,Es_cc*IF($E388&lt;=cc_D,0.0035*($E388-AC$18)/$E388,0.002*($E388-AC$18)/($E388-3*cc_D/7))))-fcd_cc*(1-(1-MAX(0,MIN(1,IF($E388&lt;=cc_D,0.0035*($E388-AC$18)/$E388,0.002*($E388-AC$18)/($E388-3*cc_D/7))/0.002)))^2)</f>
        <v/>
      </c>
      <c r="AD388">
        <f>MAX(-fyd_cc,MIN(fyd_cc,Es_cc*IF($E388&lt;=cc_D,0.0035*($E388-AD$18)/$E388,0.002*($E388-AD$18)/($E388-3*cc_D/7))))-fcd_cc*(1-(1-MAX(0,MIN(1,IF($E388&lt;=cc_D,0.0035*($E388-AD$18)/$E388,0.002*($E388-AD$18)/($E388-3*cc_D/7))/0.002)))^2)</f>
        <v/>
      </c>
      <c r="AE388">
        <f>MAX(-fyd_cc,MIN(fyd_cc,Es_cc*IF($E388&lt;=cc_D,0.0035*($E388-AE$18)/$E388,0.002*($E388-AE$18)/($E388-3*cc_D/7))))-fcd_cc*(1-(1-MAX(0,MIN(1,IF($E388&lt;=cc_D,0.0035*($E388-AE$18)/$E388,0.002*($E388-AE$18)/($E388-3*cc_D/7))/0.002)))^2)</f>
        <v/>
      </c>
      <c r="AF388">
        <f>MAX(-fyd_cc,MIN(fyd_cc,Es_cc*IF($E388&lt;=cc_D,0.0035*($E388-AF$18)/$E388,0.002*($E388-AF$18)/($E388-3*cc_D/7))))-fcd_cc*(1-(1-MAX(0,MIN(1,IF($E388&lt;=cc_D,0.0035*($E388-AF$18)/$E388,0.002*($E388-AF$18)/($E388-3*cc_D/7))/0.002)))^2)</f>
        <v/>
      </c>
      <c r="AG388">
        <f>MAX(-fyd_cc,MIN(fyd_cc,Es_cc*IF($E388&lt;=cc_D,0.0035*($E388-AG$18)/$E388,0.002*($E388-AG$18)/($E388-3*cc_D/7))))-fcd_cc*(1-(1-MAX(0,MIN(1,IF($E388&lt;=cc_D,0.0035*($E388-AG$18)/$E388,0.002*($E388-AG$18)/($E388-3*cc_D/7))/0.002)))^2)</f>
        <v/>
      </c>
      <c r="BF388">
        <f>3*MIN($E388,cc_D)/7</f>
        <v/>
      </c>
      <c r="BG388">
        <f>$E388-$BF388</f>
        <v/>
      </c>
      <c r="BH388">
        <f>ACOS(MAX(-1,MIN(1,1-$BF388/(cc_D/2))))</f>
        <v/>
      </c>
      <c r="BI388">
        <f>ACOS(MAX(-1,MIN(1,1-MIN($E388,cc_D)/(cc_D/2))))</f>
        <v/>
      </c>
      <c r="BJ388">
        <f>((cc_D/2*(1-COS(($BH388+0*($BI388-$BH388)/12)))-$BF388)/$BG388)^2*SIN(($BH388+0*($BI388-$BH388)/12))^2</f>
        <v/>
      </c>
      <c r="BK388">
        <f>((cc_D/2*(1-COS(($BH388+1*($BI388-$BH388)/12)))-$BF388)/$BG388)^2*SIN(($BH388+1*($BI388-$BH388)/12))^2</f>
        <v/>
      </c>
      <c r="BL388">
        <f>((cc_D/2*(1-COS(($BH388+2*($BI388-$BH388)/12)))-$BF388)/$BG388)^2*SIN(($BH388+2*($BI388-$BH388)/12))^2</f>
        <v/>
      </c>
      <c r="BM388">
        <f>((cc_D/2*(1-COS(($BH388+3*($BI388-$BH388)/12)))-$BF388)/$BG388)^2*SIN(($BH388+3*($BI388-$BH388)/12))^2</f>
        <v/>
      </c>
      <c r="BN388">
        <f>((cc_D/2*(1-COS(($BH388+4*($BI388-$BH388)/12)))-$BF388)/$BG388)^2*SIN(($BH388+4*($BI388-$BH388)/12))^2</f>
        <v/>
      </c>
      <c r="BO388">
        <f>((cc_D/2*(1-COS(($BH388+5*($BI388-$BH388)/12)))-$BF388)/$BG388)^2*SIN(($BH388+5*($BI388-$BH388)/12))^2</f>
        <v/>
      </c>
      <c r="BP388">
        <f>((cc_D/2*(1-COS(($BH388+6*($BI388-$BH388)/12)))-$BF388)/$BG388)^2*SIN(($BH388+6*($BI388-$BH388)/12))^2</f>
        <v/>
      </c>
      <c r="BQ388">
        <f>((cc_D/2*(1-COS(($BH388+7*($BI388-$BH388)/12)))-$BF388)/$BG388)^2*SIN(($BH388+7*($BI388-$BH388)/12))^2</f>
        <v/>
      </c>
      <c r="BR388">
        <f>((cc_D/2*(1-COS(($BH388+8*($BI388-$BH388)/12)))-$BF388)/$BG388)^2*SIN(($BH388+8*($BI388-$BH388)/12))^2</f>
        <v/>
      </c>
      <c r="BS388">
        <f>((cc_D/2*(1-COS(($BH388+9*($BI388-$BH388)/12)))-$BF388)/$BG388)^2*SIN(($BH388+9*($BI388-$BH388)/12))^2</f>
        <v/>
      </c>
      <c r="BT388">
        <f>((cc_D/2*(1-COS(($BH388+10*($BI388-$BH388)/12)))-$BF388)/$BG388)^2*SIN(($BH388+10*($BI388-$BH388)/12))^2</f>
        <v/>
      </c>
      <c r="BU388">
        <f>((cc_D/2*(1-COS(($BH388+11*($BI388-$BH388)/12)))-$BF388)/$BG388)^2*SIN(($BH388+11*($BI388-$BH388)/12))^2</f>
        <v/>
      </c>
      <c r="BV388">
        <f>((cc_D/2*(1-COS(($BH388+12*($BI388-$BH388)/12)))-$BF388)/$BG388)^2*SIN(($BH388+12*($BI388-$BH388)/12))^2</f>
        <v/>
      </c>
      <c r="BW388">
        <f>BJ388*COS(($BH388+0*($BI388-$BH388)/12))</f>
        <v/>
      </c>
      <c r="BX388">
        <f>BK388*COS(($BH388+1*($BI388-$BH388)/12))</f>
        <v/>
      </c>
      <c r="BY388">
        <f>BL388*COS(($BH388+2*($BI388-$BH388)/12))</f>
        <v/>
      </c>
      <c r="BZ388">
        <f>BM388*COS(($BH388+3*($BI388-$BH388)/12))</f>
        <v/>
      </c>
      <c r="CA388">
        <f>BN388*COS(($BH388+4*($BI388-$BH388)/12))</f>
        <v/>
      </c>
      <c r="CB388">
        <f>BO388*COS(($BH388+5*($BI388-$BH388)/12))</f>
        <v/>
      </c>
      <c r="CC388">
        <f>BP388*COS(($BH388+6*($BI388-$BH388)/12))</f>
        <v/>
      </c>
      <c r="CD388">
        <f>BQ388*COS(($BH388+7*($BI388-$BH388)/12))</f>
        <v/>
      </c>
      <c r="CE388">
        <f>BR388*COS(($BH388+8*($BI388-$BH388)/12))</f>
        <v/>
      </c>
      <c r="CF388">
        <f>BS388*COS(($BH388+9*($BI388-$BH388)/12))</f>
        <v/>
      </c>
      <c r="CG388">
        <f>BT388*COS(($BH388+10*($BI388-$BH388)/12))</f>
        <v/>
      </c>
      <c r="CH388">
        <f>BU388*COS(($BH388+11*($BI388-$BH388)/12))</f>
        <v/>
      </c>
      <c r="CI388">
        <f>BV388*COS(($BH388+12*($BI388-$BH388)/12))</f>
        <v/>
      </c>
    </row>
    <row r="389">
      <c r="B389" s="65" t="n">
        <v>48</v>
      </c>
      <c r="C389" s="66">
        <f>IF($G388&lt;cc_NEd-1E-9*ABS(cc_NEd),($C388+$D388)/2,$C388)</f>
        <v/>
      </c>
      <c r="D389" s="66">
        <f>IF($G388&lt;cc_NEd-1E-9*ABS(cc_NEd),$D388,($C388+$D388)/2)</f>
        <v/>
      </c>
      <c r="E389" s="67">
        <f>cc_D*(($C389+$D389)/2)/(1-(($C389+$D389)/2))</f>
        <v/>
      </c>
      <c r="F389" s="68">
        <f>IF($E389&lt;=cc_D,3.5,2*$E389/($E389-3*cc_D/7))</f>
        <v/>
      </c>
      <c r="G389" s="67">
        <f>(fcd_cc*((cc_D/2)^2*($BI389-COS($BI389)*SIN($BI389))-2*(cc_D/2)^2*($BI389-$BH389)/12/3*SUMPRODUCT($BJ$4:$BV$4,$BJ389:$BV389))+SUMPRODUCT($J$5:$AG$5,$J389:$AG389))/1000</f>
        <v/>
      </c>
      <c r="H389" s="67">
        <f>(fcd_cc*(2/3*(cc_D/2)^3*SIN($BI389)^3-2*(cc_D/2)^3*($BI389-$BH389)/12/3*SUMPRODUCT($BW$4:$CI$4,$BW389:$CI389))+SUMPRODUCT($J$5:$AG$5,$J389:$AG389,$J$19:$AG$19))/1E6</f>
        <v/>
      </c>
      <c r="I389" s="67">
        <f>SUMPRODUCT($J$5:$AG$5,$J389:$AG389,$J$20:$AG$20)/1E6</f>
        <v/>
      </c>
      <c r="J389">
        <f>MAX(-fyd_cc,MIN(fyd_cc,Es_cc*IF($E389&lt;=cc_D,0.0035*($E389-J$18)/$E389,0.002*($E389-J$18)/($E389-3*cc_D/7))))-fcd_cc*(1-(1-MAX(0,MIN(1,IF($E389&lt;=cc_D,0.0035*($E389-J$18)/$E389,0.002*($E389-J$18)/($E389-3*cc_D/7))/0.002)))^2)</f>
        <v/>
      </c>
      <c r="K389">
        <f>MAX(-fyd_cc,MIN(fyd_cc,Es_cc*IF($E389&lt;=cc_D,0.0035*($E389-K$18)/$E389,0.002*($E389-K$18)/($E389-3*cc_D/7))))-fcd_cc*(1-(1-MAX(0,MIN(1,IF($E389&lt;=cc_D,0.0035*($E389-K$18)/$E389,0.002*($E389-K$18)/($E389-3*cc_D/7))/0.002)))^2)</f>
        <v/>
      </c>
      <c r="L389">
        <f>MAX(-fyd_cc,MIN(fyd_cc,Es_cc*IF($E389&lt;=cc_D,0.0035*($E389-L$18)/$E389,0.002*($E389-L$18)/($E389-3*cc_D/7))))-fcd_cc*(1-(1-MAX(0,MIN(1,IF($E389&lt;=cc_D,0.0035*($E389-L$18)/$E389,0.002*($E389-L$18)/($E389-3*cc_D/7))/0.002)))^2)</f>
        <v/>
      </c>
      <c r="M389">
        <f>MAX(-fyd_cc,MIN(fyd_cc,Es_cc*IF($E389&lt;=cc_D,0.0035*($E389-M$18)/$E389,0.002*($E389-M$18)/($E389-3*cc_D/7))))-fcd_cc*(1-(1-MAX(0,MIN(1,IF($E389&lt;=cc_D,0.0035*($E389-M$18)/$E389,0.002*($E389-M$18)/($E389-3*cc_D/7))/0.002)))^2)</f>
        <v/>
      </c>
      <c r="N389">
        <f>MAX(-fyd_cc,MIN(fyd_cc,Es_cc*IF($E389&lt;=cc_D,0.0035*($E389-N$18)/$E389,0.002*($E389-N$18)/($E389-3*cc_D/7))))-fcd_cc*(1-(1-MAX(0,MIN(1,IF($E389&lt;=cc_D,0.0035*($E389-N$18)/$E389,0.002*($E389-N$18)/($E389-3*cc_D/7))/0.002)))^2)</f>
        <v/>
      </c>
      <c r="O389">
        <f>MAX(-fyd_cc,MIN(fyd_cc,Es_cc*IF($E389&lt;=cc_D,0.0035*($E389-O$18)/$E389,0.002*($E389-O$18)/($E389-3*cc_D/7))))-fcd_cc*(1-(1-MAX(0,MIN(1,IF($E389&lt;=cc_D,0.0035*($E389-O$18)/$E389,0.002*($E389-O$18)/($E389-3*cc_D/7))/0.002)))^2)</f>
        <v/>
      </c>
      <c r="P389">
        <f>MAX(-fyd_cc,MIN(fyd_cc,Es_cc*IF($E389&lt;=cc_D,0.0035*($E389-P$18)/$E389,0.002*($E389-P$18)/($E389-3*cc_D/7))))-fcd_cc*(1-(1-MAX(0,MIN(1,IF($E389&lt;=cc_D,0.0035*($E389-P$18)/$E389,0.002*($E389-P$18)/($E389-3*cc_D/7))/0.002)))^2)</f>
        <v/>
      </c>
      <c r="Q389">
        <f>MAX(-fyd_cc,MIN(fyd_cc,Es_cc*IF($E389&lt;=cc_D,0.0035*($E389-Q$18)/$E389,0.002*($E389-Q$18)/($E389-3*cc_D/7))))-fcd_cc*(1-(1-MAX(0,MIN(1,IF($E389&lt;=cc_D,0.0035*($E389-Q$18)/$E389,0.002*($E389-Q$18)/($E389-3*cc_D/7))/0.002)))^2)</f>
        <v/>
      </c>
      <c r="R389">
        <f>MAX(-fyd_cc,MIN(fyd_cc,Es_cc*IF($E389&lt;=cc_D,0.0035*($E389-R$18)/$E389,0.002*($E389-R$18)/($E389-3*cc_D/7))))-fcd_cc*(1-(1-MAX(0,MIN(1,IF($E389&lt;=cc_D,0.0035*($E389-R$18)/$E389,0.002*($E389-R$18)/($E389-3*cc_D/7))/0.002)))^2)</f>
        <v/>
      </c>
      <c r="S389">
        <f>MAX(-fyd_cc,MIN(fyd_cc,Es_cc*IF($E389&lt;=cc_D,0.0035*($E389-S$18)/$E389,0.002*($E389-S$18)/($E389-3*cc_D/7))))-fcd_cc*(1-(1-MAX(0,MIN(1,IF($E389&lt;=cc_D,0.0035*($E389-S$18)/$E389,0.002*($E389-S$18)/($E389-3*cc_D/7))/0.002)))^2)</f>
        <v/>
      </c>
      <c r="T389">
        <f>MAX(-fyd_cc,MIN(fyd_cc,Es_cc*IF($E389&lt;=cc_D,0.0035*($E389-T$18)/$E389,0.002*($E389-T$18)/($E389-3*cc_D/7))))-fcd_cc*(1-(1-MAX(0,MIN(1,IF($E389&lt;=cc_D,0.0035*($E389-T$18)/$E389,0.002*($E389-T$18)/($E389-3*cc_D/7))/0.002)))^2)</f>
        <v/>
      </c>
      <c r="U389">
        <f>MAX(-fyd_cc,MIN(fyd_cc,Es_cc*IF($E389&lt;=cc_D,0.0035*($E389-U$18)/$E389,0.002*($E389-U$18)/($E389-3*cc_D/7))))-fcd_cc*(1-(1-MAX(0,MIN(1,IF($E389&lt;=cc_D,0.0035*($E389-U$18)/$E389,0.002*($E389-U$18)/($E389-3*cc_D/7))/0.002)))^2)</f>
        <v/>
      </c>
      <c r="V389">
        <f>MAX(-fyd_cc,MIN(fyd_cc,Es_cc*IF($E389&lt;=cc_D,0.0035*($E389-V$18)/$E389,0.002*($E389-V$18)/($E389-3*cc_D/7))))-fcd_cc*(1-(1-MAX(0,MIN(1,IF($E389&lt;=cc_D,0.0035*($E389-V$18)/$E389,0.002*($E389-V$18)/($E389-3*cc_D/7))/0.002)))^2)</f>
        <v/>
      </c>
      <c r="W389">
        <f>MAX(-fyd_cc,MIN(fyd_cc,Es_cc*IF($E389&lt;=cc_D,0.0035*($E389-W$18)/$E389,0.002*($E389-W$18)/($E389-3*cc_D/7))))-fcd_cc*(1-(1-MAX(0,MIN(1,IF($E389&lt;=cc_D,0.0035*($E389-W$18)/$E389,0.002*($E389-W$18)/($E389-3*cc_D/7))/0.002)))^2)</f>
        <v/>
      </c>
      <c r="X389">
        <f>MAX(-fyd_cc,MIN(fyd_cc,Es_cc*IF($E389&lt;=cc_D,0.0035*($E389-X$18)/$E389,0.002*($E389-X$18)/($E389-3*cc_D/7))))-fcd_cc*(1-(1-MAX(0,MIN(1,IF($E389&lt;=cc_D,0.0035*($E389-X$18)/$E389,0.002*($E389-X$18)/($E389-3*cc_D/7))/0.002)))^2)</f>
        <v/>
      </c>
      <c r="Y389">
        <f>MAX(-fyd_cc,MIN(fyd_cc,Es_cc*IF($E389&lt;=cc_D,0.0035*($E389-Y$18)/$E389,0.002*($E389-Y$18)/($E389-3*cc_D/7))))-fcd_cc*(1-(1-MAX(0,MIN(1,IF($E389&lt;=cc_D,0.0035*($E389-Y$18)/$E389,0.002*($E389-Y$18)/($E389-3*cc_D/7))/0.002)))^2)</f>
        <v/>
      </c>
      <c r="Z389">
        <f>MAX(-fyd_cc,MIN(fyd_cc,Es_cc*IF($E389&lt;=cc_D,0.0035*($E389-Z$18)/$E389,0.002*($E389-Z$18)/($E389-3*cc_D/7))))-fcd_cc*(1-(1-MAX(0,MIN(1,IF($E389&lt;=cc_D,0.0035*($E389-Z$18)/$E389,0.002*($E389-Z$18)/($E389-3*cc_D/7))/0.002)))^2)</f>
        <v/>
      </c>
      <c r="AA389">
        <f>MAX(-fyd_cc,MIN(fyd_cc,Es_cc*IF($E389&lt;=cc_D,0.0035*($E389-AA$18)/$E389,0.002*($E389-AA$18)/($E389-3*cc_D/7))))-fcd_cc*(1-(1-MAX(0,MIN(1,IF($E389&lt;=cc_D,0.0035*($E389-AA$18)/$E389,0.002*($E389-AA$18)/($E389-3*cc_D/7))/0.002)))^2)</f>
        <v/>
      </c>
      <c r="AB389">
        <f>MAX(-fyd_cc,MIN(fyd_cc,Es_cc*IF($E389&lt;=cc_D,0.0035*($E389-AB$18)/$E389,0.002*($E389-AB$18)/($E389-3*cc_D/7))))-fcd_cc*(1-(1-MAX(0,MIN(1,IF($E389&lt;=cc_D,0.0035*($E389-AB$18)/$E389,0.002*($E389-AB$18)/($E389-3*cc_D/7))/0.002)))^2)</f>
        <v/>
      </c>
      <c r="AC389">
        <f>MAX(-fyd_cc,MIN(fyd_cc,Es_cc*IF($E389&lt;=cc_D,0.0035*($E389-AC$18)/$E389,0.002*($E389-AC$18)/($E389-3*cc_D/7))))-fcd_cc*(1-(1-MAX(0,MIN(1,IF($E389&lt;=cc_D,0.0035*($E389-AC$18)/$E389,0.002*($E389-AC$18)/($E389-3*cc_D/7))/0.002)))^2)</f>
        <v/>
      </c>
      <c r="AD389">
        <f>MAX(-fyd_cc,MIN(fyd_cc,Es_cc*IF($E389&lt;=cc_D,0.0035*($E389-AD$18)/$E389,0.002*($E389-AD$18)/($E389-3*cc_D/7))))-fcd_cc*(1-(1-MAX(0,MIN(1,IF($E389&lt;=cc_D,0.0035*($E389-AD$18)/$E389,0.002*($E389-AD$18)/($E389-3*cc_D/7))/0.002)))^2)</f>
        <v/>
      </c>
      <c r="AE389">
        <f>MAX(-fyd_cc,MIN(fyd_cc,Es_cc*IF($E389&lt;=cc_D,0.0035*($E389-AE$18)/$E389,0.002*($E389-AE$18)/($E389-3*cc_D/7))))-fcd_cc*(1-(1-MAX(0,MIN(1,IF($E389&lt;=cc_D,0.0035*($E389-AE$18)/$E389,0.002*($E389-AE$18)/($E389-3*cc_D/7))/0.002)))^2)</f>
        <v/>
      </c>
      <c r="AF389">
        <f>MAX(-fyd_cc,MIN(fyd_cc,Es_cc*IF($E389&lt;=cc_D,0.0035*($E389-AF$18)/$E389,0.002*($E389-AF$18)/($E389-3*cc_D/7))))-fcd_cc*(1-(1-MAX(0,MIN(1,IF($E389&lt;=cc_D,0.0035*($E389-AF$18)/$E389,0.002*($E389-AF$18)/($E389-3*cc_D/7))/0.002)))^2)</f>
        <v/>
      </c>
      <c r="AG389">
        <f>MAX(-fyd_cc,MIN(fyd_cc,Es_cc*IF($E389&lt;=cc_D,0.0035*($E389-AG$18)/$E389,0.002*($E389-AG$18)/($E389-3*cc_D/7))))-fcd_cc*(1-(1-MAX(0,MIN(1,IF($E389&lt;=cc_D,0.0035*($E389-AG$18)/$E389,0.002*($E389-AG$18)/($E389-3*cc_D/7))/0.002)))^2)</f>
        <v/>
      </c>
      <c r="BF389">
        <f>3*MIN($E389,cc_D)/7</f>
        <v/>
      </c>
      <c r="BG389">
        <f>$E389-$BF389</f>
        <v/>
      </c>
      <c r="BH389">
        <f>ACOS(MAX(-1,MIN(1,1-$BF389/(cc_D/2))))</f>
        <v/>
      </c>
      <c r="BI389">
        <f>ACOS(MAX(-1,MIN(1,1-MIN($E389,cc_D)/(cc_D/2))))</f>
        <v/>
      </c>
      <c r="BJ389">
        <f>((cc_D/2*(1-COS(($BH389+0*($BI389-$BH389)/12)))-$BF389)/$BG389)^2*SIN(($BH389+0*($BI389-$BH389)/12))^2</f>
        <v/>
      </c>
      <c r="BK389">
        <f>((cc_D/2*(1-COS(($BH389+1*($BI389-$BH389)/12)))-$BF389)/$BG389)^2*SIN(($BH389+1*($BI389-$BH389)/12))^2</f>
        <v/>
      </c>
      <c r="BL389">
        <f>((cc_D/2*(1-COS(($BH389+2*($BI389-$BH389)/12)))-$BF389)/$BG389)^2*SIN(($BH389+2*($BI389-$BH389)/12))^2</f>
        <v/>
      </c>
      <c r="BM389">
        <f>((cc_D/2*(1-COS(($BH389+3*($BI389-$BH389)/12)))-$BF389)/$BG389)^2*SIN(($BH389+3*($BI389-$BH389)/12))^2</f>
        <v/>
      </c>
      <c r="BN389">
        <f>((cc_D/2*(1-COS(($BH389+4*($BI389-$BH389)/12)))-$BF389)/$BG389)^2*SIN(($BH389+4*($BI389-$BH389)/12))^2</f>
        <v/>
      </c>
      <c r="BO389">
        <f>((cc_D/2*(1-COS(($BH389+5*($BI389-$BH389)/12)))-$BF389)/$BG389)^2*SIN(($BH389+5*($BI389-$BH389)/12))^2</f>
        <v/>
      </c>
      <c r="BP389">
        <f>((cc_D/2*(1-COS(($BH389+6*($BI389-$BH389)/12)))-$BF389)/$BG389)^2*SIN(($BH389+6*($BI389-$BH389)/12))^2</f>
        <v/>
      </c>
      <c r="BQ389">
        <f>((cc_D/2*(1-COS(($BH389+7*($BI389-$BH389)/12)))-$BF389)/$BG389)^2*SIN(($BH389+7*($BI389-$BH389)/12))^2</f>
        <v/>
      </c>
      <c r="BR389">
        <f>((cc_D/2*(1-COS(($BH389+8*($BI389-$BH389)/12)))-$BF389)/$BG389)^2*SIN(($BH389+8*($BI389-$BH389)/12))^2</f>
        <v/>
      </c>
      <c r="BS389">
        <f>((cc_D/2*(1-COS(($BH389+9*($BI389-$BH389)/12)))-$BF389)/$BG389)^2*SIN(($BH389+9*($BI389-$BH389)/12))^2</f>
        <v/>
      </c>
      <c r="BT389">
        <f>((cc_D/2*(1-COS(($BH389+10*($BI389-$BH389)/12)))-$BF389)/$BG389)^2*SIN(($BH389+10*($BI389-$BH389)/12))^2</f>
        <v/>
      </c>
      <c r="BU389">
        <f>((cc_D/2*(1-COS(($BH389+11*($BI389-$BH389)/12)))-$BF389)/$BG389)^2*SIN(($BH389+11*($BI389-$BH389)/12))^2</f>
        <v/>
      </c>
      <c r="BV389">
        <f>((cc_D/2*(1-COS(($BH389+12*($BI389-$BH389)/12)))-$BF389)/$BG389)^2*SIN(($BH389+12*($BI389-$BH389)/12))^2</f>
        <v/>
      </c>
      <c r="BW389">
        <f>BJ389*COS(($BH389+0*($BI389-$BH389)/12))</f>
        <v/>
      </c>
      <c r="BX389">
        <f>BK389*COS(($BH389+1*($BI389-$BH389)/12))</f>
        <v/>
      </c>
      <c r="BY389">
        <f>BL389*COS(($BH389+2*($BI389-$BH389)/12))</f>
        <v/>
      </c>
      <c r="BZ389">
        <f>BM389*COS(($BH389+3*($BI389-$BH389)/12))</f>
        <v/>
      </c>
      <c r="CA389">
        <f>BN389*COS(($BH389+4*($BI389-$BH389)/12))</f>
        <v/>
      </c>
      <c r="CB389">
        <f>BO389*COS(($BH389+5*($BI389-$BH389)/12))</f>
        <v/>
      </c>
      <c r="CC389">
        <f>BP389*COS(($BH389+6*($BI389-$BH389)/12))</f>
        <v/>
      </c>
      <c r="CD389">
        <f>BQ389*COS(($BH389+7*($BI389-$BH389)/12))</f>
        <v/>
      </c>
      <c r="CE389">
        <f>BR389*COS(($BH389+8*($BI389-$BH389)/12))</f>
        <v/>
      </c>
      <c r="CF389">
        <f>BS389*COS(($BH389+9*($BI389-$BH389)/12))</f>
        <v/>
      </c>
      <c r="CG389">
        <f>BT389*COS(($BH389+10*($BI389-$BH389)/12))</f>
        <v/>
      </c>
      <c r="CH389">
        <f>BU389*COS(($BH389+11*($BI389-$BH389)/12))</f>
        <v/>
      </c>
      <c r="CI389">
        <f>BV389*COS(($BH389+12*($BI389-$BH389)/12))</f>
        <v/>
      </c>
    </row>
    <row r="390">
      <c r="B390" s="65" t="n">
        <v>49</v>
      </c>
      <c r="C390" s="66">
        <f>IF($G389&lt;cc_NEd-1E-9*ABS(cc_NEd),($C389+$D389)/2,$C389)</f>
        <v/>
      </c>
      <c r="D390" s="66">
        <f>IF($G389&lt;cc_NEd-1E-9*ABS(cc_NEd),$D389,($C389+$D389)/2)</f>
        <v/>
      </c>
      <c r="E390" s="67">
        <f>cc_D*(($C390+$D390)/2)/(1-(($C390+$D390)/2))</f>
        <v/>
      </c>
      <c r="F390" s="68">
        <f>IF($E390&lt;=cc_D,3.5,2*$E390/($E390-3*cc_D/7))</f>
        <v/>
      </c>
      <c r="G390" s="67">
        <f>(fcd_cc*((cc_D/2)^2*($BI390-COS($BI390)*SIN($BI390))-2*(cc_D/2)^2*($BI390-$BH390)/12/3*SUMPRODUCT($BJ$4:$BV$4,$BJ390:$BV390))+SUMPRODUCT($J$5:$AG$5,$J390:$AG390))/1000</f>
        <v/>
      </c>
      <c r="H390" s="67">
        <f>(fcd_cc*(2/3*(cc_D/2)^3*SIN($BI390)^3-2*(cc_D/2)^3*($BI390-$BH390)/12/3*SUMPRODUCT($BW$4:$CI$4,$BW390:$CI390))+SUMPRODUCT($J$5:$AG$5,$J390:$AG390,$J$19:$AG$19))/1E6</f>
        <v/>
      </c>
      <c r="I390" s="67">
        <f>SUMPRODUCT($J$5:$AG$5,$J390:$AG390,$J$20:$AG$20)/1E6</f>
        <v/>
      </c>
      <c r="J390">
        <f>MAX(-fyd_cc,MIN(fyd_cc,Es_cc*IF($E390&lt;=cc_D,0.0035*($E390-J$18)/$E390,0.002*($E390-J$18)/($E390-3*cc_D/7))))-fcd_cc*(1-(1-MAX(0,MIN(1,IF($E390&lt;=cc_D,0.0035*($E390-J$18)/$E390,0.002*($E390-J$18)/($E390-3*cc_D/7))/0.002)))^2)</f>
        <v/>
      </c>
      <c r="K390">
        <f>MAX(-fyd_cc,MIN(fyd_cc,Es_cc*IF($E390&lt;=cc_D,0.0035*($E390-K$18)/$E390,0.002*($E390-K$18)/($E390-3*cc_D/7))))-fcd_cc*(1-(1-MAX(0,MIN(1,IF($E390&lt;=cc_D,0.0035*($E390-K$18)/$E390,0.002*($E390-K$18)/($E390-3*cc_D/7))/0.002)))^2)</f>
        <v/>
      </c>
      <c r="L390">
        <f>MAX(-fyd_cc,MIN(fyd_cc,Es_cc*IF($E390&lt;=cc_D,0.0035*($E390-L$18)/$E390,0.002*($E390-L$18)/($E390-3*cc_D/7))))-fcd_cc*(1-(1-MAX(0,MIN(1,IF($E390&lt;=cc_D,0.0035*($E390-L$18)/$E390,0.002*($E390-L$18)/($E390-3*cc_D/7))/0.002)))^2)</f>
        <v/>
      </c>
      <c r="M390">
        <f>MAX(-fyd_cc,MIN(fyd_cc,Es_cc*IF($E390&lt;=cc_D,0.0035*($E390-M$18)/$E390,0.002*($E390-M$18)/($E390-3*cc_D/7))))-fcd_cc*(1-(1-MAX(0,MIN(1,IF($E390&lt;=cc_D,0.0035*($E390-M$18)/$E390,0.002*($E390-M$18)/($E390-3*cc_D/7))/0.002)))^2)</f>
        <v/>
      </c>
      <c r="N390">
        <f>MAX(-fyd_cc,MIN(fyd_cc,Es_cc*IF($E390&lt;=cc_D,0.0035*($E390-N$18)/$E390,0.002*($E390-N$18)/($E390-3*cc_D/7))))-fcd_cc*(1-(1-MAX(0,MIN(1,IF($E390&lt;=cc_D,0.0035*($E390-N$18)/$E390,0.002*($E390-N$18)/($E390-3*cc_D/7))/0.002)))^2)</f>
        <v/>
      </c>
      <c r="O390">
        <f>MAX(-fyd_cc,MIN(fyd_cc,Es_cc*IF($E390&lt;=cc_D,0.0035*($E390-O$18)/$E390,0.002*($E390-O$18)/($E390-3*cc_D/7))))-fcd_cc*(1-(1-MAX(0,MIN(1,IF($E390&lt;=cc_D,0.0035*($E390-O$18)/$E390,0.002*($E390-O$18)/($E390-3*cc_D/7))/0.002)))^2)</f>
        <v/>
      </c>
      <c r="P390">
        <f>MAX(-fyd_cc,MIN(fyd_cc,Es_cc*IF($E390&lt;=cc_D,0.0035*($E390-P$18)/$E390,0.002*($E390-P$18)/($E390-3*cc_D/7))))-fcd_cc*(1-(1-MAX(0,MIN(1,IF($E390&lt;=cc_D,0.0035*($E390-P$18)/$E390,0.002*($E390-P$18)/($E390-3*cc_D/7))/0.002)))^2)</f>
        <v/>
      </c>
      <c r="Q390">
        <f>MAX(-fyd_cc,MIN(fyd_cc,Es_cc*IF($E390&lt;=cc_D,0.0035*($E390-Q$18)/$E390,0.002*($E390-Q$18)/($E390-3*cc_D/7))))-fcd_cc*(1-(1-MAX(0,MIN(1,IF($E390&lt;=cc_D,0.0035*($E390-Q$18)/$E390,0.002*($E390-Q$18)/($E390-3*cc_D/7))/0.002)))^2)</f>
        <v/>
      </c>
      <c r="R390">
        <f>MAX(-fyd_cc,MIN(fyd_cc,Es_cc*IF($E390&lt;=cc_D,0.0035*($E390-R$18)/$E390,0.002*($E390-R$18)/($E390-3*cc_D/7))))-fcd_cc*(1-(1-MAX(0,MIN(1,IF($E390&lt;=cc_D,0.0035*($E390-R$18)/$E390,0.002*($E390-R$18)/($E390-3*cc_D/7))/0.002)))^2)</f>
        <v/>
      </c>
      <c r="S390">
        <f>MAX(-fyd_cc,MIN(fyd_cc,Es_cc*IF($E390&lt;=cc_D,0.0035*($E390-S$18)/$E390,0.002*($E390-S$18)/($E390-3*cc_D/7))))-fcd_cc*(1-(1-MAX(0,MIN(1,IF($E390&lt;=cc_D,0.0035*($E390-S$18)/$E390,0.002*($E390-S$18)/($E390-3*cc_D/7))/0.002)))^2)</f>
        <v/>
      </c>
      <c r="T390">
        <f>MAX(-fyd_cc,MIN(fyd_cc,Es_cc*IF($E390&lt;=cc_D,0.0035*($E390-T$18)/$E390,0.002*($E390-T$18)/($E390-3*cc_D/7))))-fcd_cc*(1-(1-MAX(0,MIN(1,IF($E390&lt;=cc_D,0.0035*($E390-T$18)/$E390,0.002*($E390-T$18)/($E390-3*cc_D/7))/0.002)))^2)</f>
        <v/>
      </c>
      <c r="U390">
        <f>MAX(-fyd_cc,MIN(fyd_cc,Es_cc*IF($E390&lt;=cc_D,0.0035*($E390-U$18)/$E390,0.002*($E390-U$18)/($E390-3*cc_D/7))))-fcd_cc*(1-(1-MAX(0,MIN(1,IF($E390&lt;=cc_D,0.0035*($E390-U$18)/$E390,0.002*($E390-U$18)/($E390-3*cc_D/7))/0.002)))^2)</f>
        <v/>
      </c>
      <c r="V390">
        <f>MAX(-fyd_cc,MIN(fyd_cc,Es_cc*IF($E390&lt;=cc_D,0.0035*($E390-V$18)/$E390,0.002*($E390-V$18)/($E390-3*cc_D/7))))-fcd_cc*(1-(1-MAX(0,MIN(1,IF($E390&lt;=cc_D,0.0035*($E390-V$18)/$E390,0.002*($E390-V$18)/($E390-3*cc_D/7))/0.002)))^2)</f>
        <v/>
      </c>
      <c r="W390">
        <f>MAX(-fyd_cc,MIN(fyd_cc,Es_cc*IF($E390&lt;=cc_D,0.0035*($E390-W$18)/$E390,0.002*($E390-W$18)/($E390-3*cc_D/7))))-fcd_cc*(1-(1-MAX(0,MIN(1,IF($E390&lt;=cc_D,0.0035*($E390-W$18)/$E390,0.002*($E390-W$18)/($E390-3*cc_D/7))/0.002)))^2)</f>
        <v/>
      </c>
      <c r="X390">
        <f>MAX(-fyd_cc,MIN(fyd_cc,Es_cc*IF($E390&lt;=cc_D,0.0035*($E390-X$18)/$E390,0.002*($E390-X$18)/($E390-3*cc_D/7))))-fcd_cc*(1-(1-MAX(0,MIN(1,IF($E390&lt;=cc_D,0.0035*($E390-X$18)/$E390,0.002*($E390-X$18)/($E390-3*cc_D/7))/0.002)))^2)</f>
        <v/>
      </c>
      <c r="Y390">
        <f>MAX(-fyd_cc,MIN(fyd_cc,Es_cc*IF($E390&lt;=cc_D,0.0035*($E390-Y$18)/$E390,0.002*($E390-Y$18)/($E390-3*cc_D/7))))-fcd_cc*(1-(1-MAX(0,MIN(1,IF($E390&lt;=cc_D,0.0035*($E390-Y$18)/$E390,0.002*($E390-Y$18)/($E390-3*cc_D/7))/0.002)))^2)</f>
        <v/>
      </c>
      <c r="Z390">
        <f>MAX(-fyd_cc,MIN(fyd_cc,Es_cc*IF($E390&lt;=cc_D,0.0035*($E390-Z$18)/$E390,0.002*($E390-Z$18)/($E390-3*cc_D/7))))-fcd_cc*(1-(1-MAX(0,MIN(1,IF($E390&lt;=cc_D,0.0035*($E390-Z$18)/$E390,0.002*($E390-Z$18)/($E390-3*cc_D/7))/0.002)))^2)</f>
        <v/>
      </c>
      <c r="AA390">
        <f>MAX(-fyd_cc,MIN(fyd_cc,Es_cc*IF($E390&lt;=cc_D,0.0035*($E390-AA$18)/$E390,0.002*($E390-AA$18)/($E390-3*cc_D/7))))-fcd_cc*(1-(1-MAX(0,MIN(1,IF($E390&lt;=cc_D,0.0035*($E390-AA$18)/$E390,0.002*($E390-AA$18)/($E390-3*cc_D/7))/0.002)))^2)</f>
        <v/>
      </c>
      <c r="AB390">
        <f>MAX(-fyd_cc,MIN(fyd_cc,Es_cc*IF($E390&lt;=cc_D,0.0035*($E390-AB$18)/$E390,0.002*($E390-AB$18)/($E390-3*cc_D/7))))-fcd_cc*(1-(1-MAX(0,MIN(1,IF($E390&lt;=cc_D,0.0035*($E390-AB$18)/$E390,0.002*($E390-AB$18)/($E390-3*cc_D/7))/0.002)))^2)</f>
        <v/>
      </c>
      <c r="AC390">
        <f>MAX(-fyd_cc,MIN(fyd_cc,Es_cc*IF($E390&lt;=cc_D,0.0035*($E390-AC$18)/$E390,0.002*($E390-AC$18)/($E390-3*cc_D/7))))-fcd_cc*(1-(1-MAX(0,MIN(1,IF($E390&lt;=cc_D,0.0035*($E390-AC$18)/$E390,0.002*($E390-AC$18)/($E390-3*cc_D/7))/0.002)))^2)</f>
        <v/>
      </c>
      <c r="AD390">
        <f>MAX(-fyd_cc,MIN(fyd_cc,Es_cc*IF($E390&lt;=cc_D,0.0035*($E390-AD$18)/$E390,0.002*($E390-AD$18)/($E390-3*cc_D/7))))-fcd_cc*(1-(1-MAX(0,MIN(1,IF($E390&lt;=cc_D,0.0035*($E390-AD$18)/$E390,0.002*($E390-AD$18)/($E390-3*cc_D/7))/0.002)))^2)</f>
        <v/>
      </c>
      <c r="AE390">
        <f>MAX(-fyd_cc,MIN(fyd_cc,Es_cc*IF($E390&lt;=cc_D,0.0035*($E390-AE$18)/$E390,0.002*($E390-AE$18)/($E390-3*cc_D/7))))-fcd_cc*(1-(1-MAX(0,MIN(1,IF($E390&lt;=cc_D,0.0035*($E390-AE$18)/$E390,0.002*($E390-AE$18)/($E390-3*cc_D/7))/0.002)))^2)</f>
        <v/>
      </c>
      <c r="AF390">
        <f>MAX(-fyd_cc,MIN(fyd_cc,Es_cc*IF($E390&lt;=cc_D,0.0035*($E390-AF$18)/$E390,0.002*($E390-AF$18)/($E390-3*cc_D/7))))-fcd_cc*(1-(1-MAX(0,MIN(1,IF($E390&lt;=cc_D,0.0035*($E390-AF$18)/$E390,0.002*($E390-AF$18)/($E390-3*cc_D/7))/0.002)))^2)</f>
        <v/>
      </c>
      <c r="AG390">
        <f>MAX(-fyd_cc,MIN(fyd_cc,Es_cc*IF($E390&lt;=cc_D,0.0035*($E390-AG$18)/$E390,0.002*($E390-AG$18)/($E390-3*cc_D/7))))-fcd_cc*(1-(1-MAX(0,MIN(1,IF($E390&lt;=cc_D,0.0035*($E390-AG$18)/$E390,0.002*($E390-AG$18)/($E390-3*cc_D/7))/0.002)))^2)</f>
        <v/>
      </c>
      <c r="BF390">
        <f>3*MIN($E390,cc_D)/7</f>
        <v/>
      </c>
      <c r="BG390">
        <f>$E390-$BF390</f>
        <v/>
      </c>
      <c r="BH390">
        <f>ACOS(MAX(-1,MIN(1,1-$BF390/(cc_D/2))))</f>
        <v/>
      </c>
      <c r="BI390">
        <f>ACOS(MAX(-1,MIN(1,1-MIN($E390,cc_D)/(cc_D/2))))</f>
        <v/>
      </c>
      <c r="BJ390">
        <f>((cc_D/2*(1-COS(($BH390+0*($BI390-$BH390)/12)))-$BF390)/$BG390)^2*SIN(($BH390+0*($BI390-$BH390)/12))^2</f>
        <v/>
      </c>
      <c r="BK390">
        <f>((cc_D/2*(1-COS(($BH390+1*($BI390-$BH390)/12)))-$BF390)/$BG390)^2*SIN(($BH390+1*($BI390-$BH390)/12))^2</f>
        <v/>
      </c>
      <c r="BL390">
        <f>((cc_D/2*(1-COS(($BH390+2*($BI390-$BH390)/12)))-$BF390)/$BG390)^2*SIN(($BH390+2*($BI390-$BH390)/12))^2</f>
        <v/>
      </c>
      <c r="BM390">
        <f>((cc_D/2*(1-COS(($BH390+3*($BI390-$BH390)/12)))-$BF390)/$BG390)^2*SIN(($BH390+3*($BI390-$BH390)/12))^2</f>
        <v/>
      </c>
      <c r="BN390">
        <f>((cc_D/2*(1-COS(($BH390+4*($BI390-$BH390)/12)))-$BF390)/$BG390)^2*SIN(($BH390+4*($BI390-$BH390)/12))^2</f>
        <v/>
      </c>
      <c r="BO390">
        <f>((cc_D/2*(1-COS(($BH390+5*($BI390-$BH390)/12)))-$BF390)/$BG390)^2*SIN(($BH390+5*($BI390-$BH390)/12))^2</f>
        <v/>
      </c>
      <c r="BP390">
        <f>((cc_D/2*(1-COS(($BH390+6*($BI390-$BH390)/12)))-$BF390)/$BG390)^2*SIN(($BH390+6*($BI390-$BH390)/12))^2</f>
        <v/>
      </c>
      <c r="BQ390">
        <f>((cc_D/2*(1-COS(($BH390+7*($BI390-$BH390)/12)))-$BF390)/$BG390)^2*SIN(($BH390+7*($BI390-$BH390)/12))^2</f>
        <v/>
      </c>
      <c r="BR390">
        <f>((cc_D/2*(1-COS(($BH390+8*($BI390-$BH390)/12)))-$BF390)/$BG390)^2*SIN(($BH390+8*($BI390-$BH390)/12))^2</f>
        <v/>
      </c>
      <c r="BS390">
        <f>((cc_D/2*(1-COS(($BH390+9*($BI390-$BH390)/12)))-$BF390)/$BG390)^2*SIN(($BH390+9*($BI390-$BH390)/12))^2</f>
        <v/>
      </c>
      <c r="BT390">
        <f>((cc_D/2*(1-COS(($BH390+10*($BI390-$BH390)/12)))-$BF390)/$BG390)^2*SIN(($BH390+10*($BI390-$BH390)/12))^2</f>
        <v/>
      </c>
      <c r="BU390">
        <f>((cc_D/2*(1-COS(($BH390+11*($BI390-$BH390)/12)))-$BF390)/$BG390)^2*SIN(($BH390+11*($BI390-$BH390)/12))^2</f>
        <v/>
      </c>
      <c r="BV390">
        <f>((cc_D/2*(1-COS(($BH390+12*($BI390-$BH390)/12)))-$BF390)/$BG390)^2*SIN(($BH390+12*($BI390-$BH390)/12))^2</f>
        <v/>
      </c>
      <c r="BW390">
        <f>BJ390*COS(($BH390+0*($BI390-$BH390)/12))</f>
        <v/>
      </c>
      <c r="BX390">
        <f>BK390*COS(($BH390+1*($BI390-$BH390)/12))</f>
        <v/>
      </c>
      <c r="BY390">
        <f>BL390*COS(($BH390+2*($BI390-$BH390)/12))</f>
        <v/>
      </c>
      <c r="BZ390">
        <f>BM390*COS(($BH390+3*($BI390-$BH390)/12))</f>
        <v/>
      </c>
      <c r="CA390">
        <f>BN390*COS(($BH390+4*($BI390-$BH390)/12))</f>
        <v/>
      </c>
      <c r="CB390">
        <f>BO390*COS(($BH390+5*($BI390-$BH390)/12))</f>
        <v/>
      </c>
      <c r="CC390">
        <f>BP390*COS(($BH390+6*($BI390-$BH390)/12))</f>
        <v/>
      </c>
      <c r="CD390">
        <f>BQ390*COS(($BH390+7*($BI390-$BH390)/12))</f>
        <v/>
      </c>
      <c r="CE390">
        <f>BR390*COS(($BH390+8*($BI390-$BH390)/12))</f>
        <v/>
      </c>
      <c r="CF390">
        <f>BS390*COS(($BH390+9*($BI390-$BH390)/12))</f>
        <v/>
      </c>
      <c r="CG390">
        <f>BT390*COS(($BH390+10*($BI390-$BH390)/12))</f>
        <v/>
      </c>
      <c r="CH390">
        <f>BU390*COS(($BH390+11*($BI390-$BH390)/12))</f>
        <v/>
      </c>
      <c r="CI390">
        <f>BV390*COS(($BH390+12*($BI390-$BH390)/12))</f>
        <v/>
      </c>
    </row>
    <row r="391">
      <c r="B391" s="65" t="n">
        <v>50</v>
      </c>
      <c r="C391" s="66">
        <f>IF($G390&lt;cc_NEd-1E-9*ABS(cc_NEd),($C390+$D390)/2,$C390)</f>
        <v/>
      </c>
      <c r="D391" s="66">
        <f>IF($G390&lt;cc_NEd-1E-9*ABS(cc_NEd),$D390,($C390+$D390)/2)</f>
        <v/>
      </c>
      <c r="E391" s="67">
        <f>cc_D*(($C391+$D391)/2)/(1-(($C391+$D391)/2))</f>
        <v/>
      </c>
      <c r="F391" s="68">
        <f>IF($E391&lt;=cc_D,3.5,2*$E391/($E391-3*cc_D/7))</f>
        <v/>
      </c>
      <c r="G391" s="67">
        <f>(fcd_cc*((cc_D/2)^2*($BI391-COS($BI391)*SIN($BI391))-2*(cc_D/2)^2*($BI391-$BH391)/12/3*SUMPRODUCT($BJ$4:$BV$4,$BJ391:$BV391))+SUMPRODUCT($J$5:$AG$5,$J391:$AG391))/1000</f>
        <v/>
      </c>
      <c r="H391" s="67">
        <f>(fcd_cc*(2/3*(cc_D/2)^3*SIN($BI391)^3-2*(cc_D/2)^3*($BI391-$BH391)/12/3*SUMPRODUCT($BW$4:$CI$4,$BW391:$CI391))+SUMPRODUCT($J$5:$AG$5,$J391:$AG391,$J$19:$AG$19))/1E6</f>
        <v/>
      </c>
      <c r="I391" s="67">
        <f>SUMPRODUCT($J$5:$AG$5,$J391:$AG391,$J$20:$AG$20)/1E6</f>
        <v/>
      </c>
      <c r="J391">
        <f>MAX(-fyd_cc,MIN(fyd_cc,Es_cc*IF($E391&lt;=cc_D,0.0035*($E391-J$18)/$E391,0.002*($E391-J$18)/($E391-3*cc_D/7))))-fcd_cc*(1-(1-MAX(0,MIN(1,IF($E391&lt;=cc_D,0.0035*($E391-J$18)/$E391,0.002*($E391-J$18)/($E391-3*cc_D/7))/0.002)))^2)</f>
        <v/>
      </c>
      <c r="K391">
        <f>MAX(-fyd_cc,MIN(fyd_cc,Es_cc*IF($E391&lt;=cc_D,0.0035*($E391-K$18)/$E391,0.002*($E391-K$18)/($E391-3*cc_D/7))))-fcd_cc*(1-(1-MAX(0,MIN(1,IF($E391&lt;=cc_D,0.0035*($E391-K$18)/$E391,0.002*($E391-K$18)/($E391-3*cc_D/7))/0.002)))^2)</f>
        <v/>
      </c>
      <c r="L391">
        <f>MAX(-fyd_cc,MIN(fyd_cc,Es_cc*IF($E391&lt;=cc_D,0.0035*($E391-L$18)/$E391,0.002*($E391-L$18)/($E391-3*cc_D/7))))-fcd_cc*(1-(1-MAX(0,MIN(1,IF($E391&lt;=cc_D,0.0035*($E391-L$18)/$E391,0.002*($E391-L$18)/($E391-3*cc_D/7))/0.002)))^2)</f>
        <v/>
      </c>
      <c r="M391">
        <f>MAX(-fyd_cc,MIN(fyd_cc,Es_cc*IF($E391&lt;=cc_D,0.0035*($E391-M$18)/$E391,0.002*($E391-M$18)/($E391-3*cc_D/7))))-fcd_cc*(1-(1-MAX(0,MIN(1,IF($E391&lt;=cc_D,0.0035*($E391-M$18)/$E391,0.002*($E391-M$18)/($E391-3*cc_D/7))/0.002)))^2)</f>
        <v/>
      </c>
      <c r="N391">
        <f>MAX(-fyd_cc,MIN(fyd_cc,Es_cc*IF($E391&lt;=cc_D,0.0035*($E391-N$18)/$E391,0.002*($E391-N$18)/($E391-3*cc_D/7))))-fcd_cc*(1-(1-MAX(0,MIN(1,IF($E391&lt;=cc_D,0.0035*($E391-N$18)/$E391,0.002*($E391-N$18)/($E391-3*cc_D/7))/0.002)))^2)</f>
        <v/>
      </c>
      <c r="O391">
        <f>MAX(-fyd_cc,MIN(fyd_cc,Es_cc*IF($E391&lt;=cc_D,0.0035*($E391-O$18)/$E391,0.002*($E391-O$18)/($E391-3*cc_D/7))))-fcd_cc*(1-(1-MAX(0,MIN(1,IF($E391&lt;=cc_D,0.0035*($E391-O$18)/$E391,0.002*($E391-O$18)/($E391-3*cc_D/7))/0.002)))^2)</f>
        <v/>
      </c>
      <c r="P391">
        <f>MAX(-fyd_cc,MIN(fyd_cc,Es_cc*IF($E391&lt;=cc_D,0.0035*($E391-P$18)/$E391,0.002*($E391-P$18)/($E391-3*cc_D/7))))-fcd_cc*(1-(1-MAX(0,MIN(1,IF($E391&lt;=cc_D,0.0035*($E391-P$18)/$E391,0.002*($E391-P$18)/($E391-3*cc_D/7))/0.002)))^2)</f>
        <v/>
      </c>
      <c r="Q391">
        <f>MAX(-fyd_cc,MIN(fyd_cc,Es_cc*IF($E391&lt;=cc_D,0.0035*($E391-Q$18)/$E391,0.002*($E391-Q$18)/($E391-3*cc_D/7))))-fcd_cc*(1-(1-MAX(0,MIN(1,IF($E391&lt;=cc_D,0.0035*($E391-Q$18)/$E391,0.002*($E391-Q$18)/($E391-3*cc_D/7))/0.002)))^2)</f>
        <v/>
      </c>
      <c r="R391">
        <f>MAX(-fyd_cc,MIN(fyd_cc,Es_cc*IF($E391&lt;=cc_D,0.0035*($E391-R$18)/$E391,0.002*($E391-R$18)/($E391-3*cc_D/7))))-fcd_cc*(1-(1-MAX(0,MIN(1,IF($E391&lt;=cc_D,0.0035*($E391-R$18)/$E391,0.002*($E391-R$18)/($E391-3*cc_D/7))/0.002)))^2)</f>
        <v/>
      </c>
      <c r="S391">
        <f>MAX(-fyd_cc,MIN(fyd_cc,Es_cc*IF($E391&lt;=cc_D,0.0035*($E391-S$18)/$E391,0.002*($E391-S$18)/($E391-3*cc_D/7))))-fcd_cc*(1-(1-MAX(0,MIN(1,IF($E391&lt;=cc_D,0.0035*($E391-S$18)/$E391,0.002*($E391-S$18)/($E391-3*cc_D/7))/0.002)))^2)</f>
        <v/>
      </c>
      <c r="T391">
        <f>MAX(-fyd_cc,MIN(fyd_cc,Es_cc*IF($E391&lt;=cc_D,0.0035*($E391-T$18)/$E391,0.002*($E391-T$18)/($E391-3*cc_D/7))))-fcd_cc*(1-(1-MAX(0,MIN(1,IF($E391&lt;=cc_D,0.0035*($E391-T$18)/$E391,0.002*($E391-T$18)/($E391-3*cc_D/7))/0.002)))^2)</f>
        <v/>
      </c>
      <c r="U391">
        <f>MAX(-fyd_cc,MIN(fyd_cc,Es_cc*IF($E391&lt;=cc_D,0.0035*($E391-U$18)/$E391,0.002*($E391-U$18)/($E391-3*cc_D/7))))-fcd_cc*(1-(1-MAX(0,MIN(1,IF($E391&lt;=cc_D,0.0035*($E391-U$18)/$E391,0.002*($E391-U$18)/($E391-3*cc_D/7))/0.002)))^2)</f>
        <v/>
      </c>
      <c r="V391">
        <f>MAX(-fyd_cc,MIN(fyd_cc,Es_cc*IF($E391&lt;=cc_D,0.0035*($E391-V$18)/$E391,0.002*($E391-V$18)/($E391-3*cc_D/7))))-fcd_cc*(1-(1-MAX(0,MIN(1,IF($E391&lt;=cc_D,0.0035*($E391-V$18)/$E391,0.002*($E391-V$18)/($E391-3*cc_D/7))/0.002)))^2)</f>
        <v/>
      </c>
      <c r="W391">
        <f>MAX(-fyd_cc,MIN(fyd_cc,Es_cc*IF($E391&lt;=cc_D,0.0035*($E391-W$18)/$E391,0.002*($E391-W$18)/($E391-3*cc_D/7))))-fcd_cc*(1-(1-MAX(0,MIN(1,IF($E391&lt;=cc_D,0.0035*($E391-W$18)/$E391,0.002*($E391-W$18)/($E391-3*cc_D/7))/0.002)))^2)</f>
        <v/>
      </c>
      <c r="X391">
        <f>MAX(-fyd_cc,MIN(fyd_cc,Es_cc*IF($E391&lt;=cc_D,0.0035*($E391-X$18)/$E391,0.002*($E391-X$18)/($E391-3*cc_D/7))))-fcd_cc*(1-(1-MAX(0,MIN(1,IF($E391&lt;=cc_D,0.0035*($E391-X$18)/$E391,0.002*($E391-X$18)/($E391-3*cc_D/7))/0.002)))^2)</f>
        <v/>
      </c>
      <c r="Y391">
        <f>MAX(-fyd_cc,MIN(fyd_cc,Es_cc*IF($E391&lt;=cc_D,0.0035*($E391-Y$18)/$E391,0.002*($E391-Y$18)/($E391-3*cc_D/7))))-fcd_cc*(1-(1-MAX(0,MIN(1,IF($E391&lt;=cc_D,0.0035*($E391-Y$18)/$E391,0.002*($E391-Y$18)/($E391-3*cc_D/7))/0.002)))^2)</f>
        <v/>
      </c>
      <c r="Z391">
        <f>MAX(-fyd_cc,MIN(fyd_cc,Es_cc*IF($E391&lt;=cc_D,0.0035*($E391-Z$18)/$E391,0.002*($E391-Z$18)/($E391-3*cc_D/7))))-fcd_cc*(1-(1-MAX(0,MIN(1,IF($E391&lt;=cc_D,0.0035*($E391-Z$18)/$E391,0.002*($E391-Z$18)/($E391-3*cc_D/7))/0.002)))^2)</f>
        <v/>
      </c>
      <c r="AA391">
        <f>MAX(-fyd_cc,MIN(fyd_cc,Es_cc*IF($E391&lt;=cc_D,0.0035*($E391-AA$18)/$E391,0.002*($E391-AA$18)/($E391-3*cc_D/7))))-fcd_cc*(1-(1-MAX(0,MIN(1,IF($E391&lt;=cc_D,0.0035*($E391-AA$18)/$E391,0.002*($E391-AA$18)/($E391-3*cc_D/7))/0.002)))^2)</f>
        <v/>
      </c>
      <c r="AB391">
        <f>MAX(-fyd_cc,MIN(fyd_cc,Es_cc*IF($E391&lt;=cc_D,0.0035*($E391-AB$18)/$E391,0.002*($E391-AB$18)/($E391-3*cc_D/7))))-fcd_cc*(1-(1-MAX(0,MIN(1,IF($E391&lt;=cc_D,0.0035*($E391-AB$18)/$E391,0.002*($E391-AB$18)/($E391-3*cc_D/7))/0.002)))^2)</f>
        <v/>
      </c>
      <c r="AC391">
        <f>MAX(-fyd_cc,MIN(fyd_cc,Es_cc*IF($E391&lt;=cc_D,0.0035*($E391-AC$18)/$E391,0.002*($E391-AC$18)/($E391-3*cc_D/7))))-fcd_cc*(1-(1-MAX(0,MIN(1,IF($E391&lt;=cc_D,0.0035*($E391-AC$18)/$E391,0.002*($E391-AC$18)/($E391-3*cc_D/7))/0.002)))^2)</f>
        <v/>
      </c>
      <c r="AD391">
        <f>MAX(-fyd_cc,MIN(fyd_cc,Es_cc*IF($E391&lt;=cc_D,0.0035*($E391-AD$18)/$E391,0.002*($E391-AD$18)/($E391-3*cc_D/7))))-fcd_cc*(1-(1-MAX(0,MIN(1,IF($E391&lt;=cc_D,0.0035*($E391-AD$18)/$E391,0.002*($E391-AD$18)/($E391-3*cc_D/7))/0.002)))^2)</f>
        <v/>
      </c>
      <c r="AE391">
        <f>MAX(-fyd_cc,MIN(fyd_cc,Es_cc*IF($E391&lt;=cc_D,0.0035*($E391-AE$18)/$E391,0.002*($E391-AE$18)/($E391-3*cc_D/7))))-fcd_cc*(1-(1-MAX(0,MIN(1,IF($E391&lt;=cc_D,0.0035*($E391-AE$18)/$E391,0.002*($E391-AE$18)/($E391-3*cc_D/7))/0.002)))^2)</f>
        <v/>
      </c>
      <c r="AF391">
        <f>MAX(-fyd_cc,MIN(fyd_cc,Es_cc*IF($E391&lt;=cc_D,0.0035*($E391-AF$18)/$E391,0.002*($E391-AF$18)/($E391-3*cc_D/7))))-fcd_cc*(1-(1-MAX(0,MIN(1,IF($E391&lt;=cc_D,0.0035*($E391-AF$18)/$E391,0.002*($E391-AF$18)/($E391-3*cc_D/7))/0.002)))^2)</f>
        <v/>
      </c>
      <c r="AG391">
        <f>MAX(-fyd_cc,MIN(fyd_cc,Es_cc*IF($E391&lt;=cc_D,0.0035*($E391-AG$18)/$E391,0.002*($E391-AG$18)/($E391-3*cc_D/7))))-fcd_cc*(1-(1-MAX(0,MIN(1,IF($E391&lt;=cc_D,0.0035*($E391-AG$18)/$E391,0.002*($E391-AG$18)/($E391-3*cc_D/7))/0.002)))^2)</f>
        <v/>
      </c>
      <c r="BF391">
        <f>3*MIN($E391,cc_D)/7</f>
        <v/>
      </c>
      <c r="BG391">
        <f>$E391-$BF391</f>
        <v/>
      </c>
      <c r="BH391">
        <f>ACOS(MAX(-1,MIN(1,1-$BF391/(cc_D/2))))</f>
        <v/>
      </c>
      <c r="BI391">
        <f>ACOS(MAX(-1,MIN(1,1-MIN($E391,cc_D)/(cc_D/2))))</f>
        <v/>
      </c>
      <c r="BJ391">
        <f>((cc_D/2*(1-COS(($BH391+0*($BI391-$BH391)/12)))-$BF391)/$BG391)^2*SIN(($BH391+0*($BI391-$BH391)/12))^2</f>
        <v/>
      </c>
      <c r="BK391">
        <f>((cc_D/2*(1-COS(($BH391+1*($BI391-$BH391)/12)))-$BF391)/$BG391)^2*SIN(($BH391+1*($BI391-$BH391)/12))^2</f>
        <v/>
      </c>
      <c r="BL391">
        <f>((cc_D/2*(1-COS(($BH391+2*($BI391-$BH391)/12)))-$BF391)/$BG391)^2*SIN(($BH391+2*($BI391-$BH391)/12))^2</f>
        <v/>
      </c>
      <c r="BM391">
        <f>((cc_D/2*(1-COS(($BH391+3*($BI391-$BH391)/12)))-$BF391)/$BG391)^2*SIN(($BH391+3*($BI391-$BH391)/12))^2</f>
        <v/>
      </c>
      <c r="BN391">
        <f>((cc_D/2*(1-COS(($BH391+4*($BI391-$BH391)/12)))-$BF391)/$BG391)^2*SIN(($BH391+4*($BI391-$BH391)/12))^2</f>
        <v/>
      </c>
      <c r="BO391">
        <f>((cc_D/2*(1-COS(($BH391+5*($BI391-$BH391)/12)))-$BF391)/$BG391)^2*SIN(($BH391+5*($BI391-$BH391)/12))^2</f>
        <v/>
      </c>
      <c r="BP391">
        <f>((cc_D/2*(1-COS(($BH391+6*($BI391-$BH391)/12)))-$BF391)/$BG391)^2*SIN(($BH391+6*($BI391-$BH391)/12))^2</f>
        <v/>
      </c>
      <c r="BQ391">
        <f>((cc_D/2*(1-COS(($BH391+7*($BI391-$BH391)/12)))-$BF391)/$BG391)^2*SIN(($BH391+7*($BI391-$BH391)/12))^2</f>
        <v/>
      </c>
      <c r="BR391">
        <f>((cc_D/2*(1-COS(($BH391+8*($BI391-$BH391)/12)))-$BF391)/$BG391)^2*SIN(($BH391+8*($BI391-$BH391)/12))^2</f>
        <v/>
      </c>
      <c r="BS391">
        <f>((cc_D/2*(1-COS(($BH391+9*($BI391-$BH391)/12)))-$BF391)/$BG391)^2*SIN(($BH391+9*($BI391-$BH391)/12))^2</f>
        <v/>
      </c>
      <c r="BT391">
        <f>((cc_D/2*(1-COS(($BH391+10*($BI391-$BH391)/12)))-$BF391)/$BG391)^2*SIN(($BH391+10*($BI391-$BH391)/12))^2</f>
        <v/>
      </c>
      <c r="BU391">
        <f>((cc_D/2*(1-COS(($BH391+11*($BI391-$BH391)/12)))-$BF391)/$BG391)^2*SIN(($BH391+11*($BI391-$BH391)/12))^2</f>
        <v/>
      </c>
      <c r="BV391">
        <f>((cc_D/2*(1-COS(($BH391+12*($BI391-$BH391)/12)))-$BF391)/$BG391)^2*SIN(($BH391+12*($BI391-$BH391)/12))^2</f>
        <v/>
      </c>
      <c r="BW391">
        <f>BJ391*COS(($BH391+0*($BI391-$BH391)/12))</f>
        <v/>
      </c>
      <c r="BX391">
        <f>BK391*COS(($BH391+1*($BI391-$BH391)/12))</f>
        <v/>
      </c>
      <c r="BY391">
        <f>BL391*COS(($BH391+2*($BI391-$BH391)/12))</f>
        <v/>
      </c>
      <c r="BZ391">
        <f>BM391*COS(($BH391+3*($BI391-$BH391)/12))</f>
        <v/>
      </c>
      <c r="CA391">
        <f>BN391*COS(($BH391+4*($BI391-$BH391)/12))</f>
        <v/>
      </c>
      <c r="CB391">
        <f>BO391*COS(($BH391+5*($BI391-$BH391)/12))</f>
        <v/>
      </c>
      <c r="CC391">
        <f>BP391*COS(($BH391+6*($BI391-$BH391)/12))</f>
        <v/>
      </c>
      <c r="CD391">
        <f>BQ391*COS(($BH391+7*($BI391-$BH391)/12))</f>
        <v/>
      </c>
      <c r="CE391">
        <f>BR391*COS(($BH391+8*($BI391-$BH391)/12))</f>
        <v/>
      </c>
      <c r="CF391">
        <f>BS391*COS(($BH391+9*($BI391-$BH391)/12))</f>
        <v/>
      </c>
      <c r="CG391">
        <f>BT391*COS(($BH391+10*($BI391-$BH391)/12))</f>
        <v/>
      </c>
      <c r="CH391">
        <f>BU391*COS(($BH391+11*($BI391-$BH391)/12))</f>
        <v/>
      </c>
      <c r="CI391">
        <f>BV391*COS(($BH391+12*($BI391-$BH391)/12))</f>
        <v/>
      </c>
    </row>
    <row r="392">
      <c r="B392" s="65" t="n">
        <v>51</v>
      </c>
      <c r="C392" s="66">
        <f>IF($G391&lt;cc_NEd-1E-9*ABS(cc_NEd),($C391+$D391)/2,$C391)</f>
        <v/>
      </c>
      <c r="D392" s="66">
        <f>IF($G391&lt;cc_NEd-1E-9*ABS(cc_NEd),$D391,($C391+$D391)/2)</f>
        <v/>
      </c>
      <c r="E392" s="67">
        <f>cc_D*(($C392+$D392)/2)/(1-(($C392+$D392)/2))</f>
        <v/>
      </c>
      <c r="F392" s="68">
        <f>IF($E392&lt;=cc_D,3.5,2*$E392/($E392-3*cc_D/7))</f>
        <v/>
      </c>
      <c r="G392" s="67">
        <f>(fcd_cc*((cc_D/2)^2*($BI392-COS($BI392)*SIN($BI392))-2*(cc_D/2)^2*($BI392-$BH392)/12/3*SUMPRODUCT($BJ$4:$BV$4,$BJ392:$BV392))+SUMPRODUCT($J$5:$AG$5,$J392:$AG392))/1000</f>
        <v/>
      </c>
      <c r="H392" s="67">
        <f>(fcd_cc*(2/3*(cc_D/2)^3*SIN($BI392)^3-2*(cc_D/2)^3*($BI392-$BH392)/12/3*SUMPRODUCT($BW$4:$CI$4,$BW392:$CI392))+SUMPRODUCT($J$5:$AG$5,$J392:$AG392,$J$19:$AG$19))/1E6</f>
        <v/>
      </c>
      <c r="I392" s="67">
        <f>SUMPRODUCT($J$5:$AG$5,$J392:$AG392,$J$20:$AG$20)/1E6</f>
        <v/>
      </c>
      <c r="J392">
        <f>MAX(-fyd_cc,MIN(fyd_cc,Es_cc*IF($E392&lt;=cc_D,0.0035*($E392-J$18)/$E392,0.002*($E392-J$18)/($E392-3*cc_D/7))))-fcd_cc*(1-(1-MAX(0,MIN(1,IF($E392&lt;=cc_D,0.0035*($E392-J$18)/$E392,0.002*($E392-J$18)/($E392-3*cc_D/7))/0.002)))^2)</f>
        <v/>
      </c>
      <c r="K392">
        <f>MAX(-fyd_cc,MIN(fyd_cc,Es_cc*IF($E392&lt;=cc_D,0.0035*($E392-K$18)/$E392,0.002*($E392-K$18)/($E392-3*cc_D/7))))-fcd_cc*(1-(1-MAX(0,MIN(1,IF($E392&lt;=cc_D,0.0035*($E392-K$18)/$E392,0.002*($E392-K$18)/($E392-3*cc_D/7))/0.002)))^2)</f>
        <v/>
      </c>
      <c r="L392">
        <f>MAX(-fyd_cc,MIN(fyd_cc,Es_cc*IF($E392&lt;=cc_D,0.0035*($E392-L$18)/$E392,0.002*($E392-L$18)/($E392-3*cc_D/7))))-fcd_cc*(1-(1-MAX(0,MIN(1,IF($E392&lt;=cc_D,0.0035*($E392-L$18)/$E392,0.002*($E392-L$18)/($E392-3*cc_D/7))/0.002)))^2)</f>
        <v/>
      </c>
      <c r="M392">
        <f>MAX(-fyd_cc,MIN(fyd_cc,Es_cc*IF($E392&lt;=cc_D,0.0035*($E392-M$18)/$E392,0.002*($E392-M$18)/($E392-3*cc_D/7))))-fcd_cc*(1-(1-MAX(0,MIN(1,IF($E392&lt;=cc_D,0.0035*($E392-M$18)/$E392,0.002*($E392-M$18)/($E392-3*cc_D/7))/0.002)))^2)</f>
        <v/>
      </c>
      <c r="N392">
        <f>MAX(-fyd_cc,MIN(fyd_cc,Es_cc*IF($E392&lt;=cc_D,0.0035*($E392-N$18)/$E392,0.002*($E392-N$18)/($E392-3*cc_D/7))))-fcd_cc*(1-(1-MAX(0,MIN(1,IF($E392&lt;=cc_D,0.0035*($E392-N$18)/$E392,0.002*($E392-N$18)/($E392-3*cc_D/7))/0.002)))^2)</f>
        <v/>
      </c>
      <c r="O392">
        <f>MAX(-fyd_cc,MIN(fyd_cc,Es_cc*IF($E392&lt;=cc_D,0.0035*($E392-O$18)/$E392,0.002*($E392-O$18)/($E392-3*cc_D/7))))-fcd_cc*(1-(1-MAX(0,MIN(1,IF($E392&lt;=cc_D,0.0035*($E392-O$18)/$E392,0.002*($E392-O$18)/($E392-3*cc_D/7))/0.002)))^2)</f>
        <v/>
      </c>
      <c r="P392">
        <f>MAX(-fyd_cc,MIN(fyd_cc,Es_cc*IF($E392&lt;=cc_D,0.0035*($E392-P$18)/$E392,0.002*($E392-P$18)/($E392-3*cc_D/7))))-fcd_cc*(1-(1-MAX(0,MIN(1,IF($E392&lt;=cc_D,0.0035*($E392-P$18)/$E392,0.002*($E392-P$18)/($E392-3*cc_D/7))/0.002)))^2)</f>
        <v/>
      </c>
      <c r="Q392">
        <f>MAX(-fyd_cc,MIN(fyd_cc,Es_cc*IF($E392&lt;=cc_D,0.0035*($E392-Q$18)/$E392,0.002*($E392-Q$18)/($E392-3*cc_D/7))))-fcd_cc*(1-(1-MAX(0,MIN(1,IF($E392&lt;=cc_D,0.0035*($E392-Q$18)/$E392,0.002*($E392-Q$18)/($E392-3*cc_D/7))/0.002)))^2)</f>
        <v/>
      </c>
      <c r="R392">
        <f>MAX(-fyd_cc,MIN(fyd_cc,Es_cc*IF($E392&lt;=cc_D,0.0035*($E392-R$18)/$E392,0.002*($E392-R$18)/($E392-3*cc_D/7))))-fcd_cc*(1-(1-MAX(0,MIN(1,IF($E392&lt;=cc_D,0.0035*($E392-R$18)/$E392,0.002*($E392-R$18)/($E392-3*cc_D/7))/0.002)))^2)</f>
        <v/>
      </c>
      <c r="S392">
        <f>MAX(-fyd_cc,MIN(fyd_cc,Es_cc*IF($E392&lt;=cc_D,0.0035*($E392-S$18)/$E392,0.002*($E392-S$18)/($E392-3*cc_D/7))))-fcd_cc*(1-(1-MAX(0,MIN(1,IF($E392&lt;=cc_D,0.0035*($E392-S$18)/$E392,0.002*($E392-S$18)/($E392-3*cc_D/7))/0.002)))^2)</f>
        <v/>
      </c>
      <c r="T392">
        <f>MAX(-fyd_cc,MIN(fyd_cc,Es_cc*IF($E392&lt;=cc_D,0.0035*($E392-T$18)/$E392,0.002*($E392-T$18)/($E392-3*cc_D/7))))-fcd_cc*(1-(1-MAX(0,MIN(1,IF($E392&lt;=cc_D,0.0035*($E392-T$18)/$E392,0.002*($E392-T$18)/($E392-3*cc_D/7))/0.002)))^2)</f>
        <v/>
      </c>
      <c r="U392">
        <f>MAX(-fyd_cc,MIN(fyd_cc,Es_cc*IF($E392&lt;=cc_D,0.0035*($E392-U$18)/$E392,0.002*($E392-U$18)/($E392-3*cc_D/7))))-fcd_cc*(1-(1-MAX(0,MIN(1,IF($E392&lt;=cc_D,0.0035*($E392-U$18)/$E392,0.002*($E392-U$18)/($E392-3*cc_D/7))/0.002)))^2)</f>
        <v/>
      </c>
      <c r="V392">
        <f>MAX(-fyd_cc,MIN(fyd_cc,Es_cc*IF($E392&lt;=cc_D,0.0035*($E392-V$18)/$E392,0.002*($E392-V$18)/($E392-3*cc_D/7))))-fcd_cc*(1-(1-MAX(0,MIN(1,IF($E392&lt;=cc_D,0.0035*($E392-V$18)/$E392,0.002*($E392-V$18)/($E392-3*cc_D/7))/0.002)))^2)</f>
        <v/>
      </c>
      <c r="W392">
        <f>MAX(-fyd_cc,MIN(fyd_cc,Es_cc*IF($E392&lt;=cc_D,0.0035*($E392-W$18)/$E392,0.002*($E392-W$18)/($E392-3*cc_D/7))))-fcd_cc*(1-(1-MAX(0,MIN(1,IF($E392&lt;=cc_D,0.0035*($E392-W$18)/$E392,0.002*($E392-W$18)/($E392-3*cc_D/7))/0.002)))^2)</f>
        <v/>
      </c>
      <c r="X392">
        <f>MAX(-fyd_cc,MIN(fyd_cc,Es_cc*IF($E392&lt;=cc_D,0.0035*($E392-X$18)/$E392,0.002*($E392-X$18)/($E392-3*cc_D/7))))-fcd_cc*(1-(1-MAX(0,MIN(1,IF($E392&lt;=cc_D,0.0035*($E392-X$18)/$E392,0.002*($E392-X$18)/($E392-3*cc_D/7))/0.002)))^2)</f>
        <v/>
      </c>
      <c r="Y392">
        <f>MAX(-fyd_cc,MIN(fyd_cc,Es_cc*IF($E392&lt;=cc_D,0.0035*($E392-Y$18)/$E392,0.002*($E392-Y$18)/($E392-3*cc_D/7))))-fcd_cc*(1-(1-MAX(0,MIN(1,IF($E392&lt;=cc_D,0.0035*($E392-Y$18)/$E392,0.002*($E392-Y$18)/($E392-3*cc_D/7))/0.002)))^2)</f>
        <v/>
      </c>
      <c r="Z392">
        <f>MAX(-fyd_cc,MIN(fyd_cc,Es_cc*IF($E392&lt;=cc_D,0.0035*($E392-Z$18)/$E392,0.002*($E392-Z$18)/($E392-3*cc_D/7))))-fcd_cc*(1-(1-MAX(0,MIN(1,IF($E392&lt;=cc_D,0.0035*($E392-Z$18)/$E392,0.002*($E392-Z$18)/($E392-3*cc_D/7))/0.002)))^2)</f>
        <v/>
      </c>
      <c r="AA392">
        <f>MAX(-fyd_cc,MIN(fyd_cc,Es_cc*IF($E392&lt;=cc_D,0.0035*($E392-AA$18)/$E392,0.002*($E392-AA$18)/($E392-3*cc_D/7))))-fcd_cc*(1-(1-MAX(0,MIN(1,IF($E392&lt;=cc_D,0.0035*($E392-AA$18)/$E392,0.002*($E392-AA$18)/($E392-3*cc_D/7))/0.002)))^2)</f>
        <v/>
      </c>
      <c r="AB392">
        <f>MAX(-fyd_cc,MIN(fyd_cc,Es_cc*IF($E392&lt;=cc_D,0.0035*($E392-AB$18)/$E392,0.002*($E392-AB$18)/($E392-3*cc_D/7))))-fcd_cc*(1-(1-MAX(0,MIN(1,IF($E392&lt;=cc_D,0.0035*($E392-AB$18)/$E392,0.002*($E392-AB$18)/($E392-3*cc_D/7))/0.002)))^2)</f>
        <v/>
      </c>
      <c r="AC392">
        <f>MAX(-fyd_cc,MIN(fyd_cc,Es_cc*IF($E392&lt;=cc_D,0.0035*($E392-AC$18)/$E392,0.002*($E392-AC$18)/($E392-3*cc_D/7))))-fcd_cc*(1-(1-MAX(0,MIN(1,IF($E392&lt;=cc_D,0.0035*($E392-AC$18)/$E392,0.002*($E392-AC$18)/($E392-3*cc_D/7))/0.002)))^2)</f>
        <v/>
      </c>
      <c r="AD392">
        <f>MAX(-fyd_cc,MIN(fyd_cc,Es_cc*IF($E392&lt;=cc_D,0.0035*($E392-AD$18)/$E392,0.002*($E392-AD$18)/($E392-3*cc_D/7))))-fcd_cc*(1-(1-MAX(0,MIN(1,IF($E392&lt;=cc_D,0.0035*($E392-AD$18)/$E392,0.002*($E392-AD$18)/($E392-3*cc_D/7))/0.002)))^2)</f>
        <v/>
      </c>
      <c r="AE392">
        <f>MAX(-fyd_cc,MIN(fyd_cc,Es_cc*IF($E392&lt;=cc_D,0.0035*($E392-AE$18)/$E392,0.002*($E392-AE$18)/($E392-3*cc_D/7))))-fcd_cc*(1-(1-MAX(0,MIN(1,IF($E392&lt;=cc_D,0.0035*($E392-AE$18)/$E392,0.002*($E392-AE$18)/($E392-3*cc_D/7))/0.002)))^2)</f>
        <v/>
      </c>
      <c r="AF392">
        <f>MAX(-fyd_cc,MIN(fyd_cc,Es_cc*IF($E392&lt;=cc_D,0.0035*($E392-AF$18)/$E392,0.002*($E392-AF$18)/($E392-3*cc_D/7))))-fcd_cc*(1-(1-MAX(0,MIN(1,IF($E392&lt;=cc_D,0.0035*($E392-AF$18)/$E392,0.002*($E392-AF$18)/($E392-3*cc_D/7))/0.002)))^2)</f>
        <v/>
      </c>
      <c r="AG392">
        <f>MAX(-fyd_cc,MIN(fyd_cc,Es_cc*IF($E392&lt;=cc_D,0.0035*($E392-AG$18)/$E392,0.002*($E392-AG$18)/($E392-3*cc_D/7))))-fcd_cc*(1-(1-MAX(0,MIN(1,IF($E392&lt;=cc_D,0.0035*($E392-AG$18)/$E392,0.002*($E392-AG$18)/($E392-3*cc_D/7))/0.002)))^2)</f>
        <v/>
      </c>
      <c r="BF392">
        <f>3*MIN($E392,cc_D)/7</f>
        <v/>
      </c>
      <c r="BG392">
        <f>$E392-$BF392</f>
        <v/>
      </c>
      <c r="BH392">
        <f>ACOS(MAX(-1,MIN(1,1-$BF392/(cc_D/2))))</f>
        <v/>
      </c>
      <c r="BI392">
        <f>ACOS(MAX(-1,MIN(1,1-MIN($E392,cc_D)/(cc_D/2))))</f>
        <v/>
      </c>
      <c r="BJ392">
        <f>((cc_D/2*(1-COS(($BH392+0*($BI392-$BH392)/12)))-$BF392)/$BG392)^2*SIN(($BH392+0*($BI392-$BH392)/12))^2</f>
        <v/>
      </c>
      <c r="BK392">
        <f>((cc_D/2*(1-COS(($BH392+1*($BI392-$BH392)/12)))-$BF392)/$BG392)^2*SIN(($BH392+1*($BI392-$BH392)/12))^2</f>
        <v/>
      </c>
      <c r="BL392">
        <f>((cc_D/2*(1-COS(($BH392+2*($BI392-$BH392)/12)))-$BF392)/$BG392)^2*SIN(($BH392+2*($BI392-$BH392)/12))^2</f>
        <v/>
      </c>
      <c r="BM392">
        <f>((cc_D/2*(1-COS(($BH392+3*($BI392-$BH392)/12)))-$BF392)/$BG392)^2*SIN(($BH392+3*($BI392-$BH392)/12))^2</f>
        <v/>
      </c>
      <c r="BN392">
        <f>((cc_D/2*(1-COS(($BH392+4*($BI392-$BH392)/12)))-$BF392)/$BG392)^2*SIN(($BH392+4*($BI392-$BH392)/12))^2</f>
        <v/>
      </c>
      <c r="BO392">
        <f>((cc_D/2*(1-COS(($BH392+5*($BI392-$BH392)/12)))-$BF392)/$BG392)^2*SIN(($BH392+5*($BI392-$BH392)/12))^2</f>
        <v/>
      </c>
      <c r="BP392">
        <f>((cc_D/2*(1-COS(($BH392+6*($BI392-$BH392)/12)))-$BF392)/$BG392)^2*SIN(($BH392+6*($BI392-$BH392)/12))^2</f>
        <v/>
      </c>
      <c r="BQ392">
        <f>((cc_D/2*(1-COS(($BH392+7*($BI392-$BH392)/12)))-$BF392)/$BG392)^2*SIN(($BH392+7*($BI392-$BH392)/12))^2</f>
        <v/>
      </c>
      <c r="BR392">
        <f>((cc_D/2*(1-COS(($BH392+8*($BI392-$BH392)/12)))-$BF392)/$BG392)^2*SIN(($BH392+8*($BI392-$BH392)/12))^2</f>
        <v/>
      </c>
      <c r="BS392">
        <f>((cc_D/2*(1-COS(($BH392+9*($BI392-$BH392)/12)))-$BF392)/$BG392)^2*SIN(($BH392+9*($BI392-$BH392)/12))^2</f>
        <v/>
      </c>
      <c r="BT392">
        <f>((cc_D/2*(1-COS(($BH392+10*($BI392-$BH392)/12)))-$BF392)/$BG392)^2*SIN(($BH392+10*($BI392-$BH392)/12))^2</f>
        <v/>
      </c>
      <c r="BU392">
        <f>((cc_D/2*(1-COS(($BH392+11*($BI392-$BH392)/12)))-$BF392)/$BG392)^2*SIN(($BH392+11*($BI392-$BH392)/12))^2</f>
        <v/>
      </c>
      <c r="BV392">
        <f>((cc_D/2*(1-COS(($BH392+12*($BI392-$BH392)/12)))-$BF392)/$BG392)^2*SIN(($BH392+12*($BI392-$BH392)/12))^2</f>
        <v/>
      </c>
      <c r="BW392">
        <f>BJ392*COS(($BH392+0*($BI392-$BH392)/12))</f>
        <v/>
      </c>
      <c r="BX392">
        <f>BK392*COS(($BH392+1*($BI392-$BH392)/12))</f>
        <v/>
      </c>
      <c r="BY392">
        <f>BL392*COS(($BH392+2*($BI392-$BH392)/12))</f>
        <v/>
      </c>
      <c r="BZ392">
        <f>BM392*COS(($BH392+3*($BI392-$BH392)/12))</f>
        <v/>
      </c>
      <c r="CA392">
        <f>BN392*COS(($BH392+4*($BI392-$BH392)/12))</f>
        <v/>
      </c>
      <c r="CB392">
        <f>BO392*COS(($BH392+5*($BI392-$BH392)/12))</f>
        <v/>
      </c>
      <c r="CC392">
        <f>BP392*COS(($BH392+6*($BI392-$BH392)/12))</f>
        <v/>
      </c>
      <c r="CD392">
        <f>BQ392*COS(($BH392+7*($BI392-$BH392)/12))</f>
        <v/>
      </c>
      <c r="CE392">
        <f>BR392*COS(($BH392+8*($BI392-$BH392)/12))</f>
        <v/>
      </c>
      <c r="CF392">
        <f>BS392*COS(($BH392+9*($BI392-$BH392)/12))</f>
        <v/>
      </c>
      <c r="CG392">
        <f>BT392*COS(($BH392+10*($BI392-$BH392)/12))</f>
        <v/>
      </c>
      <c r="CH392">
        <f>BU392*COS(($BH392+11*($BI392-$BH392)/12))</f>
        <v/>
      </c>
      <c r="CI392">
        <f>BV392*COS(($BH392+12*($BI392-$BH392)/12))</f>
        <v/>
      </c>
    </row>
    <row r="393">
      <c r="B393" s="65" t="n">
        <v>52</v>
      </c>
      <c r="C393" s="66">
        <f>IF($G392&lt;cc_NEd-1E-9*ABS(cc_NEd),($C392+$D392)/2,$C392)</f>
        <v/>
      </c>
      <c r="D393" s="66">
        <f>IF($G392&lt;cc_NEd-1E-9*ABS(cc_NEd),$D392,($C392+$D392)/2)</f>
        <v/>
      </c>
      <c r="E393" s="67">
        <f>cc_D*(($C393+$D393)/2)/(1-(($C393+$D393)/2))</f>
        <v/>
      </c>
      <c r="F393" s="68">
        <f>IF($E393&lt;=cc_D,3.5,2*$E393/($E393-3*cc_D/7))</f>
        <v/>
      </c>
      <c r="G393" s="67">
        <f>(fcd_cc*((cc_D/2)^2*($BI393-COS($BI393)*SIN($BI393))-2*(cc_D/2)^2*($BI393-$BH393)/12/3*SUMPRODUCT($BJ$4:$BV$4,$BJ393:$BV393))+SUMPRODUCT($J$5:$AG$5,$J393:$AG393))/1000</f>
        <v/>
      </c>
      <c r="H393" s="67">
        <f>(fcd_cc*(2/3*(cc_D/2)^3*SIN($BI393)^3-2*(cc_D/2)^3*($BI393-$BH393)/12/3*SUMPRODUCT($BW$4:$CI$4,$BW393:$CI393))+SUMPRODUCT($J$5:$AG$5,$J393:$AG393,$J$19:$AG$19))/1E6</f>
        <v/>
      </c>
      <c r="I393" s="67">
        <f>SUMPRODUCT($J$5:$AG$5,$J393:$AG393,$J$20:$AG$20)/1E6</f>
        <v/>
      </c>
      <c r="J393">
        <f>MAX(-fyd_cc,MIN(fyd_cc,Es_cc*IF($E393&lt;=cc_D,0.0035*($E393-J$18)/$E393,0.002*($E393-J$18)/($E393-3*cc_D/7))))-fcd_cc*(1-(1-MAX(0,MIN(1,IF($E393&lt;=cc_D,0.0035*($E393-J$18)/$E393,0.002*($E393-J$18)/($E393-3*cc_D/7))/0.002)))^2)</f>
        <v/>
      </c>
      <c r="K393">
        <f>MAX(-fyd_cc,MIN(fyd_cc,Es_cc*IF($E393&lt;=cc_D,0.0035*($E393-K$18)/$E393,0.002*($E393-K$18)/($E393-3*cc_D/7))))-fcd_cc*(1-(1-MAX(0,MIN(1,IF($E393&lt;=cc_D,0.0035*($E393-K$18)/$E393,0.002*($E393-K$18)/($E393-3*cc_D/7))/0.002)))^2)</f>
        <v/>
      </c>
      <c r="L393">
        <f>MAX(-fyd_cc,MIN(fyd_cc,Es_cc*IF($E393&lt;=cc_D,0.0035*($E393-L$18)/$E393,0.002*($E393-L$18)/($E393-3*cc_D/7))))-fcd_cc*(1-(1-MAX(0,MIN(1,IF($E393&lt;=cc_D,0.0035*($E393-L$18)/$E393,0.002*($E393-L$18)/($E393-3*cc_D/7))/0.002)))^2)</f>
        <v/>
      </c>
      <c r="M393">
        <f>MAX(-fyd_cc,MIN(fyd_cc,Es_cc*IF($E393&lt;=cc_D,0.0035*($E393-M$18)/$E393,0.002*($E393-M$18)/($E393-3*cc_D/7))))-fcd_cc*(1-(1-MAX(0,MIN(1,IF($E393&lt;=cc_D,0.0035*($E393-M$18)/$E393,0.002*($E393-M$18)/($E393-3*cc_D/7))/0.002)))^2)</f>
        <v/>
      </c>
      <c r="N393">
        <f>MAX(-fyd_cc,MIN(fyd_cc,Es_cc*IF($E393&lt;=cc_D,0.0035*($E393-N$18)/$E393,0.002*($E393-N$18)/($E393-3*cc_D/7))))-fcd_cc*(1-(1-MAX(0,MIN(1,IF($E393&lt;=cc_D,0.0035*($E393-N$18)/$E393,0.002*($E393-N$18)/($E393-3*cc_D/7))/0.002)))^2)</f>
        <v/>
      </c>
      <c r="O393">
        <f>MAX(-fyd_cc,MIN(fyd_cc,Es_cc*IF($E393&lt;=cc_D,0.0035*($E393-O$18)/$E393,0.002*($E393-O$18)/($E393-3*cc_D/7))))-fcd_cc*(1-(1-MAX(0,MIN(1,IF($E393&lt;=cc_D,0.0035*($E393-O$18)/$E393,0.002*($E393-O$18)/($E393-3*cc_D/7))/0.002)))^2)</f>
        <v/>
      </c>
      <c r="P393">
        <f>MAX(-fyd_cc,MIN(fyd_cc,Es_cc*IF($E393&lt;=cc_D,0.0035*($E393-P$18)/$E393,0.002*($E393-P$18)/($E393-3*cc_D/7))))-fcd_cc*(1-(1-MAX(0,MIN(1,IF($E393&lt;=cc_D,0.0035*($E393-P$18)/$E393,0.002*($E393-P$18)/($E393-3*cc_D/7))/0.002)))^2)</f>
        <v/>
      </c>
      <c r="Q393">
        <f>MAX(-fyd_cc,MIN(fyd_cc,Es_cc*IF($E393&lt;=cc_D,0.0035*($E393-Q$18)/$E393,0.002*($E393-Q$18)/($E393-3*cc_D/7))))-fcd_cc*(1-(1-MAX(0,MIN(1,IF($E393&lt;=cc_D,0.0035*($E393-Q$18)/$E393,0.002*($E393-Q$18)/($E393-3*cc_D/7))/0.002)))^2)</f>
        <v/>
      </c>
      <c r="R393">
        <f>MAX(-fyd_cc,MIN(fyd_cc,Es_cc*IF($E393&lt;=cc_D,0.0035*($E393-R$18)/$E393,0.002*($E393-R$18)/($E393-3*cc_D/7))))-fcd_cc*(1-(1-MAX(0,MIN(1,IF($E393&lt;=cc_D,0.0035*($E393-R$18)/$E393,0.002*($E393-R$18)/($E393-3*cc_D/7))/0.002)))^2)</f>
        <v/>
      </c>
      <c r="S393">
        <f>MAX(-fyd_cc,MIN(fyd_cc,Es_cc*IF($E393&lt;=cc_D,0.0035*($E393-S$18)/$E393,0.002*($E393-S$18)/($E393-3*cc_D/7))))-fcd_cc*(1-(1-MAX(0,MIN(1,IF($E393&lt;=cc_D,0.0035*($E393-S$18)/$E393,0.002*($E393-S$18)/($E393-3*cc_D/7))/0.002)))^2)</f>
        <v/>
      </c>
      <c r="T393">
        <f>MAX(-fyd_cc,MIN(fyd_cc,Es_cc*IF($E393&lt;=cc_D,0.0035*($E393-T$18)/$E393,0.002*($E393-T$18)/($E393-3*cc_D/7))))-fcd_cc*(1-(1-MAX(0,MIN(1,IF($E393&lt;=cc_D,0.0035*($E393-T$18)/$E393,0.002*($E393-T$18)/($E393-3*cc_D/7))/0.002)))^2)</f>
        <v/>
      </c>
      <c r="U393">
        <f>MAX(-fyd_cc,MIN(fyd_cc,Es_cc*IF($E393&lt;=cc_D,0.0035*($E393-U$18)/$E393,0.002*($E393-U$18)/($E393-3*cc_D/7))))-fcd_cc*(1-(1-MAX(0,MIN(1,IF($E393&lt;=cc_D,0.0035*($E393-U$18)/$E393,0.002*($E393-U$18)/($E393-3*cc_D/7))/0.002)))^2)</f>
        <v/>
      </c>
      <c r="V393">
        <f>MAX(-fyd_cc,MIN(fyd_cc,Es_cc*IF($E393&lt;=cc_D,0.0035*($E393-V$18)/$E393,0.002*($E393-V$18)/($E393-3*cc_D/7))))-fcd_cc*(1-(1-MAX(0,MIN(1,IF($E393&lt;=cc_D,0.0035*($E393-V$18)/$E393,0.002*($E393-V$18)/($E393-3*cc_D/7))/0.002)))^2)</f>
        <v/>
      </c>
      <c r="W393">
        <f>MAX(-fyd_cc,MIN(fyd_cc,Es_cc*IF($E393&lt;=cc_D,0.0035*($E393-W$18)/$E393,0.002*($E393-W$18)/($E393-3*cc_D/7))))-fcd_cc*(1-(1-MAX(0,MIN(1,IF($E393&lt;=cc_D,0.0035*($E393-W$18)/$E393,0.002*($E393-W$18)/($E393-3*cc_D/7))/0.002)))^2)</f>
        <v/>
      </c>
      <c r="X393">
        <f>MAX(-fyd_cc,MIN(fyd_cc,Es_cc*IF($E393&lt;=cc_D,0.0035*($E393-X$18)/$E393,0.002*($E393-X$18)/($E393-3*cc_D/7))))-fcd_cc*(1-(1-MAX(0,MIN(1,IF($E393&lt;=cc_D,0.0035*($E393-X$18)/$E393,0.002*($E393-X$18)/($E393-3*cc_D/7))/0.002)))^2)</f>
        <v/>
      </c>
      <c r="Y393">
        <f>MAX(-fyd_cc,MIN(fyd_cc,Es_cc*IF($E393&lt;=cc_D,0.0035*($E393-Y$18)/$E393,0.002*($E393-Y$18)/($E393-3*cc_D/7))))-fcd_cc*(1-(1-MAX(0,MIN(1,IF($E393&lt;=cc_D,0.0035*($E393-Y$18)/$E393,0.002*($E393-Y$18)/($E393-3*cc_D/7))/0.002)))^2)</f>
        <v/>
      </c>
      <c r="Z393">
        <f>MAX(-fyd_cc,MIN(fyd_cc,Es_cc*IF($E393&lt;=cc_D,0.0035*($E393-Z$18)/$E393,0.002*($E393-Z$18)/($E393-3*cc_D/7))))-fcd_cc*(1-(1-MAX(0,MIN(1,IF($E393&lt;=cc_D,0.0035*($E393-Z$18)/$E393,0.002*($E393-Z$18)/($E393-3*cc_D/7))/0.002)))^2)</f>
        <v/>
      </c>
      <c r="AA393">
        <f>MAX(-fyd_cc,MIN(fyd_cc,Es_cc*IF($E393&lt;=cc_D,0.0035*($E393-AA$18)/$E393,0.002*($E393-AA$18)/($E393-3*cc_D/7))))-fcd_cc*(1-(1-MAX(0,MIN(1,IF($E393&lt;=cc_D,0.0035*($E393-AA$18)/$E393,0.002*($E393-AA$18)/($E393-3*cc_D/7))/0.002)))^2)</f>
        <v/>
      </c>
      <c r="AB393">
        <f>MAX(-fyd_cc,MIN(fyd_cc,Es_cc*IF($E393&lt;=cc_D,0.0035*($E393-AB$18)/$E393,0.002*($E393-AB$18)/($E393-3*cc_D/7))))-fcd_cc*(1-(1-MAX(0,MIN(1,IF($E393&lt;=cc_D,0.0035*($E393-AB$18)/$E393,0.002*($E393-AB$18)/($E393-3*cc_D/7))/0.002)))^2)</f>
        <v/>
      </c>
      <c r="AC393">
        <f>MAX(-fyd_cc,MIN(fyd_cc,Es_cc*IF($E393&lt;=cc_D,0.0035*($E393-AC$18)/$E393,0.002*($E393-AC$18)/($E393-3*cc_D/7))))-fcd_cc*(1-(1-MAX(0,MIN(1,IF($E393&lt;=cc_D,0.0035*($E393-AC$18)/$E393,0.002*($E393-AC$18)/($E393-3*cc_D/7))/0.002)))^2)</f>
        <v/>
      </c>
      <c r="AD393">
        <f>MAX(-fyd_cc,MIN(fyd_cc,Es_cc*IF($E393&lt;=cc_D,0.0035*($E393-AD$18)/$E393,0.002*($E393-AD$18)/($E393-3*cc_D/7))))-fcd_cc*(1-(1-MAX(0,MIN(1,IF($E393&lt;=cc_D,0.0035*($E393-AD$18)/$E393,0.002*($E393-AD$18)/($E393-3*cc_D/7))/0.002)))^2)</f>
        <v/>
      </c>
      <c r="AE393">
        <f>MAX(-fyd_cc,MIN(fyd_cc,Es_cc*IF($E393&lt;=cc_D,0.0035*($E393-AE$18)/$E393,0.002*($E393-AE$18)/($E393-3*cc_D/7))))-fcd_cc*(1-(1-MAX(0,MIN(1,IF($E393&lt;=cc_D,0.0035*($E393-AE$18)/$E393,0.002*($E393-AE$18)/($E393-3*cc_D/7))/0.002)))^2)</f>
        <v/>
      </c>
      <c r="AF393">
        <f>MAX(-fyd_cc,MIN(fyd_cc,Es_cc*IF($E393&lt;=cc_D,0.0035*($E393-AF$18)/$E393,0.002*($E393-AF$18)/($E393-3*cc_D/7))))-fcd_cc*(1-(1-MAX(0,MIN(1,IF($E393&lt;=cc_D,0.0035*($E393-AF$18)/$E393,0.002*($E393-AF$18)/($E393-3*cc_D/7))/0.002)))^2)</f>
        <v/>
      </c>
      <c r="AG393">
        <f>MAX(-fyd_cc,MIN(fyd_cc,Es_cc*IF($E393&lt;=cc_D,0.0035*($E393-AG$18)/$E393,0.002*($E393-AG$18)/($E393-3*cc_D/7))))-fcd_cc*(1-(1-MAX(0,MIN(1,IF($E393&lt;=cc_D,0.0035*($E393-AG$18)/$E393,0.002*($E393-AG$18)/($E393-3*cc_D/7))/0.002)))^2)</f>
        <v/>
      </c>
      <c r="BF393">
        <f>3*MIN($E393,cc_D)/7</f>
        <v/>
      </c>
      <c r="BG393">
        <f>$E393-$BF393</f>
        <v/>
      </c>
      <c r="BH393">
        <f>ACOS(MAX(-1,MIN(1,1-$BF393/(cc_D/2))))</f>
        <v/>
      </c>
      <c r="BI393">
        <f>ACOS(MAX(-1,MIN(1,1-MIN($E393,cc_D)/(cc_D/2))))</f>
        <v/>
      </c>
      <c r="BJ393">
        <f>((cc_D/2*(1-COS(($BH393+0*($BI393-$BH393)/12)))-$BF393)/$BG393)^2*SIN(($BH393+0*($BI393-$BH393)/12))^2</f>
        <v/>
      </c>
      <c r="BK393">
        <f>((cc_D/2*(1-COS(($BH393+1*($BI393-$BH393)/12)))-$BF393)/$BG393)^2*SIN(($BH393+1*($BI393-$BH393)/12))^2</f>
        <v/>
      </c>
      <c r="BL393">
        <f>((cc_D/2*(1-COS(($BH393+2*($BI393-$BH393)/12)))-$BF393)/$BG393)^2*SIN(($BH393+2*($BI393-$BH393)/12))^2</f>
        <v/>
      </c>
      <c r="BM393">
        <f>((cc_D/2*(1-COS(($BH393+3*($BI393-$BH393)/12)))-$BF393)/$BG393)^2*SIN(($BH393+3*($BI393-$BH393)/12))^2</f>
        <v/>
      </c>
      <c r="BN393">
        <f>((cc_D/2*(1-COS(($BH393+4*($BI393-$BH393)/12)))-$BF393)/$BG393)^2*SIN(($BH393+4*($BI393-$BH393)/12))^2</f>
        <v/>
      </c>
      <c r="BO393">
        <f>((cc_D/2*(1-COS(($BH393+5*($BI393-$BH393)/12)))-$BF393)/$BG393)^2*SIN(($BH393+5*($BI393-$BH393)/12))^2</f>
        <v/>
      </c>
      <c r="BP393">
        <f>((cc_D/2*(1-COS(($BH393+6*($BI393-$BH393)/12)))-$BF393)/$BG393)^2*SIN(($BH393+6*($BI393-$BH393)/12))^2</f>
        <v/>
      </c>
      <c r="BQ393">
        <f>((cc_D/2*(1-COS(($BH393+7*($BI393-$BH393)/12)))-$BF393)/$BG393)^2*SIN(($BH393+7*($BI393-$BH393)/12))^2</f>
        <v/>
      </c>
      <c r="BR393">
        <f>((cc_D/2*(1-COS(($BH393+8*($BI393-$BH393)/12)))-$BF393)/$BG393)^2*SIN(($BH393+8*($BI393-$BH393)/12))^2</f>
        <v/>
      </c>
      <c r="BS393">
        <f>((cc_D/2*(1-COS(($BH393+9*($BI393-$BH393)/12)))-$BF393)/$BG393)^2*SIN(($BH393+9*($BI393-$BH393)/12))^2</f>
        <v/>
      </c>
      <c r="BT393">
        <f>((cc_D/2*(1-COS(($BH393+10*($BI393-$BH393)/12)))-$BF393)/$BG393)^2*SIN(($BH393+10*($BI393-$BH393)/12))^2</f>
        <v/>
      </c>
      <c r="BU393">
        <f>((cc_D/2*(1-COS(($BH393+11*($BI393-$BH393)/12)))-$BF393)/$BG393)^2*SIN(($BH393+11*($BI393-$BH393)/12))^2</f>
        <v/>
      </c>
      <c r="BV393">
        <f>((cc_D/2*(1-COS(($BH393+12*($BI393-$BH393)/12)))-$BF393)/$BG393)^2*SIN(($BH393+12*($BI393-$BH393)/12))^2</f>
        <v/>
      </c>
      <c r="BW393">
        <f>BJ393*COS(($BH393+0*($BI393-$BH393)/12))</f>
        <v/>
      </c>
      <c r="BX393">
        <f>BK393*COS(($BH393+1*($BI393-$BH393)/12))</f>
        <v/>
      </c>
      <c r="BY393">
        <f>BL393*COS(($BH393+2*($BI393-$BH393)/12))</f>
        <v/>
      </c>
      <c r="BZ393">
        <f>BM393*COS(($BH393+3*($BI393-$BH393)/12))</f>
        <v/>
      </c>
      <c r="CA393">
        <f>BN393*COS(($BH393+4*($BI393-$BH393)/12))</f>
        <v/>
      </c>
      <c r="CB393">
        <f>BO393*COS(($BH393+5*($BI393-$BH393)/12))</f>
        <v/>
      </c>
      <c r="CC393">
        <f>BP393*COS(($BH393+6*($BI393-$BH393)/12))</f>
        <v/>
      </c>
      <c r="CD393">
        <f>BQ393*COS(($BH393+7*($BI393-$BH393)/12))</f>
        <v/>
      </c>
      <c r="CE393">
        <f>BR393*COS(($BH393+8*($BI393-$BH393)/12))</f>
        <v/>
      </c>
      <c r="CF393">
        <f>BS393*COS(($BH393+9*($BI393-$BH393)/12))</f>
        <v/>
      </c>
      <c r="CG393">
        <f>BT393*COS(($BH393+10*($BI393-$BH393)/12))</f>
        <v/>
      </c>
      <c r="CH393">
        <f>BU393*COS(($BH393+11*($BI393-$BH393)/12))</f>
        <v/>
      </c>
      <c r="CI393">
        <f>BV393*COS(($BH393+12*($BI393-$BH393)/12))</f>
        <v/>
      </c>
    </row>
    <row r="394">
      <c r="B394" s="65" t="n">
        <v>53</v>
      </c>
      <c r="C394" s="66">
        <f>IF($G393&lt;cc_NEd-1E-9*ABS(cc_NEd),($C393+$D393)/2,$C393)</f>
        <v/>
      </c>
      <c r="D394" s="66">
        <f>IF($G393&lt;cc_NEd-1E-9*ABS(cc_NEd),$D393,($C393+$D393)/2)</f>
        <v/>
      </c>
      <c r="E394" s="67">
        <f>cc_D*(($C394+$D394)/2)/(1-(($C394+$D394)/2))</f>
        <v/>
      </c>
      <c r="F394" s="68">
        <f>IF($E394&lt;=cc_D,3.5,2*$E394/($E394-3*cc_D/7))</f>
        <v/>
      </c>
      <c r="G394" s="67">
        <f>(fcd_cc*((cc_D/2)^2*($BI394-COS($BI394)*SIN($BI394))-2*(cc_D/2)^2*($BI394-$BH394)/12/3*SUMPRODUCT($BJ$4:$BV$4,$BJ394:$BV394))+SUMPRODUCT($J$5:$AG$5,$J394:$AG394))/1000</f>
        <v/>
      </c>
      <c r="H394" s="67">
        <f>(fcd_cc*(2/3*(cc_D/2)^3*SIN($BI394)^3-2*(cc_D/2)^3*($BI394-$BH394)/12/3*SUMPRODUCT($BW$4:$CI$4,$BW394:$CI394))+SUMPRODUCT($J$5:$AG$5,$J394:$AG394,$J$19:$AG$19))/1E6</f>
        <v/>
      </c>
      <c r="I394" s="67">
        <f>SUMPRODUCT($J$5:$AG$5,$J394:$AG394,$J$20:$AG$20)/1E6</f>
        <v/>
      </c>
      <c r="J394">
        <f>MAX(-fyd_cc,MIN(fyd_cc,Es_cc*IF($E394&lt;=cc_D,0.0035*($E394-J$18)/$E394,0.002*($E394-J$18)/($E394-3*cc_D/7))))-fcd_cc*(1-(1-MAX(0,MIN(1,IF($E394&lt;=cc_D,0.0035*($E394-J$18)/$E394,0.002*($E394-J$18)/($E394-3*cc_D/7))/0.002)))^2)</f>
        <v/>
      </c>
      <c r="K394">
        <f>MAX(-fyd_cc,MIN(fyd_cc,Es_cc*IF($E394&lt;=cc_D,0.0035*($E394-K$18)/$E394,0.002*($E394-K$18)/($E394-3*cc_D/7))))-fcd_cc*(1-(1-MAX(0,MIN(1,IF($E394&lt;=cc_D,0.0035*($E394-K$18)/$E394,0.002*($E394-K$18)/($E394-3*cc_D/7))/0.002)))^2)</f>
        <v/>
      </c>
      <c r="L394">
        <f>MAX(-fyd_cc,MIN(fyd_cc,Es_cc*IF($E394&lt;=cc_D,0.0035*($E394-L$18)/$E394,0.002*($E394-L$18)/($E394-3*cc_D/7))))-fcd_cc*(1-(1-MAX(0,MIN(1,IF($E394&lt;=cc_D,0.0035*($E394-L$18)/$E394,0.002*($E394-L$18)/($E394-3*cc_D/7))/0.002)))^2)</f>
        <v/>
      </c>
      <c r="M394">
        <f>MAX(-fyd_cc,MIN(fyd_cc,Es_cc*IF($E394&lt;=cc_D,0.0035*($E394-M$18)/$E394,0.002*($E394-M$18)/($E394-3*cc_D/7))))-fcd_cc*(1-(1-MAX(0,MIN(1,IF($E394&lt;=cc_D,0.0035*($E394-M$18)/$E394,0.002*($E394-M$18)/($E394-3*cc_D/7))/0.002)))^2)</f>
        <v/>
      </c>
      <c r="N394">
        <f>MAX(-fyd_cc,MIN(fyd_cc,Es_cc*IF($E394&lt;=cc_D,0.0035*($E394-N$18)/$E394,0.002*($E394-N$18)/($E394-3*cc_D/7))))-fcd_cc*(1-(1-MAX(0,MIN(1,IF($E394&lt;=cc_D,0.0035*($E394-N$18)/$E394,0.002*($E394-N$18)/($E394-3*cc_D/7))/0.002)))^2)</f>
        <v/>
      </c>
      <c r="O394">
        <f>MAX(-fyd_cc,MIN(fyd_cc,Es_cc*IF($E394&lt;=cc_D,0.0035*($E394-O$18)/$E394,0.002*($E394-O$18)/($E394-3*cc_D/7))))-fcd_cc*(1-(1-MAX(0,MIN(1,IF($E394&lt;=cc_D,0.0035*($E394-O$18)/$E394,0.002*($E394-O$18)/($E394-3*cc_D/7))/0.002)))^2)</f>
        <v/>
      </c>
      <c r="P394">
        <f>MAX(-fyd_cc,MIN(fyd_cc,Es_cc*IF($E394&lt;=cc_D,0.0035*($E394-P$18)/$E394,0.002*($E394-P$18)/($E394-3*cc_D/7))))-fcd_cc*(1-(1-MAX(0,MIN(1,IF($E394&lt;=cc_D,0.0035*($E394-P$18)/$E394,0.002*($E394-P$18)/($E394-3*cc_D/7))/0.002)))^2)</f>
        <v/>
      </c>
      <c r="Q394">
        <f>MAX(-fyd_cc,MIN(fyd_cc,Es_cc*IF($E394&lt;=cc_D,0.0035*($E394-Q$18)/$E394,0.002*($E394-Q$18)/($E394-3*cc_D/7))))-fcd_cc*(1-(1-MAX(0,MIN(1,IF($E394&lt;=cc_D,0.0035*($E394-Q$18)/$E394,0.002*($E394-Q$18)/($E394-3*cc_D/7))/0.002)))^2)</f>
        <v/>
      </c>
      <c r="R394">
        <f>MAX(-fyd_cc,MIN(fyd_cc,Es_cc*IF($E394&lt;=cc_D,0.0035*($E394-R$18)/$E394,0.002*($E394-R$18)/($E394-3*cc_D/7))))-fcd_cc*(1-(1-MAX(0,MIN(1,IF($E394&lt;=cc_D,0.0035*($E394-R$18)/$E394,0.002*($E394-R$18)/($E394-3*cc_D/7))/0.002)))^2)</f>
        <v/>
      </c>
      <c r="S394">
        <f>MAX(-fyd_cc,MIN(fyd_cc,Es_cc*IF($E394&lt;=cc_D,0.0035*($E394-S$18)/$E394,0.002*($E394-S$18)/($E394-3*cc_D/7))))-fcd_cc*(1-(1-MAX(0,MIN(1,IF($E394&lt;=cc_D,0.0035*($E394-S$18)/$E394,0.002*($E394-S$18)/($E394-3*cc_D/7))/0.002)))^2)</f>
        <v/>
      </c>
      <c r="T394">
        <f>MAX(-fyd_cc,MIN(fyd_cc,Es_cc*IF($E394&lt;=cc_D,0.0035*($E394-T$18)/$E394,0.002*($E394-T$18)/($E394-3*cc_D/7))))-fcd_cc*(1-(1-MAX(0,MIN(1,IF($E394&lt;=cc_D,0.0035*($E394-T$18)/$E394,0.002*($E394-T$18)/($E394-3*cc_D/7))/0.002)))^2)</f>
        <v/>
      </c>
      <c r="U394">
        <f>MAX(-fyd_cc,MIN(fyd_cc,Es_cc*IF($E394&lt;=cc_D,0.0035*($E394-U$18)/$E394,0.002*($E394-U$18)/($E394-3*cc_D/7))))-fcd_cc*(1-(1-MAX(0,MIN(1,IF($E394&lt;=cc_D,0.0035*($E394-U$18)/$E394,0.002*($E394-U$18)/($E394-3*cc_D/7))/0.002)))^2)</f>
        <v/>
      </c>
      <c r="V394">
        <f>MAX(-fyd_cc,MIN(fyd_cc,Es_cc*IF($E394&lt;=cc_D,0.0035*($E394-V$18)/$E394,0.002*($E394-V$18)/($E394-3*cc_D/7))))-fcd_cc*(1-(1-MAX(0,MIN(1,IF($E394&lt;=cc_D,0.0035*($E394-V$18)/$E394,0.002*($E394-V$18)/($E394-3*cc_D/7))/0.002)))^2)</f>
        <v/>
      </c>
      <c r="W394">
        <f>MAX(-fyd_cc,MIN(fyd_cc,Es_cc*IF($E394&lt;=cc_D,0.0035*($E394-W$18)/$E394,0.002*($E394-W$18)/($E394-3*cc_D/7))))-fcd_cc*(1-(1-MAX(0,MIN(1,IF($E394&lt;=cc_D,0.0035*($E394-W$18)/$E394,0.002*($E394-W$18)/($E394-3*cc_D/7))/0.002)))^2)</f>
        <v/>
      </c>
      <c r="X394">
        <f>MAX(-fyd_cc,MIN(fyd_cc,Es_cc*IF($E394&lt;=cc_D,0.0035*($E394-X$18)/$E394,0.002*($E394-X$18)/($E394-3*cc_D/7))))-fcd_cc*(1-(1-MAX(0,MIN(1,IF($E394&lt;=cc_D,0.0035*($E394-X$18)/$E394,0.002*($E394-X$18)/($E394-3*cc_D/7))/0.002)))^2)</f>
        <v/>
      </c>
      <c r="Y394">
        <f>MAX(-fyd_cc,MIN(fyd_cc,Es_cc*IF($E394&lt;=cc_D,0.0035*($E394-Y$18)/$E394,0.002*($E394-Y$18)/($E394-3*cc_D/7))))-fcd_cc*(1-(1-MAX(0,MIN(1,IF($E394&lt;=cc_D,0.0035*($E394-Y$18)/$E394,0.002*($E394-Y$18)/($E394-3*cc_D/7))/0.002)))^2)</f>
        <v/>
      </c>
      <c r="Z394">
        <f>MAX(-fyd_cc,MIN(fyd_cc,Es_cc*IF($E394&lt;=cc_D,0.0035*($E394-Z$18)/$E394,0.002*($E394-Z$18)/($E394-3*cc_D/7))))-fcd_cc*(1-(1-MAX(0,MIN(1,IF($E394&lt;=cc_D,0.0035*($E394-Z$18)/$E394,0.002*($E394-Z$18)/($E394-3*cc_D/7))/0.002)))^2)</f>
        <v/>
      </c>
      <c r="AA394">
        <f>MAX(-fyd_cc,MIN(fyd_cc,Es_cc*IF($E394&lt;=cc_D,0.0035*($E394-AA$18)/$E394,0.002*($E394-AA$18)/($E394-3*cc_D/7))))-fcd_cc*(1-(1-MAX(0,MIN(1,IF($E394&lt;=cc_D,0.0035*($E394-AA$18)/$E394,0.002*($E394-AA$18)/($E394-3*cc_D/7))/0.002)))^2)</f>
        <v/>
      </c>
      <c r="AB394">
        <f>MAX(-fyd_cc,MIN(fyd_cc,Es_cc*IF($E394&lt;=cc_D,0.0035*($E394-AB$18)/$E394,0.002*($E394-AB$18)/($E394-3*cc_D/7))))-fcd_cc*(1-(1-MAX(0,MIN(1,IF($E394&lt;=cc_D,0.0035*($E394-AB$18)/$E394,0.002*($E394-AB$18)/($E394-3*cc_D/7))/0.002)))^2)</f>
        <v/>
      </c>
      <c r="AC394">
        <f>MAX(-fyd_cc,MIN(fyd_cc,Es_cc*IF($E394&lt;=cc_D,0.0035*($E394-AC$18)/$E394,0.002*($E394-AC$18)/($E394-3*cc_D/7))))-fcd_cc*(1-(1-MAX(0,MIN(1,IF($E394&lt;=cc_D,0.0035*($E394-AC$18)/$E394,0.002*($E394-AC$18)/($E394-3*cc_D/7))/0.002)))^2)</f>
        <v/>
      </c>
      <c r="AD394">
        <f>MAX(-fyd_cc,MIN(fyd_cc,Es_cc*IF($E394&lt;=cc_D,0.0035*($E394-AD$18)/$E394,0.002*($E394-AD$18)/($E394-3*cc_D/7))))-fcd_cc*(1-(1-MAX(0,MIN(1,IF($E394&lt;=cc_D,0.0035*($E394-AD$18)/$E394,0.002*($E394-AD$18)/($E394-3*cc_D/7))/0.002)))^2)</f>
        <v/>
      </c>
      <c r="AE394">
        <f>MAX(-fyd_cc,MIN(fyd_cc,Es_cc*IF($E394&lt;=cc_D,0.0035*($E394-AE$18)/$E394,0.002*($E394-AE$18)/($E394-3*cc_D/7))))-fcd_cc*(1-(1-MAX(0,MIN(1,IF($E394&lt;=cc_D,0.0035*($E394-AE$18)/$E394,0.002*($E394-AE$18)/($E394-3*cc_D/7))/0.002)))^2)</f>
        <v/>
      </c>
      <c r="AF394">
        <f>MAX(-fyd_cc,MIN(fyd_cc,Es_cc*IF($E394&lt;=cc_D,0.0035*($E394-AF$18)/$E394,0.002*($E394-AF$18)/($E394-3*cc_D/7))))-fcd_cc*(1-(1-MAX(0,MIN(1,IF($E394&lt;=cc_D,0.0035*($E394-AF$18)/$E394,0.002*($E394-AF$18)/($E394-3*cc_D/7))/0.002)))^2)</f>
        <v/>
      </c>
      <c r="AG394">
        <f>MAX(-fyd_cc,MIN(fyd_cc,Es_cc*IF($E394&lt;=cc_D,0.0035*($E394-AG$18)/$E394,0.002*($E394-AG$18)/($E394-3*cc_D/7))))-fcd_cc*(1-(1-MAX(0,MIN(1,IF($E394&lt;=cc_D,0.0035*($E394-AG$18)/$E394,0.002*($E394-AG$18)/($E394-3*cc_D/7))/0.002)))^2)</f>
        <v/>
      </c>
      <c r="BF394">
        <f>3*MIN($E394,cc_D)/7</f>
        <v/>
      </c>
      <c r="BG394">
        <f>$E394-$BF394</f>
        <v/>
      </c>
      <c r="BH394">
        <f>ACOS(MAX(-1,MIN(1,1-$BF394/(cc_D/2))))</f>
        <v/>
      </c>
      <c r="BI394">
        <f>ACOS(MAX(-1,MIN(1,1-MIN($E394,cc_D)/(cc_D/2))))</f>
        <v/>
      </c>
      <c r="BJ394">
        <f>((cc_D/2*(1-COS(($BH394+0*($BI394-$BH394)/12)))-$BF394)/$BG394)^2*SIN(($BH394+0*($BI394-$BH394)/12))^2</f>
        <v/>
      </c>
      <c r="BK394">
        <f>((cc_D/2*(1-COS(($BH394+1*($BI394-$BH394)/12)))-$BF394)/$BG394)^2*SIN(($BH394+1*($BI394-$BH394)/12))^2</f>
        <v/>
      </c>
      <c r="BL394">
        <f>((cc_D/2*(1-COS(($BH394+2*($BI394-$BH394)/12)))-$BF394)/$BG394)^2*SIN(($BH394+2*($BI394-$BH394)/12))^2</f>
        <v/>
      </c>
      <c r="BM394">
        <f>((cc_D/2*(1-COS(($BH394+3*($BI394-$BH394)/12)))-$BF394)/$BG394)^2*SIN(($BH394+3*($BI394-$BH394)/12))^2</f>
        <v/>
      </c>
      <c r="BN394">
        <f>((cc_D/2*(1-COS(($BH394+4*($BI394-$BH394)/12)))-$BF394)/$BG394)^2*SIN(($BH394+4*($BI394-$BH394)/12))^2</f>
        <v/>
      </c>
      <c r="BO394">
        <f>((cc_D/2*(1-COS(($BH394+5*($BI394-$BH394)/12)))-$BF394)/$BG394)^2*SIN(($BH394+5*($BI394-$BH394)/12))^2</f>
        <v/>
      </c>
      <c r="BP394">
        <f>((cc_D/2*(1-COS(($BH394+6*($BI394-$BH394)/12)))-$BF394)/$BG394)^2*SIN(($BH394+6*($BI394-$BH394)/12))^2</f>
        <v/>
      </c>
      <c r="BQ394">
        <f>((cc_D/2*(1-COS(($BH394+7*($BI394-$BH394)/12)))-$BF394)/$BG394)^2*SIN(($BH394+7*($BI394-$BH394)/12))^2</f>
        <v/>
      </c>
      <c r="BR394">
        <f>((cc_D/2*(1-COS(($BH394+8*($BI394-$BH394)/12)))-$BF394)/$BG394)^2*SIN(($BH394+8*($BI394-$BH394)/12))^2</f>
        <v/>
      </c>
      <c r="BS394">
        <f>((cc_D/2*(1-COS(($BH394+9*($BI394-$BH394)/12)))-$BF394)/$BG394)^2*SIN(($BH394+9*($BI394-$BH394)/12))^2</f>
        <v/>
      </c>
      <c r="BT394">
        <f>((cc_D/2*(1-COS(($BH394+10*($BI394-$BH394)/12)))-$BF394)/$BG394)^2*SIN(($BH394+10*($BI394-$BH394)/12))^2</f>
        <v/>
      </c>
      <c r="BU394">
        <f>((cc_D/2*(1-COS(($BH394+11*($BI394-$BH394)/12)))-$BF394)/$BG394)^2*SIN(($BH394+11*($BI394-$BH394)/12))^2</f>
        <v/>
      </c>
      <c r="BV394">
        <f>((cc_D/2*(1-COS(($BH394+12*($BI394-$BH394)/12)))-$BF394)/$BG394)^2*SIN(($BH394+12*($BI394-$BH394)/12))^2</f>
        <v/>
      </c>
      <c r="BW394">
        <f>BJ394*COS(($BH394+0*($BI394-$BH394)/12))</f>
        <v/>
      </c>
      <c r="BX394">
        <f>BK394*COS(($BH394+1*($BI394-$BH394)/12))</f>
        <v/>
      </c>
      <c r="BY394">
        <f>BL394*COS(($BH394+2*($BI394-$BH394)/12))</f>
        <v/>
      </c>
      <c r="BZ394">
        <f>BM394*COS(($BH394+3*($BI394-$BH394)/12))</f>
        <v/>
      </c>
      <c r="CA394">
        <f>BN394*COS(($BH394+4*($BI394-$BH394)/12))</f>
        <v/>
      </c>
      <c r="CB394">
        <f>BO394*COS(($BH394+5*($BI394-$BH394)/12))</f>
        <v/>
      </c>
      <c r="CC394">
        <f>BP394*COS(($BH394+6*($BI394-$BH394)/12))</f>
        <v/>
      </c>
      <c r="CD394">
        <f>BQ394*COS(($BH394+7*($BI394-$BH394)/12))</f>
        <v/>
      </c>
      <c r="CE394">
        <f>BR394*COS(($BH394+8*($BI394-$BH394)/12))</f>
        <v/>
      </c>
      <c r="CF394">
        <f>BS394*COS(($BH394+9*($BI394-$BH394)/12))</f>
        <v/>
      </c>
      <c r="CG394">
        <f>BT394*COS(($BH394+10*($BI394-$BH394)/12))</f>
        <v/>
      </c>
      <c r="CH394">
        <f>BU394*COS(($BH394+11*($BI394-$BH394)/12))</f>
        <v/>
      </c>
      <c r="CI394">
        <f>BV394*COS(($BH394+12*($BI394-$BH394)/12))</f>
        <v/>
      </c>
    </row>
    <row r="395">
      <c r="B395" s="65" t="n">
        <v>54</v>
      </c>
      <c r="C395" s="66">
        <f>IF($G394&lt;cc_NEd-1E-9*ABS(cc_NEd),($C394+$D394)/2,$C394)</f>
        <v/>
      </c>
      <c r="D395" s="66">
        <f>IF($G394&lt;cc_NEd-1E-9*ABS(cc_NEd),$D394,($C394+$D394)/2)</f>
        <v/>
      </c>
      <c r="E395" s="67">
        <f>cc_D*(($C395+$D395)/2)/(1-(($C395+$D395)/2))</f>
        <v/>
      </c>
      <c r="F395" s="68">
        <f>IF($E395&lt;=cc_D,3.5,2*$E395/($E395-3*cc_D/7))</f>
        <v/>
      </c>
      <c r="G395" s="67">
        <f>(fcd_cc*((cc_D/2)^2*($BI395-COS($BI395)*SIN($BI395))-2*(cc_D/2)^2*($BI395-$BH395)/12/3*SUMPRODUCT($BJ$4:$BV$4,$BJ395:$BV395))+SUMPRODUCT($J$5:$AG$5,$J395:$AG395))/1000</f>
        <v/>
      </c>
      <c r="H395" s="67">
        <f>(fcd_cc*(2/3*(cc_D/2)^3*SIN($BI395)^3-2*(cc_D/2)^3*($BI395-$BH395)/12/3*SUMPRODUCT($BW$4:$CI$4,$BW395:$CI395))+SUMPRODUCT($J$5:$AG$5,$J395:$AG395,$J$19:$AG$19))/1E6</f>
        <v/>
      </c>
      <c r="I395" s="67">
        <f>SUMPRODUCT($J$5:$AG$5,$J395:$AG395,$J$20:$AG$20)/1E6</f>
        <v/>
      </c>
      <c r="J395">
        <f>MAX(-fyd_cc,MIN(fyd_cc,Es_cc*IF($E395&lt;=cc_D,0.0035*($E395-J$18)/$E395,0.002*($E395-J$18)/($E395-3*cc_D/7))))-fcd_cc*(1-(1-MAX(0,MIN(1,IF($E395&lt;=cc_D,0.0035*($E395-J$18)/$E395,0.002*($E395-J$18)/($E395-3*cc_D/7))/0.002)))^2)</f>
        <v/>
      </c>
      <c r="K395">
        <f>MAX(-fyd_cc,MIN(fyd_cc,Es_cc*IF($E395&lt;=cc_D,0.0035*($E395-K$18)/$E395,0.002*($E395-K$18)/($E395-3*cc_D/7))))-fcd_cc*(1-(1-MAX(0,MIN(1,IF($E395&lt;=cc_D,0.0035*($E395-K$18)/$E395,0.002*($E395-K$18)/($E395-3*cc_D/7))/0.002)))^2)</f>
        <v/>
      </c>
      <c r="L395">
        <f>MAX(-fyd_cc,MIN(fyd_cc,Es_cc*IF($E395&lt;=cc_D,0.0035*($E395-L$18)/$E395,0.002*($E395-L$18)/($E395-3*cc_D/7))))-fcd_cc*(1-(1-MAX(0,MIN(1,IF($E395&lt;=cc_D,0.0035*($E395-L$18)/$E395,0.002*($E395-L$18)/($E395-3*cc_D/7))/0.002)))^2)</f>
        <v/>
      </c>
      <c r="M395">
        <f>MAX(-fyd_cc,MIN(fyd_cc,Es_cc*IF($E395&lt;=cc_D,0.0035*($E395-M$18)/$E395,0.002*($E395-M$18)/($E395-3*cc_D/7))))-fcd_cc*(1-(1-MAX(0,MIN(1,IF($E395&lt;=cc_D,0.0035*($E395-M$18)/$E395,0.002*($E395-M$18)/($E395-3*cc_D/7))/0.002)))^2)</f>
        <v/>
      </c>
      <c r="N395">
        <f>MAX(-fyd_cc,MIN(fyd_cc,Es_cc*IF($E395&lt;=cc_D,0.0035*($E395-N$18)/$E395,0.002*($E395-N$18)/($E395-3*cc_D/7))))-fcd_cc*(1-(1-MAX(0,MIN(1,IF($E395&lt;=cc_D,0.0035*($E395-N$18)/$E395,0.002*($E395-N$18)/($E395-3*cc_D/7))/0.002)))^2)</f>
        <v/>
      </c>
      <c r="O395">
        <f>MAX(-fyd_cc,MIN(fyd_cc,Es_cc*IF($E395&lt;=cc_D,0.0035*($E395-O$18)/$E395,0.002*($E395-O$18)/($E395-3*cc_D/7))))-fcd_cc*(1-(1-MAX(0,MIN(1,IF($E395&lt;=cc_D,0.0035*($E395-O$18)/$E395,0.002*($E395-O$18)/($E395-3*cc_D/7))/0.002)))^2)</f>
        <v/>
      </c>
      <c r="P395">
        <f>MAX(-fyd_cc,MIN(fyd_cc,Es_cc*IF($E395&lt;=cc_D,0.0035*($E395-P$18)/$E395,0.002*($E395-P$18)/($E395-3*cc_D/7))))-fcd_cc*(1-(1-MAX(0,MIN(1,IF($E395&lt;=cc_D,0.0035*($E395-P$18)/$E395,0.002*($E395-P$18)/($E395-3*cc_D/7))/0.002)))^2)</f>
        <v/>
      </c>
      <c r="Q395">
        <f>MAX(-fyd_cc,MIN(fyd_cc,Es_cc*IF($E395&lt;=cc_D,0.0035*($E395-Q$18)/$E395,0.002*($E395-Q$18)/($E395-3*cc_D/7))))-fcd_cc*(1-(1-MAX(0,MIN(1,IF($E395&lt;=cc_D,0.0035*($E395-Q$18)/$E395,0.002*($E395-Q$18)/($E395-3*cc_D/7))/0.002)))^2)</f>
        <v/>
      </c>
      <c r="R395">
        <f>MAX(-fyd_cc,MIN(fyd_cc,Es_cc*IF($E395&lt;=cc_D,0.0035*($E395-R$18)/$E395,0.002*($E395-R$18)/($E395-3*cc_D/7))))-fcd_cc*(1-(1-MAX(0,MIN(1,IF($E395&lt;=cc_D,0.0035*($E395-R$18)/$E395,0.002*($E395-R$18)/($E395-3*cc_D/7))/0.002)))^2)</f>
        <v/>
      </c>
      <c r="S395">
        <f>MAX(-fyd_cc,MIN(fyd_cc,Es_cc*IF($E395&lt;=cc_D,0.0035*($E395-S$18)/$E395,0.002*($E395-S$18)/($E395-3*cc_D/7))))-fcd_cc*(1-(1-MAX(0,MIN(1,IF($E395&lt;=cc_D,0.0035*($E395-S$18)/$E395,0.002*($E395-S$18)/($E395-3*cc_D/7))/0.002)))^2)</f>
        <v/>
      </c>
      <c r="T395">
        <f>MAX(-fyd_cc,MIN(fyd_cc,Es_cc*IF($E395&lt;=cc_D,0.0035*($E395-T$18)/$E395,0.002*($E395-T$18)/($E395-3*cc_D/7))))-fcd_cc*(1-(1-MAX(0,MIN(1,IF($E395&lt;=cc_D,0.0035*($E395-T$18)/$E395,0.002*($E395-T$18)/($E395-3*cc_D/7))/0.002)))^2)</f>
        <v/>
      </c>
      <c r="U395">
        <f>MAX(-fyd_cc,MIN(fyd_cc,Es_cc*IF($E395&lt;=cc_D,0.0035*($E395-U$18)/$E395,0.002*($E395-U$18)/($E395-3*cc_D/7))))-fcd_cc*(1-(1-MAX(0,MIN(1,IF($E395&lt;=cc_D,0.0035*($E395-U$18)/$E395,0.002*($E395-U$18)/($E395-3*cc_D/7))/0.002)))^2)</f>
        <v/>
      </c>
      <c r="V395">
        <f>MAX(-fyd_cc,MIN(fyd_cc,Es_cc*IF($E395&lt;=cc_D,0.0035*($E395-V$18)/$E395,0.002*($E395-V$18)/($E395-3*cc_D/7))))-fcd_cc*(1-(1-MAX(0,MIN(1,IF($E395&lt;=cc_D,0.0035*($E395-V$18)/$E395,0.002*($E395-V$18)/($E395-3*cc_D/7))/0.002)))^2)</f>
        <v/>
      </c>
      <c r="W395">
        <f>MAX(-fyd_cc,MIN(fyd_cc,Es_cc*IF($E395&lt;=cc_D,0.0035*($E395-W$18)/$E395,0.002*($E395-W$18)/($E395-3*cc_D/7))))-fcd_cc*(1-(1-MAX(0,MIN(1,IF($E395&lt;=cc_D,0.0035*($E395-W$18)/$E395,0.002*($E395-W$18)/($E395-3*cc_D/7))/0.002)))^2)</f>
        <v/>
      </c>
      <c r="X395">
        <f>MAX(-fyd_cc,MIN(fyd_cc,Es_cc*IF($E395&lt;=cc_D,0.0035*($E395-X$18)/$E395,0.002*($E395-X$18)/($E395-3*cc_D/7))))-fcd_cc*(1-(1-MAX(0,MIN(1,IF($E395&lt;=cc_D,0.0035*($E395-X$18)/$E395,0.002*($E395-X$18)/($E395-3*cc_D/7))/0.002)))^2)</f>
        <v/>
      </c>
      <c r="Y395">
        <f>MAX(-fyd_cc,MIN(fyd_cc,Es_cc*IF($E395&lt;=cc_D,0.0035*($E395-Y$18)/$E395,0.002*($E395-Y$18)/($E395-3*cc_D/7))))-fcd_cc*(1-(1-MAX(0,MIN(1,IF($E395&lt;=cc_D,0.0035*($E395-Y$18)/$E395,0.002*($E395-Y$18)/($E395-3*cc_D/7))/0.002)))^2)</f>
        <v/>
      </c>
      <c r="Z395">
        <f>MAX(-fyd_cc,MIN(fyd_cc,Es_cc*IF($E395&lt;=cc_D,0.0035*($E395-Z$18)/$E395,0.002*($E395-Z$18)/($E395-3*cc_D/7))))-fcd_cc*(1-(1-MAX(0,MIN(1,IF($E395&lt;=cc_D,0.0035*($E395-Z$18)/$E395,0.002*($E395-Z$18)/($E395-3*cc_D/7))/0.002)))^2)</f>
        <v/>
      </c>
      <c r="AA395">
        <f>MAX(-fyd_cc,MIN(fyd_cc,Es_cc*IF($E395&lt;=cc_D,0.0035*($E395-AA$18)/$E395,0.002*($E395-AA$18)/($E395-3*cc_D/7))))-fcd_cc*(1-(1-MAX(0,MIN(1,IF($E395&lt;=cc_D,0.0035*($E395-AA$18)/$E395,0.002*($E395-AA$18)/($E395-3*cc_D/7))/0.002)))^2)</f>
        <v/>
      </c>
      <c r="AB395">
        <f>MAX(-fyd_cc,MIN(fyd_cc,Es_cc*IF($E395&lt;=cc_D,0.0035*($E395-AB$18)/$E395,0.002*($E395-AB$18)/($E395-3*cc_D/7))))-fcd_cc*(1-(1-MAX(0,MIN(1,IF($E395&lt;=cc_D,0.0035*($E395-AB$18)/$E395,0.002*($E395-AB$18)/($E395-3*cc_D/7))/0.002)))^2)</f>
        <v/>
      </c>
      <c r="AC395">
        <f>MAX(-fyd_cc,MIN(fyd_cc,Es_cc*IF($E395&lt;=cc_D,0.0035*($E395-AC$18)/$E395,0.002*($E395-AC$18)/($E395-3*cc_D/7))))-fcd_cc*(1-(1-MAX(0,MIN(1,IF($E395&lt;=cc_D,0.0035*($E395-AC$18)/$E395,0.002*($E395-AC$18)/($E395-3*cc_D/7))/0.002)))^2)</f>
        <v/>
      </c>
      <c r="AD395">
        <f>MAX(-fyd_cc,MIN(fyd_cc,Es_cc*IF($E395&lt;=cc_D,0.0035*($E395-AD$18)/$E395,0.002*($E395-AD$18)/($E395-3*cc_D/7))))-fcd_cc*(1-(1-MAX(0,MIN(1,IF($E395&lt;=cc_D,0.0035*($E395-AD$18)/$E395,0.002*($E395-AD$18)/($E395-3*cc_D/7))/0.002)))^2)</f>
        <v/>
      </c>
      <c r="AE395">
        <f>MAX(-fyd_cc,MIN(fyd_cc,Es_cc*IF($E395&lt;=cc_D,0.0035*($E395-AE$18)/$E395,0.002*($E395-AE$18)/($E395-3*cc_D/7))))-fcd_cc*(1-(1-MAX(0,MIN(1,IF($E395&lt;=cc_D,0.0035*($E395-AE$18)/$E395,0.002*($E395-AE$18)/($E395-3*cc_D/7))/0.002)))^2)</f>
        <v/>
      </c>
      <c r="AF395">
        <f>MAX(-fyd_cc,MIN(fyd_cc,Es_cc*IF($E395&lt;=cc_D,0.0035*($E395-AF$18)/$E395,0.002*($E395-AF$18)/($E395-3*cc_D/7))))-fcd_cc*(1-(1-MAX(0,MIN(1,IF($E395&lt;=cc_D,0.0035*($E395-AF$18)/$E395,0.002*($E395-AF$18)/($E395-3*cc_D/7))/0.002)))^2)</f>
        <v/>
      </c>
      <c r="AG395">
        <f>MAX(-fyd_cc,MIN(fyd_cc,Es_cc*IF($E395&lt;=cc_D,0.0035*($E395-AG$18)/$E395,0.002*($E395-AG$18)/($E395-3*cc_D/7))))-fcd_cc*(1-(1-MAX(0,MIN(1,IF($E395&lt;=cc_D,0.0035*($E395-AG$18)/$E395,0.002*($E395-AG$18)/($E395-3*cc_D/7))/0.002)))^2)</f>
        <v/>
      </c>
      <c r="BF395">
        <f>3*MIN($E395,cc_D)/7</f>
        <v/>
      </c>
      <c r="BG395">
        <f>$E395-$BF395</f>
        <v/>
      </c>
      <c r="BH395">
        <f>ACOS(MAX(-1,MIN(1,1-$BF395/(cc_D/2))))</f>
        <v/>
      </c>
      <c r="BI395">
        <f>ACOS(MAX(-1,MIN(1,1-MIN($E395,cc_D)/(cc_D/2))))</f>
        <v/>
      </c>
      <c r="BJ395">
        <f>((cc_D/2*(1-COS(($BH395+0*($BI395-$BH395)/12)))-$BF395)/$BG395)^2*SIN(($BH395+0*($BI395-$BH395)/12))^2</f>
        <v/>
      </c>
      <c r="BK395">
        <f>((cc_D/2*(1-COS(($BH395+1*($BI395-$BH395)/12)))-$BF395)/$BG395)^2*SIN(($BH395+1*($BI395-$BH395)/12))^2</f>
        <v/>
      </c>
      <c r="BL395">
        <f>((cc_D/2*(1-COS(($BH395+2*($BI395-$BH395)/12)))-$BF395)/$BG395)^2*SIN(($BH395+2*($BI395-$BH395)/12))^2</f>
        <v/>
      </c>
      <c r="BM395">
        <f>((cc_D/2*(1-COS(($BH395+3*($BI395-$BH395)/12)))-$BF395)/$BG395)^2*SIN(($BH395+3*($BI395-$BH395)/12))^2</f>
        <v/>
      </c>
      <c r="BN395">
        <f>((cc_D/2*(1-COS(($BH395+4*($BI395-$BH395)/12)))-$BF395)/$BG395)^2*SIN(($BH395+4*($BI395-$BH395)/12))^2</f>
        <v/>
      </c>
      <c r="BO395">
        <f>((cc_D/2*(1-COS(($BH395+5*($BI395-$BH395)/12)))-$BF395)/$BG395)^2*SIN(($BH395+5*($BI395-$BH395)/12))^2</f>
        <v/>
      </c>
      <c r="BP395">
        <f>((cc_D/2*(1-COS(($BH395+6*($BI395-$BH395)/12)))-$BF395)/$BG395)^2*SIN(($BH395+6*($BI395-$BH395)/12))^2</f>
        <v/>
      </c>
      <c r="BQ395">
        <f>((cc_D/2*(1-COS(($BH395+7*($BI395-$BH395)/12)))-$BF395)/$BG395)^2*SIN(($BH395+7*($BI395-$BH395)/12))^2</f>
        <v/>
      </c>
      <c r="BR395">
        <f>((cc_D/2*(1-COS(($BH395+8*($BI395-$BH395)/12)))-$BF395)/$BG395)^2*SIN(($BH395+8*($BI395-$BH395)/12))^2</f>
        <v/>
      </c>
      <c r="BS395">
        <f>((cc_D/2*(1-COS(($BH395+9*($BI395-$BH395)/12)))-$BF395)/$BG395)^2*SIN(($BH395+9*($BI395-$BH395)/12))^2</f>
        <v/>
      </c>
      <c r="BT395">
        <f>((cc_D/2*(1-COS(($BH395+10*($BI395-$BH395)/12)))-$BF395)/$BG395)^2*SIN(($BH395+10*($BI395-$BH395)/12))^2</f>
        <v/>
      </c>
      <c r="BU395">
        <f>((cc_D/2*(1-COS(($BH395+11*($BI395-$BH395)/12)))-$BF395)/$BG395)^2*SIN(($BH395+11*($BI395-$BH395)/12))^2</f>
        <v/>
      </c>
      <c r="BV395">
        <f>((cc_D/2*(1-COS(($BH395+12*($BI395-$BH395)/12)))-$BF395)/$BG395)^2*SIN(($BH395+12*($BI395-$BH395)/12))^2</f>
        <v/>
      </c>
      <c r="BW395">
        <f>BJ395*COS(($BH395+0*($BI395-$BH395)/12))</f>
        <v/>
      </c>
      <c r="BX395">
        <f>BK395*COS(($BH395+1*($BI395-$BH395)/12))</f>
        <v/>
      </c>
      <c r="BY395">
        <f>BL395*COS(($BH395+2*($BI395-$BH395)/12))</f>
        <v/>
      </c>
      <c r="BZ395">
        <f>BM395*COS(($BH395+3*($BI395-$BH395)/12))</f>
        <v/>
      </c>
      <c r="CA395">
        <f>BN395*COS(($BH395+4*($BI395-$BH395)/12))</f>
        <v/>
      </c>
      <c r="CB395">
        <f>BO395*COS(($BH395+5*($BI395-$BH395)/12))</f>
        <v/>
      </c>
      <c r="CC395">
        <f>BP395*COS(($BH395+6*($BI395-$BH395)/12))</f>
        <v/>
      </c>
      <c r="CD395">
        <f>BQ395*COS(($BH395+7*($BI395-$BH395)/12))</f>
        <v/>
      </c>
      <c r="CE395">
        <f>BR395*COS(($BH395+8*($BI395-$BH395)/12))</f>
        <v/>
      </c>
      <c r="CF395">
        <f>BS395*COS(($BH395+9*($BI395-$BH395)/12))</f>
        <v/>
      </c>
      <c r="CG395">
        <f>BT395*COS(($BH395+10*($BI395-$BH395)/12))</f>
        <v/>
      </c>
      <c r="CH395">
        <f>BU395*COS(($BH395+11*($BI395-$BH395)/12))</f>
        <v/>
      </c>
      <c r="CI395">
        <f>BV395*COS(($BH395+12*($BI395-$BH395)/12))</f>
        <v/>
      </c>
    </row>
    <row r="396">
      <c r="B396" s="65" t="n">
        <v>55</v>
      </c>
      <c r="C396" s="66">
        <f>IF($G395&lt;cc_NEd-1E-9*ABS(cc_NEd),($C395+$D395)/2,$C395)</f>
        <v/>
      </c>
      <c r="D396" s="66">
        <f>IF($G395&lt;cc_NEd-1E-9*ABS(cc_NEd),$D395,($C395+$D395)/2)</f>
        <v/>
      </c>
      <c r="E396" s="67">
        <f>cc_D*(($C396+$D396)/2)/(1-(($C396+$D396)/2))</f>
        <v/>
      </c>
      <c r="F396" s="68">
        <f>IF($E396&lt;=cc_D,3.5,2*$E396/($E396-3*cc_D/7))</f>
        <v/>
      </c>
      <c r="G396" s="67">
        <f>(fcd_cc*((cc_D/2)^2*($BI396-COS($BI396)*SIN($BI396))-2*(cc_D/2)^2*($BI396-$BH396)/12/3*SUMPRODUCT($BJ$4:$BV$4,$BJ396:$BV396))+SUMPRODUCT($J$5:$AG$5,$J396:$AG396))/1000</f>
        <v/>
      </c>
      <c r="H396" s="67">
        <f>(fcd_cc*(2/3*(cc_D/2)^3*SIN($BI396)^3-2*(cc_D/2)^3*($BI396-$BH396)/12/3*SUMPRODUCT($BW$4:$CI$4,$BW396:$CI396))+SUMPRODUCT($J$5:$AG$5,$J396:$AG396,$J$19:$AG$19))/1E6</f>
        <v/>
      </c>
      <c r="I396" s="67">
        <f>SUMPRODUCT($J$5:$AG$5,$J396:$AG396,$J$20:$AG$20)/1E6</f>
        <v/>
      </c>
      <c r="J396">
        <f>MAX(-fyd_cc,MIN(fyd_cc,Es_cc*IF($E396&lt;=cc_D,0.0035*($E396-J$18)/$E396,0.002*($E396-J$18)/($E396-3*cc_D/7))))-fcd_cc*(1-(1-MAX(0,MIN(1,IF($E396&lt;=cc_D,0.0035*($E396-J$18)/$E396,0.002*($E396-J$18)/($E396-3*cc_D/7))/0.002)))^2)</f>
        <v/>
      </c>
      <c r="K396">
        <f>MAX(-fyd_cc,MIN(fyd_cc,Es_cc*IF($E396&lt;=cc_D,0.0035*($E396-K$18)/$E396,0.002*($E396-K$18)/($E396-3*cc_D/7))))-fcd_cc*(1-(1-MAX(0,MIN(1,IF($E396&lt;=cc_D,0.0035*($E396-K$18)/$E396,0.002*($E396-K$18)/($E396-3*cc_D/7))/0.002)))^2)</f>
        <v/>
      </c>
      <c r="L396">
        <f>MAX(-fyd_cc,MIN(fyd_cc,Es_cc*IF($E396&lt;=cc_D,0.0035*($E396-L$18)/$E396,0.002*($E396-L$18)/($E396-3*cc_D/7))))-fcd_cc*(1-(1-MAX(0,MIN(1,IF($E396&lt;=cc_D,0.0035*($E396-L$18)/$E396,0.002*($E396-L$18)/($E396-3*cc_D/7))/0.002)))^2)</f>
        <v/>
      </c>
      <c r="M396">
        <f>MAX(-fyd_cc,MIN(fyd_cc,Es_cc*IF($E396&lt;=cc_D,0.0035*($E396-M$18)/$E396,0.002*($E396-M$18)/($E396-3*cc_D/7))))-fcd_cc*(1-(1-MAX(0,MIN(1,IF($E396&lt;=cc_D,0.0035*($E396-M$18)/$E396,0.002*($E396-M$18)/($E396-3*cc_D/7))/0.002)))^2)</f>
        <v/>
      </c>
      <c r="N396">
        <f>MAX(-fyd_cc,MIN(fyd_cc,Es_cc*IF($E396&lt;=cc_D,0.0035*($E396-N$18)/$E396,0.002*($E396-N$18)/($E396-3*cc_D/7))))-fcd_cc*(1-(1-MAX(0,MIN(1,IF($E396&lt;=cc_D,0.0035*($E396-N$18)/$E396,0.002*($E396-N$18)/($E396-3*cc_D/7))/0.002)))^2)</f>
        <v/>
      </c>
      <c r="O396">
        <f>MAX(-fyd_cc,MIN(fyd_cc,Es_cc*IF($E396&lt;=cc_D,0.0035*($E396-O$18)/$E396,0.002*($E396-O$18)/($E396-3*cc_D/7))))-fcd_cc*(1-(1-MAX(0,MIN(1,IF($E396&lt;=cc_D,0.0035*($E396-O$18)/$E396,0.002*($E396-O$18)/($E396-3*cc_D/7))/0.002)))^2)</f>
        <v/>
      </c>
      <c r="P396">
        <f>MAX(-fyd_cc,MIN(fyd_cc,Es_cc*IF($E396&lt;=cc_D,0.0035*($E396-P$18)/$E396,0.002*($E396-P$18)/($E396-3*cc_D/7))))-fcd_cc*(1-(1-MAX(0,MIN(1,IF($E396&lt;=cc_D,0.0035*($E396-P$18)/$E396,0.002*($E396-P$18)/($E396-3*cc_D/7))/0.002)))^2)</f>
        <v/>
      </c>
      <c r="Q396">
        <f>MAX(-fyd_cc,MIN(fyd_cc,Es_cc*IF($E396&lt;=cc_D,0.0035*($E396-Q$18)/$E396,0.002*($E396-Q$18)/($E396-3*cc_D/7))))-fcd_cc*(1-(1-MAX(0,MIN(1,IF($E396&lt;=cc_D,0.0035*($E396-Q$18)/$E396,0.002*($E396-Q$18)/($E396-3*cc_D/7))/0.002)))^2)</f>
        <v/>
      </c>
      <c r="R396">
        <f>MAX(-fyd_cc,MIN(fyd_cc,Es_cc*IF($E396&lt;=cc_D,0.0035*($E396-R$18)/$E396,0.002*($E396-R$18)/($E396-3*cc_D/7))))-fcd_cc*(1-(1-MAX(0,MIN(1,IF($E396&lt;=cc_D,0.0035*($E396-R$18)/$E396,0.002*($E396-R$18)/($E396-3*cc_D/7))/0.002)))^2)</f>
        <v/>
      </c>
      <c r="S396">
        <f>MAX(-fyd_cc,MIN(fyd_cc,Es_cc*IF($E396&lt;=cc_D,0.0035*($E396-S$18)/$E396,0.002*($E396-S$18)/($E396-3*cc_D/7))))-fcd_cc*(1-(1-MAX(0,MIN(1,IF($E396&lt;=cc_D,0.0035*($E396-S$18)/$E396,0.002*($E396-S$18)/($E396-3*cc_D/7))/0.002)))^2)</f>
        <v/>
      </c>
      <c r="T396">
        <f>MAX(-fyd_cc,MIN(fyd_cc,Es_cc*IF($E396&lt;=cc_D,0.0035*($E396-T$18)/$E396,0.002*($E396-T$18)/($E396-3*cc_D/7))))-fcd_cc*(1-(1-MAX(0,MIN(1,IF($E396&lt;=cc_D,0.0035*($E396-T$18)/$E396,0.002*($E396-T$18)/($E396-3*cc_D/7))/0.002)))^2)</f>
        <v/>
      </c>
      <c r="U396">
        <f>MAX(-fyd_cc,MIN(fyd_cc,Es_cc*IF($E396&lt;=cc_D,0.0035*($E396-U$18)/$E396,0.002*($E396-U$18)/($E396-3*cc_D/7))))-fcd_cc*(1-(1-MAX(0,MIN(1,IF($E396&lt;=cc_D,0.0035*($E396-U$18)/$E396,0.002*($E396-U$18)/($E396-3*cc_D/7))/0.002)))^2)</f>
        <v/>
      </c>
      <c r="V396">
        <f>MAX(-fyd_cc,MIN(fyd_cc,Es_cc*IF($E396&lt;=cc_D,0.0035*($E396-V$18)/$E396,0.002*($E396-V$18)/($E396-3*cc_D/7))))-fcd_cc*(1-(1-MAX(0,MIN(1,IF($E396&lt;=cc_D,0.0035*($E396-V$18)/$E396,0.002*($E396-V$18)/($E396-3*cc_D/7))/0.002)))^2)</f>
        <v/>
      </c>
      <c r="W396">
        <f>MAX(-fyd_cc,MIN(fyd_cc,Es_cc*IF($E396&lt;=cc_D,0.0035*($E396-W$18)/$E396,0.002*($E396-W$18)/($E396-3*cc_D/7))))-fcd_cc*(1-(1-MAX(0,MIN(1,IF($E396&lt;=cc_D,0.0035*($E396-W$18)/$E396,0.002*($E396-W$18)/($E396-3*cc_D/7))/0.002)))^2)</f>
        <v/>
      </c>
      <c r="X396">
        <f>MAX(-fyd_cc,MIN(fyd_cc,Es_cc*IF($E396&lt;=cc_D,0.0035*($E396-X$18)/$E396,0.002*($E396-X$18)/($E396-3*cc_D/7))))-fcd_cc*(1-(1-MAX(0,MIN(1,IF($E396&lt;=cc_D,0.0035*($E396-X$18)/$E396,0.002*($E396-X$18)/($E396-3*cc_D/7))/0.002)))^2)</f>
        <v/>
      </c>
      <c r="Y396">
        <f>MAX(-fyd_cc,MIN(fyd_cc,Es_cc*IF($E396&lt;=cc_D,0.0035*($E396-Y$18)/$E396,0.002*($E396-Y$18)/($E396-3*cc_D/7))))-fcd_cc*(1-(1-MAX(0,MIN(1,IF($E396&lt;=cc_D,0.0035*($E396-Y$18)/$E396,0.002*($E396-Y$18)/($E396-3*cc_D/7))/0.002)))^2)</f>
        <v/>
      </c>
      <c r="Z396">
        <f>MAX(-fyd_cc,MIN(fyd_cc,Es_cc*IF($E396&lt;=cc_D,0.0035*($E396-Z$18)/$E396,0.002*($E396-Z$18)/($E396-3*cc_D/7))))-fcd_cc*(1-(1-MAX(0,MIN(1,IF($E396&lt;=cc_D,0.0035*($E396-Z$18)/$E396,0.002*($E396-Z$18)/($E396-3*cc_D/7))/0.002)))^2)</f>
        <v/>
      </c>
      <c r="AA396">
        <f>MAX(-fyd_cc,MIN(fyd_cc,Es_cc*IF($E396&lt;=cc_D,0.0035*($E396-AA$18)/$E396,0.002*($E396-AA$18)/($E396-3*cc_D/7))))-fcd_cc*(1-(1-MAX(0,MIN(1,IF($E396&lt;=cc_D,0.0035*($E396-AA$18)/$E396,0.002*($E396-AA$18)/($E396-3*cc_D/7))/0.002)))^2)</f>
        <v/>
      </c>
      <c r="AB396">
        <f>MAX(-fyd_cc,MIN(fyd_cc,Es_cc*IF($E396&lt;=cc_D,0.0035*($E396-AB$18)/$E396,0.002*($E396-AB$18)/($E396-3*cc_D/7))))-fcd_cc*(1-(1-MAX(0,MIN(1,IF($E396&lt;=cc_D,0.0035*($E396-AB$18)/$E396,0.002*($E396-AB$18)/($E396-3*cc_D/7))/0.002)))^2)</f>
        <v/>
      </c>
      <c r="AC396">
        <f>MAX(-fyd_cc,MIN(fyd_cc,Es_cc*IF($E396&lt;=cc_D,0.0035*($E396-AC$18)/$E396,0.002*($E396-AC$18)/($E396-3*cc_D/7))))-fcd_cc*(1-(1-MAX(0,MIN(1,IF($E396&lt;=cc_D,0.0035*($E396-AC$18)/$E396,0.002*($E396-AC$18)/($E396-3*cc_D/7))/0.002)))^2)</f>
        <v/>
      </c>
      <c r="AD396">
        <f>MAX(-fyd_cc,MIN(fyd_cc,Es_cc*IF($E396&lt;=cc_D,0.0035*($E396-AD$18)/$E396,0.002*($E396-AD$18)/($E396-3*cc_D/7))))-fcd_cc*(1-(1-MAX(0,MIN(1,IF($E396&lt;=cc_D,0.0035*($E396-AD$18)/$E396,0.002*($E396-AD$18)/($E396-3*cc_D/7))/0.002)))^2)</f>
        <v/>
      </c>
      <c r="AE396">
        <f>MAX(-fyd_cc,MIN(fyd_cc,Es_cc*IF($E396&lt;=cc_D,0.0035*($E396-AE$18)/$E396,0.002*($E396-AE$18)/($E396-3*cc_D/7))))-fcd_cc*(1-(1-MAX(0,MIN(1,IF($E396&lt;=cc_D,0.0035*($E396-AE$18)/$E396,0.002*($E396-AE$18)/($E396-3*cc_D/7))/0.002)))^2)</f>
        <v/>
      </c>
      <c r="AF396">
        <f>MAX(-fyd_cc,MIN(fyd_cc,Es_cc*IF($E396&lt;=cc_D,0.0035*($E396-AF$18)/$E396,0.002*($E396-AF$18)/($E396-3*cc_D/7))))-fcd_cc*(1-(1-MAX(0,MIN(1,IF($E396&lt;=cc_D,0.0035*($E396-AF$18)/$E396,0.002*($E396-AF$18)/($E396-3*cc_D/7))/0.002)))^2)</f>
        <v/>
      </c>
      <c r="AG396">
        <f>MAX(-fyd_cc,MIN(fyd_cc,Es_cc*IF($E396&lt;=cc_D,0.0035*($E396-AG$18)/$E396,0.002*($E396-AG$18)/($E396-3*cc_D/7))))-fcd_cc*(1-(1-MAX(0,MIN(1,IF($E396&lt;=cc_D,0.0035*($E396-AG$18)/$E396,0.002*($E396-AG$18)/($E396-3*cc_D/7))/0.002)))^2)</f>
        <v/>
      </c>
      <c r="BF396">
        <f>3*MIN($E396,cc_D)/7</f>
        <v/>
      </c>
      <c r="BG396">
        <f>$E396-$BF396</f>
        <v/>
      </c>
      <c r="BH396">
        <f>ACOS(MAX(-1,MIN(1,1-$BF396/(cc_D/2))))</f>
        <v/>
      </c>
      <c r="BI396">
        <f>ACOS(MAX(-1,MIN(1,1-MIN($E396,cc_D)/(cc_D/2))))</f>
        <v/>
      </c>
      <c r="BJ396">
        <f>((cc_D/2*(1-COS(($BH396+0*($BI396-$BH396)/12)))-$BF396)/$BG396)^2*SIN(($BH396+0*($BI396-$BH396)/12))^2</f>
        <v/>
      </c>
      <c r="BK396">
        <f>((cc_D/2*(1-COS(($BH396+1*($BI396-$BH396)/12)))-$BF396)/$BG396)^2*SIN(($BH396+1*($BI396-$BH396)/12))^2</f>
        <v/>
      </c>
      <c r="BL396">
        <f>((cc_D/2*(1-COS(($BH396+2*($BI396-$BH396)/12)))-$BF396)/$BG396)^2*SIN(($BH396+2*($BI396-$BH396)/12))^2</f>
        <v/>
      </c>
      <c r="BM396">
        <f>((cc_D/2*(1-COS(($BH396+3*($BI396-$BH396)/12)))-$BF396)/$BG396)^2*SIN(($BH396+3*($BI396-$BH396)/12))^2</f>
        <v/>
      </c>
      <c r="BN396">
        <f>((cc_D/2*(1-COS(($BH396+4*($BI396-$BH396)/12)))-$BF396)/$BG396)^2*SIN(($BH396+4*($BI396-$BH396)/12))^2</f>
        <v/>
      </c>
      <c r="BO396">
        <f>((cc_D/2*(1-COS(($BH396+5*($BI396-$BH396)/12)))-$BF396)/$BG396)^2*SIN(($BH396+5*($BI396-$BH396)/12))^2</f>
        <v/>
      </c>
      <c r="BP396">
        <f>((cc_D/2*(1-COS(($BH396+6*($BI396-$BH396)/12)))-$BF396)/$BG396)^2*SIN(($BH396+6*($BI396-$BH396)/12))^2</f>
        <v/>
      </c>
      <c r="BQ396">
        <f>((cc_D/2*(1-COS(($BH396+7*($BI396-$BH396)/12)))-$BF396)/$BG396)^2*SIN(($BH396+7*($BI396-$BH396)/12))^2</f>
        <v/>
      </c>
      <c r="BR396">
        <f>((cc_D/2*(1-COS(($BH396+8*($BI396-$BH396)/12)))-$BF396)/$BG396)^2*SIN(($BH396+8*($BI396-$BH396)/12))^2</f>
        <v/>
      </c>
      <c r="BS396">
        <f>((cc_D/2*(1-COS(($BH396+9*($BI396-$BH396)/12)))-$BF396)/$BG396)^2*SIN(($BH396+9*($BI396-$BH396)/12))^2</f>
        <v/>
      </c>
      <c r="BT396">
        <f>((cc_D/2*(1-COS(($BH396+10*($BI396-$BH396)/12)))-$BF396)/$BG396)^2*SIN(($BH396+10*($BI396-$BH396)/12))^2</f>
        <v/>
      </c>
      <c r="BU396">
        <f>((cc_D/2*(1-COS(($BH396+11*($BI396-$BH396)/12)))-$BF396)/$BG396)^2*SIN(($BH396+11*($BI396-$BH396)/12))^2</f>
        <v/>
      </c>
      <c r="BV396">
        <f>((cc_D/2*(1-COS(($BH396+12*($BI396-$BH396)/12)))-$BF396)/$BG396)^2*SIN(($BH396+12*($BI396-$BH396)/12))^2</f>
        <v/>
      </c>
      <c r="BW396">
        <f>BJ396*COS(($BH396+0*($BI396-$BH396)/12))</f>
        <v/>
      </c>
      <c r="BX396">
        <f>BK396*COS(($BH396+1*($BI396-$BH396)/12))</f>
        <v/>
      </c>
      <c r="BY396">
        <f>BL396*COS(($BH396+2*($BI396-$BH396)/12))</f>
        <v/>
      </c>
      <c r="BZ396">
        <f>BM396*COS(($BH396+3*($BI396-$BH396)/12))</f>
        <v/>
      </c>
      <c r="CA396">
        <f>BN396*COS(($BH396+4*($BI396-$BH396)/12))</f>
        <v/>
      </c>
      <c r="CB396">
        <f>BO396*COS(($BH396+5*($BI396-$BH396)/12))</f>
        <v/>
      </c>
      <c r="CC396">
        <f>BP396*COS(($BH396+6*($BI396-$BH396)/12))</f>
        <v/>
      </c>
      <c r="CD396">
        <f>BQ396*COS(($BH396+7*($BI396-$BH396)/12))</f>
        <v/>
      </c>
      <c r="CE396">
        <f>BR396*COS(($BH396+8*($BI396-$BH396)/12))</f>
        <v/>
      </c>
      <c r="CF396">
        <f>BS396*COS(($BH396+9*($BI396-$BH396)/12))</f>
        <v/>
      </c>
      <c r="CG396">
        <f>BT396*COS(($BH396+10*($BI396-$BH396)/12))</f>
        <v/>
      </c>
      <c r="CH396">
        <f>BU396*COS(($BH396+11*($BI396-$BH396)/12))</f>
        <v/>
      </c>
      <c r="CI396">
        <f>BV396*COS(($BH396+12*($BI396-$BH396)/12))</f>
        <v/>
      </c>
    </row>
    <row r="397">
      <c r="B397" s="65" t="n">
        <v>56</v>
      </c>
      <c r="C397" s="66">
        <f>IF($G396&lt;cc_NEd-1E-9*ABS(cc_NEd),($C396+$D396)/2,$C396)</f>
        <v/>
      </c>
      <c r="D397" s="66">
        <f>IF($G396&lt;cc_NEd-1E-9*ABS(cc_NEd),$D396,($C396+$D396)/2)</f>
        <v/>
      </c>
      <c r="E397" s="67">
        <f>cc_D*(($C397+$D397)/2)/(1-(($C397+$D397)/2))</f>
        <v/>
      </c>
      <c r="F397" s="68">
        <f>IF($E397&lt;=cc_D,3.5,2*$E397/($E397-3*cc_D/7))</f>
        <v/>
      </c>
      <c r="G397" s="67">
        <f>(fcd_cc*((cc_D/2)^2*($BI397-COS($BI397)*SIN($BI397))-2*(cc_D/2)^2*($BI397-$BH397)/12/3*SUMPRODUCT($BJ$4:$BV$4,$BJ397:$BV397))+SUMPRODUCT($J$5:$AG$5,$J397:$AG397))/1000</f>
        <v/>
      </c>
      <c r="H397" s="67">
        <f>(fcd_cc*(2/3*(cc_D/2)^3*SIN($BI397)^3-2*(cc_D/2)^3*($BI397-$BH397)/12/3*SUMPRODUCT($BW$4:$CI$4,$BW397:$CI397))+SUMPRODUCT($J$5:$AG$5,$J397:$AG397,$J$19:$AG$19))/1E6</f>
        <v/>
      </c>
      <c r="I397" s="67">
        <f>SUMPRODUCT($J$5:$AG$5,$J397:$AG397,$J$20:$AG$20)/1E6</f>
        <v/>
      </c>
      <c r="J397">
        <f>MAX(-fyd_cc,MIN(fyd_cc,Es_cc*IF($E397&lt;=cc_D,0.0035*($E397-J$18)/$E397,0.002*($E397-J$18)/($E397-3*cc_D/7))))-fcd_cc*(1-(1-MAX(0,MIN(1,IF($E397&lt;=cc_D,0.0035*($E397-J$18)/$E397,0.002*($E397-J$18)/($E397-3*cc_D/7))/0.002)))^2)</f>
        <v/>
      </c>
      <c r="K397">
        <f>MAX(-fyd_cc,MIN(fyd_cc,Es_cc*IF($E397&lt;=cc_D,0.0035*($E397-K$18)/$E397,0.002*($E397-K$18)/($E397-3*cc_D/7))))-fcd_cc*(1-(1-MAX(0,MIN(1,IF($E397&lt;=cc_D,0.0035*($E397-K$18)/$E397,0.002*($E397-K$18)/($E397-3*cc_D/7))/0.002)))^2)</f>
        <v/>
      </c>
      <c r="L397">
        <f>MAX(-fyd_cc,MIN(fyd_cc,Es_cc*IF($E397&lt;=cc_D,0.0035*($E397-L$18)/$E397,0.002*($E397-L$18)/($E397-3*cc_D/7))))-fcd_cc*(1-(1-MAX(0,MIN(1,IF($E397&lt;=cc_D,0.0035*($E397-L$18)/$E397,0.002*($E397-L$18)/($E397-3*cc_D/7))/0.002)))^2)</f>
        <v/>
      </c>
      <c r="M397">
        <f>MAX(-fyd_cc,MIN(fyd_cc,Es_cc*IF($E397&lt;=cc_D,0.0035*($E397-M$18)/$E397,0.002*($E397-M$18)/($E397-3*cc_D/7))))-fcd_cc*(1-(1-MAX(0,MIN(1,IF($E397&lt;=cc_D,0.0035*($E397-M$18)/$E397,0.002*($E397-M$18)/($E397-3*cc_D/7))/0.002)))^2)</f>
        <v/>
      </c>
      <c r="N397">
        <f>MAX(-fyd_cc,MIN(fyd_cc,Es_cc*IF($E397&lt;=cc_D,0.0035*($E397-N$18)/$E397,0.002*($E397-N$18)/($E397-3*cc_D/7))))-fcd_cc*(1-(1-MAX(0,MIN(1,IF($E397&lt;=cc_D,0.0035*($E397-N$18)/$E397,0.002*($E397-N$18)/($E397-3*cc_D/7))/0.002)))^2)</f>
        <v/>
      </c>
      <c r="O397">
        <f>MAX(-fyd_cc,MIN(fyd_cc,Es_cc*IF($E397&lt;=cc_D,0.0035*($E397-O$18)/$E397,0.002*($E397-O$18)/($E397-3*cc_D/7))))-fcd_cc*(1-(1-MAX(0,MIN(1,IF($E397&lt;=cc_D,0.0035*($E397-O$18)/$E397,0.002*($E397-O$18)/($E397-3*cc_D/7))/0.002)))^2)</f>
        <v/>
      </c>
      <c r="P397">
        <f>MAX(-fyd_cc,MIN(fyd_cc,Es_cc*IF($E397&lt;=cc_D,0.0035*($E397-P$18)/$E397,0.002*($E397-P$18)/($E397-3*cc_D/7))))-fcd_cc*(1-(1-MAX(0,MIN(1,IF($E397&lt;=cc_D,0.0035*($E397-P$18)/$E397,0.002*($E397-P$18)/($E397-3*cc_D/7))/0.002)))^2)</f>
        <v/>
      </c>
      <c r="Q397">
        <f>MAX(-fyd_cc,MIN(fyd_cc,Es_cc*IF($E397&lt;=cc_D,0.0035*($E397-Q$18)/$E397,0.002*($E397-Q$18)/($E397-3*cc_D/7))))-fcd_cc*(1-(1-MAX(0,MIN(1,IF($E397&lt;=cc_D,0.0035*($E397-Q$18)/$E397,0.002*($E397-Q$18)/($E397-3*cc_D/7))/0.002)))^2)</f>
        <v/>
      </c>
      <c r="R397">
        <f>MAX(-fyd_cc,MIN(fyd_cc,Es_cc*IF($E397&lt;=cc_D,0.0035*($E397-R$18)/$E397,0.002*($E397-R$18)/($E397-3*cc_D/7))))-fcd_cc*(1-(1-MAX(0,MIN(1,IF($E397&lt;=cc_D,0.0035*($E397-R$18)/$E397,0.002*($E397-R$18)/($E397-3*cc_D/7))/0.002)))^2)</f>
        <v/>
      </c>
      <c r="S397">
        <f>MAX(-fyd_cc,MIN(fyd_cc,Es_cc*IF($E397&lt;=cc_D,0.0035*($E397-S$18)/$E397,0.002*($E397-S$18)/($E397-3*cc_D/7))))-fcd_cc*(1-(1-MAX(0,MIN(1,IF($E397&lt;=cc_D,0.0035*($E397-S$18)/$E397,0.002*($E397-S$18)/($E397-3*cc_D/7))/0.002)))^2)</f>
        <v/>
      </c>
      <c r="T397">
        <f>MAX(-fyd_cc,MIN(fyd_cc,Es_cc*IF($E397&lt;=cc_D,0.0035*($E397-T$18)/$E397,0.002*($E397-T$18)/($E397-3*cc_D/7))))-fcd_cc*(1-(1-MAX(0,MIN(1,IF($E397&lt;=cc_D,0.0035*($E397-T$18)/$E397,0.002*($E397-T$18)/($E397-3*cc_D/7))/0.002)))^2)</f>
        <v/>
      </c>
      <c r="U397">
        <f>MAX(-fyd_cc,MIN(fyd_cc,Es_cc*IF($E397&lt;=cc_D,0.0035*($E397-U$18)/$E397,0.002*($E397-U$18)/($E397-3*cc_D/7))))-fcd_cc*(1-(1-MAX(0,MIN(1,IF($E397&lt;=cc_D,0.0035*($E397-U$18)/$E397,0.002*($E397-U$18)/($E397-3*cc_D/7))/0.002)))^2)</f>
        <v/>
      </c>
      <c r="V397">
        <f>MAX(-fyd_cc,MIN(fyd_cc,Es_cc*IF($E397&lt;=cc_D,0.0035*($E397-V$18)/$E397,0.002*($E397-V$18)/($E397-3*cc_D/7))))-fcd_cc*(1-(1-MAX(0,MIN(1,IF($E397&lt;=cc_D,0.0035*($E397-V$18)/$E397,0.002*($E397-V$18)/($E397-3*cc_D/7))/0.002)))^2)</f>
        <v/>
      </c>
      <c r="W397">
        <f>MAX(-fyd_cc,MIN(fyd_cc,Es_cc*IF($E397&lt;=cc_D,0.0035*($E397-W$18)/$E397,0.002*($E397-W$18)/($E397-3*cc_D/7))))-fcd_cc*(1-(1-MAX(0,MIN(1,IF($E397&lt;=cc_D,0.0035*($E397-W$18)/$E397,0.002*($E397-W$18)/($E397-3*cc_D/7))/0.002)))^2)</f>
        <v/>
      </c>
      <c r="X397">
        <f>MAX(-fyd_cc,MIN(fyd_cc,Es_cc*IF($E397&lt;=cc_D,0.0035*($E397-X$18)/$E397,0.002*($E397-X$18)/($E397-3*cc_D/7))))-fcd_cc*(1-(1-MAX(0,MIN(1,IF($E397&lt;=cc_D,0.0035*($E397-X$18)/$E397,0.002*($E397-X$18)/($E397-3*cc_D/7))/0.002)))^2)</f>
        <v/>
      </c>
      <c r="Y397">
        <f>MAX(-fyd_cc,MIN(fyd_cc,Es_cc*IF($E397&lt;=cc_D,0.0035*($E397-Y$18)/$E397,0.002*($E397-Y$18)/($E397-3*cc_D/7))))-fcd_cc*(1-(1-MAX(0,MIN(1,IF($E397&lt;=cc_D,0.0035*($E397-Y$18)/$E397,0.002*($E397-Y$18)/($E397-3*cc_D/7))/0.002)))^2)</f>
        <v/>
      </c>
      <c r="Z397">
        <f>MAX(-fyd_cc,MIN(fyd_cc,Es_cc*IF($E397&lt;=cc_D,0.0035*($E397-Z$18)/$E397,0.002*($E397-Z$18)/($E397-3*cc_D/7))))-fcd_cc*(1-(1-MAX(0,MIN(1,IF($E397&lt;=cc_D,0.0035*($E397-Z$18)/$E397,0.002*($E397-Z$18)/($E397-3*cc_D/7))/0.002)))^2)</f>
        <v/>
      </c>
      <c r="AA397">
        <f>MAX(-fyd_cc,MIN(fyd_cc,Es_cc*IF($E397&lt;=cc_D,0.0035*($E397-AA$18)/$E397,0.002*($E397-AA$18)/($E397-3*cc_D/7))))-fcd_cc*(1-(1-MAX(0,MIN(1,IF($E397&lt;=cc_D,0.0035*($E397-AA$18)/$E397,0.002*($E397-AA$18)/($E397-3*cc_D/7))/0.002)))^2)</f>
        <v/>
      </c>
      <c r="AB397">
        <f>MAX(-fyd_cc,MIN(fyd_cc,Es_cc*IF($E397&lt;=cc_D,0.0035*($E397-AB$18)/$E397,0.002*($E397-AB$18)/($E397-3*cc_D/7))))-fcd_cc*(1-(1-MAX(0,MIN(1,IF($E397&lt;=cc_D,0.0035*($E397-AB$18)/$E397,0.002*($E397-AB$18)/($E397-3*cc_D/7))/0.002)))^2)</f>
        <v/>
      </c>
      <c r="AC397">
        <f>MAX(-fyd_cc,MIN(fyd_cc,Es_cc*IF($E397&lt;=cc_D,0.0035*($E397-AC$18)/$E397,0.002*($E397-AC$18)/($E397-3*cc_D/7))))-fcd_cc*(1-(1-MAX(0,MIN(1,IF($E397&lt;=cc_D,0.0035*($E397-AC$18)/$E397,0.002*($E397-AC$18)/($E397-3*cc_D/7))/0.002)))^2)</f>
        <v/>
      </c>
      <c r="AD397">
        <f>MAX(-fyd_cc,MIN(fyd_cc,Es_cc*IF($E397&lt;=cc_D,0.0035*($E397-AD$18)/$E397,0.002*($E397-AD$18)/($E397-3*cc_D/7))))-fcd_cc*(1-(1-MAX(0,MIN(1,IF($E397&lt;=cc_D,0.0035*($E397-AD$18)/$E397,0.002*($E397-AD$18)/($E397-3*cc_D/7))/0.002)))^2)</f>
        <v/>
      </c>
      <c r="AE397">
        <f>MAX(-fyd_cc,MIN(fyd_cc,Es_cc*IF($E397&lt;=cc_D,0.0035*($E397-AE$18)/$E397,0.002*($E397-AE$18)/($E397-3*cc_D/7))))-fcd_cc*(1-(1-MAX(0,MIN(1,IF($E397&lt;=cc_D,0.0035*($E397-AE$18)/$E397,0.002*($E397-AE$18)/($E397-3*cc_D/7))/0.002)))^2)</f>
        <v/>
      </c>
      <c r="AF397">
        <f>MAX(-fyd_cc,MIN(fyd_cc,Es_cc*IF($E397&lt;=cc_D,0.0035*($E397-AF$18)/$E397,0.002*($E397-AF$18)/($E397-3*cc_D/7))))-fcd_cc*(1-(1-MAX(0,MIN(1,IF($E397&lt;=cc_D,0.0035*($E397-AF$18)/$E397,0.002*($E397-AF$18)/($E397-3*cc_D/7))/0.002)))^2)</f>
        <v/>
      </c>
      <c r="AG397">
        <f>MAX(-fyd_cc,MIN(fyd_cc,Es_cc*IF($E397&lt;=cc_D,0.0035*($E397-AG$18)/$E397,0.002*($E397-AG$18)/($E397-3*cc_D/7))))-fcd_cc*(1-(1-MAX(0,MIN(1,IF($E397&lt;=cc_D,0.0035*($E397-AG$18)/$E397,0.002*($E397-AG$18)/($E397-3*cc_D/7))/0.002)))^2)</f>
        <v/>
      </c>
      <c r="BF397">
        <f>3*MIN($E397,cc_D)/7</f>
        <v/>
      </c>
      <c r="BG397">
        <f>$E397-$BF397</f>
        <v/>
      </c>
      <c r="BH397">
        <f>ACOS(MAX(-1,MIN(1,1-$BF397/(cc_D/2))))</f>
        <v/>
      </c>
      <c r="BI397">
        <f>ACOS(MAX(-1,MIN(1,1-MIN($E397,cc_D)/(cc_D/2))))</f>
        <v/>
      </c>
      <c r="BJ397">
        <f>((cc_D/2*(1-COS(($BH397+0*($BI397-$BH397)/12)))-$BF397)/$BG397)^2*SIN(($BH397+0*($BI397-$BH397)/12))^2</f>
        <v/>
      </c>
      <c r="BK397">
        <f>((cc_D/2*(1-COS(($BH397+1*($BI397-$BH397)/12)))-$BF397)/$BG397)^2*SIN(($BH397+1*($BI397-$BH397)/12))^2</f>
        <v/>
      </c>
      <c r="BL397">
        <f>((cc_D/2*(1-COS(($BH397+2*($BI397-$BH397)/12)))-$BF397)/$BG397)^2*SIN(($BH397+2*($BI397-$BH397)/12))^2</f>
        <v/>
      </c>
      <c r="BM397">
        <f>((cc_D/2*(1-COS(($BH397+3*($BI397-$BH397)/12)))-$BF397)/$BG397)^2*SIN(($BH397+3*($BI397-$BH397)/12))^2</f>
        <v/>
      </c>
      <c r="BN397">
        <f>((cc_D/2*(1-COS(($BH397+4*($BI397-$BH397)/12)))-$BF397)/$BG397)^2*SIN(($BH397+4*($BI397-$BH397)/12))^2</f>
        <v/>
      </c>
      <c r="BO397">
        <f>((cc_D/2*(1-COS(($BH397+5*($BI397-$BH397)/12)))-$BF397)/$BG397)^2*SIN(($BH397+5*($BI397-$BH397)/12))^2</f>
        <v/>
      </c>
      <c r="BP397">
        <f>((cc_D/2*(1-COS(($BH397+6*($BI397-$BH397)/12)))-$BF397)/$BG397)^2*SIN(($BH397+6*($BI397-$BH397)/12))^2</f>
        <v/>
      </c>
      <c r="BQ397">
        <f>((cc_D/2*(1-COS(($BH397+7*($BI397-$BH397)/12)))-$BF397)/$BG397)^2*SIN(($BH397+7*($BI397-$BH397)/12))^2</f>
        <v/>
      </c>
      <c r="BR397">
        <f>((cc_D/2*(1-COS(($BH397+8*($BI397-$BH397)/12)))-$BF397)/$BG397)^2*SIN(($BH397+8*($BI397-$BH397)/12))^2</f>
        <v/>
      </c>
      <c r="BS397">
        <f>((cc_D/2*(1-COS(($BH397+9*($BI397-$BH397)/12)))-$BF397)/$BG397)^2*SIN(($BH397+9*($BI397-$BH397)/12))^2</f>
        <v/>
      </c>
      <c r="BT397">
        <f>((cc_D/2*(1-COS(($BH397+10*($BI397-$BH397)/12)))-$BF397)/$BG397)^2*SIN(($BH397+10*($BI397-$BH397)/12))^2</f>
        <v/>
      </c>
      <c r="BU397">
        <f>((cc_D/2*(1-COS(($BH397+11*($BI397-$BH397)/12)))-$BF397)/$BG397)^2*SIN(($BH397+11*($BI397-$BH397)/12))^2</f>
        <v/>
      </c>
      <c r="BV397">
        <f>((cc_D/2*(1-COS(($BH397+12*($BI397-$BH397)/12)))-$BF397)/$BG397)^2*SIN(($BH397+12*($BI397-$BH397)/12))^2</f>
        <v/>
      </c>
      <c r="BW397">
        <f>BJ397*COS(($BH397+0*($BI397-$BH397)/12))</f>
        <v/>
      </c>
      <c r="BX397">
        <f>BK397*COS(($BH397+1*($BI397-$BH397)/12))</f>
        <v/>
      </c>
      <c r="BY397">
        <f>BL397*COS(($BH397+2*($BI397-$BH397)/12))</f>
        <v/>
      </c>
      <c r="BZ397">
        <f>BM397*COS(($BH397+3*($BI397-$BH397)/12))</f>
        <v/>
      </c>
      <c r="CA397">
        <f>BN397*COS(($BH397+4*($BI397-$BH397)/12))</f>
        <v/>
      </c>
      <c r="CB397">
        <f>BO397*COS(($BH397+5*($BI397-$BH397)/12))</f>
        <v/>
      </c>
      <c r="CC397">
        <f>BP397*COS(($BH397+6*($BI397-$BH397)/12))</f>
        <v/>
      </c>
      <c r="CD397">
        <f>BQ397*COS(($BH397+7*($BI397-$BH397)/12))</f>
        <v/>
      </c>
      <c r="CE397">
        <f>BR397*COS(($BH397+8*($BI397-$BH397)/12))</f>
        <v/>
      </c>
      <c r="CF397">
        <f>BS397*COS(($BH397+9*($BI397-$BH397)/12))</f>
        <v/>
      </c>
      <c r="CG397">
        <f>BT397*COS(($BH397+10*($BI397-$BH397)/12))</f>
        <v/>
      </c>
      <c r="CH397">
        <f>BU397*COS(($BH397+11*($BI397-$BH397)/12))</f>
        <v/>
      </c>
      <c r="CI397">
        <f>BV397*COS(($BH397+12*($BI397-$BH397)/12))</f>
        <v/>
      </c>
    </row>
    <row r="398">
      <c r="B398" s="65" t="n">
        <v>57</v>
      </c>
      <c r="C398" s="66">
        <f>IF($G397&lt;cc_NEd-1E-9*ABS(cc_NEd),($C397+$D397)/2,$C397)</f>
        <v/>
      </c>
      <c r="D398" s="66">
        <f>IF($G397&lt;cc_NEd-1E-9*ABS(cc_NEd),$D397,($C397+$D397)/2)</f>
        <v/>
      </c>
      <c r="E398" s="67">
        <f>cc_D*(($C398+$D398)/2)/(1-(($C398+$D398)/2))</f>
        <v/>
      </c>
      <c r="F398" s="68">
        <f>IF($E398&lt;=cc_D,3.5,2*$E398/($E398-3*cc_D/7))</f>
        <v/>
      </c>
      <c r="G398" s="67">
        <f>(fcd_cc*((cc_D/2)^2*($BI398-COS($BI398)*SIN($BI398))-2*(cc_D/2)^2*($BI398-$BH398)/12/3*SUMPRODUCT($BJ$4:$BV$4,$BJ398:$BV398))+SUMPRODUCT($J$5:$AG$5,$J398:$AG398))/1000</f>
        <v/>
      </c>
      <c r="H398" s="67">
        <f>(fcd_cc*(2/3*(cc_D/2)^3*SIN($BI398)^3-2*(cc_D/2)^3*($BI398-$BH398)/12/3*SUMPRODUCT($BW$4:$CI$4,$BW398:$CI398))+SUMPRODUCT($J$5:$AG$5,$J398:$AG398,$J$19:$AG$19))/1E6</f>
        <v/>
      </c>
      <c r="I398" s="67">
        <f>SUMPRODUCT($J$5:$AG$5,$J398:$AG398,$J$20:$AG$20)/1E6</f>
        <v/>
      </c>
      <c r="J398">
        <f>MAX(-fyd_cc,MIN(fyd_cc,Es_cc*IF($E398&lt;=cc_D,0.0035*($E398-J$18)/$E398,0.002*($E398-J$18)/($E398-3*cc_D/7))))-fcd_cc*(1-(1-MAX(0,MIN(1,IF($E398&lt;=cc_D,0.0035*($E398-J$18)/$E398,0.002*($E398-J$18)/($E398-3*cc_D/7))/0.002)))^2)</f>
        <v/>
      </c>
      <c r="K398">
        <f>MAX(-fyd_cc,MIN(fyd_cc,Es_cc*IF($E398&lt;=cc_D,0.0035*($E398-K$18)/$E398,0.002*($E398-K$18)/($E398-3*cc_D/7))))-fcd_cc*(1-(1-MAX(0,MIN(1,IF($E398&lt;=cc_D,0.0035*($E398-K$18)/$E398,0.002*($E398-K$18)/($E398-3*cc_D/7))/0.002)))^2)</f>
        <v/>
      </c>
      <c r="L398">
        <f>MAX(-fyd_cc,MIN(fyd_cc,Es_cc*IF($E398&lt;=cc_D,0.0035*($E398-L$18)/$E398,0.002*($E398-L$18)/($E398-3*cc_D/7))))-fcd_cc*(1-(1-MAX(0,MIN(1,IF($E398&lt;=cc_D,0.0035*($E398-L$18)/$E398,0.002*($E398-L$18)/($E398-3*cc_D/7))/0.002)))^2)</f>
        <v/>
      </c>
      <c r="M398">
        <f>MAX(-fyd_cc,MIN(fyd_cc,Es_cc*IF($E398&lt;=cc_D,0.0035*($E398-M$18)/$E398,0.002*($E398-M$18)/($E398-3*cc_D/7))))-fcd_cc*(1-(1-MAX(0,MIN(1,IF($E398&lt;=cc_D,0.0035*($E398-M$18)/$E398,0.002*($E398-M$18)/($E398-3*cc_D/7))/0.002)))^2)</f>
        <v/>
      </c>
      <c r="N398">
        <f>MAX(-fyd_cc,MIN(fyd_cc,Es_cc*IF($E398&lt;=cc_D,0.0035*($E398-N$18)/$E398,0.002*($E398-N$18)/($E398-3*cc_D/7))))-fcd_cc*(1-(1-MAX(0,MIN(1,IF($E398&lt;=cc_D,0.0035*($E398-N$18)/$E398,0.002*($E398-N$18)/($E398-3*cc_D/7))/0.002)))^2)</f>
        <v/>
      </c>
      <c r="O398">
        <f>MAX(-fyd_cc,MIN(fyd_cc,Es_cc*IF($E398&lt;=cc_D,0.0035*($E398-O$18)/$E398,0.002*($E398-O$18)/($E398-3*cc_D/7))))-fcd_cc*(1-(1-MAX(0,MIN(1,IF($E398&lt;=cc_D,0.0035*($E398-O$18)/$E398,0.002*($E398-O$18)/($E398-3*cc_D/7))/0.002)))^2)</f>
        <v/>
      </c>
      <c r="P398">
        <f>MAX(-fyd_cc,MIN(fyd_cc,Es_cc*IF($E398&lt;=cc_D,0.0035*($E398-P$18)/$E398,0.002*($E398-P$18)/($E398-3*cc_D/7))))-fcd_cc*(1-(1-MAX(0,MIN(1,IF($E398&lt;=cc_D,0.0035*($E398-P$18)/$E398,0.002*($E398-P$18)/($E398-3*cc_D/7))/0.002)))^2)</f>
        <v/>
      </c>
      <c r="Q398">
        <f>MAX(-fyd_cc,MIN(fyd_cc,Es_cc*IF($E398&lt;=cc_D,0.0035*($E398-Q$18)/$E398,0.002*($E398-Q$18)/($E398-3*cc_D/7))))-fcd_cc*(1-(1-MAX(0,MIN(1,IF($E398&lt;=cc_D,0.0035*($E398-Q$18)/$E398,0.002*($E398-Q$18)/($E398-3*cc_D/7))/0.002)))^2)</f>
        <v/>
      </c>
      <c r="R398">
        <f>MAX(-fyd_cc,MIN(fyd_cc,Es_cc*IF($E398&lt;=cc_D,0.0035*($E398-R$18)/$E398,0.002*($E398-R$18)/($E398-3*cc_D/7))))-fcd_cc*(1-(1-MAX(0,MIN(1,IF($E398&lt;=cc_D,0.0035*($E398-R$18)/$E398,0.002*($E398-R$18)/($E398-3*cc_D/7))/0.002)))^2)</f>
        <v/>
      </c>
      <c r="S398">
        <f>MAX(-fyd_cc,MIN(fyd_cc,Es_cc*IF($E398&lt;=cc_D,0.0035*($E398-S$18)/$E398,0.002*($E398-S$18)/($E398-3*cc_D/7))))-fcd_cc*(1-(1-MAX(0,MIN(1,IF($E398&lt;=cc_D,0.0035*($E398-S$18)/$E398,0.002*($E398-S$18)/($E398-3*cc_D/7))/0.002)))^2)</f>
        <v/>
      </c>
      <c r="T398">
        <f>MAX(-fyd_cc,MIN(fyd_cc,Es_cc*IF($E398&lt;=cc_D,0.0035*($E398-T$18)/$E398,0.002*($E398-T$18)/($E398-3*cc_D/7))))-fcd_cc*(1-(1-MAX(0,MIN(1,IF($E398&lt;=cc_D,0.0035*($E398-T$18)/$E398,0.002*($E398-T$18)/($E398-3*cc_D/7))/0.002)))^2)</f>
        <v/>
      </c>
      <c r="U398">
        <f>MAX(-fyd_cc,MIN(fyd_cc,Es_cc*IF($E398&lt;=cc_D,0.0035*($E398-U$18)/$E398,0.002*($E398-U$18)/($E398-3*cc_D/7))))-fcd_cc*(1-(1-MAX(0,MIN(1,IF($E398&lt;=cc_D,0.0035*($E398-U$18)/$E398,0.002*($E398-U$18)/($E398-3*cc_D/7))/0.002)))^2)</f>
        <v/>
      </c>
      <c r="V398">
        <f>MAX(-fyd_cc,MIN(fyd_cc,Es_cc*IF($E398&lt;=cc_D,0.0035*($E398-V$18)/$E398,0.002*($E398-V$18)/($E398-3*cc_D/7))))-fcd_cc*(1-(1-MAX(0,MIN(1,IF($E398&lt;=cc_D,0.0035*($E398-V$18)/$E398,0.002*($E398-V$18)/($E398-3*cc_D/7))/0.002)))^2)</f>
        <v/>
      </c>
      <c r="W398">
        <f>MAX(-fyd_cc,MIN(fyd_cc,Es_cc*IF($E398&lt;=cc_D,0.0035*($E398-W$18)/$E398,0.002*($E398-W$18)/($E398-3*cc_D/7))))-fcd_cc*(1-(1-MAX(0,MIN(1,IF($E398&lt;=cc_D,0.0035*($E398-W$18)/$E398,0.002*($E398-W$18)/($E398-3*cc_D/7))/0.002)))^2)</f>
        <v/>
      </c>
      <c r="X398">
        <f>MAX(-fyd_cc,MIN(fyd_cc,Es_cc*IF($E398&lt;=cc_D,0.0035*($E398-X$18)/$E398,0.002*($E398-X$18)/($E398-3*cc_D/7))))-fcd_cc*(1-(1-MAX(0,MIN(1,IF($E398&lt;=cc_D,0.0035*($E398-X$18)/$E398,0.002*($E398-X$18)/($E398-3*cc_D/7))/0.002)))^2)</f>
        <v/>
      </c>
      <c r="Y398">
        <f>MAX(-fyd_cc,MIN(fyd_cc,Es_cc*IF($E398&lt;=cc_D,0.0035*($E398-Y$18)/$E398,0.002*($E398-Y$18)/($E398-3*cc_D/7))))-fcd_cc*(1-(1-MAX(0,MIN(1,IF($E398&lt;=cc_D,0.0035*($E398-Y$18)/$E398,0.002*($E398-Y$18)/($E398-3*cc_D/7))/0.002)))^2)</f>
        <v/>
      </c>
      <c r="Z398">
        <f>MAX(-fyd_cc,MIN(fyd_cc,Es_cc*IF($E398&lt;=cc_D,0.0035*($E398-Z$18)/$E398,0.002*($E398-Z$18)/($E398-3*cc_D/7))))-fcd_cc*(1-(1-MAX(0,MIN(1,IF($E398&lt;=cc_D,0.0035*($E398-Z$18)/$E398,0.002*($E398-Z$18)/($E398-3*cc_D/7))/0.002)))^2)</f>
        <v/>
      </c>
      <c r="AA398">
        <f>MAX(-fyd_cc,MIN(fyd_cc,Es_cc*IF($E398&lt;=cc_D,0.0035*($E398-AA$18)/$E398,0.002*($E398-AA$18)/($E398-3*cc_D/7))))-fcd_cc*(1-(1-MAX(0,MIN(1,IF($E398&lt;=cc_D,0.0035*($E398-AA$18)/$E398,0.002*($E398-AA$18)/($E398-3*cc_D/7))/0.002)))^2)</f>
        <v/>
      </c>
      <c r="AB398">
        <f>MAX(-fyd_cc,MIN(fyd_cc,Es_cc*IF($E398&lt;=cc_D,0.0035*($E398-AB$18)/$E398,0.002*($E398-AB$18)/($E398-3*cc_D/7))))-fcd_cc*(1-(1-MAX(0,MIN(1,IF($E398&lt;=cc_D,0.0035*($E398-AB$18)/$E398,0.002*($E398-AB$18)/($E398-3*cc_D/7))/0.002)))^2)</f>
        <v/>
      </c>
      <c r="AC398">
        <f>MAX(-fyd_cc,MIN(fyd_cc,Es_cc*IF($E398&lt;=cc_D,0.0035*($E398-AC$18)/$E398,0.002*($E398-AC$18)/($E398-3*cc_D/7))))-fcd_cc*(1-(1-MAX(0,MIN(1,IF($E398&lt;=cc_D,0.0035*($E398-AC$18)/$E398,0.002*($E398-AC$18)/($E398-3*cc_D/7))/0.002)))^2)</f>
        <v/>
      </c>
      <c r="AD398">
        <f>MAX(-fyd_cc,MIN(fyd_cc,Es_cc*IF($E398&lt;=cc_D,0.0035*($E398-AD$18)/$E398,0.002*($E398-AD$18)/($E398-3*cc_D/7))))-fcd_cc*(1-(1-MAX(0,MIN(1,IF($E398&lt;=cc_D,0.0035*($E398-AD$18)/$E398,0.002*($E398-AD$18)/($E398-3*cc_D/7))/0.002)))^2)</f>
        <v/>
      </c>
      <c r="AE398">
        <f>MAX(-fyd_cc,MIN(fyd_cc,Es_cc*IF($E398&lt;=cc_D,0.0035*($E398-AE$18)/$E398,0.002*($E398-AE$18)/($E398-3*cc_D/7))))-fcd_cc*(1-(1-MAX(0,MIN(1,IF($E398&lt;=cc_D,0.0035*($E398-AE$18)/$E398,0.002*($E398-AE$18)/($E398-3*cc_D/7))/0.002)))^2)</f>
        <v/>
      </c>
      <c r="AF398">
        <f>MAX(-fyd_cc,MIN(fyd_cc,Es_cc*IF($E398&lt;=cc_D,0.0035*($E398-AF$18)/$E398,0.002*($E398-AF$18)/($E398-3*cc_D/7))))-fcd_cc*(1-(1-MAX(0,MIN(1,IF($E398&lt;=cc_D,0.0035*($E398-AF$18)/$E398,0.002*($E398-AF$18)/($E398-3*cc_D/7))/0.002)))^2)</f>
        <v/>
      </c>
      <c r="AG398">
        <f>MAX(-fyd_cc,MIN(fyd_cc,Es_cc*IF($E398&lt;=cc_D,0.0035*($E398-AG$18)/$E398,0.002*($E398-AG$18)/($E398-3*cc_D/7))))-fcd_cc*(1-(1-MAX(0,MIN(1,IF($E398&lt;=cc_D,0.0035*($E398-AG$18)/$E398,0.002*($E398-AG$18)/($E398-3*cc_D/7))/0.002)))^2)</f>
        <v/>
      </c>
      <c r="BF398">
        <f>3*MIN($E398,cc_D)/7</f>
        <v/>
      </c>
      <c r="BG398">
        <f>$E398-$BF398</f>
        <v/>
      </c>
      <c r="BH398">
        <f>ACOS(MAX(-1,MIN(1,1-$BF398/(cc_D/2))))</f>
        <v/>
      </c>
      <c r="BI398">
        <f>ACOS(MAX(-1,MIN(1,1-MIN($E398,cc_D)/(cc_D/2))))</f>
        <v/>
      </c>
      <c r="BJ398">
        <f>((cc_D/2*(1-COS(($BH398+0*($BI398-$BH398)/12)))-$BF398)/$BG398)^2*SIN(($BH398+0*($BI398-$BH398)/12))^2</f>
        <v/>
      </c>
      <c r="BK398">
        <f>((cc_D/2*(1-COS(($BH398+1*($BI398-$BH398)/12)))-$BF398)/$BG398)^2*SIN(($BH398+1*($BI398-$BH398)/12))^2</f>
        <v/>
      </c>
      <c r="BL398">
        <f>((cc_D/2*(1-COS(($BH398+2*($BI398-$BH398)/12)))-$BF398)/$BG398)^2*SIN(($BH398+2*($BI398-$BH398)/12))^2</f>
        <v/>
      </c>
      <c r="BM398">
        <f>((cc_D/2*(1-COS(($BH398+3*($BI398-$BH398)/12)))-$BF398)/$BG398)^2*SIN(($BH398+3*($BI398-$BH398)/12))^2</f>
        <v/>
      </c>
      <c r="BN398">
        <f>((cc_D/2*(1-COS(($BH398+4*($BI398-$BH398)/12)))-$BF398)/$BG398)^2*SIN(($BH398+4*($BI398-$BH398)/12))^2</f>
        <v/>
      </c>
      <c r="BO398">
        <f>((cc_D/2*(1-COS(($BH398+5*($BI398-$BH398)/12)))-$BF398)/$BG398)^2*SIN(($BH398+5*($BI398-$BH398)/12))^2</f>
        <v/>
      </c>
      <c r="BP398">
        <f>((cc_D/2*(1-COS(($BH398+6*($BI398-$BH398)/12)))-$BF398)/$BG398)^2*SIN(($BH398+6*($BI398-$BH398)/12))^2</f>
        <v/>
      </c>
      <c r="BQ398">
        <f>((cc_D/2*(1-COS(($BH398+7*($BI398-$BH398)/12)))-$BF398)/$BG398)^2*SIN(($BH398+7*($BI398-$BH398)/12))^2</f>
        <v/>
      </c>
      <c r="BR398">
        <f>((cc_D/2*(1-COS(($BH398+8*($BI398-$BH398)/12)))-$BF398)/$BG398)^2*SIN(($BH398+8*($BI398-$BH398)/12))^2</f>
        <v/>
      </c>
      <c r="BS398">
        <f>((cc_D/2*(1-COS(($BH398+9*($BI398-$BH398)/12)))-$BF398)/$BG398)^2*SIN(($BH398+9*($BI398-$BH398)/12))^2</f>
        <v/>
      </c>
      <c r="BT398">
        <f>((cc_D/2*(1-COS(($BH398+10*($BI398-$BH398)/12)))-$BF398)/$BG398)^2*SIN(($BH398+10*($BI398-$BH398)/12))^2</f>
        <v/>
      </c>
      <c r="BU398">
        <f>((cc_D/2*(1-COS(($BH398+11*($BI398-$BH398)/12)))-$BF398)/$BG398)^2*SIN(($BH398+11*($BI398-$BH398)/12))^2</f>
        <v/>
      </c>
      <c r="BV398">
        <f>((cc_D/2*(1-COS(($BH398+12*($BI398-$BH398)/12)))-$BF398)/$BG398)^2*SIN(($BH398+12*($BI398-$BH398)/12))^2</f>
        <v/>
      </c>
      <c r="BW398">
        <f>BJ398*COS(($BH398+0*($BI398-$BH398)/12))</f>
        <v/>
      </c>
      <c r="BX398">
        <f>BK398*COS(($BH398+1*($BI398-$BH398)/12))</f>
        <v/>
      </c>
      <c r="BY398">
        <f>BL398*COS(($BH398+2*($BI398-$BH398)/12))</f>
        <v/>
      </c>
      <c r="BZ398">
        <f>BM398*COS(($BH398+3*($BI398-$BH398)/12))</f>
        <v/>
      </c>
      <c r="CA398">
        <f>BN398*COS(($BH398+4*($BI398-$BH398)/12))</f>
        <v/>
      </c>
      <c r="CB398">
        <f>BO398*COS(($BH398+5*($BI398-$BH398)/12))</f>
        <v/>
      </c>
      <c r="CC398">
        <f>BP398*COS(($BH398+6*($BI398-$BH398)/12))</f>
        <v/>
      </c>
      <c r="CD398">
        <f>BQ398*COS(($BH398+7*($BI398-$BH398)/12))</f>
        <v/>
      </c>
      <c r="CE398">
        <f>BR398*COS(($BH398+8*($BI398-$BH398)/12))</f>
        <v/>
      </c>
      <c r="CF398">
        <f>BS398*COS(($BH398+9*($BI398-$BH398)/12))</f>
        <v/>
      </c>
      <c r="CG398">
        <f>BT398*COS(($BH398+10*($BI398-$BH398)/12))</f>
        <v/>
      </c>
      <c r="CH398">
        <f>BU398*COS(($BH398+11*($BI398-$BH398)/12))</f>
        <v/>
      </c>
      <c r="CI398">
        <f>BV398*COS(($BH398+12*($BI398-$BH398)/12))</f>
        <v/>
      </c>
    </row>
    <row r="399">
      <c r="B399" s="65" t="n">
        <v>58</v>
      </c>
      <c r="C399" s="66">
        <f>IF($G398&lt;cc_NEd-1E-9*ABS(cc_NEd),($C398+$D398)/2,$C398)</f>
        <v/>
      </c>
      <c r="D399" s="66">
        <f>IF($G398&lt;cc_NEd-1E-9*ABS(cc_NEd),$D398,($C398+$D398)/2)</f>
        <v/>
      </c>
      <c r="E399" s="67">
        <f>cc_D*(($C399+$D399)/2)/(1-(($C399+$D399)/2))</f>
        <v/>
      </c>
      <c r="F399" s="68">
        <f>IF($E399&lt;=cc_D,3.5,2*$E399/($E399-3*cc_D/7))</f>
        <v/>
      </c>
      <c r="G399" s="67">
        <f>(fcd_cc*((cc_D/2)^2*($BI399-COS($BI399)*SIN($BI399))-2*(cc_D/2)^2*($BI399-$BH399)/12/3*SUMPRODUCT($BJ$4:$BV$4,$BJ399:$BV399))+SUMPRODUCT($J$5:$AG$5,$J399:$AG399))/1000</f>
        <v/>
      </c>
      <c r="H399" s="67">
        <f>(fcd_cc*(2/3*(cc_D/2)^3*SIN($BI399)^3-2*(cc_D/2)^3*($BI399-$BH399)/12/3*SUMPRODUCT($BW$4:$CI$4,$BW399:$CI399))+SUMPRODUCT($J$5:$AG$5,$J399:$AG399,$J$19:$AG$19))/1E6</f>
        <v/>
      </c>
      <c r="I399" s="67">
        <f>SUMPRODUCT($J$5:$AG$5,$J399:$AG399,$J$20:$AG$20)/1E6</f>
        <v/>
      </c>
      <c r="J399">
        <f>MAX(-fyd_cc,MIN(fyd_cc,Es_cc*IF($E399&lt;=cc_D,0.0035*($E399-J$18)/$E399,0.002*($E399-J$18)/($E399-3*cc_D/7))))-fcd_cc*(1-(1-MAX(0,MIN(1,IF($E399&lt;=cc_D,0.0035*($E399-J$18)/$E399,0.002*($E399-J$18)/($E399-3*cc_D/7))/0.002)))^2)</f>
        <v/>
      </c>
      <c r="K399">
        <f>MAX(-fyd_cc,MIN(fyd_cc,Es_cc*IF($E399&lt;=cc_D,0.0035*($E399-K$18)/$E399,0.002*($E399-K$18)/($E399-3*cc_D/7))))-fcd_cc*(1-(1-MAX(0,MIN(1,IF($E399&lt;=cc_D,0.0035*($E399-K$18)/$E399,0.002*($E399-K$18)/($E399-3*cc_D/7))/0.002)))^2)</f>
        <v/>
      </c>
      <c r="L399">
        <f>MAX(-fyd_cc,MIN(fyd_cc,Es_cc*IF($E399&lt;=cc_D,0.0035*($E399-L$18)/$E399,0.002*($E399-L$18)/($E399-3*cc_D/7))))-fcd_cc*(1-(1-MAX(0,MIN(1,IF($E399&lt;=cc_D,0.0035*($E399-L$18)/$E399,0.002*($E399-L$18)/($E399-3*cc_D/7))/0.002)))^2)</f>
        <v/>
      </c>
      <c r="M399">
        <f>MAX(-fyd_cc,MIN(fyd_cc,Es_cc*IF($E399&lt;=cc_D,0.0035*($E399-M$18)/$E399,0.002*($E399-M$18)/($E399-3*cc_D/7))))-fcd_cc*(1-(1-MAX(0,MIN(1,IF($E399&lt;=cc_D,0.0035*($E399-M$18)/$E399,0.002*($E399-M$18)/($E399-3*cc_D/7))/0.002)))^2)</f>
        <v/>
      </c>
      <c r="N399">
        <f>MAX(-fyd_cc,MIN(fyd_cc,Es_cc*IF($E399&lt;=cc_D,0.0035*($E399-N$18)/$E399,0.002*($E399-N$18)/($E399-3*cc_D/7))))-fcd_cc*(1-(1-MAX(0,MIN(1,IF($E399&lt;=cc_D,0.0035*($E399-N$18)/$E399,0.002*($E399-N$18)/($E399-3*cc_D/7))/0.002)))^2)</f>
        <v/>
      </c>
      <c r="O399">
        <f>MAX(-fyd_cc,MIN(fyd_cc,Es_cc*IF($E399&lt;=cc_D,0.0035*($E399-O$18)/$E399,0.002*($E399-O$18)/($E399-3*cc_D/7))))-fcd_cc*(1-(1-MAX(0,MIN(1,IF($E399&lt;=cc_D,0.0035*($E399-O$18)/$E399,0.002*($E399-O$18)/($E399-3*cc_D/7))/0.002)))^2)</f>
        <v/>
      </c>
      <c r="P399">
        <f>MAX(-fyd_cc,MIN(fyd_cc,Es_cc*IF($E399&lt;=cc_D,0.0035*($E399-P$18)/$E399,0.002*($E399-P$18)/($E399-3*cc_D/7))))-fcd_cc*(1-(1-MAX(0,MIN(1,IF($E399&lt;=cc_D,0.0035*($E399-P$18)/$E399,0.002*($E399-P$18)/($E399-3*cc_D/7))/0.002)))^2)</f>
        <v/>
      </c>
      <c r="Q399">
        <f>MAX(-fyd_cc,MIN(fyd_cc,Es_cc*IF($E399&lt;=cc_D,0.0035*($E399-Q$18)/$E399,0.002*($E399-Q$18)/($E399-3*cc_D/7))))-fcd_cc*(1-(1-MAX(0,MIN(1,IF($E399&lt;=cc_D,0.0035*($E399-Q$18)/$E399,0.002*($E399-Q$18)/($E399-3*cc_D/7))/0.002)))^2)</f>
        <v/>
      </c>
      <c r="R399">
        <f>MAX(-fyd_cc,MIN(fyd_cc,Es_cc*IF($E399&lt;=cc_D,0.0035*($E399-R$18)/$E399,0.002*($E399-R$18)/($E399-3*cc_D/7))))-fcd_cc*(1-(1-MAX(0,MIN(1,IF($E399&lt;=cc_D,0.0035*($E399-R$18)/$E399,0.002*($E399-R$18)/($E399-3*cc_D/7))/0.002)))^2)</f>
        <v/>
      </c>
      <c r="S399">
        <f>MAX(-fyd_cc,MIN(fyd_cc,Es_cc*IF($E399&lt;=cc_D,0.0035*($E399-S$18)/$E399,0.002*($E399-S$18)/($E399-3*cc_D/7))))-fcd_cc*(1-(1-MAX(0,MIN(1,IF($E399&lt;=cc_D,0.0035*($E399-S$18)/$E399,0.002*($E399-S$18)/($E399-3*cc_D/7))/0.002)))^2)</f>
        <v/>
      </c>
      <c r="T399">
        <f>MAX(-fyd_cc,MIN(fyd_cc,Es_cc*IF($E399&lt;=cc_D,0.0035*($E399-T$18)/$E399,0.002*($E399-T$18)/($E399-3*cc_D/7))))-fcd_cc*(1-(1-MAX(0,MIN(1,IF($E399&lt;=cc_D,0.0035*($E399-T$18)/$E399,0.002*($E399-T$18)/($E399-3*cc_D/7))/0.002)))^2)</f>
        <v/>
      </c>
      <c r="U399">
        <f>MAX(-fyd_cc,MIN(fyd_cc,Es_cc*IF($E399&lt;=cc_D,0.0035*($E399-U$18)/$E399,0.002*($E399-U$18)/($E399-3*cc_D/7))))-fcd_cc*(1-(1-MAX(0,MIN(1,IF($E399&lt;=cc_D,0.0035*($E399-U$18)/$E399,0.002*($E399-U$18)/($E399-3*cc_D/7))/0.002)))^2)</f>
        <v/>
      </c>
      <c r="V399">
        <f>MAX(-fyd_cc,MIN(fyd_cc,Es_cc*IF($E399&lt;=cc_D,0.0035*($E399-V$18)/$E399,0.002*($E399-V$18)/($E399-3*cc_D/7))))-fcd_cc*(1-(1-MAX(0,MIN(1,IF($E399&lt;=cc_D,0.0035*($E399-V$18)/$E399,0.002*($E399-V$18)/($E399-3*cc_D/7))/0.002)))^2)</f>
        <v/>
      </c>
      <c r="W399">
        <f>MAX(-fyd_cc,MIN(fyd_cc,Es_cc*IF($E399&lt;=cc_D,0.0035*($E399-W$18)/$E399,0.002*($E399-W$18)/($E399-3*cc_D/7))))-fcd_cc*(1-(1-MAX(0,MIN(1,IF($E399&lt;=cc_D,0.0035*($E399-W$18)/$E399,0.002*($E399-W$18)/($E399-3*cc_D/7))/0.002)))^2)</f>
        <v/>
      </c>
      <c r="X399">
        <f>MAX(-fyd_cc,MIN(fyd_cc,Es_cc*IF($E399&lt;=cc_D,0.0035*($E399-X$18)/$E399,0.002*($E399-X$18)/($E399-3*cc_D/7))))-fcd_cc*(1-(1-MAX(0,MIN(1,IF($E399&lt;=cc_D,0.0035*($E399-X$18)/$E399,0.002*($E399-X$18)/($E399-3*cc_D/7))/0.002)))^2)</f>
        <v/>
      </c>
      <c r="Y399">
        <f>MAX(-fyd_cc,MIN(fyd_cc,Es_cc*IF($E399&lt;=cc_D,0.0035*($E399-Y$18)/$E399,0.002*($E399-Y$18)/($E399-3*cc_D/7))))-fcd_cc*(1-(1-MAX(0,MIN(1,IF($E399&lt;=cc_D,0.0035*($E399-Y$18)/$E399,0.002*($E399-Y$18)/($E399-3*cc_D/7))/0.002)))^2)</f>
        <v/>
      </c>
      <c r="Z399">
        <f>MAX(-fyd_cc,MIN(fyd_cc,Es_cc*IF($E399&lt;=cc_D,0.0035*($E399-Z$18)/$E399,0.002*($E399-Z$18)/($E399-3*cc_D/7))))-fcd_cc*(1-(1-MAX(0,MIN(1,IF($E399&lt;=cc_D,0.0035*($E399-Z$18)/$E399,0.002*($E399-Z$18)/($E399-3*cc_D/7))/0.002)))^2)</f>
        <v/>
      </c>
      <c r="AA399">
        <f>MAX(-fyd_cc,MIN(fyd_cc,Es_cc*IF($E399&lt;=cc_D,0.0035*($E399-AA$18)/$E399,0.002*($E399-AA$18)/($E399-3*cc_D/7))))-fcd_cc*(1-(1-MAX(0,MIN(1,IF($E399&lt;=cc_D,0.0035*($E399-AA$18)/$E399,0.002*($E399-AA$18)/($E399-3*cc_D/7))/0.002)))^2)</f>
        <v/>
      </c>
      <c r="AB399">
        <f>MAX(-fyd_cc,MIN(fyd_cc,Es_cc*IF($E399&lt;=cc_D,0.0035*($E399-AB$18)/$E399,0.002*($E399-AB$18)/($E399-3*cc_D/7))))-fcd_cc*(1-(1-MAX(0,MIN(1,IF($E399&lt;=cc_D,0.0035*($E399-AB$18)/$E399,0.002*($E399-AB$18)/($E399-3*cc_D/7))/0.002)))^2)</f>
        <v/>
      </c>
      <c r="AC399">
        <f>MAX(-fyd_cc,MIN(fyd_cc,Es_cc*IF($E399&lt;=cc_D,0.0035*($E399-AC$18)/$E399,0.002*($E399-AC$18)/($E399-3*cc_D/7))))-fcd_cc*(1-(1-MAX(0,MIN(1,IF($E399&lt;=cc_D,0.0035*($E399-AC$18)/$E399,0.002*($E399-AC$18)/($E399-3*cc_D/7))/0.002)))^2)</f>
        <v/>
      </c>
      <c r="AD399">
        <f>MAX(-fyd_cc,MIN(fyd_cc,Es_cc*IF($E399&lt;=cc_D,0.0035*($E399-AD$18)/$E399,0.002*($E399-AD$18)/($E399-3*cc_D/7))))-fcd_cc*(1-(1-MAX(0,MIN(1,IF($E399&lt;=cc_D,0.0035*($E399-AD$18)/$E399,0.002*($E399-AD$18)/($E399-3*cc_D/7))/0.002)))^2)</f>
        <v/>
      </c>
      <c r="AE399">
        <f>MAX(-fyd_cc,MIN(fyd_cc,Es_cc*IF($E399&lt;=cc_D,0.0035*($E399-AE$18)/$E399,0.002*($E399-AE$18)/($E399-3*cc_D/7))))-fcd_cc*(1-(1-MAX(0,MIN(1,IF($E399&lt;=cc_D,0.0035*($E399-AE$18)/$E399,0.002*($E399-AE$18)/($E399-3*cc_D/7))/0.002)))^2)</f>
        <v/>
      </c>
      <c r="AF399">
        <f>MAX(-fyd_cc,MIN(fyd_cc,Es_cc*IF($E399&lt;=cc_D,0.0035*($E399-AF$18)/$E399,0.002*($E399-AF$18)/($E399-3*cc_D/7))))-fcd_cc*(1-(1-MAX(0,MIN(1,IF($E399&lt;=cc_D,0.0035*($E399-AF$18)/$E399,0.002*($E399-AF$18)/($E399-3*cc_D/7))/0.002)))^2)</f>
        <v/>
      </c>
      <c r="AG399">
        <f>MAX(-fyd_cc,MIN(fyd_cc,Es_cc*IF($E399&lt;=cc_D,0.0035*($E399-AG$18)/$E399,0.002*($E399-AG$18)/($E399-3*cc_D/7))))-fcd_cc*(1-(1-MAX(0,MIN(1,IF($E399&lt;=cc_D,0.0035*($E399-AG$18)/$E399,0.002*($E399-AG$18)/($E399-3*cc_D/7))/0.002)))^2)</f>
        <v/>
      </c>
      <c r="BF399">
        <f>3*MIN($E399,cc_D)/7</f>
        <v/>
      </c>
      <c r="BG399">
        <f>$E399-$BF399</f>
        <v/>
      </c>
      <c r="BH399">
        <f>ACOS(MAX(-1,MIN(1,1-$BF399/(cc_D/2))))</f>
        <v/>
      </c>
      <c r="BI399">
        <f>ACOS(MAX(-1,MIN(1,1-MIN($E399,cc_D)/(cc_D/2))))</f>
        <v/>
      </c>
      <c r="BJ399">
        <f>((cc_D/2*(1-COS(($BH399+0*($BI399-$BH399)/12)))-$BF399)/$BG399)^2*SIN(($BH399+0*($BI399-$BH399)/12))^2</f>
        <v/>
      </c>
      <c r="BK399">
        <f>((cc_D/2*(1-COS(($BH399+1*($BI399-$BH399)/12)))-$BF399)/$BG399)^2*SIN(($BH399+1*($BI399-$BH399)/12))^2</f>
        <v/>
      </c>
      <c r="BL399">
        <f>((cc_D/2*(1-COS(($BH399+2*($BI399-$BH399)/12)))-$BF399)/$BG399)^2*SIN(($BH399+2*($BI399-$BH399)/12))^2</f>
        <v/>
      </c>
      <c r="BM399">
        <f>((cc_D/2*(1-COS(($BH399+3*($BI399-$BH399)/12)))-$BF399)/$BG399)^2*SIN(($BH399+3*($BI399-$BH399)/12))^2</f>
        <v/>
      </c>
      <c r="BN399">
        <f>((cc_D/2*(1-COS(($BH399+4*($BI399-$BH399)/12)))-$BF399)/$BG399)^2*SIN(($BH399+4*($BI399-$BH399)/12))^2</f>
        <v/>
      </c>
      <c r="BO399">
        <f>((cc_D/2*(1-COS(($BH399+5*($BI399-$BH399)/12)))-$BF399)/$BG399)^2*SIN(($BH399+5*($BI399-$BH399)/12))^2</f>
        <v/>
      </c>
      <c r="BP399">
        <f>((cc_D/2*(1-COS(($BH399+6*($BI399-$BH399)/12)))-$BF399)/$BG399)^2*SIN(($BH399+6*($BI399-$BH399)/12))^2</f>
        <v/>
      </c>
      <c r="BQ399">
        <f>((cc_D/2*(1-COS(($BH399+7*($BI399-$BH399)/12)))-$BF399)/$BG399)^2*SIN(($BH399+7*($BI399-$BH399)/12))^2</f>
        <v/>
      </c>
      <c r="BR399">
        <f>((cc_D/2*(1-COS(($BH399+8*($BI399-$BH399)/12)))-$BF399)/$BG399)^2*SIN(($BH399+8*($BI399-$BH399)/12))^2</f>
        <v/>
      </c>
      <c r="BS399">
        <f>((cc_D/2*(1-COS(($BH399+9*($BI399-$BH399)/12)))-$BF399)/$BG399)^2*SIN(($BH399+9*($BI399-$BH399)/12))^2</f>
        <v/>
      </c>
      <c r="BT399">
        <f>((cc_D/2*(1-COS(($BH399+10*($BI399-$BH399)/12)))-$BF399)/$BG399)^2*SIN(($BH399+10*($BI399-$BH399)/12))^2</f>
        <v/>
      </c>
      <c r="BU399">
        <f>((cc_D/2*(1-COS(($BH399+11*($BI399-$BH399)/12)))-$BF399)/$BG399)^2*SIN(($BH399+11*($BI399-$BH399)/12))^2</f>
        <v/>
      </c>
      <c r="BV399">
        <f>((cc_D/2*(1-COS(($BH399+12*($BI399-$BH399)/12)))-$BF399)/$BG399)^2*SIN(($BH399+12*($BI399-$BH399)/12))^2</f>
        <v/>
      </c>
      <c r="BW399">
        <f>BJ399*COS(($BH399+0*($BI399-$BH399)/12))</f>
        <v/>
      </c>
      <c r="BX399">
        <f>BK399*COS(($BH399+1*($BI399-$BH399)/12))</f>
        <v/>
      </c>
      <c r="BY399">
        <f>BL399*COS(($BH399+2*($BI399-$BH399)/12))</f>
        <v/>
      </c>
      <c r="BZ399">
        <f>BM399*COS(($BH399+3*($BI399-$BH399)/12))</f>
        <v/>
      </c>
      <c r="CA399">
        <f>BN399*COS(($BH399+4*($BI399-$BH399)/12))</f>
        <v/>
      </c>
      <c r="CB399">
        <f>BO399*COS(($BH399+5*($BI399-$BH399)/12))</f>
        <v/>
      </c>
      <c r="CC399">
        <f>BP399*COS(($BH399+6*($BI399-$BH399)/12))</f>
        <v/>
      </c>
      <c r="CD399">
        <f>BQ399*COS(($BH399+7*($BI399-$BH399)/12))</f>
        <v/>
      </c>
      <c r="CE399">
        <f>BR399*COS(($BH399+8*($BI399-$BH399)/12))</f>
        <v/>
      </c>
      <c r="CF399">
        <f>BS399*COS(($BH399+9*($BI399-$BH399)/12))</f>
        <v/>
      </c>
      <c r="CG399">
        <f>BT399*COS(($BH399+10*($BI399-$BH399)/12))</f>
        <v/>
      </c>
      <c r="CH399">
        <f>BU399*COS(($BH399+11*($BI399-$BH399)/12))</f>
        <v/>
      </c>
      <c r="CI399">
        <f>BV399*COS(($BH399+12*($BI399-$BH399)/12))</f>
        <v/>
      </c>
    </row>
    <row r="400">
      <c r="B400" s="65" t="n">
        <v>59</v>
      </c>
      <c r="C400" s="66">
        <f>IF($G399&lt;cc_NEd-1E-9*ABS(cc_NEd),($C399+$D399)/2,$C399)</f>
        <v/>
      </c>
      <c r="D400" s="66">
        <f>IF($G399&lt;cc_NEd-1E-9*ABS(cc_NEd),$D399,($C399+$D399)/2)</f>
        <v/>
      </c>
      <c r="E400" s="67">
        <f>cc_D*(($C400+$D400)/2)/(1-(($C400+$D400)/2))</f>
        <v/>
      </c>
      <c r="F400" s="68">
        <f>IF($E400&lt;=cc_D,3.5,2*$E400/($E400-3*cc_D/7))</f>
        <v/>
      </c>
      <c r="G400" s="67">
        <f>(fcd_cc*((cc_D/2)^2*($BI400-COS($BI400)*SIN($BI400))-2*(cc_D/2)^2*($BI400-$BH400)/12/3*SUMPRODUCT($BJ$4:$BV$4,$BJ400:$BV400))+SUMPRODUCT($J$5:$AG$5,$J400:$AG400))/1000</f>
        <v/>
      </c>
      <c r="H400" s="67">
        <f>(fcd_cc*(2/3*(cc_D/2)^3*SIN($BI400)^3-2*(cc_D/2)^3*($BI400-$BH400)/12/3*SUMPRODUCT($BW$4:$CI$4,$BW400:$CI400))+SUMPRODUCT($J$5:$AG$5,$J400:$AG400,$J$19:$AG$19))/1E6</f>
        <v/>
      </c>
      <c r="I400" s="67">
        <f>SUMPRODUCT($J$5:$AG$5,$J400:$AG400,$J$20:$AG$20)/1E6</f>
        <v/>
      </c>
      <c r="J400">
        <f>MAX(-fyd_cc,MIN(fyd_cc,Es_cc*IF($E400&lt;=cc_D,0.0035*($E400-J$18)/$E400,0.002*($E400-J$18)/($E400-3*cc_D/7))))-fcd_cc*(1-(1-MAX(0,MIN(1,IF($E400&lt;=cc_D,0.0035*($E400-J$18)/$E400,0.002*($E400-J$18)/($E400-3*cc_D/7))/0.002)))^2)</f>
        <v/>
      </c>
      <c r="K400">
        <f>MAX(-fyd_cc,MIN(fyd_cc,Es_cc*IF($E400&lt;=cc_D,0.0035*($E400-K$18)/$E400,0.002*($E400-K$18)/($E400-3*cc_D/7))))-fcd_cc*(1-(1-MAX(0,MIN(1,IF($E400&lt;=cc_D,0.0035*($E400-K$18)/$E400,0.002*($E400-K$18)/($E400-3*cc_D/7))/0.002)))^2)</f>
        <v/>
      </c>
      <c r="L400">
        <f>MAX(-fyd_cc,MIN(fyd_cc,Es_cc*IF($E400&lt;=cc_D,0.0035*($E400-L$18)/$E400,0.002*($E400-L$18)/($E400-3*cc_D/7))))-fcd_cc*(1-(1-MAX(0,MIN(1,IF($E400&lt;=cc_D,0.0035*($E400-L$18)/$E400,0.002*($E400-L$18)/($E400-3*cc_D/7))/0.002)))^2)</f>
        <v/>
      </c>
      <c r="M400">
        <f>MAX(-fyd_cc,MIN(fyd_cc,Es_cc*IF($E400&lt;=cc_D,0.0035*($E400-M$18)/$E400,0.002*($E400-M$18)/($E400-3*cc_D/7))))-fcd_cc*(1-(1-MAX(0,MIN(1,IF($E400&lt;=cc_D,0.0035*($E400-M$18)/$E400,0.002*($E400-M$18)/($E400-3*cc_D/7))/0.002)))^2)</f>
        <v/>
      </c>
      <c r="N400">
        <f>MAX(-fyd_cc,MIN(fyd_cc,Es_cc*IF($E400&lt;=cc_D,0.0035*($E400-N$18)/$E400,0.002*($E400-N$18)/($E400-3*cc_D/7))))-fcd_cc*(1-(1-MAX(0,MIN(1,IF($E400&lt;=cc_D,0.0035*($E400-N$18)/$E400,0.002*($E400-N$18)/($E400-3*cc_D/7))/0.002)))^2)</f>
        <v/>
      </c>
      <c r="O400">
        <f>MAX(-fyd_cc,MIN(fyd_cc,Es_cc*IF($E400&lt;=cc_D,0.0035*($E400-O$18)/$E400,0.002*($E400-O$18)/($E400-3*cc_D/7))))-fcd_cc*(1-(1-MAX(0,MIN(1,IF($E400&lt;=cc_D,0.0035*($E400-O$18)/$E400,0.002*($E400-O$18)/($E400-3*cc_D/7))/0.002)))^2)</f>
        <v/>
      </c>
      <c r="P400">
        <f>MAX(-fyd_cc,MIN(fyd_cc,Es_cc*IF($E400&lt;=cc_D,0.0035*($E400-P$18)/$E400,0.002*($E400-P$18)/($E400-3*cc_D/7))))-fcd_cc*(1-(1-MAX(0,MIN(1,IF($E400&lt;=cc_D,0.0035*($E400-P$18)/$E400,0.002*($E400-P$18)/($E400-3*cc_D/7))/0.002)))^2)</f>
        <v/>
      </c>
      <c r="Q400">
        <f>MAX(-fyd_cc,MIN(fyd_cc,Es_cc*IF($E400&lt;=cc_D,0.0035*($E400-Q$18)/$E400,0.002*($E400-Q$18)/($E400-3*cc_D/7))))-fcd_cc*(1-(1-MAX(0,MIN(1,IF($E400&lt;=cc_D,0.0035*($E400-Q$18)/$E400,0.002*($E400-Q$18)/($E400-3*cc_D/7))/0.002)))^2)</f>
        <v/>
      </c>
      <c r="R400">
        <f>MAX(-fyd_cc,MIN(fyd_cc,Es_cc*IF($E400&lt;=cc_D,0.0035*($E400-R$18)/$E400,0.002*($E400-R$18)/($E400-3*cc_D/7))))-fcd_cc*(1-(1-MAX(0,MIN(1,IF($E400&lt;=cc_D,0.0035*($E400-R$18)/$E400,0.002*($E400-R$18)/($E400-3*cc_D/7))/0.002)))^2)</f>
        <v/>
      </c>
      <c r="S400">
        <f>MAX(-fyd_cc,MIN(fyd_cc,Es_cc*IF($E400&lt;=cc_D,0.0035*($E400-S$18)/$E400,0.002*($E400-S$18)/($E400-3*cc_D/7))))-fcd_cc*(1-(1-MAX(0,MIN(1,IF($E400&lt;=cc_D,0.0035*($E400-S$18)/$E400,0.002*($E400-S$18)/($E400-3*cc_D/7))/0.002)))^2)</f>
        <v/>
      </c>
      <c r="T400">
        <f>MAX(-fyd_cc,MIN(fyd_cc,Es_cc*IF($E400&lt;=cc_D,0.0035*($E400-T$18)/$E400,0.002*($E400-T$18)/($E400-3*cc_D/7))))-fcd_cc*(1-(1-MAX(0,MIN(1,IF($E400&lt;=cc_D,0.0035*($E400-T$18)/$E400,0.002*($E400-T$18)/($E400-3*cc_D/7))/0.002)))^2)</f>
        <v/>
      </c>
      <c r="U400">
        <f>MAX(-fyd_cc,MIN(fyd_cc,Es_cc*IF($E400&lt;=cc_D,0.0035*($E400-U$18)/$E400,0.002*($E400-U$18)/($E400-3*cc_D/7))))-fcd_cc*(1-(1-MAX(0,MIN(1,IF($E400&lt;=cc_D,0.0035*($E400-U$18)/$E400,0.002*($E400-U$18)/($E400-3*cc_D/7))/0.002)))^2)</f>
        <v/>
      </c>
      <c r="V400">
        <f>MAX(-fyd_cc,MIN(fyd_cc,Es_cc*IF($E400&lt;=cc_D,0.0035*($E400-V$18)/$E400,0.002*($E400-V$18)/($E400-3*cc_D/7))))-fcd_cc*(1-(1-MAX(0,MIN(1,IF($E400&lt;=cc_D,0.0035*($E400-V$18)/$E400,0.002*($E400-V$18)/($E400-3*cc_D/7))/0.002)))^2)</f>
        <v/>
      </c>
      <c r="W400">
        <f>MAX(-fyd_cc,MIN(fyd_cc,Es_cc*IF($E400&lt;=cc_D,0.0035*($E400-W$18)/$E400,0.002*($E400-W$18)/($E400-3*cc_D/7))))-fcd_cc*(1-(1-MAX(0,MIN(1,IF($E400&lt;=cc_D,0.0035*($E400-W$18)/$E400,0.002*($E400-W$18)/($E400-3*cc_D/7))/0.002)))^2)</f>
        <v/>
      </c>
      <c r="X400">
        <f>MAX(-fyd_cc,MIN(fyd_cc,Es_cc*IF($E400&lt;=cc_D,0.0035*($E400-X$18)/$E400,0.002*($E400-X$18)/($E400-3*cc_D/7))))-fcd_cc*(1-(1-MAX(0,MIN(1,IF($E400&lt;=cc_D,0.0035*($E400-X$18)/$E400,0.002*($E400-X$18)/($E400-3*cc_D/7))/0.002)))^2)</f>
        <v/>
      </c>
      <c r="Y400">
        <f>MAX(-fyd_cc,MIN(fyd_cc,Es_cc*IF($E400&lt;=cc_D,0.0035*($E400-Y$18)/$E400,0.002*($E400-Y$18)/($E400-3*cc_D/7))))-fcd_cc*(1-(1-MAX(0,MIN(1,IF($E400&lt;=cc_D,0.0035*($E400-Y$18)/$E400,0.002*($E400-Y$18)/($E400-3*cc_D/7))/0.002)))^2)</f>
        <v/>
      </c>
      <c r="Z400">
        <f>MAX(-fyd_cc,MIN(fyd_cc,Es_cc*IF($E400&lt;=cc_D,0.0035*($E400-Z$18)/$E400,0.002*($E400-Z$18)/($E400-3*cc_D/7))))-fcd_cc*(1-(1-MAX(0,MIN(1,IF($E400&lt;=cc_D,0.0035*($E400-Z$18)/$E400,0.002*($E400-Z$18)/($E400-3*cc_D/7))/0.002)))^2)</f>
        <v/>
      </c>
      <c r="AA400">
        <f>MAX(-fyd_cc,MIN(fyd_cc,Es_cc*IF($E400&lt;=cc_D,0.0035*($E400-AA$18)/$E400,0.002*($E400-AA$18)/($E400-3*cc_D/7))))-fcd_cc*(1-(1-MAX(0,MIN(1,IF($E400&lt;=cc_D,0.0035*($E400-AA$18)/$E400,0.002*($E400-AA$18)/($E400-3*cc_D/7))/0.002)))^2)</f>
        <v/>
      </c>
      <c r="AB400">
        <f>MAX(-fyd_cc,MIN(fyd_cc,Es_cc*IF($E400&lt;=cc_D,0.0035*($E400-AB$18)/$E400,0.002*($E400-AB$18)/($E400-3*cc_D/7))))-fcd_cc*(1-(1-MAX(0,MIN(1,IF($E400&lt;=cc_D,0.0035*($E400-AB$18)/$E400,0.002*($E400-AB$18)/($E400-3*cc_D/7))/0.002)))^2)</f>
        <v/>
      </c>
      <c r="AC400">
        <f>MAX(-fyd_cc,MIN(fyd_cc,Es_cc*IF($E400&lt;=cc_D,0.0035*($E400-AC$18)/$E400,0.002*($E400-AC$18)/($E400-3*cc_D/7))))-fcd_cc*(1-(1-MAX(0,MIN(1,IF($E400&lt;=cc_D,0.0035*($E400-AC$18)/$E400,0.002*($E400-AC$18)/($E400-3*cc_D/7))/0.002)))^2)</f>
        <v/>
      </c>
      <c r="AD400">
        <f>MAX(-fyd_cc,MIN(fyd_cc,Es_cc*IF($E400&lt;=cc_D,0.0035*($E400-AD$18)/$E400,0.002*($E400-AD$18)/($E400-3*cc_D/7))))-fcd_cc*(1-(1-MAX(0,MIN(1,IF($E400&lt;=cc_D,0.0035*($E400-AD$18)/$E400,0.002*($E400-AD$18)/($E400-3*cc_D/7))/0.002)))^2)</f>
        <v/>
      </c>
      <c r="AE400">
        <f>MAX(-fyd_cc,MIN(fyd_cc,Es_cc*IF($E400&lt;=cc_D,0.0035*($E400-AE$18)/$E400,0.002*($E400-AE$18)/($E400-3*cc_D/7))))-fcd_cc*(1-(1-MAX(0,MIN(1,IF($E400&lt;=cc_D,0.0035*($E400-AE$18)/$E400,0.002*($E400-AE$18)/($E400-3*cc_D/7))/0.002)))^2)</f>
        <v/>
      </c>
      <c r="AF400">
        <f>MAX(-fyd_cc,MIN(fyd_cc,Es_cc*IF($E400&lt;=cc_D,0.0035*($E400-AF$18)/$E400,0.002*($E400-AF$18)/($E400-3*cc_D/7))))-fcd_cc*(1-(1-MAX(0,MIN(1,IF($E400&lt;=cc_D,0.0035*($E400-AF$18)/$E400,0.002*($E400-AF$18)/($E400-3*cc_D/7))/0.002)))^2)</f>
        <v/>
      </c>
      <c r="AG400">
        <f>MAX(-fyd_cc,MIN(fyd_cc,Es_cc*IF($E400&lt;=cc_D,0.0035*($E400-AG$18)/$E400,0.002*($E400-AG$18)/($E400-3*cc_D/7))))-fcd_cc*(1-(1-MAX(0,MIN(1,IF($E400&lt;=cc_D,0.0035*($E400-AG$18)/$E400,0.002*($E400-AG$18)/($E400-3*cc_D/7))/0.002)))^2)</f>
        <v/>
      </c>
      <c r="BF400">
        <f>3*MIN($E400,cc_D)/7</f>
        <v/>
      </c>
      <c r="BG400">
        <f>$E400-$BF400</f>
        <v/>
      </c>
      <c r="BH400">
        <f>ACOS(MAX(-1,MIN(1,1-$BF400/(cc_D/2))))</f>
        <v/>
      </c>
      <c r="BI400">
        <f>ACOS(MAX(-1,MIN(1,1-MIN($E400,cc_D)/(cc_D/2))))</f>
        <v/>
      </c>
      <c r="BJ400">
        <f>((cc_D/2*(1-COS(($BH400+0*($BI400-$BH400)/12)))-$BF400)/$BG400)^2*SIN(($BH400+0*($BI400-$BH400)/12))^2</f>
        <v/>
      </c>
      <c r="BK400">
        <f>((cc_D/2*(1-COS(($BH400+1*($BI400-$BH400)/12)))-$BF400)/$BG400)^2*SIN(($BH400+1*($BI400-$BH400)/12))^2</f>
        <v/>
      </c>
      <c r="BL400">
        <f>((cc_D/2*(1-COS(($BH400+2*($BI400-$BH400)/12)))-$BF400)/$BG400)^2*SIN(($BH400+2*($BI400-$BH400)/12))^2</f>
        <v/>
      </c>
      <c r="BM400">
        <f>((cc_D/2*(1-COS(($BH400+3*($BI400-$BH400)/12)))-$BF400)/$BG400)^2*SIN(($BH400+3*($BI400-$BH400)/12))^2</f>
        <v/>
      </c>
      <c r="BN400">
        <f>((cc_D/2*(1-COS(($BH400+4*($BI400-$BH400)/12)))-$BF400)/$BG400)^2*SIN(($BH400+4*($BI400-$BH400)/12))^2</f>
        <v/>
      </c>
      <c r="BO400">
        <f>((cc_D/2*(1-COS(($BH400+5*($BI400-$BH400)/12)))-$BF400)/$BG400)^2*SIN(($BH400+5*($BI400-$BH400)/12))^2</f>
        <v/>
      </c>
      <c r="BP400">
        <f>((cc_D/2*(1-COS(($BH400+6*($BI400-$BH400)/12)))-$BF400)/$BG400)^2*SIN(($BH400+6*($BI400-$BH400)/12))^2</f>
        <v/>
      </c>
      <c r="BQ400">
        <f>((cc_D/2*(1-COS(($BH400+7*($BI400-$BH400)/12)))-$BF400)/$BG400)^2*SIN(($BH400+7*($BI400-$BH400)/12))^2</f>
        <v/>
      </c>
      <c r="BR400">
        <f>((cc_D/2*(1-COS(($BH400+8*($BI400-$BH400)/12)))-$BF400)/$BG400)^2*SIN(($BH400+8*($BI400-$BH400)/12))^2</f>
        <v/>
      </c>
      <c r="BS400">
        <f>((cc_D/2*(1-COS(($BH400+9*($BI400-$BH400)/12)))-$BF400)/$BG400)^2*SIN(($BH400+9*($BI400-$BH400)/12))^2</f>
        <v/>
      </c>
      <c r="BT400">
        <f>((cc_D/2*(1-COS(($BH400+10*($BI400-$BH400)/12)))-$BF400)/$BG400)^2*SIN(($BH400+10*($BI400-$BH400)/12))^2</f>
        <v/>
      </c>
      <c r="BU400">
        <f>((cc_D/2*(1-COS(($BH400+11*($BI400-$BH400)/12)))-$BF400)/$BG400)^2*SIN(($BH400+11*($BI400-$BH400)/12))^2</f>
        <v/>
      </c>
      <c r="BV400">
        <f>((cc_D/2*(1-COS(($BH400+12*($BI400-$BH400)/12)))-$BF400)/$BG400)^2*SIN(($BH400+12*($BI400-$BH400)/12))^2</f>
        <v/>
      </c>
      <c r="BW400">
        <f>BJ400*COS(($BH400+0*($BI400-$BH400)/12))</f>
        <v/>
      </c>
      <c r="BX400">
        <f>BK400*COS(($BH400+1*($BI400-$BH400)/12))</f>
        <v/>
      </c>
      <c r="BY400">
        <f>BL400*COS(($BH400+2*($BI400-$BH400)/12))</f>
        <v/>
      </c>
      <c r="BZ400">
        <f>BM400*COS(($BH400+3*($BI400-$BH400)/12))</f>
        <v/>
      </c>
      <c r="CA400">
        <f>BN400*COS(($BH400+4*($BI400-$BH400)/12))</f>
        <v/>
      </c>
      <c r="CB400">
        <f>BO400*COS(($BH400+5*($BI400-$BH400)/12))</f>
        <v/>
      </c>
      <c r="CC400">
        <f>BP400*COS(($BH400+6*($BI400-$BH400)/12))</f>
        <v/>
      </c>
      <c r="CD400">
        <f>BQ400*COS(($BH400+7*($BI400-$BH400)/12))</f>
        <v/>
      </c>
      <c r="CE400">
        <f>BR400*COS(($BH400+8*($BI400-$BH400)/12))</f>
        <v/>
      </c>
      <c r="CF400">
        <f>BS400*COS(($BH400+9*($BI400-$BH400)/12))</f>
        <v/>
      </c>
      <c r="CG400">
        <f>BT400*COS(($BH400+10*($BI400-$BH400)/12))</f>
        <v/>
      </c>
      <c r="CH400">
        <f>BU400*COS(($BH400+11*($BI400-$BH400)/12))</f>
        <v/>
      </c>
      <c r="CI400">
        <f>BV400*COS(($BH400+12*($BI400-$BH400)/12))</f>
        <v/>
      </c>
    </row>
    <row r="401">
      <c r="B401" s="65" t="n">
        <v>60</v>
      </c>
      <c r="C401" s="66">
        <f>IF($G400&lt;cc_NEd-1E-9*ABS(cc_NEd),($C400+$D400)/2,$C400)</f>
        <v/>
      </c>
      <c r="D401" s="66">
        <f>IF($G400&lt;cc_NEd-1E-9*ABS(cc_NEd),$D400,($C400+$D400)/2)</f>
        <v/>
      </c>
      <c r="E401" s="67">
        <f>cc_D*(($C401+$D401)/2)/(1-(($C401+$D401)/2))</f>
        <v/>
      </c>
      <c r="F401" s="68">
        <f>IF($E401&lt;=cc_D,3.5,2*$E401/($E401-3*cc_D/7))</f>
        <v/>
      </c>
      <c r="G401" s="67">
        <f>(fcd_cc*((cc_D/2)^2*($BI401-COS($BI401)*SIN($BI401))-2*(cc_D/2)^2*($BI401-$BH401)/12/3*SUMPRODUCT($BJ$4:$BV$4,$BJ401:$BV401))+SUMPRODUCT($J$5:$AG$5,$J401:$AG401))/1000</f>
        <v/>
      </c>
      <c r="H401" s="67">
        <f>(fcd_cc*(2/3*(cc_D/2)^3*SIN($BI401)^3-2*(cc_D/2)^3*($BI401-$BH401)/12/3*SUMPRODUCT($BW$4:$CI$4,$BW401:$CI401))+SUMPRODUCT($J$5:$AG$5,$J401:$AG401,$J$19:$AG$19))/1E6</f>
        <v/>
      </c>
      <c r="I401" s="67">
        <f>SUMPRODUCT($J$5:$AG$5,$J401:$AG401,$J$20:$AG$20)/1E6</f>
        <v/>
      </c>
      <c r="J401">
        <f>MAX(-fyd_cc,MIN(fyd_cc,Es_cc*IF($E401&lt;=cc_D,0.0035*($E401-J$18)/$E401,0.002*($E401-J$18)/($E401-3*cc_D/7))))-fcd_cc*(1-(1-MAX(0,MIN(1,IF($E401&lt;=cc_D,0.0035*($E401-J$18)/$E401,0.002*($E401-J$18)/($E401-3*cc_D/7))/0.002)))^2)</f>
        <v/>
      </c>
      <c r="K401">
        <f>MAX(-fyd_cc,MIN(fyd_cc,Es_cc*IF($E401&lt;=cc_D,0.0035*($E401-K$18)/$E401,0.002*($E401-K$18)/($E401-3*cc_D/7))))-fcd_cc*(1-(1-MAX(0,MIN(1,IF($E401&lt;=cc_D,0.0035*($E401-K$18)/$E401,0.002*($E401-K$18)/($E401-3*cc_D/7))/0.002)))^2)</f>
        <v/>
      </c>
      <c r="L401">
        <f>MAX(-fyd_cc,MIN(fyd_cc,Es_cc*IF($E401&lt;=cc_D,0.0035*($E401-L$18)/$E401,0.002*($E401-L$18)/($E401-3*cc_D/7))))-fcd_cc*(1-(1-MAX(0,MIN(1,IF($E401&lt;=cc_D,0.0035*($E401-L$18)/$E401,0.002*($E401-L$18)/($E401-3*cc_D/7))/0.002)))^2)</f>
        <v/>
      </c>
      <c r="M401">
        <f>MAX(-fyd_cc,MIN(fyd_cc,Es_cc*IF($E401&lt;=cc_D,0.0035*($E401-M$18)/$E401,0.002*($E401-M$18)/($E401-3*cc_D/7))))-fcd_cc*(1-(1-MAX(0,MIN(1,IF($E401&lt;=cc_D,0.0035*($E401-M$18)/$E401,0.002*($E401-M$18)/($E401-3*cc_D/7))/0.002)))^2)</f>
        <v/>
      </c>
      <c r="N401">
        <f>MAX(-fyd_cc,MIN(fyd_cc,Es_cc*IF($E401&lt;=cc_D,0.0035*($E401-N$18)/$E401,0.002*($E401-N$18)/($E401-3*cc_D/7))))-fcd_cc*(1-(1-MAX(0,MIN(1,IF($E401&lt;=cc_D,0.0035*($E401-N$18)/$E401,0.002*($E401-N$18)/($E401-3*cc_D/7))/0.002)))^2)</f>
        <v/>
      </c>
      <c r="O401">
        <f>MAX(-fyd_cc,MIN(fyd_cc,Es_cc*IF($E401&lt;=cc_D,0.0035*($E401-O$18)/$E401,0.002*($E401-O$18)/($E401-3*cc_D/7))))-fcd_cc*(1-(1-MAX(0,MIN(1,IF($E401&lt;=cc_D,0.0035*($E401-O$18)/$E401,0.002*($E401-O$18)/($E401-3*cc_D/7))/0.002)))^2)</f>
        <v/>
      </c>
      <c r="P401">
        <f>MAX(-fyd_cc,MIN(fyd_cc,Es_cc*IF($E401&lt;=cc_D,0.0035*($E401-P$18)/$E401,0.002*($E401-P$18)/($E401-3*cc_D/7))))-fcd_cc*(1-(1-MAX(0,MIN(1,IF($E401&lt;=cc_D,0.0035*($E401-P$18)/$E401,0.002*($E401-P$18)/($E401-3*cc_D/7))/0.002)))^2)</f>
        <v/>
      </c>
      <c r="Q401">
        <f>MAX(-fyd_cc,MIN(fyd_cc,Es_cc*IF($E401&lt;=cc_D,0.0035*($E401-Q$18)/$E401,0.002*($E401-Q$18)/($E401-3*cc_D/7))))-fcd_cc*(1-(1-MAX(0,MIN(1,IF($E401&lt;=cc_D,0.0035*($E401-Q$18)/$E401,0.002*($E401-Q$18)/($E401-3*cc_D/7))/0.002)))^2)</f>
        <v/>
      </c>
      <c r="R401">
        <f>MAX(-fyd_cc,MIN(fyd_cc,Es_cc*IF($E401&lt;=cc_D,0.0035*($E401-R$18)/$E401,0.002*($E401-R$18)/($E401-3*cc_D/7))))-fcd_cc*(1-(1-MAX(0,MIN(1,IF($E401&lt;=cc_D,0.0035*($E401-R$18)/$E401,0.002*($E401-R$18)/($E401-3*cc_D/7))/0.002)))^2)</f>
        <v/>
      </c>
      <c r="S401">
        <f>MAX(-fyd_cc,MIN(fyd_cc,Es_cc*IF($E401&lt;=cc_D,0.0035*($E401-S$18)/$E401,0.002*($E401-S$18)/($E401-3*cc_D/7))))-fcd_cc*(1-(1-MAX(0,MIN(1,IF($E401&lt;=cc_D,0.0035*($E401-S$18)/$E401,0.002*($E401-S$18)/($E401-3*cc_D/7))/0.002)))^2)</f>
        <v/>
      </c>
      <c r="T401">
        <f>MAX(-fyd_cc,MIN(fyd_cc,Es_cc*IF($E401&lt;=cc_D,0.0035*($E401-T$18)/$E401,0.002*($E401-T$18)/($E401-3*cc_D/7))))-fcd_cc*(1-(1-MAX(0,MIN(1,IF($E401&lt;=cc_D,0.0035*($E401-T$18)/$E401,0.002*($E401-T$18)/($E401-3*cc_D/7))/0.002)))^2)</f>
        <v/>
      </c>
      <c r="U401">
        <f>MAX(-fyd_cc,MIN(fyd_cc,Es_cc*IF($E401&lt;=cc_D,0.0035*($E401-U$18)/$E401,0.002*($E401-U$18)/($E401-3*cc_D/7))))-fcd_cc*(1-(1-MAX(0,MIN(1,IF($E401&lt;=cc_D,0.0035*($E401-U$18)/$E401,0.002*($E401-U$18)/($E401-3*cc_D/7))/0.002)))^2)</f>
        <v/>
      </c>
      <c r="V401">
        <f>MAX(-fyd_cc,MIN(fyd_cc,Es_cc*IF($E401&lt;=cc_D,0.0035*($E401-V$18)/$E401,0.002*($E401-V$18)/($E401-3*cc_D/7))))-fcd_cc*(1-(1-MAX(0,MIN(1,IF($E401&lt;=cc_D,0.0035*($E401-V$18)/$E401,0.002*($E401-V$18)/($E401-3*cc_D/7))/0.002)))^2)</f>
        <v/>
      </c>
      <c r="W401">
        <f>MAX(-fyd_cc,MIN(fyd_cc,Es_cc*IF($E401&lt;=cc_D,0.0035*($E401-W$18)/$E401,0.002*($E401-W$18)/($E401-3*cc_D/7))))-fcd_cc*(1-(1-MAX(0,MIN(1,IF($E401&lt;=cc_D,0.0035*($E401-W$18)/$E401,0.002*($E401-W$18)/($E401-3*cc_D/7))/0.002)))^2)</f>
        <v/>
      </c>
      <c r="X401">
        <f>MAX(-fyd_cc,MIN(fyd_cc,Es_cc*IF($E401&lt;=cc_D,0.0035*($E401-X$18)/$E401,0.002*($E401-X$18)/($E401-3*cc_D/7))))-fcd_cc*(1-(1-MAX(0,MIN(1,IF($E401&lt;=cc_D,0.0035*($E401-X$18)/$E401,0.002*($E401-X$18)/($E401-3*cc_D/7))/0.002)))^2)</f>
        <v/>
      </c>
      <c r="Y401">
        <f>MAX(-fyd_cc,MIN(fyd_cc,Es_cc*IF($E401&lt;=cc_D,0.0035*($E401-Y$18)/$E401,0.002*($E401-Y$18)/($E401-3*cc_D/7))))-fcd_cc*(1-(1-MAX(0,MIN(1,IF($E401&lt;=cc_D,0.0035*($E401-Y$18)/$E401,0.002*($E401-Y$18)/($E401-3*cc_D/7))/0.002)))^2)</f>
        <v/>
      </c>
      <c r="Z401">
        <f>MAX(-fyd_cc,MIN(fyd_cc,Es_cc*IF($E401&lt;=cc_D,0.0035*($E401-Z$18)/$E401,0.002*($E401-Z$18)/($E401-3*cc_D/7))))-fcd_cc*(1-(1-MAX(0,MIN(1,IF($E401&lt;=cc_D,0.0035*($E401-Z$18)/$E401,0.002*($E401-Z$18)/($E401-3*cc_D/7))/0.002)))^2)</f>
        <v/>
      </c>
      <c r="AA401">
        <f>MAX(-fyd_cc,MIN(fyd_cc,Es_cc*IF($E401&lt;=cc_D,0.0035*($E401-AA$18)/$E401,0.002*($E401-AA$18)/($E401-3*cc_D/7))))-fcd_cc*(1-(1-MAX(0,MIN(1,IF($E401&lt;=cc_D,0.0035*($E401-AA$18)/$E401,0.002*($E401-AA$18)/($E401-3*cc_D/7))/0.002)))^2)</f>
        <v/>
      </c>
      <c r="AB401">
        <f>MAX(-fyd_cc,MIN(fyd_cc,Es_cc*IF($E401&lt;=cc_D,0.0035*($E401-AB$18)/$E401,0.002*($E401-AB$18)/($E401-3*cc_D/7))))-fcd_cc*(1-(1-MAX(0,MIN(1,IF($E401&lt;=cc_D,0.0035*($E401-AB$18)/$E401,0.002*($E401-AB$18)/($E401-3*cc_D/7))/0.002)))^2)</f>
        <v/>
      </c>
      <c r="AC401">
        <f>MAX(-fyd_cc,MIN(fyd_cc,Es_cc*IF($E401&lt;=cc_D,0.0035*($E401-AC$18)/$E401,0.002*($E401-AC$18)/($E401-3*cc_D/7))))-fcd_cc*(1-(1-MAX(0,MIN(1,IF($E401&lt;=cc_D,0.0035*($E401-AC$18)/$E401,0.002*($E401-AC$18)/($E401-3*cc_D/7))/0.002)))^2)</f>
        <v/>
      </c>
      <c r="AD401">
        <f>MAX(-fyd_cc,MIN(fyd_cc,Es_cc*IF($E401&lt;=cc_D,0.0035*($E401-AD$18)/$E401,0.002*($E401-AD$18)/($E401-3*cc_D/7))))-fcd_cc*(1-(1-MAX(0,MIN(1,IF($E401&lt;=cc_D,0.0035*($E401-AD$18)/$E401,0.002*($E401-AD$18)/($E401-3*cc_D/7))/0.002)))^2)</f>
        <v/>
      </c>
      <c r="AE401">
        <f>MAX(-fyd_cc,MIN(fyd_cc,Es_cc*IF($E401&lt;=cc_D,0.0035*($E401-AE$18)/$E401,0.002*($E401-AE$18)/($E401-3*cc_D/7))))-fcd_cc*(1-(1-MAX(0,MIN(1,IF($E401&lt;=cc_D,0.0035*($E401-AE$18)/$E401,0.002*($E401-AE$18)/($E401-3*cc_D/7))/0.002)))^2)</f>
        <v/>
      </c>
      <c r="AF401">
        <f>MAX(-fyd_cc,MIN(fyd_cc,Es_cc*IF($E401&lt;=cc_D,0.0035*($E401-AF$18)/$E401,0.002*($E401-AF$18)/($E401-3*cc_D/7))))-fcd_cc*(1-(1-MAX(0,MIN(1,IF($E401&lt;=cc_D,0.0035*($E401-AF$18)/$E401,0.002*($E401-AF$18)/($E401-3*cc_D/7))/0.002)))^2)</f>
        <v/>
      </c>
      <c r="AG401">
        <f>MAX(-fyd_cc,MIN(fyd_cc,Es_cc*IF($E401&lt;=cc_D,0.0035*($E401-AG$18)/$E401,0.002*($E401-AG$18)/($E401-3*cc_D/7))))-fcd_cc*(1-(1-MAX(0,MIN(1,IF($E401&lt;=cc_D,0.0035*($E401-AG$18)/$E401,0.002*($E401-AG$18)/($E401-3*cc_D/7))/0.002)))^2)</f>
        <v/>
      </c>
      <c r="BF401">
        <f>3*MIN($E401,cc_D)/7</f>
        <v/>
      </c>
      <c r="BG401">
        <f>$E401-$BF401</f>
        <v/>
      </c>
      <c r="BH401">
        <f>ACOS(MAX(-1,MIN(1,1-$BF401/(cc_D/2))))</f>
        <v/>
      </c>
      <c r="BI401">
        <f>ACOS(MAX(-1,MIN(1,1-MIN($E401,cc_D)/(cc_D/2))))</f>
        <v/>
      </c>
      <c r="BJ401">
        <f>((cc_D/2*(1-COS(($BH401+0*($BI401-$BH401)/12)))-$BF401)/$BG401)^2*SIN(($BH401+0*($BI401-$BH401)/12))^2</f>
        <v/>
      </c>
      <c r="BK401">
        <f>((cc_D/2*(1-COS(($BH401+1*($BI401-$BH401)/12)))-$BF401)/$BG401)^2*SIN(($BH401+1*($BI401-$BH401)/12))^2</f>
        <v/>
      </c>
      <c r="BL401">
        <f>((cc_D/2*(1-COS(($BH401+2*($BI401-$BH401)/12)))-$BF401)/$BG401)^2*SIN(($BH401+2*($BI401-$BH401)/12))^2</f>
        <v/>
      </c>
      <c r="BM401">
        <f>((cc_D/2*(1-COS(($BH401+3*($BI401-$BH401)/12)))-$BF401)/$BG401)^2*SIN(($BH401+3*($BI401-$BH401)/12))^2</f>
        <v/>
      </c>
      <c r="BN401">
        <f>((cc_D/2*(1-COS(($BH401+4*($BI401-$BH401)/12)))-$BF401)/$BG401)^2*SIN(($BH401+4*($BI401-$BH401)/12))^2</f>
        <v/>
      </c>
      <c r="BO401">
        <f>((cc_D/2*(1-COS(($BH401+5*($BI401-$BH401)/12)))-$BF401)/$BG401)^2*SIN(($BH401+5*($BI401-$BH401)/12))^2</f>
        <v/>
      </c>
      <c r="BP401">
        <f>((cc_D/2*(1-COS(($BH401+6*($BI401-$BH401)/12)))-$BF401)/$BG401)^2*SIN(($BH401+6*($BI401-$BH401)/12))^2</f>
        <v/>
      </c>
      <c r="BQ401">
        <f>((cc_D/2*(1-COS(($BH401+7*($BI401-$BH401)/12)))-$BF401)/$BG401)^2*SIN(($BH401+7*($BI401-$BH401)/12))^2</f>
        <v/>
      </c>
      <c r="BR401">
        <f>((cc_D/2*(1-COS(($BH401+8*($BI401-$BH401)/12)))-$BF401)/$BG401)^2*SIN(($BH401+8*($BI401-$BH401)/12))^2</f>
        <v/>
      </c>
      <c r="BS401">
        <f>((cc_D/2*(1-COS(($BH401+9*($BI401-$BH401)/12)))-$BF401)/$BG401)^2*SIN(($BH401+9*($BI401-$BH401)/12))^2</f>
        <v/>
      </c>
      <c r="BT401">
        <f>((cc_D/2*(1-COS(($BH401+10*($BI401-$BH401)/12)))-$BF401)/$BG401)^2*SIN(($BH401+10*($BI401-$BH401)/12))^2</f>
        <v/>
      </c>
      <c r="BU401">
        <f>((cc_D/2*(1-COS(($BH401+11*($BI401-$BH401)/12)))-$BF401)/$BG401)^2*SIN(($BH401+11*($BI401-$BH401)/12))^2</f>
        <v/>
      </c>
      <c r="BV401">
        <f>((cc_D/2*(1-COS(($BH401+12*($BI401-$BH401)/12)))-$BF401)/$BG401)^2*SIN(($BH401+12*($BI401-$BH401)/12))^2</f>
        <v/>
      </c>
      <c r="BW401">
        <f>BJ401*COS(($BH401+0*($BI401-$BH401)/12))</f>
        <v/>
      </c>
      <c r="BX401">
        <f>BK401*COS(($BH401+1*($BI401-$BH401)/12))</f>
        <v/>
      </c>
      <c r="BY401">
        <f>BL401*COS(($BH401+2*($BI401-$BH401)/12))</f>
        <v/>
      </c>
      <c r="BZ401">
        <f>BM401*COS(($BH401+3*($BI401-$BH401)/12))</f>
        <v/>
      </c>
      <c r="CA401">
        <f>BN401*COS(($BH401+4*($BI401-$BH401)/12))</f>
        <v/>
      </c>
      <c r="CB401">
        <f>BO401*COS(($BH401+5*($BI401-$BH401)/12))</f>
        <v/>
      </c>
      <c r="CC401">
        <f>BP401*COS(($BH401+6*($BI401-$BH401)/12))</f>
        <v/>
      </c>
      <c r="CD401">
        <f>BQ401*COS(($BH401+7*($BI401-$BH401)/12))</f>
        <v/>
      </c>
      <c r="CE401">
        <f>BR401*COS(($BH401+8*($BI401-$BH401)/12))</f>
        <v/>
      </c>
      <c r="CF401">
        <f>BS401*COS(($BH401+9*($BI401-$BH401)/12))</f>
        <v/>
      </c>
      <c r="CG401">
        <f>BT401*COS(($BH401+10*($BI401-$BH401)/12))</f>
        <v/>
      </c>
      <c r="CH401">
        <f>BU401*COS(($BH401+11*($BI401-$BH401)/12))</f>
        <v/>
      </c>
      <c r="CI401">
        <f>BV401*COS(($BH401+12*($BI401-$BH401)/12))</f>
        <v/>
      </c>
    </row>
    <row r="403">
      <c r="B403" s="59" t="inlineStr">
        <is>
          <t>Orientation P  ·  splitting the nearest chord, turn_P π/n</t>
        </is>
      </c>
    </row>
    <row r="404">
      <c r="B404" s="52" t="inlineStr">
        <is>
          <t>step</t>
        </is>
      </c>
      <c r="C404" s="52" t="inlineStr">
        <is>
          <t>u low</t>
        </is>
      </c>
      <c r="D404" s="52" t="inlineStr">
        <is>
          <t>u high</t>
        </is>
      </c>
      <c r="E404" s="52" t="inlineStr">
        <is>
          <t>x (mm)</t>
        </is>
      </c>
      <c r="F404" s="52" t="inlineStr">
        <is>
          <t>εc top (‰)</t>
        </is>
      </c>
      <c r="G404" s="52" t="inlineStr">
        <is>
          <t>N (kN)</t>
        </is>
      </c>
      <c r="H404" s="52" t="inlineStr">
        <is>
          <t>M (kNm)</t>
        </is>
      </c>
      <c r="I404" s="52" t="inlineStr">
        <is>
          <t>M⊥ (kNm)</t>
        </is>
      </c>
    </row>
    <row r="405">
      <c r="B405" s="65" t="n">
        <v>1</v>
      </c>
      <c r="C405" s="66" t="n">
        <v>0</v>
      </c>
      <c r="D405" s="66">
        <f>1-1E-12</f>
        <v/>
      </c>
      <c r="E405" s="67">
        <f>cc_D*(($C405+$D405)/2)/(1-(($C405+$D405)/2))</f>
        <v/>
      </c>
      <c r="F405" s="68">
        <f>IF($E405&lt;=cc_D,3.5,2*$E405/($E405-3*cc_D/7))</f>
        <v/>
      </c>
      <c r="G405" s="67">
        <f>(fcd_cc*((cc_D/2)^2*($BI405-COS($BI405)*SIN($BI405))-2*(cc_D/2)^2*($BI405-$BH405)/12/3*SUMPRODUCT($BJ$4:$BV$4,$BJ405:$BV405))+SUMPRODUCT($J$5:$AG$5,$J405:$AG405))/1000</f>
        <v/>
      </c>
      <c r="H405" s="67">
        <f>(fcd_cc*(2/3*(cc_D/2)^3*SIN($BI405)^3-2*(cc_D/2)^3*($BI405-$BH405)/12/3*SUMPRODUCT($BW$4:$CI$4,$BW405:$CI405))+SUMPRODUCT($J$5:$AG$5,$J405:$AG405,$J$22:$AG$22))/1E6</f>
        <v/>
      </c>
      <c r="I405" s="67">
        <f>SUMPRODUCT($J$5:$AG$5,$J405:$AG405,$J$23:$AG$23)/1E6</f>
        <v/>
      </c>
      <c r="J405">
        <f>MAX(-fyd_cc,MIN(fyd_cc,Es_cc*IF($E405&lt;=cc_D,0.0035*($E405-J$21)/$E405,0.002*($E405-J$21)/($E405-3*cc_D/7))))-fcd_cc*(1-(1-MAX(0,MIN(1,IF($E405&lt;=cc_D,0.0035*($E405-J$21)/$E405,0.002*($E405-J$21)/($E405-3*cc_D/7))/0.002)))^2)</f>
        <v/>
      </c>
      <c r="K405">
        <f>MAX(-fyd_cc,MIN(fyd_cc,Es_cc*IF($E405&lt;=cc_D,0.0035*($E405-K$21)/$E405,0.002*($E405-K$21)/($E405-3*cc_D/7))))-fcd_cc*(1-(1-MAX(0,MIN(1,IF($E405&lt;=cc_D,0.0035*($E405-K$21)/$E405,0.002*($E405-K$21)/($E405-3*cc_D/7))/0.002)))^2)</f>
        <v/>
      </c>
      <c r="L405">
        <f>MAX(-fyd_cc,MIN(fyd_cc,Es_cc*IF($E405&lt;=cc_D,0.0035*($E405-L$21)/$E405,0.002*($E405-L$21)/($E405-3*cc_D/7))))-fcd_cc*(1-(1-MAX(0,MIN(1,IF($E405&lt;=cc_D,0.0035*($E405-L$21)/$E405,0.002*($E405-L$21)/($E405-3*cc_D/7))/0.002)))^2)</f>
        <v/>
      </c>
      <c r="M405">
        <f>MAX(-fyd_cc,MIN(fyd_cc,Es_cc*IF($E405&lt;=cc_D,0.0035*($E405-M$21)/$E405,0.002*($E405-M$21)/($E405-3*cc_D/7))))-fcd_cc*(1-(1-MAX(0,MIN(1,IF($E405&lt;=cc_D,0.0035*($E405-M$21)/$E405,0.002*($E405-M$21)/($E405-3*cc_D/7))/0.002)))^2)</f>
        <v/>
      </c>
      <c r="N405">
        <f>MAX(-fyd_cc,MIN(fyd_cc,Es_cc*IF($E405&lt;=cc_D,0.0035*($E405-N$21)/$E405,0.002*($E405-N$21)/($E405-3*cc_D/7))))-fcd_cc*(1-(1-MAX(0,MIN(1,IF($E405&lt;=cc_D,0.0035*($E405-N$21)/$E405,0.002*($E405-N$21)/($E405-3*cc_D/7))/0.002)))^2)</f>
        <v/>
      </c>
      <c r="O405">
        <f>MAX(-fyd_cc,MIN(fyd_cc,Es_cc*IF($E405&lt;=cc_D,0.0035*($E405-O$21)/$E405,0.002*($E405-O$21)/($E405-3*cc_D/7))))-fcd_cc*(1-(1-MAX(0,MIN(1,IF($E405&lt;=cc_D,0.0035*($E405-O$21)/$E405,0.002*($E405-O$21)/($E405-3*cc_D/7))/0.002)))^2)</f>
        <v/>
      </c>
      <c r="P405">
        <f>MAX(-fyd_cc,MIN(fyd_cc,Es_cc*IF($E405&lt;=cc_D,0.0035*($E405-P$21)/$E405,0.002*($E405-P$21)/($E405-3*cc_D/7))))-fcd_cc*(1-(1-MAX(0,MIN(1,IF($E405&lt;=cc_D,0.0035*($E405-P$21)/$E405,0.002*($E405-P$21)/($E405-3*cc_D/7))/0.002)))^2)</f>
        <v/>
      </c>
      <c r="Q405">
        <f>MAX(-fyd_cc,MIN(fyd_cc,Es_cc*IF($E405&lt;=cc_D,0.0035*($E405-Q$21)/$E405,0.002*($E405-Q$21)/($E405-3*cc_D/7))))-fcd_cc*(1-(1-MAX(0,MIN(1,IF($E405&lt;=cc_D,0.0035*($E405-Q$21)/$E405,0.002*($E405-Q$21)/($E405-3*cc_D/7))/0.002)))^2)</f>
        <v/>
      </c>
      <c r="R405">
        <f>MAX(-fyd_cc,MIN(fyd_cc,Es_cc*IF($E405&lt;=cc_D,0.0035*($E405-R$21)/$E405,0.002*($E405-R$21)/($E405-3*cc_D/7))))-fcd_cc*(1-(1-MAX(0,MIN(1,IF($E405&lt;=cc_D,0.0035*($E405-R$21)/$E405,0.002*($E405-R$21)/($E405-3*cc_D/7))/0.002)))^2)</f>
        <v/>
      </c>
      <c r="S405">
        <f>MAX(-fyd_cc,MIN(fyd_cc,Es_cc*IF($E405&lt;=cc_D,0.0035*($E405-S$21)/$E405,0.002*($E405-S$21)/($E405-3*cc_D/7))))-fcd_cc*(1-(1-MAX(0,MIN(1,IF($E405&lt;=cc_D,0.0035*($E405-S$21)/$E405,0.002*($E405-S$21)/($E405-3*cc_D/7))/0.002)))^2)</f>
        <v/>
      </c>
      <c r="T405">
        <f>MAX(-fyd_cc,MIN(fyd_cc,Es_cc*IF($E405&lt;=cc_D,0.0035*($E405-T$21)/$E405,0.002*($E405-T$21)/($E405-3*cc_D/7))))-fcd_cc*(1-(1-MAX(0,MIN(1,IF($E405&lt;=cc_D,0.0035*($E405-T$21)/$E405,0.002*($E405-T$21)/($E405-3*cc_D/7))/0.002)))^2)</f>
        <v/>
      </c>
      <c r="U405">
        <f>MAX(-fyd_cc,MIN(fyd_cc,Es_cc*IF($E405&lt;=cc_D,0.0035*($E405-U$21)/$E405,0.002*($E405-U$21)/($E405-3*cc_D/7))))-fcd_cc*(1-(1-MAX(0,MIN(1,IF($E405&lt;=cc_D,0.0035*($E405-U$21)/$E405,0.002*($E405-U$21)/($E405-3*cc_D/7))/0.002)))^2)</f>
        <v/>
      </c>
      <c r="V405">
        <f>MAX(-fyd_cc,MIN(fyd_cc,Es_cc*IF($E405&lt;=cc_D,0.0035*($E405-V$21)/$E405,0.002*($E405-V$21)/($E405-3*cc_D/7))))-fcd_cc*(1-(1-MAX(0,MIN(1,IF($E405&lt;=cc_D,0.0035*($E405-V$21)/$E405,0.002*($E405-V$21)/($E405-3*cc_D/7))/0.002)))^2)</f>
        <v/>
      </c>
      <c r="W405">
        <f>MAX(-fyd_cc,MIN(fyd_cc,Es_cc*IF($E405&lt;=cc_D,0.0035*($E405-W$21)/$E405,0.002*($E405-W$21)/($E405-3*cc_D/7))))-fcd_cc*(1-(1-MAX(0,MIN(1,IF($E405&lt;=cc_D,0.0035*($E405-W$21)/$E405,0.002*($E405-W$21)/($E405-3*cc_D/7))/0.002)))^2)</f>
        <v/>
      </c>
      <c r="X405">
        <f>MAX(-fyd_cc,MIN(fyd_cc,Es_cc*IF($E405&lt;=cc_D,0.0035*($E405-X$21)/$E405,0.002*($E405-X$21)/($E405-3*cc_D/7))))-fcd_cc*(1-(1-MAX(0,MIN(1,IF($E405&lt;=cc_D,0.0035*($E405-X$21)/$E405,0.002*($E405-X$21)/($E405-3*cc_D/7))/0.002)))^2)</f>
        <v/>
      </c>
      <c r="Y405">
        <f>MAX(-fyd_cc,MIN(fyd_cc,Es_cc*IF($E405&lt;=cc_D,0.0035*($E405-Y$21)/$E405,0.002*($E405-Y$21)/($E405-3*cc_D/7))))-fcd_cc*(1-(1-MAX(0,MIN(1,IF($E405&lt;=cc_D,0.0035*($E405-Y$21)/$E405,0.002*($E405-Y$21)/($E405-3*cc_D/7))/0.002)))^2)</f>
        <v/>
      </c>
      <c r="Z405">
        <f>MAX(-fyd_cc,MIN(fyd_cc,Es_cc*IF($E405&lt;=cc_D,0.0035*($E405-Z$21)/$E405,0.002*($E405-Z$21)/($E405-3*cc_D/7))))-fcd_cc*(1-(1-MAX(0,MIN(1,IF($E405&lt;=cc_D,0.0035*($E405-Z$21)/$E405,0.002*($E405-Z$21)/($E405-3*cc_D/7))/0.002)))^2)</f>
        <v/>
      </c>
      <c r="AA405">
        <f>MAX(-fyd_cc,MIN(fyd_cc,Es_cc*IF($E405&lt;=cc_D,0.0035*($E405-AA$21)/$E405,0.002*($E405-AA$21)/($E405-3*cc_D/7))))-fcd_cc*(1-(1-MAX(0,MIN(1,IF($E405&lt;=cc_D,0.0035*($E405-AA$21)/$E405,0.002*($E405-AA$21)/($E405-3*cc_D/7))/0.002)))^2)</f>
        <v/>
      </c>
      <c r="AB405">
        <f>MAX(-fyd_cc,MIN(fyd_cc,Es_cc*IF($E405&lt;=cc_D,0.0035*($E405-AB$21)/$E405,0.002*($E405-AB$21)/($E405-3*cc_D/7))))-fcd_cc*(1-(1-MAX(0,MIN(1,IF($E405&lt;=cc_D,0.0035*($E405-AB$21)/$E405,0.002*($E405-AB$21)/($E405-3*cc_D/7))/0.002)))^2)</f>
        <v/>
      </c>
      <c r="AC405">
        <f>MAX(-fyd_cc,MIN(fyd_cc,Es_cc*IF($E405&lt;=cc_D,0.0035*($E405-AC$21)/$E405,0.002*($E405-AC$21)/($E405-3*cc_D/7))))-fcd_cc*(1-(1-MAX(0,MIN(1,IF($E405&lt;=cc_D,0.0035*($E405-AC$21)/$E405,0.002*($E405-AC$21)/($E405-3*cc_D/7))/0.002)))^2)</f>
        <v/>
      </c>
      <c r="AD405">
        <f>MAX(-fyd_cc,MIN(fyd_cc,Es_cc*IF($E405&lt;=cc_D,0.0035*($E405-AD$21)/$E405,0.002*($E405-AD$21)/($E405-3*cc_D/7))))-fcd_cc*(1-(1-MAX(0,MIN(1,IF($E405&lt;=cc_D,0.0035*($E405-AD$21)/$E405,0.002*($E405-AD$21)/($E405-3*cc_D/7))/0.002)))^2)</f>
        <v/>
      </c>
      <c r="AE405">
        <f>MAX(-fyd_cc,MIN(fyd_cc,Es_cc*IF($E405&lt;=cc_D,0.0035*($E405-AE$21)/$E405,0.002*($E405-AE$21)/($E405-3*cc_D/7))))-fcd_cc*(1-(1-MAX(0,MIN(1,IF($E405&lt;=cc_D,0.0035*($E405-AE$21)/$E405,0.002*($E405-AE$21)/($E405-3*cc_D/7))/0.002)))^2)</f>
        <v/>
      </c>
      <c r="AF405">
        <f>MAX(-fyd_cc,MIN(fyd_cc,Es_cc*IF($E405&lt;=cc_D,0.0035*($E405-AF$21)/$E405,0.002*($E405-AF$21)/($E405-3*cc_D/7))))-fcd_cc*(1-(1-MAX(0,MIN(1,IF($E405&lt;=cc_D,0.0035*($E405-AF$21)/$E405,0.002*($E405-AF$21)/($E405-3*cc_D/7))/0.002)))^2)</f>
        <v/>
      </c>
      <c r="AG405">
        <f>MAX(-fyd_cc,MIN(fyd_cc,Es_cc*IF($E405&lt;=cc_D,0.0035*($E405-AG$21)/$E405,0.002*($E405-AG$21)/($E405-3*cc_D/7))))-fcd_cc*(1-(1-MAX(0,MIN(1,IF($E405&lt;=cc_D,0.0035*($E405-AG$21)/$E405,0.002*($E405-AG$21)/($E405-3*cc_D/7))/0.002)))^2)</f>
        <v/>
      </c>
      <c r="BF405">
        <f>3*MIN($E405,cc_D)/7</f>
        <v/>
      </c>
      <c r="BG405">
        <f>$E405-$BF405</f>
        <v/>
      </c>
      <c r="BH405">
        <f>ACOS(MAX(-1,MIN(1,1-$BF405/(cc_D/2))))</f>
        <v/>
      </c>
      <c r="BI405">
        <f>ACOS(MAX(-1,MIN(1,1-MIN($E405,cc_D)/(cc_D/2))))</f>
        <v/>
      </c>
      <c r="BJ405">
        <f>((cc_D/2*(1-COS(($BH405+0*($BI405-$BH405)/12)))-$BF405)/$BG405)^2*SIN(($BH405+0*($BI405-$BH405)/12))^2</f>
        <v/>
      </c>
      <c r="BK405">
        <f>((cc_D/2*(1-COS(($BH405+1*($BI405-$BH405)/12)))-$BF405)/$BG405)^2*SIN(($BH405+1*($BI405-$BH405)/12))^2</f>
        <v/>
      </c>
      <c r="BL405">
        <f>((cc_D/2*(1-COS(($BH405+2*($BI405-$BH405)/12)))-$BF405)/$BG405)^2*SIN(($BH405+2*($BI405-$BH405)/12))^2</f>
        <v/>
      </c>
      <c r="BM405">
        <f>((cc_D/2*(1-COS(($BH405+3*($BI405-$BH405)/12)))-$BF405)/$BG405)^2*SIN(($BH405+3*($BI405-$BH405)/12))^2</f>
        <v/>
      </c>
      <c r="BN405">
        <f>((cc_D/2*(1-COS(($BH405+4*($BI405-$BH405)/12)))-$BF405)/$BG405)^2*SIN(($BH405+4*($BI405-$BH405)/12))^2</f>
        <v/>
      </c>
      <c r="BO405">
        <f>((cc_D/2*(1-COS(($BH405+5*($BI405-$BH405)/12)))-$BF405)/$BG405)^2*SIN(($BH405+5*($BI405-$BH405)/12))^2</f>
        <v/>
      </c>
      <c r="BP405">
        <f>((cc_D/2*(1-COS(($BH405+6*($BI405-$BH405)/12)))-$BF405)/$BG405)^2*SIN(($BH405+6*($BI405-$BH405)/12))^2</f>
        <v/>
      </c>
      <c r="BQ405">
        <f>((cc_D/2*(1-COS(($BH405+7*($BI405-$BH405)/12)))-$BF405)/$BG405)^2*SIN(($BH405+7*($BI405-$BH405)/12))^2</f>
        <v/>
      </c>
      <c r="BR405">
        <f>((cc_D/2*(1-COS(($BH405+8*($BI405-$BH405)/12)))-$BF405)/$BG405)^2*SIN(($BH405+8*($BI405-$BH405)/12))^2</f>
        <v/>
      </c>
      <c r="BS405">
        <f>((cc_D/2*(1-COS(($BH405+9*($BI405-$BH405)/12)))-$BF405)/$BG405)^2*SIN(($BH405+9*($BI405-$BH405)/12))^2</f>
        <v/>
      </c>
      <c r="BT405">
        <f>((cc_D/2*(1-COS(($BH405+10*($BI405-$BH405)/12)))-$BF405)/$BG405)^2*SIN(($BH405+10*($BI405-$BH405)/12))^2</f>
        <v/>
      </c>
      <c r="BU405">
        <f>((cc_D/2*(1-COS(($BH405+11*($BI405-$BH405)/12)))-$BF405)/$BG405)^2*SIN(($BH405+11*($BI405-$BH405)/12))^2</f>
        <v/>
      </c>
      <c r="BV405">
        <f>((cc_D/2*(1-COS(($BH405+12*($BI405-$BH405)/12)))-$BF405)/$BG405)^2*SIN(($BH405+12*($BI405-$BH405)/12))^2</f>
        <v/>
      </c>
      <c r="BW405">
        <f>BJ405*COS(($BH405+0*($BI405-$BH405)/12))</f>
        <v/>
      </c>
      <c r="BX405">
        <f>BK405*COS(($BH405+1*($BI405-$BH405)/12))</f>
        <v/>
      </c>
      <c r="BY405">
        <f>BL405*COS(($BH405+2*($BI405-$BH405)/12))</f>
        <v/>
      </c>
      <c r="BZ405">
        <f>BM405*COS(($BH405+3*($BI405-$BH405)/12))</f>
        <v/>
      </c>
      <c r="CA405">
        <f>BN405*COS(($BH405+4*($BI405-$BH405)/12))</f>
        <v/>
      </c>
      <c r="CB405">
        <f>BO405*COS(($BH405+5*($BI405-$BH405)/12))</f>
        <v/>
      </c>
      <c r="CC405">
        <f>BP405*COS(($BH405+6*($BI405-$BH405)/12))</f>
        <v/>
      </c>
      <c r="CD405">
        <f>BQ405*COS(($BH405+7*($BI405-$BH405)/12))</f>
        <v/>
      </c>
      <c r="CE405">
        <f>BR405*COS(($BH405+8*($BI405-$BH405)/12))</f>
        <v/>
      </c>
      <c r="CF405">
        <f>BS405*COS(($BH405+9*($BI405-$BH405)/12))</f>
        <v/>
      </c>
      <c r="CG405">
        <f>BT405*COS(($BH405+10*($BI405-$BH405)/12))</f>
        <v/>
      </c>
      <c r="CH405">
        <f>BU405*COS(($BH405+11*($BI405-$BH405)/12))</f>
        <v/>
      </c>
      <c r="CI405">
        <f>BV405*COS(($BH405+12*($BI405-$BH405)/12))</f>
        <v/>
      </c>
    </row>
    <row r="406">
      <c r="B406" s="65" t="n">
        <v>2</v>
      </c>
      <c r="C406" s="66">
        <f>IF($G405&lt;cc_NEd-1E-9*ABS(cc_NEd),($C405+$D405)/2,$C405)</f>
        <v/>
      </c>
      <c r="D406" s="66">
        <f>IF($G405&lt;cc_NEd-1E-9*ABS(cc_NEd),$D405,($C405+$D405)/2)</f>
        <v/>
      </c>
      <c r="E406" s="67">
        <f>cc_D*(($C406+$D406)/2)/(1-(($C406+$D406)/2))</f>
        <v/>
      </c>
      <c r="F406" s="68">
        <f>IF($E406&lt;=cc_D,3.5,2*$E406/($E406-3*cc_D/7))</f>
        <v/>
      </c>
      <c r="G406" s="67">
        <f>(fcd_cc*((cc_D/2)^2*($BI406-COS($BI406)*SIN($BI406))-2*(cc_D/2)^2*($BI406-$BH406)/12/3*SUMPRODUCT($BJ$4:$BV$4,$BJ406:$BV406))+SUMPRODUCT($J$5:$AG$5,$J406:$AG406))/1000</f>
        <v/>
      </c>
      <c r="H406" s="67">
        <f>(fcd_cc*(2/3*(cc_D/2)^3*SIN($BI406)^3-2*(cc_D/2)^3*($BI406-$BH406)/12/3*SUMPRODUCT($BW$4:$CI$4,$BW406:$CI406))+SUMPRODUCT($J$5:$AG$5,$J406:$AG406,$J$22:$AG$22))/1E6</f>
        <v/>
      </c>
      <c r="I406" s="67">
        <f>SUMPRODUCT($J$5:$AG$5,$J406:$AG406,$J$23:$AG$23)/1E6</f>
        <v/>
      </c>
      <c r="J406">
        <f>MAX(-fyd_cc,MIN(fyd_cc,Es_cc*IF($E406&lt;=cc_D,0.0035*($E406-J$21)/$E406,0.002*($E406-J$21)/($E406-3*cc_D/7))))-fcd_cc*(1-(1-MAX(0,MIN(1,IF($E406&lt;=cc_D,0.0035*($E406-J$21)/$E406,0.002*($E406-J$21)/($E406-3*cc_D/7))/0.002)))^2)</f>
        <v/>
      </c>
      <c r="K406">
        <f>MAX(-fyd_cc,MIN(fyd_cc,Es_cc*IF($E406&lt;=cc_D,0.0035*($E406-K$21)/$E406,0.002*($E406-K$21)/($E406-3*cc_D/7))))-fcd_cc*(1-(1-MAX(0,MIN(1,IF($E406&lt;=cc_D,0.0035*($E406-K$21)/$E406,0.002*($E406-K$21)/($E406-3*cc_D/7))/0.002)))^2)</f>
        <v/>
      </c>
      <c r="L406">
        <f>MAX(-fyd_cc,MIN(fyd_cc,Es_cc*IF($E406&lt;=cc_D,0.0035*($E406-L$21)/$E406,0.002*($E406-L$21)/($E406-3*cc_D/7))))-fcd_cc*(1-(1-MAX(0,MIN(1,IF($E406&lt;=cc_D,0.0035*($E406-L$21)/$E406,0.002*($E406-L$21)/($E406-3*cc_D/7))/0.002)))^2)</f>
        <v/>
      </c>
      <c r="M406">
        <f>MAX(-fyd_cc,MIN(fyd_cc,Es_cc*IF($E406&lt;=cc_D,0.0035*($E406-M$21)/$E406,0.002*($E406-M$21)/($E406-3*cc_D/7))))-fcd_cc*(1-(1-MAX(0,MIN(1,IF($E406&lt;=cc_D,0.0035*($E406-M$21)/$E406,0.002*($E406-M$21)/($E406-3*cc_D/7))/0.002)))^2)</f>
        <v/>
      </c>
      <c r="N406">
        <f>MAX(-fyd_cc,MIN(fyd_cc,Es_cc*IF($E406&lt;=cc_D,0.0035*($E406-N$21)/$E406,0.002*($E406-N$21)/($E406-3*cc_D/7))))-fcd_cc*(1-(1-MAX(0,MIN(1,IF($E406&lt;=cc_D,0.0035*($E406-N$21)/$E406,0.002*($E406-N$21)/($E406-3*cc_D/7))/0.002)))^2)</f>
        <v/>
      </c>
      <c r="O406">
        <f>MAX(-fyd_cc,MIN(fyd_cc,Es_cc*IF($E406&lt;=cc_D,0.0035*($E406-O$21)/$E406,0.002*($E406-O$21)/($E406-3*cc_D/7))))-fcd_cc*(1-(1-MAX(0,MIN(1,IF($E406&lt;=cc_D,0.0035*($E406-O$21)/$E406,0.002*($E406-O$21)/($E406-3*cc_D/7))/0.002)))^2)</f>
        <v/>
      </c>
      <c r="P406">
        <f>MAX(-fyd_cc,MIN(fyd_cc,Es_cc*IF($E406&lt;=cc_D,0.0035*($E406-P$21)/$E406,0.002*($E406-P$21)/($E406-3*cc_D/7))))-fcd_cc*(1-(1-MAX(0,MIN(1,IF($E406&lt;=cc_D,0.0035*($E406-P$21)/$E406,0.002*($E406-P$21)/($E406-3*cc_D/7))/0.002)))^2)</f>
        <v/>
      </c>
      <c r="Q406">
        <f>MAX(-fyd_cc,MIN(fyd_cc,Es_cc*IF($E406&lt;=cc_D,0.0035*($E406-Q$21)/$E406,0.002*($E406-Q$21)/($E406-3*cc_D/7))))-fcd_cc*(1-(1-MAX(0,MIN(1,IF($E406&lt;=cc_D,0.0035*($E406-Q$21)/$E406,0.002*($E406-Q$21)/($E406-3*cc_D/7))/0.002)))^2)</f>
        <v/>
      </c>
      <c r="R406">
        <f>MAX(-fyd_cc,MIN(fyd_cc,Es_cc*IF($E406&lt;=cc_D,0.0035*($E406-R$21)/$E406,0.002*($E406-R$21)/($E406-3*cc_D/7))))-fcd_cc*(1-(1-MAX(0,MIN(1,IF($E406&lt;=cc_D,0.0035*($E406-R$21)/$E406,0.002*($E406-R$21)/($E406-3*cc_D/7))/0.002)))^2)</f>
        <v/>
      </c>
      <c r="S406">
        <f>MAX(-fyd_cc,MIN(fyd_cc,Es_cc*IF($E406&lt;=cc_D,0.0035*($E406-S$21)/$E406,0.002*($E406-S$21)/($E406-3*cc_D/7))))-fcd_cc*(1-(1-MAX(0,MIN(1,IF($E406&lt;=cc_D,0.0035*($E406-S$21)/$E406,0.002*($E406-S$21)/($E406-3*cc_D/7))/0.002)))^2)</f>
        <v/>
      </c>
      <c r="T406">
        <f>MAX(-fyd_cc,MIN(fyd_cc,Es_cc*IF($E406&lt;=cc_D,0.0035*($E406-T$21)/$E406,0.002*($E406-T$21)/($E406-3*cc_D/7))))-fcd_cc*(1-(1-MAX(0,MIN(1,IF($E406&lt;=cc_D,0.0035*($E406-T$21)/$E406,0.002*($E406-T$21)/($E406-3*cc_D/7))/0.002)))^2)</f>
        <v/>
      </c>
      <c r="U406">
        <f>MAX(-fyd_cc,MIN(fyd_cc,Es_cc*IF($E406&lt;=cc_D,0.0035*($E406-U$21)/$E406,0.002*($E406-U$21)/($E406-3*cc_D/7))))-fcd_cc*(1-(1-MAX(0,MIN(1,IF($E406&lt;=cc_D,0.0035*($E406-U$21)/$E406,0.002*($E406-U$21)/($E406-3*cc_D/7))/0.002)))^2)</f>
        <v/>
      </c>
      <c r="V406">
        <f>MAX(-fyd_cc,MIN(fyd_cc,Es_cc*IF($E406&lt;=cc_D,0.0035*($E406-V$21)/$E406,0.002*($E406-V$21)/($E406-3*cc_D/7))))-fcd_cc*(1-(1-MAX(0,MIN(1,IF($E406&lt;=cc_D,0.0035*($E406-V$21)/$E406,0.002*($E406-V$21)/($E406-3*cc_D/7))/0.002)))^2)</f>
        <v/>
      </c>
      <c r="W406">
        <f>MAX(-fyd_cc,MIN(fyd_cc,Es_cc*IF($E406&lt;=cc_D,0.0035*($E406-W$21)/$E406,0.002*($E406-W$21)/($E406-3*cc_D/7))))-fcd_cc*(1-(1-MAX(0,MIN(1,IF($E406&lt;=cc_D,0.0035*($E406-W$21)/$E406,0.002*($E406-W$21)/($E406-3*cc_D/7))/0.002)))^2)</f>
        <v/>
      </c>
      <c r="X406">
        <f>MAX(-fyd_cc,MIN(fyd_cc,Es_cc*IF($E406&lt;=cc_D,0.0035*($E406-X$21)/$E406,0.002*($E406-X$21)/($E406-3*cc_D/7))))-fcd_cc*(1-(1-MAX(0,MIN(1,IF($E406&lt;=cc_D,0.0035*($E406-X$21)/$E406,0.002*($E406-X$21)/($E406-3*cc_D/7))/0.002)))^2)</f>
        <v/>
      </c>
      <c r="Y406">
        <f>MAX(-fyd_cc,MIN(fyd_cc,Es_cc*IF($E406&lt;=cc_D,0.0035*($E406-Y$21)/$E406,0.002*($E406-Y$21)/($E406-3*cc_D/7))))-fcd_cc*(1-(1-MAX(0,MIN(1,IF($E406&lt;=cc_D,0.0035*($E406-Y$21)/$E406,0.002*($E406-Y$21)/($E406-3*cc_D/7))/0.002)))^2)</f>
        <v/>
      </c>
      <c r="Z406">
        <f>MAX(-fyd_cc,MIN(fyd_cc,Es_cc*IF($E406&lt;=cc_D,0.0035*($E406-Z$21)/$E406,0.002*($E406-Z$21)/($E406-3*cc_D/7))))-fcd_cc*(1-(1-MAX(0,MIN(1,IF($E406&lt;=cc_D,0.0035*($E406-Z$21)/$E406,0.002*($E406-Z$21)/($E406-3*cc_D/7))/0.002)))^2)</f>
        <v/>
      </c>
      <c r="AA406">
        <f>MAX(-fyd_cc,MIN(fyd_cc,Es_cc*IF($E406&lt;=cc_D,0.0035*($E406-AA$21)/$E406,0.002*($E406-AA$21)/($E406-3*cc_D/7))))-fcd_cc*(1-(1-MAX(0,MIN(1,IF($E406&lt;=cc_D,0.0035*($E406-AA$21)/$E406,0.002*($E406-AA$21)/($E406-3*cc_D/7))/0.002)))^2)</f>
        <v/>
      </c>
      <c r="AB406">
        <f>MAX(-fyd_cc,MIN(fyd_cc,Es_cc*IF($E406&lt;=cc_D,0.0035*($E406-AB$21)/$E406,0.002*($E406-AB$21)/($E406-3*cc_D/7))))-fcd_cc*(1-(1-MAX(0,MIN(1,IF($E406&lt;=cc_D,0.0035*($E406-AB$21)/$E406,0.002*($E406-AB$21)/($E406-3*cc_D/7))/0.002)))^2)</f>
        <v/>
      </c>
      <c r="AC406">
        <f>MAX(-fyd_cc,MIN(fyd_cc,Es_cc*IF($E406&lt;=cc_D,0.0035*($E406-AC$21)/$E406,0.002*($E406-AC$21)/($E406-3*cc_D/7))))-fcd_cc*(1-(1-MAX(0,MIN(1,IF($E406&lt;=cc_D,0.0035*($E406-AC$21)/$E406,0.002*($E406-AC$21)/($E406-3*cc_D/7))/0.002)))^2)</f>
        <v/>
      </c>
      <c r="AD406">
        <f>MAX(-fyd_cc,MIN(fyd_cc,Es_cc*IF($E406&lt;=cc_D,0.0035*($E406-AD$21)/$E406,0.002*($E406-AD$21)/($E406-3*cc_D/7))))-fcd_cc*(1-(1-MAX(0,MIN(1,IF($E406&lt;=cc_D,0.0035*($E406-AD$21)/$E406,0.002*($E406-AD$21)/($E406-3*cc_D/7))/0.002)))^2)</f>
        <v/>
      </c>
      <c r="AE406">
        <f>MAX(-fyd_cc,MIN(fyd_cc,Es_cc*IF($E406&lt;=cc_D,0.0035*($E406-AE$21)/$E406,0.002*($E406-AE$21)/($E406-3*cc_D/7))))-fcd_cc*(1-(1-MAX(0,MIN(1,IF($E406&lt;=cc_D,0.0035*($E406-AE$21)/$E406,0.002*($E406-AE$21)/($E406-3*cc_D/7))/0.002)))^2)</f>
        <v/>
      </c>
      <c r="AF406">
        <f>MAX(-fyd_cc,MIN(fyd_cc,Es_cc*IF($E406&lt;=cc_D,0.0035*($E406-AF$21)/$E406,0.002*($E406-AF$21)/($E406-3*cc_D/7))))-fcd_cc*(1-(1-MAX(0,MIN(1,IF($E406&lt;=cc_D,0.0035*($E406-AF$21)/$E406,0.002*($E406-AF$21)/($E406-3*cc_D/7))/0.002)))^2)</f>
        <v/>
      </c>
      <c r="AG406">
        <f>MAX(-fyd_cc,MIN(fyd_cc,Es_cc*IF($E406&lt;=cc_D,0.0035*($E406-AG$21)/$E406,0.002*($E406-AG$21)/($E406-3*cc_D/7))))-fcd_cc*(1-(1-MAX(0,MIN(1,IF($E406&lt;=cc_D,0.0035*($E406-AG$21)/$E406,0.002*($E406-AG$21)/($E406-3*cc_D/7))/0.002)))^2)</f>
        <v/>
      </c>
      <c r="BF406">
        <f>3*MIN($E406,cc_D)/7</f>
        <v/>
      </c>
      <c r="BG406">
        <f>$E406-$BF406</f>
        <v/>
      </c>
      <c r="BH406">
        <f>ACOS(MAX(-1,MIN(1,1-$BF406/(cc_D/2))))</f>
        <v/>
      </c>
      <c r="BI406">
        <f>ACOS(MAX(-1,MIN(1,1-MIN($E406,cc_D)/(cc_D/2))))</f>
        <v/>
      </c>
      <c r="BJ406">
        <f>((cc_D/2*(1-COS(($BH406+0*($BI406-$BH406)/12)))-$BF406)/$BG406)^2*SIN(($BH406+0*($BI406-$BH406)/12))^2</f>
        <v/>
      </c>
      <c r="BK406">
        <f>((cc_D/2*(1-COS(($BH406+1*($BI406-$BH406)/12)))-$BF406)/$BG406)^2*SIN(($BH406+1*($BI406-$BH406)/12))^2</f>
        <v/>
      </c>
      <c r="BL406">
        <f>((cc_D/2*(1-COS(($BH406+2*($BI406-$BH406)/12)))-$BF406)/$BG406)^2*SIN(($BH406+2*($BI406-$BH406)/12))^2</f>
        <v/>
      </c>
      <c r="BM406">
        <f>((cc_D/2*(1-COS(($BH406+3*($BI406-$BH406)/12)))-$BF406)/$BG406)^2*SIN(($BH406+3*($BI406-$BH406)/12))^2</f>
        <v/>
      </c>
      <c r="BN406">
        <f>((cc_D/2*(1-COS(($BH406+4*($BI406-$BH406)/12)))-$BF406)/$BG406)^2*SIN(($BH406+4*($BI406-$BH406)/12))^2</f>
        <v/>
      </c>
      <c r="BO406">
        <f>((cc_D/2*(1-COS(($BH406+5*($BI406-$BH406)/12)))-$BF406)/$BG406)^2*SIN(($BH406+5*($BI406-$BH406)/12))^2</f>
        <v/>
      </c>
      <c r="BP406">
        <f>((cc_D/2*(1-COS(($BH406+6*($BI406-$BH406)/12)))-$BF406)/$BG406)^2*SIN(($BH406+6*($BI406-$BH406)/12))^2</f>
        <v/>
      </c>
      <c r="BQ406">
        <f>((cc_D/2*(1-COS(($BH406+7*($BI406-$BH406)/12)))-$BF406)/$BG406)^2*SIN(($BH406+7*($BI406-$BH406)/12))^2</f>
        <v/>
      </c>
      <c r="BR406">
        <f>((cc_D/2*(1-COS(($BH406+8*($BI406-$BH406)/12)))-$BF406)/$BG406)^2*SIN(($BH406+8*($BI406-$BH406)/12))^2</f>
        <v/>
      </c>
      <c r="BS406">
        <f>((cc_D/2*(1-COS(($BH406+9*($BI406-$BH406)/12)))-$BF406)/$BG406)^2*SIN(($BH406+9*($BI406-$BH406)/12))^2</f>
        <v/>
      </c>
      <c r="BT406">
        <f>((cc_D/2*(1-COS(($BH406+10*($BI406-$BH406)/12)))-$BF406)/$BG406)^2*SIN(($BH406+10*($BI406-$BH406)/12))^2</f>
        <v/>
      </c>
      <c r="BU406">
        <f>((cc_D/2*(1-COS(($BH406+11*($BI406-$BH406)/12)))-$BF406)/$BG406)^2*SIN(($BH406+11*($BI406-$BH406)/12))^2</f>
        <v/>
      </c>
      <c r="BV406">
        <f>((cc_D/2*(1-COS(($BH406+12*($BI406-$BH406)/12)))-$BF406)/$BG406)^2*SIN(($BH406+12*($BI406-$BH406)/12))^2</f>
        <v/>
      </c>
      <c r="BW406">
        <f>BJ406*COS(($BH406+0*($BI406-$BH406)/12))</f>
        <v/>
      </c>
      <c r="BX406">
        <f>BK406*COS(($BH406+1*($BI406-$BH406)/12))</f>
        <v/>
      </c>
      <c r="BY406">
        <f>BL406*COS(($BH406+2*($BI406-$BH406)/12))</f>
        <v/>
      </c>
      <c r="BZ406">
        <f>BM406*COS(($BH406+3*($BI406-$BH406)/12))</f>
        <v/>
      </c>
      <c r="CA406">
        <f>BN406*COS(($BH406+4*($BI406-$BH406)/12))</f>
        <v/>
      </c>
      <c r="CB406">
        <f>BO406*COS(($BH406+5*($BI406-$BH406)/12))</f>
        <v/>
      </c>
      <c r="CC406">
        <f>BP406*COS(($BH406+6*($BI406-$BH406)/12))</f>
        <v/>
      </c>
      <c r="CD406">
        <f>BQ406*COS(($BH406+7*($BI406-$BH406)/12))</f>
        <v/>
      </c>
      <c r="CE406">
        <f>BR406*COS(($BH406+8*($BI406-$BH406)/12))</f>
        <v/>
      </c>
      <c r="CF406">
        <f>BS406*COS(($BH406+9*($BI406-$BH406)/12))</f>
        <v/>
      </c>
      <c r="CG406">
        <f>BT406*COS(($BH406+10*($BI406-$BH406)/12))</f>
        <v/>
      </c>
      <c r="CH406">
        <f>BU406*COS(($BH406+11*($BI406-$BH406)/12))</f>
        <v/>
      </c>
      <c r="CI406">
        <f>BV406*COS(($BH406+12*($BI406-$BH406)/12))</f>
        <v/>
      </c>
    </row>
    <row r="407">
      <c r="B407" s="65" t="n">
        <v>3</v>
      </c>
      <c r="C407" s="66">
        <f>IF($G406&lt;cc_NEd-1E-9*ABS(cc_NEd),($C406+$D406)/2,$C406)</f>
        <v/>
      </c>
      <c r="D407" s="66">
        <f>IF($G406&lt;cc_NEd-1E-9*ABS(cc_NEd),$D406,($C406+$D406)/2)</f>
        <v/>
      </c>
      <c r="E407" s="67">
        <f>cc_D*(($C407+$D407)/2)/(1-(($C407+$D407)/2))</f>
        <v/>
      </c>
      <c r="F407" s="68">
        <f>IF($E407&lt;=cc_D,3.5,2*$E407/($E407-3*cc_D/7))</f>
        <v/>
      </c>
      <c r="G407" s="67">
        <f>(fcd_cc*((cc_D/2)^2*($BI407-COS($BI407)*SIN($BI407))-2*(cc_D/2)^2*($BI407-$BH407)/12/3*SUMPRODUCT($BJ$4:$BV$4,$BJ407:$BV407))+SUMPRODUCT($J$5:$AG$5,$J407:$AG407))/1000</f>
        <v/>
      </c>
      <c r="H407" s="67">
        <f>(fcd_cc*(2/3*(cc_D/2)^3*SIN($BI407)^3-2*(cc_D/2)^3*($BI407-$BH407)/12/3*SUMPRODUCT($BW$4:$CI$4,$BW407:$CI407))+SUMPRODUCT($J$5:$AG$5,$J407:$AG407,$J$22:$AG$22))/1E6</f>
        <v/>
      </c>
      <c r="I407" s="67">
        <f>SUMPRODUCT($J$5:$AG$5,$J407:$AG407,$J$23:$AG$23)/1E6</f>
        <v/>
      </c>
      <c r="J407">
        <f>MAX(-fyd_cc,MIN(fyd_cc,Es_cc*IF($E407&lt;=cc_D,0.0035*($E407-J$21)/$E407,0.002*($E407-J$21)/($E407-3*cc_D/7))))-fcd_cc*(1-(1-MAX(0,MIN(1,IF($E407&lt;=cc_D,0.0035*($E407-J$21)/$E407,0.002*($E407-J$21)/($E407-3*cc_D/7))/0.002)))^2)</f>
        <v/>
      </c>
      <c r="K407">
        <f>MAX(-fyd_cc,MIN(fyd_cc,Es_cc*IF($E407&lt;=cc_D,0.0035*($E407-K$21)/$E407,0.002*($E407-K$21)/($E407-3*cc_D/7))))-fcd_cc*(1-(1-MAX(0,MIN(1,IF($E407&lt;=cc_D,0.0035*($E407-K$21)/$E407,0.002*($E407-K$21)/($E407-3*cc_D/7))/0.002)))^2)</f>
        <v/>
      </c>
      <c r="L407">
        <f>MAX(-fyd_cc,MIN(fyd_cc,Es_cc*IF($E407&lt;=cc_D,0.0035*($E407-L$21)/$E407,0.002*($E407-L$21)/($E407-3*cc_D/7))))-fcd_cc*(1-(1-MAX(0,MIN(1,IF($E407&lt;=cc_D,0.0035*($E407-L$21)/$E407,0.002*($E407-L$21)/($E407-3*cc_D/7))/0.002)))^2)</f>
        <v/>
      </c>
      <c r="M407">
        <f>MAX(-fyd_cc,MIN(fyd_cc,Es_cc*IF($E407&lt;=cc_D,0.0035*($E407-M$21)/$E407,0.002*($E407-M$21)/($E407-3*cc_D/7))))-fcd_cc*(1-(1-MAX(0,MIN(1,IF($E407&lt;=cc_D,0.0035*($E407-M$21)/$E407,0.002*($E407-M$21)/($E407-3*cc_D/7))/0.002)))^2)</f>
        <v/>
      </c>
      <c r="N407">
        <f>MAX(-fyd_cc,MIN(fyd_cc,Es_cc*IF($E407&lt;=cc_D,0.0035*($E407-N$21)/$E407,0.002*($E407-N$21)/($E407-3*cc_D/7))))-fcd_cc*(1-(1-MAX(0,MIN(1,IF($E407&lt;=cc_D,0.0035*($E407-N$21)/$E407,0.002*($E407-N$21)/($E407-3*cc_D/7))/0.002)))^2)</f>
        <v/>
      </c>
      <c r="O407">
        <f>MAX(-fyd_cc,MIN(fyd_cc,Es_cc*IF($E407&lt;=cc_D,0.0035*($E407-O$21)/$E407,0.002*($E407-O$21)/($E407-3*cc_D/7))))-fcd_cc*(1-(1-MAX(0,MIN(1,IF($E407&lt;=cc_D,0.0035*($E407-O$21)/$E407,0.002*($E407-O$21)/($E407-3*cc_D/7))/0.002)))^2)</f>
        <v/>
      </c>
      <c r="P407">
        <f>MAX(-fyd_cc,MIN(fyd_cc,Es_cc*IF($E407&lt;=cc_D,0.0035*($E407-P$21)/$E407,0.002*($E407-P$21)/($E407-3*cc_D/7))))-fcd_cc*(1-(1-MAX(0,MIN(1,IF($E407&lt;=cc_D,0.0035*($E407-P$21)/$E407,0.002*($E407-P$21)/($E407-3*cc_D/7))/0.002)))^2)</f>
        <v/>
      </c>
      <c r="Q407">
        <f>MAX(-fyd_cc,MIN(fyd_cc,Es_cc*IF($E407&lt;=cc_D,0.0035*($E407-Q$21)/$E407,0.002*($E407-Q$21)/($E407-3*cc_D/7))))-fcd_cc*(1-(1-MAX(0,MIN(1,IF($E407&lt;=cc_D,0.0035*($E407-Q$21)/$E407,0.002*($E407-Q$21)/($E407-3*cc_D/7))/0.002)))^2)</f>
        <v/>
      </c>
      <c r="R407">
        <f>MAX(-fyd_cc,MIN(fyd_cc,Es_cc*IF($E407&lt;=cc_D,0.0035*($E407-R$21)/$E407,0.002*($E407-R$21)/($E407-3*cc_D/7))))-fcd_cc*(1-(1-MAX(0,MIN(1,IF($E407&lt;=cc_D,0.0035*($E407-R$21)/$E407,0.002*($E407-R$21)/($E407-3*cc_D/7))/0.002)))^2)</f>
        <v/>
      </c>
      <c r="S407">
        <f>MAX(-fyd_cc,MIN(fyd_cc,Es_cc*IF($E407&lt;=cc_D,0.0035*($E407-S$21)/$E407,0.002*($E407-S$21)/($E407-3*cc_D/7))))-fcd_cc*(1-(1-MAX(0,MIN(1,IF($E407&lt;=cc_D,0.0035*($E407-S$21)/$E407,0.002*($E407-S$21)/($E407-3*cc_D/7))/0.002)))^2)</f>
        <v/>
      </c>
      <c r="T407">
        <f>MAX(-fyd_cc,MIN(fyd_cc,Es_cc*IF($E407&lt;=cc_D,0.0035*($E407-T$21)/$E407,0.002*($E407-T$21)/($E407-3*cc_D/7))))-fcd_cc*(1-(1-MAX(0,MIN(1,IF($E407&lt;=cc_D,0.0035*($E407-T$21)/$E407,0.002*($E407-T$21)/($E407-3*cc_D/7))/0.002)))^2)</f>
        <v/>
      </c>
      <c r="U407">
        <f>MAX(-fyd_cc,MIN(fyd_cc,Es_cc*IF($E407&lt;=cc_D,0.0035*($E407-U$21)/$E407,0.002*($E407-U$21)/($E407-3*cc_D/7))))-fcd_cc*(1-(1-MAX(0,MIN(1,IF($E407&lt;=cc_D,0.0035*($E407-U$21)/$E407,0.002*($E407-U$21)/($E407-3*cc_D/7))/0.002)))^2)</f>
        <v/>
      </c>
      <c r="V407">
        <f>MAX(-fyd_cc,MIN(fyd_cc,Es_cc*IF($E407&lt;=cc_D,0.0035*($E407-V$21)/$E407,0.002*($E407-V$21)/($E407-3*cc_D/7))))-fcd_cc*(1-(1-MAX(0,MIN(1,IF($E407&lt;=cc_D,0.0035*($E407-V$21)/$E407,0.002*($E407-V$21)/($E407-3*cc_D/7))/0.002)))^2)</f>
        <v/>
      </c>
      <c r="W407">
        <f>MAX(-fyd_cc,MIN(fyd_cc,Es_cc*IF($E407&lt;=cc_D,0.0035*($E407-W$21)/$E407,0.002*($E407-W$21)/($E407-3*cc_D/7))))-fcd_cc*(1-(1-MAX(0,MIN(1,IF($E407&lt;=cc_D,0.0035*($E407-W$21)/$E407,0.002*($E407-W$21)/($E407-3*cc_D/7))/0.002)))^2)</f>
        <v/>
      </c>
      <c r="X407">
        <f>MAX(-fyd_cc,MIN(fyd_cc,Es_cc*IF($E407&lt;=cc_D,0.0035*($E407-X$21)/$E407,0.002*($E407-X$21)/($E407-3*cc_D/7))))-fcd_cc*(1-(1-MAX(0,MIN(1,IF($E407&lt;=cc_D,0.0035*($E407-X$21)/$E407,0.002*($E407-X$21)/($E407-3*cc_D/7))/0.002)))^2)</f>
        <v/>
      </c>
      <c r="Y407">
        <f>MAX(-fyd_cc,MIN(fyd_cc,Es_cc*IF($E407&lt;=cc_D,0.0035*($E407-Y$21)/$E407,0.002*($E407-Y$21)/($E407-3*cc_D/7))))-fcd_cc*(1-(1-MAX(0,MIN(1,IF($E407&lt;=cc_D,0.0035*($E407-Y$21)/$E407,0.002*($E407-Y$21)/($E407-3*cc_D/7))/0.002)))^2)</f>
        <v/>
      </c>
      <c r="Z407">
        <f>MAX(-fyd_cc,MIN(fyd_cc,Es_cc*IF($E407&lt;=cc_D,0.0035*($E407-Z$21)/$E407,0.002*($E407-Z$21)/($E407-3*cc_D/7))))-fcd_cc*(1-(1-MAX(0,MIN(1,IF($E407&lt;=cc_D,0.0035*($E407-Z$21)/$E407,0.002*($E407-Z$21)/($E407-3*cc_D/7))/0.002)))^2)</f>
        <v/>
      </c>
      <c r="AA407">
        <f>MAX(-fyd_cc,MIN(fyd_cc,Es_cc*IF($E407&lt;=cc_D,0.0035*($E407-AA$21)/$E407,0.002*($E407-AA$21)/($E407-3*cc_D/7))))-fcd_cc*(1-(1-MAX(0,MIN(1,IF($E407&lt;=cc_D,0.0035*($E407-AA$21)/$E407,0.002*($E407-AA$21)/($E407-3*cc_D/7))/0.002)))^2)</f>
        <v/>
      </c>
      <c r="AB407">
        <f>MAX(-fyd_cc,MIN(fyd_cc,Es_cc*IF($E407&lt;=cc_D,0.0035*($E407-AB$21)/$E407,0.002*($E407-AB$21)/($E407-3*cc_D/7))))-fcd_cc*(1-(1-MAX(0,MIN(1,IF($E407&lt;=cc_D,0.0035*($E407-AB$21)/$E407,0.002*($E407-AB$21)/($E407-3*cc_D/7))/0.002)))^2)</f>
        <v/>
      </c>
      <c r="AC407">
        <f>MAX(-fyd_cc,MIN(fyd_cc,Es_cc*IF($E407&lt;=cc_D,0.0035*($E407-AC$21)/$E407,0.002*($E407-AC$21)/($E407-3*cc_D/7))))-fcd_cc*(1-(1-MAX(0,MIN(1,IF($E407&lt;=cc_D,0.0035*($E407-AC$21)/$E407,0.002*($E407-AC$21)/($E407-3*cc_D/7))/0.002)))^2)</f>
        <v/>
      </c>
      <c r="AD407">
        <f>MAX(-fyd_cc,MIN(fyd_cc,Es_cc*IF($E407&lt;=cc_D,0.0035*($E407-AD$21)/$E407,0.002*($E407-AD$21)/($E407-3*cc_D/7))))-fcd_cc*(1-(1-MAX(0,MIN(1,IF($E407&lt;=cc_D,0.0035*($E407-AD$21)/$E407,0.002*($E407-AD$21)/($E407-3*cc_D/7))/0.002)))^2)</f>
        <v/>
      </c>
      <c r="AE407">
        <f>MAX(-fyd_cc,MIN(fyd_cc,Es_cc*IF($E407&lt;=cc_D,0.0035*($E407-AE$21)/$E407,0.002*($E407-AE$21)/($E407-3*cc_D/7))))-fcd_cc*(1-(1-MAX(0,MIN(1,IF($E407&lt;=cc_D,0.0035*($E407-AE$21)/$E407,0.002*($E407-AE$21)/($E407-3*cc_D/7))/0.002)))^2)</f>
        <v/>
      </c>
      <c r="AF407">
        <f>MAX(-fyd_cc,MIN(fyd_cc,Es_cc*IF($E407&lt;=cc_D,0.0035*($E407-AF$21)/$E407,0.002*($E407-AF$21)/($E407-3*cc_D/7))))-fcd_cc*(1-(1-MAX(0,MIN(1,IF($E407&lt;=cc_D,0.0035*($E407-AF$21)/$E407,0.002*($E407-AF$21)/($E407-3*cc_D/7))/0.002)))^2)</f>
        <v/>
      </c>
      <c r="AG407">
        <f>MAX(-fyd_cc,MIN(fyd_cc,Es_cc*IF($E407&lt;=cc_D,0.0035*($E407-AG$21)/$E407,0.002*($E407-AG$21)/($E407-3*cc_D/7))))-fcd_cc*(1-(1-MAX(0,MIN(1,IF($E407&lt;=cc_D,0.0035*($E407-AG$21)/$E407,0.002*($E407-AG$21)/($E407-3*cc_D/7))/0.002)))^2)</f>
        <v/>
      </c>
      <c r="BF407">
        <f>3*MIN($E407,cc_D)/7</f>
        <v/>
      </c>
      <c r="BG407">
        <f>$E407-$BF407</f>
        <v/>
      </c>
      <c r="BH407">
        <f>ACOS(MAX(-1,MIN(1,1-$BF407/(cc_D/2))))</f>
        <v/>
      </c>
      <c r="BI407">
        <f>ACOS(MAX(-1,MIN(1,1-MIN($E407,cc_D)/(cc_D/2))))</f>
        <v/>
      </c>
      <c r="BJ407">
        <f>((cc_D/2*(1-COS(($BH407+0*($BI407-$BH407)/12)))-$BF407)/$BG407)^2*SIN(($BH407+0*($BI407-$BH407)/12))^2</f>
        <v/>
      </c>
      <c r="BK407">
        <f>((cc_D/2*(1-COS(($BH407+1*($BI407-$BH407)/12)))-$BF407)/$BG407)^2*SIN(($BH407+1*($BI407-$BH407)/12))^2</f>
        <v/>
      </c>
      <c r="BL407">
        <f>((cc_D/2*(1-COS(($BH407+2*($BI407-$BH407)/12)))-$BF407)/$BG407)^2*SIN(($BH407+2*($BI407-$BH407)/12))^2</f>
        <v/>
      </c>
      <c r="BM407">
        <f>((cc_D/2*(1-COS(($BH407+3*($BI407-$BH407)/12)))-$BF407)/$BG407)^2*SIN(($BH407+3*($BI407-$BH407)/12))^2</f>
        <v/>
      </c>
      <c r="BN407">
        <f>((cc_D/2*(1-COS(($BH407+4*($BI407-$BH407)/12)))-$BF407)/$BG407)^2*SIN(($BH407+4*($BI407-$BH407)/12))^2</f>
        <v/>
      </c>
      <c r="BO407">
        <f>((cc_D/2*(1-COS(($BH407+5*($BI407-$BH407)/12)))-$BF407)/$BG407)^2*SIN(($BH407+5*($BI407-$BH407)/12))^2</f>
        <v/>
      </c>
      <c r="BP407">
        <f>((cc_D/2*(1-COS(($BH407+6*($BI407-$BH407)/12)))-$BF407)/$BG407)^2*SIN(($BH407+6*($BI407-$BH407)/12))^2</f>
        <v/>
      </c>
      <c r="BQ407">
        <f>((cc_D/2*(1-COS(($BH407+7*($BI407-$BH407)/12)))-$BF407)/$BG407)^2*SIN(($BH407+7*($BI407-$BH407)/12))^2</f>
        <v/>
      </c>
      <c r="BR407">
        <f>((cc_D/2*(1-COS(($BH407+8*($BI407-$BH407)/12)))-$BF407)/$BG407)^2*SIN(($BH407+8*($BI407-$BH407)/12))^2</f>
        <v/>
      </c>
      <c r="BS407">
        <f>((cc_D/2*(1-COS(($BH407+9*($BI407-$BH407)/12)))-$BF407)/$BG407)^2*SIN(($BH407+9*($BI407-$BH407)/12))^2</f>
        <v/>
      </c>
      <c r="BT407">
        <f>((cc_D/2*(1-COS(($BH407+10*($BI407-$BH407)/12)))-$BF407)/$BG407)^2*SIN(($BH407+10*($BI407-$BH407)/12))^2</f>
        <v/>
      </c>
      <c r="BU407">
        <f>((cc_D/2*(1-COS(($BH407+11*($BI407-$BH407)/12)))-$BF407)/$BG407)^2*SIN(($BH407+11*($BI407-$BH407)/12))^2</f>
        <v/>
      </c>
      <c r="BV407">
        <f>((cc_D/2*(1-COS(($BH407+12*($BI407-$BH407)/12)))-$BF407)/$BG407)^2*SIN(($BH407+12*($BI407-$BH407)/12))^2</f>
        <v/>
      </c>
      <c r="BW407">
        <f>BJ407*COS(($BH407+0*($BI407-$BH407)/12))</f>
        <v/>
      </c>
      <c r="BX407">
        <f>BK407*COS(($BH407+1*($BI407-$BH407)/12))</f>
        <v/>
      </c>
      <c r="BY407">
        <f>BL407*COS(($BH407+2*($BI407-$BH407)/12))</f>
        <v/>
      </c>
      <c r="BZ407">
        <f>BM407*COS(($BH407+3*($BI407-$BH407)/12))</f>
        <v/>
      </c>
      <c r="CA407">
        <f>BN407*COS(($BH407+4*($BI407-$BH407)/12))</f>
        <v/>
      </c>
      <c r="CB407">
        <f>BO407*COS(($BH407+5*($BI407-$BH407)/12))</f>
        <v/>
      </c>
      <c r="CC407">
        <f>BP407*COS(($BH407+6*($BI407-$BH407)/12))</f>
        <v/>
      </c>
      <c r="CD407">
        <f>BQ407*COS(($BH407+7*($BI407-$BH407)/12))</f>
        <v/>
      </c>
      <c r="CE407">
        <f>BR407*COS(($BH407+8*($BI407-$BH407)/12))</f>
        <v/>
      </c>
      <c r="CF407">
        <f>BS407*COS(($BH407+9*($BI407-$BH407)/12))</f>
        <v/>
      </c>
      <c r="CG407">
        <f>BT407*COS(($BH407+10*($BI407-$BH407)/12))</f>
        <v/>
      </c>
      <c r="CH407">
        <f>BU407*COS(($BH407+11*($BI407-$BH407)/12))</f>
        <v/>
      </c>
      <c r="CI407">
        <f>BV407*COS(($BH407+12*($BI407-$BH407)/12))</f>
        <v/>
      </c>
    </row>
    <row r="408">
      <c r="B408" s="65" t="n">
        <v>4</v>
      </c>
      <c r="C408" s="66">
        <f>IF($G407&lt;cc_NEd-1E-9*ABS(cc_NEd),($C407+$D407)/2,$C407)</f>
        <v/>
      </c>
      <c r="D408" s="66">
        <f>IF($G407&lt;cc_NEd-1E-9*ABS(cc_NEd),$D407,($C407+$D407)/2)</f>
        <v/>
      </c>
      <c r="E408" s="67">
        <f>cc_D*(($C408+$D408)/2)/(1-(($C408+$D408)/2))</f>
        <v/>
      </c>
      <c r="F408" s="68">
        <f>IF($E408&lt;=cc_D,3.5,2*$E408/($E408-3*cc_D/7))</f>
        <v/>
      </c>
      <c r="G408" s="67">
        <f>(fcd_cc*((cc_D/2)^2*($BI408-COS($BI408)*SIN($BI408))-2*(cc_D/2)^2*($BI408-$BH408)/12/3*SUMPRODUCT($BJ$4:$BV$4,$BJ408:$BV408))+SUMPRODUCT($J$5:$AG$5,$J408:$AG408))/1000</f>
        <v/>
      </c>
      <c r="H408" s="67">
        <f>(fcd_cc*(2/3*(cc_D/2)^3*SIN($BI408)^3-2*(cc_D/2)^3*($BI408-$BH408)/12/3*SUMPRODUCT($BW$4:$CI$4,$BW408:$CI408))+SUMPRODUCT($J$5:$AG$5,$J408:$AG408,$J$22:$AG$22))/1E6</f>
        <v/>
      </c>
      <c r="I408" s="67">
        <f>SUMPRODUCT($J$5:$AG$5,$J408:$AG408,$J$23:$AG$23)/1E6</f>
        <v/>
      </c>
      <c r="J408">
        <f>MAX(-fyd_cc,MIN(fyd_cc,Es_cc*IF($E408&lt;=cc_D,0.0035*($E408-J$21)/$E408,0.002*($E408-J$21)/($E408-3*cc_D/7))))-fcd_cc*(1-(1-MAX(0,MIN(1,IF($E408&lt;=cc_D,0.0035*($E408-J$21)/$E408,0.002*($E408-J$21)/($E408-3*cc_D/7))/0.002)))^2)</f>
        <v/>
      </c>
      <c r="K408">
        <f>MAX(-fyd_cc,MIN(fyd_cc,Es_cc*IF($E408&lt;=cc_D,0.0035*($E408-K$21)/$E408,0.002*($E408-K$21)/($E408-3*cc_D/7))))-fcd_cc*(1-(1-MAX(0,MIN(1,IF($E408&lt;=cc_D,0.0035*($E408-K$21)/$E408,0.002*($E408-K$21)/($E408-3*cc_D/7))/0.002)))^2)</f>
        <v/>
      </c>
      <c r="L408">
        <f>MAX(-fyd_cc,MIN(fyd_cc,Es_cc*IF($E408&lt;=cc_D,0.0035*($E408-L$21)/$E408,0.002*($E408-L$21)/($E408-3*cc_D/7))))-fcd_cc*(1-(1-MAX(0,MIN(1,IF($E408&lt;=cc_D,0.0035*($E408-L$21)/$E408,0.002*($E408-L$21)/($E408-3*cc_D/7))/0.002)))^2)</f>
        <v/>
      </c>
      <c r="M408">
        <f>MAX(-fyd_cc,MIN(fyd_cc,Es_cc*IF($E408&lt;=cc_D,0.0035*($E408-M$21)/$E408,0.002*($E408-M$21)/($E408-3*cc_D/7))))-fcd_cc*(1-(1-MAX(0,MIN(1,IF($E408&lt;=cc_D,0.0035*($E408-M$21)/$E408,0.002*($E408-M$21)/($E408-3*cc_D/7))/0.002)))^2)</f>
        <v/>
      </c>
      <c r="N408">
        <f>MAX(-fyd_cc,MIN(fyd_cc,Es_cc*IF($E408&lt;=cc_D,0.0035*($E408-N$21)/$E408,0.002*($E408-N$21)/($E408-3*cc_D/7))))-fcd_cc*(1-(1-MAX(0,MIN(1,IF($E408&lt;=cc_D,0.0035*($E408-N$21)/$E408,0.002*($E408-N$21)/($E408-3*cc_D/7))/0.002)))^2)</f>
        <v/>
      </c>
      <c r="O408">
        <f>MAX(-fyd_cc,MIN(fyd_cc,Es_cc*IF($E408&lt;=cc_D,0.0035*($E408-O$21)/$E408,0.002*($E408-O$21)/($E408-3*cc_D/7))))-fcd_cc*(1-(1-MAX(0,MIN(1,IF($E408&lt;=cc_D,0.0035*($E408-O$21)/$E408,0.002*($E408-O$21)/($E408-3*cc_D/7))/0.002)))^2)</f>
        <v/>
      </c>
      <c r="P408">
        <f>MAX(-fyd_cc,MIN(fyd_cc,Es_cc*IF($E408&lt;=cc_D,0.0035*($E408-P$21)/$E408,0.002*($E408-P$21)/($E408-3*cc_D/7))))-fcd_cc*(1-(1-MAX(0,MIN(1,IF($E408&lt;=cc_D,0.0035*($E408-P$21)/$E408,0.002*($E408-P$21)/($E408-3*cc_D/7))/0.002)))^2)</f>
        <v/>
      </c>
      <c r="Q408">
        <f>MAX(-fyd_cc,MIN(fyd_cc,Es_cc*IF($E408&lt;=cc_D,0.0035*($E408-Q$21)/$E408,0.002*($E408-Q$21)/($E408-3*cc_D/7))))-fcd_cc*(1-(1-MAX(0,MIN(1,IF($E408&lt;=cc_D,0.0035*($E408-Q$21)/$E408,0.002*($E408-Q$21)/($E408-3*cc_D/7))/0.002)))^2)</f>
        <v/>
      </c>
      <c r="R408">
        <f>MAX(-fyd_cc,MIN(fyd_cc,Es_cc*IF($E408&lt;=cc_D,0.0035*($E408-R$21)/$E408,0.002*($E408-R$21)/($E408-3*cc_D/7))))-fcd_cc*(1-(1-MAX(0,MIN(1,IF($E408&lt;=cc_D,0.0035*($E408-R$21)/$E408,0.002*($E408-R$21)/($E408-3*cc_D/7))/0.002)))^2)</f>
        <v/>
      </c>
      <c r="S408">
        <f>MAX(-fyd_cc,MIN(fyd_cc,Es_cc*IF($E408&lt;=cc_D,0.0035*($E408-S$21)/$E408,0.002*($E408-S$21)/($E408-3*cc_D/7))))-fcd_cc*(1-(1-MAX(0,MIN(1,IF($E408&lt;=cc_D,0.0035*($E408-S$21)/$E408,0.002*($E408-S$21)/($E408-3*cc_D/7))/0.002)))^2)</f>
        <v/>
      </c>
      <c r="T408">
        <f>MAX(-fyd_cc,MIN(fyd_cc,Es_cc*IF($E408&lt;=cc_D,0.0035*($E408-T$21)/$E408,0.002*($E408-T$21)/($E408-3*cc_D/7))))-fcd_cc*(1-(1-MAX(0,MIN(1,IF($E408&lt;=cc_D,0.0035*($E408-T$21)/$E408,0.002*($E408-T$21)/($E408-3*cc_D/7))/0.002)))^2)</f>
        <v/>
      </c>
      <c r="U408">
        <f>MAX(-fyd_cc,MIN(fyd_cc,Es_cc*IF($E408&lt;=cc_D,0.0035*($E408-U$21)/$E408,0.002*($E408-U$21)/($E408-3*cc_D/7))))-fcd_cc*(1-(1-MAX(0,MIN(1,IF($E408&lt;=cc_D,0.0035*($E408-U$21)/$E408,0.002*($E408-U$21)/($E408-3*cc_D/7))/0.002)))^2)</f>
        <v/>
      </c>
      <c r="V408">
        <f>MAX(-fyd_cc,MIN(fyd_cc,Es_cc*IF($E408&lt;=cc_D,0.0035*($E408-V$21)/$E408,0.002*($E408-V$21)/($E408-3*cc_D/7))))-fcd_cc*(1-(1-MAX(0,MIN(1,IF($E408&lt;=cc_D,0.0035*($E408-V$21)/$E408,0.002*($E408-V$21)/($E408-3*cc_D/7))/0.002)))^2)</f>
        <v/>
      </c>
      <c r="W408">
        <f>MAX(-fyd_cc,MIN(fyd_cc,Es_cc*IF($E408&lt;=cc_D,0.0035*($E408-W$21)/$E408,0.002*($E408-W$21)/($E408-3*cc_D/7))))-fcd_cc*(1-(1-MAX(0,MIN(1,IF($E408&lt;=cc_D,0.0035*($E408-W$21)/$E408,0.002*($E408-W$21)/($E408-3*cc_D/7))/0.002)))^2)</f>
        <v/>
      </c>
      <c r="X408">
        <f>MAX(-fyd_cc,MIN(fyd_cc,Es_cc*IF($E408&lt;=cc_D,0.0035*($E408-X$21)/$E408,0.002*($E408-X$21)/($E408-3*cc_D/7))))-fcd_cc*(1-(1-MAX(0,MIN(1,IF($E408&lt;=cc_D,0.0035*($E408-X$21)/$E408,0.002*($E408-X$21)/($E408-3*cc_D/7))/0.002)))^2)</f>
        <v/>
      </c>
      <c r="Y408">
        <f>MAX(-fyd_cc,MIN(fyd_cc,Es_cc*IF($E408&lt;=cc_D,0.0035*($E408-Y$21)/$E408,0.002*($E408-Y$21)/($E408-3*cc_D/7))))-fcd_cc*(1-(1-MAX(0,MIN(1,IF($E408&lt;=cc_D,0.0035*($E408-Y$21)/$E408,0.002*($E408-Y$21)/($E408-3*cc_D/7))/0.002)))^2)</f>
        <v/>
      </c>
      <c r="Z408">
        <f>MAX(-fyd_cc,MIN(fyd_cc,Es_cc*IF($E408&lt;=cc_D,0.0035*($E408-Z$21)/$E408,0.002*($E408-Z$21)/($E408-3*cc_D/7))))-fcd_cc*(1-(1-MAX(0,MIN(1,IF($E408&lt;=cc_D,0.0035*($E408-Z$21)/$E408,0.002*($E408-Z$21)/($E408-3*cc_D/7))/0.002)))^2)</f>
        <v/>
      </c>
      <c r="AA408">
        <f>MAX(-fyd_cc,MIN(fyd_cc,Es_cc*IF($E408&lt;=cc_D,0.0035*($E408-AA$21)/$E408,0.002*($E408-AA$21)/($E408-3*cc_D/7))))-fcd_cc*(1-(1-MAX(0,MIN(1,IF($E408&lt;=cc_D,0.0035*($E408-AA$21)/$E408,0.002*($E408-AA$21)/($E408-3*cc_D/7))/0.002)))^2)</f>
        <v/>
      </c>
      <c r="AB408">
        <f>MAX(-fyd_cc,MIN(fyd_cc,Es_cc*IF($E408&lt;=cc_D,0.0035*($E408-AB$21)/$E408,0.002*($E408-AB$21)/($E408-3*cc_D/7))))-fcd_cc*(1-(1-MAX(0,MIN(1,IF($E408&lt;=cc_D,0.0035*($E408-AB$21)/$E408,0.002*($E408-AB$21)/($E408-3*cc_D/7))/0.002)))^2)</f>
        <v/>
      </c>
      <c r="AC408">
        <f>MAX(-fyd_cc,MIN(fyd_cc,Es_cc*IF($E408&lt;=cc_D,0.0035*($E408-AC$21)/$E408,0.002*($E408-AC$21)/($E408-3*cc_D/7))))-fcd_cc*(1-(1-MAX(0,MIN(1,IF($E408&lt;=cc_D,0.0035*($E408-AC$21)/$E408,0.002*($E408-AC$21)/($E408-3*cc_D/7))/0.002)))^2)</f>
        <v/>
      </c>
      <c r="AD408">
        <f>MAX(-fyd_cc,MIN(fyd_cc,Es_cc*IF($E408&lt;=cc_D,0.0035*($E408-AD$21)/$E408,0.002*($E408-AD$21)/($E408-3*cc_D/7))))-fcd_cc*(1-(1-MAX(0,MIN(1,IF($E408&lt;=cc_D,0.0035*($E408-AD$21)/$E408,0.002*($E408-AD$21)/($E408-3*cc_D/7))/0.002)))^2)</f>
        <v/>
      </c>
      <c r="AE408">
        <f>MAX(-fyd_cc,MIN(fyd_cc,Es_cc*IF($E408&lt;=cc_D,0.0035*($E408-AE$21)/$E408,0.002*($E408-AE$21)/($E408-3*cc_D/7))))-fcd_cc*(1-(1-MAX(0,MIN(1,IF($E408&lt;=cc_D,0.0035*($E408-AE$21)/$E408,0.002*($E408-AE$21)/($E408-3*cc_D/7))/0.002)))^2)</f>
        <v/>
      </c>
      <c r="AF408">
        <f>MAX(-fyd_cc,MIN(fyd_cc,Es_cc*IF($E408&lt;=cc_D,0.0035*($E408-AF$21)/$E408,0.002*($E408-AF$21)/($E408-3*cc_D/7))))-fcd_cc*(1-(1-MAX(0,MIN(1,IF($E408&lt;=cc_D,0.0035*($E408-AF$21)/$E408,0.002*($E408-AF$21)/($E408-3*cc_D/7))/0.002)))^2)</f>
        <v/>
      </c>
      <c r="AG408">
        <f>MAX(-fyd_cc,MIN(fyd_cc,Es_cc*IF($E408&lt;=cc_D,0.0035*($E408-AG$21)/$E408,0.002*($E408-AG$21)/($E408-3*cc_D/7))))-fcd_cc*(1-(1-MAX(0,MIN(1,IF($E408&lt;=cc_D,0.0035*($E408-AG$21)/$E408,0.002*($E408-AG$21)/($E408-3*cc_D/7))/0.002)))^2)</f>
        <v/>
      </c>
      <c r="BF408">
        <f>3*MIN($E408,cc_D)/7</f>
        <v/>
      </c>
      <c r="BG408">
        <f>$E408-$BF408</f>
        <v/>
      </c>
      <c r="BH408">
        <f>ACOS(MAX(-1,MIN(1,1-$BF408/(cc_D/2))))</f>
        <v/>
      </c>
      <c r="BI408">
        <f>ACOS(MAX(-1,MIN(1,1-MIN($E408,cc_D)/(cc_D/2))))</f>
        <v/>
      </c>
      <c r="BJ408">
        <f>((cc_D/2*(1-COS(($BH408+0*($BI408-$BH408)/12)))-$BF408)/$BG408)^2*SIN(($BH408+0*($BI408-$BH408)/12))^2</f>
        <v/>
      </c>
      <c r="BK408">
        <f>((cc_D/2*(1-COS(($BH408+1*($BI408-$BH408)/12)))-$BF408)/$BG408)^2*SIN(($BH408+1*($BI408-$BH408)/12))^2</f>
        <v/>
      </c>
      <c r="BL408">
        <f>((cc_D/2*(1-COS(($BH408+2*($BI408-$BH408)/12)))-$BF408)/$BG408)^2*SIN(($BH408+2*($BI408-$BH408)/12))^2</f>
        <v/>
      </c>
      <c r="BM408">
        <f>((cc_D/2*(1-COS(($BH408+3*($BI408-$BH408)/12)))-$BF408)/$BG408)^2*SIN(($BH408+3*($BI408-$BH408)/12))^2</f>
        <v/>
      </c>
      <c r="BN408">
        <f>((cc_D/2*(1-COS(($BH408+4*($BI408-$BH408)/12)))-$BF408)/$BG408)^2*SIN(($BH408+4*($BI408-$BH408)/12))^2</f>
        <v/>
      </c>
      <c r="BO408">
        <f>((cc_D/2*(1-COS(($BH408+5*($BI408-$BH408)/12)))-$BF408)/$BG408)^2*SIN(($BH408+5*($BI408-$BH408)/12))^2</f>
        <v/>
      </c>
      <c r="BP408">
        <f>((cc_D/2*(1-COS(($BH408+6*($BI408-$BH408)/12)))-$BF408)/$BG408)^2*SIN(($BH408+6*($BI408-$BH408)/12))^2</f>
        <v/>
      </c>
      <c r="BQ408">
        <f>((cc_D/2*(1-COS(($BH408+7*($BI408-$BH408)/12)))-$BF408)/$BG408)^2*SIN(($BH408+7*($BI408-$BH408)/12))^2</f>
        <v/>
      </c>
      <c r="BR408">
        <f>((cc_D/2*(1-COS(($BH408+8*($BI408-$BH408)/12)))-$BF408)/$BG408)^2*SIN(($BH408+8*($BI408-$BH408)/12))^2</f>
        <v/>
      </c>
      <c r="BS408">
        <f>((cc_D/2*(1-COS(($BH408+9*($BI408-$BH408)/12)))-$BF408)/$BG408)^2*SIN(($BH408+9*($BI408-$BH408)/12))^2</f>
        <v/>
      </c>
      <c r="BT408">
        <f>((cc_D/2*(1-COS(($BH408+10*($BI408-$BH408)/12)))-$BF408)/$BG408)^2*SIN(($BH408+10*($BI408-$BH408)/12))^2</f>
        <v/>
      </c>
      <c r="BU408">
        <f>((cc_D/2*(1-COS(($BH408+11*($BI408-$BH408)/12)))-$BF408)/$BG408)^2*SIN(($BH408+11*($BI408-$BH408)/12))^2</f>
        <v/>
      </c>
      <c r="BV408">
        <f>((cc_D/2*(1-COS(($BH408+12*($BI408-$BH408)/12)))-$BF408)/$BG408)^2*SIN(($BH408+12*($BI408-$BH408)/12))^2</f>
        <v/>
      </c>
      <c r="BW408">
        <f>BJ408*COS(($BH408+0*($BI408-$BH408)/12))</f>
        <v/>
      </c>
      <c r="BX408">
        <f>BK408*COS(($BH408+1*($BI408-$BH408)/12))</f>
        <v/>
      </c>
      <c r="BY408">
        <f>BL408*COS(($BH408+2*($BI408-$BH408)/12))</f>
        <v/>
      </c>
      <c r="BZ408">
        <f>BM408*COS(($BH408+3*($BI408-$BH408)/12))</f>
        <v/>
      </c>
      <c r="CA408">
        <f>BN408*COS(($BH408+4*($BI408-$BH408)/12))</f>
        <v/>
      </c>
      <c r="CB408">
        <f>BO408*COS(($BH408+5*($BI408-$BH408)/12))</f>
        <v/>
      </c>
      <c r="CC408">
        <f>BP408*COS(($BH408+6*($BI408-$BH408)/12))</f>
        <v/>
      </c>
      <c r="CD408">
        <f>BQ408*COS(($BH408+7*($BI408-$BH408)/12))</f>
        <v/>
      </c>
      <c r="CE408">
        <f>BR408*COS(($BH408+8*($BI408-$BH408)/12))</f>
        <v/>
      </c>
      <c r="CF408">
        <f>BS408*COS(($BH408+9*($BI408-$BH408)/12))</f>
        <v/>
      </c>
      <c r="CG408">
        <f>BT408*COS(($BH408+10*($BI408-$BH408)/12))</f>
        <v/>
      </c>
      <c r="CH408">
        <f>BU408*COS(($BH408+11*($BI408-$BH408)/12))</f>
        <v/>
      </c>
      <c r="CI408">
        <f>BV408*COS(($BH408+12*($BI408-$BH408)/12))</f>
        <v/>
      </c>
    </row>
    <row r="409">
      <c r="B409" s="65" t="n">
        <v>5</v>
      </c>
      <c r="C409" s="66">
        <f>IF($G408&lt;cc_NEd-1E-9*ABS(cc_NEd),($C408+$D408)/2,$C408)</f>
        <v/>
      </c>
      <c r="D409" s="66">
        <f>IF($G408&lt;cc_NEd-1E-9*ABS(cc_NEd),$D408,($C408+$D408)/2)</f>
        <v/>
      </c>
      <c r="E409" s="67">
        <f>cc_D*(($C409+$D409)/2)/(1-(($C409+$D409)/2))</f>
        <v/>
      </c>
      <c r="F409" s="68">
        <f>IF($E409&lt;=cc_D,3.5,2*$E409/($E409-3*cc_D/7))</f>
        <v/>
      </c>
      <c r="G409" s="67">
        <f>(fcd_cc*((cc_D/2)^2*($BI409-COS($BI409)*SIN($BI409))-2*(cc_D/2)^2*($BI409-$BH409)/12/3*SUMPRODUCT($BJ$4:$BV$4,$BJ409:$BV409))+SUMPRODUCT($J$5:$AG$5,$J409:$AG409))/1000</f>
        <v/>
      </c>
      <c r="H409" s="67">
        <f>(fcd_cc*(2/3*(cc_D/2)^3*SIN($BI409)^3-2*(cc_D/2)^3*($BI409-$BH409)/12/3*SUMPRODUCT($BW$4:$CI$4,$BW409:$CI409))+SUMPRODUCT($J$5:$AG$5,$J409:$AG409,$J$22:$AG$22))/1E6</f>
        <v/>
      </c>
      <c r="I409" s="67">
        <f>SUMPRODUCT($J$5:$AG$5,$J409:$AG409,$J$23:$AG$23)/1E6</f>
        <v/>
      </c>
      <c r="J409">
        <f>MAX(-fyd_cc,MIN(fyd_cc,Es_cc*IF($E409&lt;=cc_D,0.0035*($E409-J$21)/$E409,0.002*($E409-J$21)/($E409-3*cc_D/7))))-fcd_cc*(1-(1-MAX(0,MIN(1,IF($E409&lt;=cc_D,0.0035*($E409-J$21)/$E409,0.002*($E409-J$21)/($E409-3*cc_D/7))/0.002)))^2)</f>
        <v/>
      </c>
      <c r="K409">
        <f>MAX(-fyd_cc,MIN(fyd_cc,Es_cc*IF($E409&lt;=cc_D,0.0035*($E409-K$21)/$E409,0.002*($E409-K$21)/($E409-3*cc_D/7))))-fcd_cc*(1-(1-MAX(0,MIN(1,IF($E409&lt;=cc_D,0.0035*($E409-K$21)/$E409,0.002*($E409-K$21)/($E409-3*cc_D/7))/0.002)))^2)</f>
        <v/>
      </c>
      <c r="L409">
        <f>MAX(-fyd_cc,MIN(fyd_cc,Es_cc*IF($E409&lt;=cc_D,0.0035*($E409-L$21)/$E409,0.002*($E409-L$21)/($E409-3*cc_D/7))))-fcd_cc*(1-(1-MAX(0,MIN(1,IF($E409&lt;=cc_D,0.0035*($E409-L$21)/$E409,0.002*($E409-L$21)/($E409-3*cc_D/7))/0.002)))^2)</f>
        <v/>
      </c>
      <c r="M409">
        <f>MAX(-fyd_cc,MIN(fyd_cc,Es_cc*IF($E409&lt;=cc_D,0.0035*($E409-M$21)/$E409,0.002*($E409-M$21)/($E409-3*cc_D/7))))-fcd_cc*(1-(1-MAX(0,MIN(1,IF($E409&lt;=cc_D,0.0035*($E409-M$21)/$E409,0.002*($E409-M$21)/($E409-3*cc_D/7))/0.002)))^2)</f>
        <v/>
      </c>
      <c r="N409">
        <f>MAX(-fyd_cc,MIN(fyd_cc,Es_cc*IF($E409&lt;=cc_D,0.0035*($E409-N$21)/$E409,0.002*($E409-N$21)/($E409-3*cc_D/7))))-fcd_cc*(1-(1-MAX(0,MIN(1,IF($E409&lt;=cc_D,0.0035*($E409-N$21)/$E409,0.002*($E409-N$21)/($E409-3*cc_D/7))/0.002)))^2)</f>
        <v/>
      </c>
      <c r="O409">
        <f>MAX(-fyd_cc,MIN(fyd_cc,Es_cc*IF($E409&lt;=cc_D,0.0035*($E409-O$21)/$E409,0.002*($E409-O$21)/($E409-3*cc_D/7))))-fcd_cc*(1-(1-MAX(0,MIN(1,IF($E409&lt;=cc_D,0.0035*($E409-O$21)/$E409,0.002*($E409-O$21)/($E409-3*cc_D/7))/0.002)))^2)</f>
        <v/>
      </c>
      <c r="P409">
        <f>MAX(-fyd_cc,MIN(fyd_cc,Es_cc*IF($E409&lt;=cc_D,0.0035*($E409-P$21)/$E409,0.002*($E409-P$21)/($E409-3*cc_D/7))))-fcd_cc*(1-(1-MAX(0,MIN(1,IF($E409&lt;=cc_D,0.0035*($E409-P$21)/$E409,0.002*($E409-P$21)/($E409-3*cc_D/7))/0.002)))^2)</f>
        <v/>
      </c>
      <c r="Q409">
        <f>MAX(-fyd_cc,MIN(fyd_cc,Es_cc*IF($E409&lt;=cc_D,0.0035*($E409-Q$21)/$E409,0.002*($E409-Q$21)/($E409-3*cc_D/7))))-fcd_cc*(1-(1-MAX(0,MIN(1,IF($E409&lt;=cc_D,0.0035*($E409-Q$21)/$E409,0.002*($E409-Q$21)/($E409-3*cc_D/7))/0.002)))^2)</f>
        <v/>
      </c>
      <c r="R409">
        <f>MAX(-fyd_cc,MIN(fyd_cc,Es_cc*IF($E409&lt;=cc_D,0.0035*($E409-R$21)/$E409,0.002*($E409-R$21)/($E409-3*cc_D/7))))-fcd_cc*(1-(1-MAX(0,MIN(1,IF($E409&lt;=cc_D,0.0035*($E409-R$21)/$E409,0.002*($E409-R$21)/($E409-3*cc_D/7))/0.002)))^2)</f>
        <v/>
      </c>
      <c r="S409">
        <f>MAX(-fyd_cc,MIN(fyd_cc,Es_cc*IF($E409&lt;=cc_D,0.0035*($E409-S$21)/$E409,0.002*($E409-S$21)/($E409-3*cc_D/7))))-fcd_cc*(1-(1-MAX(0,MIN(1,IF($E409&lt;=cc_D,0.0035*($E409-S$21)/$E409,0.002*($E409-S$21)/($E409-3*cc_D/7))/0.002)))^2)</f>
        <v/>
      </c>
      <c r="T409">
        <f>MAX(-fyd_cc,MIN(fyd_cc,Es_cc*IF($E409&lt;=cc_D,0.0035*($E409-T$21)/$E409,0.002*($E409-T$21)/($E409-3*cc_D/7))))-fcd_cc*(1-(1-MAX(0,MIN(1,IF($E409&lt;=cc_D,0.0035*($E409-T$21)/$E409,0.002*($E409-T$21)/($E409-3*cc_D/7))/0.002)))^2)</f>
        <v/>
      </c>
      <c r="U409">
        <f>MAX(-fyd_cc,MIN(fyd_cc,Es_cc*IF($E409&lt;=cc_D,0.0035*($E409-U$21)/$E409,0.002*($E409-U$21)/($E409-3*cc_D/7))))-fcd_cc*(1-(1-MAX(0,MIN(1,IF($E409&lt;=cc_D,0.0035*($E409-U$21)/$E409,0.002*($E409-U$21)/($E409-3*cc_D/7))/0.002)))^2)</f>
        <v/>
      </c>
      <c r="V409">
        <f>MAX(-fyd_cc,MIN(fyd_cc,Es_cc*IF($E409&lt;=cc_D,0.0035*($E409-V$21)/$E409,0.002*($E409-V$21)/($E409-3*cc_D/7))))-fcd_cc*(1-(1-MAX(0,MIN(1,IF($E409&lt;=cc_D,0.0035*($E409-V$21)/$E409,0.002*($E409-V$21)/($E409-3*cc_D/7))/0.002)))^2)</f>
        <v/>
      </c>
      <c r="W409">
        <f>MAX(-fyd_cc,MIN(fyd_cc,Es_cc*IF($E409&lt;=cc_D,0.0035*($E409-W$21)/$E409,0.002*($E409-W$21)/($E409-3*cc_D/7))))-fcd_cc*(1-(1-MAX(0,MIN(1,IF($E409&lt;=cc_D,0.0035*($E409-W$21)/$E409,0.002*($E409-W$21)/($E409-3*cc_D/7))/0.002)))^2)</f>
        <v/>
      </c>
      <c r="X409">
        <f>MAX(-fyd_cc,MIN(fyd_cc,Es_cc*IF($E409&lt;=cc_D,0.0035*($E409-X$21)/$E409,0.002*($E409-X$21)/($E409-3*cc_D/7))))-fcd_cc*(1-(1-MAX(0,MIN(1,IF($E409&lt;=cc_D,0.0035*($E409-X$21)/$E409,0.002*($E409-X$21)/($E409-3*cc_D/7))/0.002)))^2)</f>
        <v/>
      </c>
      <c r="Y409">
        <f>MAX(-fyd_cc,MIN(fyd_cc,Es_cc*IF($E409&lt;=cc_D,0.0035*($E409-Y$21)/$E409,0.002*($E409-Y$21)/($E409-3*cc_D/7))))-fcd_cc*(1-(1-MAX(0,MIN(1,IF($E409&lt;=cc_D,0.0035*($E409-Y$21)/$E409,0.002*($E409-Y$21)/($E409-3*cc_D/7))/0.002)))^2)</f>
        <v/>
      </c>
      <c r="Z409">
        <f>MAX(-fyd_cc,MIN(fyd_cc,Es_cc*IF($E409&lt;=cc_D,0.0035*($E409-Z$21)/$E409,0.002*($E409-Z$21)/($E409-3*cc_D/7))))-fcd_cc*(1-(1-MAX(0,MIN(1,IF($E409&lt;=cc_D,0.0035*($E409-Z$21)/$E409,0.002*($E409-Z$21)/($E409-3*cc_D/7))/0.002)))^2)</f>
        <v/>
      </c>
      <c r="AA409">
        <f>MAX(-fyd_cc,MIN(fyd_cc,Es_cc*IF($E409&lt;=cc_D,0.0035*($E409-AA$21)/$E409,0.002*($E409-AA$21)/($E409-3*cc_D/7))))-fcd_cc*(1-(1-MAX(0,MIN(1,IF($E409&lt;=cc_D,0.0035*($E409-AA$21)/$E409,0.002*($E409-AA$21)/($E409-3*cc_D/7))/0.002)))^2)</f>
        <v/>
      </c>
      <c r="AB409">
        <f>MAX(-fyd_cc,MIN(fyd_cc,Es_cc*IF($E409&lt;=cc_D,0.0035*($E409-AB$21)/$E409,0.002*($E409-AB$21)/($E409-3*cc_D/7))))-fcd_cc*(1-(1-MAX(0,MIN(1,IF($E409&lt;=cc_D,0.0035*($E409-AB$21)/$E409,0.002*($E409-AB$21)/($E409-3*cc_D/7))/0.002)))^2)</f>
        <v/>
      </c>
      <c r="AC409">
        <f>MAX(-fyd_cc,MIN(fyd_cc,Es_cc*IF($E409&lt;=cc_D,0.0035*($E409-AC$21)/$E409,0.002*($E409-AC$21)/($E409-3*cc_D/7))))-fcd_cc*(1-(1-MAX(0,MIN(1,IF($E409&lt;=cc_D,0.0035*($E409-AC$21)/$E409,0.002*($E409-AC$21)/($E409-3*cc_D/7))/0.002)))^2)</f>
        <v/>
      </c>
      <c r="AD409">
        <f>MAX(-fyd_cc,MIN(fyd_cc,Es_cc*IF($E409&lt;=cc_D,0.0035*($E409-AD$21)/$E409,0.002*($E409-AD$21)/($E409-3*cc_D/7))))-fcd_cc*(1-(1-MAX(0,MIN(1,IF($E409&lt;=cc_D,0.0035*($E409-AD$21)/$E409,0.002*($E409-AD$21)/($E409-3*cc_D/7))/0.002)))^2)</f>
        <v/>
      </c>
      <c r="AE409">
        <f>MAX(-fyd_cc,MIN(fyd_cc,Es_cc*IF($E409&lt;=cc_D,0.0035*($E409-AE$21)/$E409,0.002*($E409-AE$21)/($E409-3*cc_D/7))))-fcd_cc*(1-(1-MAX(0,MIN(1,IF($E409&lt;=cc_D,0.0035*($E409-AE$21)/$E409,0.002*($E409-AE$21)/($E409-3*cc_D/7))/0.002)))^2)</f>
        <v/>
      </c>
      <c r="AF409">
        <f>MAX(-fyd_cc,MIN(fyd_cc,Es_cc*IF($E409&lt;=cc_D,0.0035*($E409-AF$21)/$E409,0.002*($E409-AF$21)/($E409-3*cc_D/7))))-fcd_cc*(1-(1-MAX(0,MIN(1,IF($E409&lt;=cc_D,0.0035*($E409-AF$21)/$E409,0.002*($E409-AF$21)/($E409-3*cc_D/7))/0.002)))^2)</f>
        <v/>
      </c>
      <c r="AG409">
        <f>MAX(-fyd_cc,MIN(fyd_cc,Es_cc*IF($E409&lt;=cc_D,0.0035*($E409-AG$21)/$E409,0.002*($E409-AG$21)/($E409-3*cc_D/7))))-fcd_cc*(1-(1-MAX(0,MIN(1,IF($E409&lt;=cc_D,0.0035*($E409-AG$21)/$E409,0.002*($E409-AG$21)/($E409-3*cc_D/7))/0.002)))^2)</f>
        <v/>
      </c>
      <c r="BF409">
        <f>3*MIN($E409,cc_D)/7</f>
        <v/>
      </c>
      <c r="BG409">
        <f>$E409-$BF409</f>
        <v/>
      </c>
      <c r="BH409">
        <f>ACOS(MAX(-1,MIN(1,1-$BF409/(cc_D/2))))</f>
        <v/>
      </c>
      <c r="BI409">
        <f>ACOS(MAX(-1,MIN(1,1-MIN($E409,cc_D)/(cc_D/2))))</f>
        <v/>
      </c>
      <c r="BJ409">
        <f>((cc_D/2*(1-COS(($BH409+0*($BI409-$BH409)/12)))-$BF409)/$BG409)^2*SIN(($BH409+0*($BI409-$BH409)/12))^2</f>
        <v/>
      </c>
      <c r="BK409">
        <f>((cc_D/2*(1-COS(($BH409+1*($BI409-$BH409)/12)))-$BF409)/$BG409)^2*SIN(($BH409+1*($BI409-$BH409)/12))^2</f>
        <v/>
      </c>
      <c r="BL409">
        <f>((cc_D/2*(1-COS(($BH409+2*($BI409-$BH409)/12)))-$BF409)/$BG409)^2*SIN(($BH409+2*($BI409-$BH409)/12))^2</f>
        <v/>
      </c>
      <c r="BM409">
        <f>((cc_D/2*(1-COS(($BH409+3*($BI409-$BH409)/12)))-$BF409)/$BG409)^2*SIN(($BH409+3*($BI409-$BH409)/12))^2</f>
        <v/>
      </c>
      <c r="BN409">
        <f>((cc_D/2*(1-COS(($BH409+4*($BI409-$BH409)/12)))-$BF409)/$BG409)^2*SIN(($BH409+4*($BI409-$BH409)/12))^2</f>
        <v/>
      </c>
      <c r="BO409">
        <f>((cc_D/2*(1-COS(($BH409+5*($BI409-$BH409)/12)))-$BF409)/$BG409)^2*SIN(($BH409+5*($BI409-$BH409)/12))^2</f>
        <v/>
      </c>
      <c r="BP409">
        <f>((cc_D/2*(1-COS(($BH409+6*($BI409-$BH409)/12)))-$BF409)/$BG409)^2*SIN(($BH409+6*($BI409-$BH409)/12))^2</f>
        <v/>
      </c>
      <c r="BQ409">
        <f>((cc_D/2*(1-COS(($BH409+7*($BI409-$BH409)/12)))-$BF409)/$BG409)^2*SIN(($BH409+7*($BI409-$BH409)/12))^2</f>
        <v/>
      </c>
      <c r="BR409">
        <f>((cc_D/2*(1-COS(($BH409+8*($BI409-$BH409)/12)))-$BF409)/$BG409)^2*SIN(($BH409+8*($BI409-$BH409)/12))^2</f>
        <v/>
      </c>
      <c r="BS409">
        <f>((cc_D/2*(1-COS(($BH409+9*($BI409-$BH409)/12)))-$BF409)/$BG409)^2*SIN(($BH409+9*($BI409-$BH409)/12))^2</f>
        <v/>
      </c>
      <c r="BT409">
        <f>((cc_D/2*(1-COS(($BH409+10*($BI409-$BH409)/12)))-$BF409)/$BG409)^2*SIN(($BH409+10*($BI409-$BH409)/12))^2</f>
        <v/>
      </c>
      <c r="BU409">
        <f>((cc_D/2*(1-COS(($BH409+11*($BI409-$BH409)/12)))-$BF409)/$BG409)^2*SIN(($BH409+11*($BI409-$BH409)/12))^2</f>
        <v/>
      </c>
      <c r="BV409">
        <f>((cc_D/2*(1-COS(($BH409+12*($BI409-$BH409)/12)))-$BF409)/$BG409)^2*SIN(($BH409+12*($BI409-$BH409)/12))^2</f>
        <v/>
      </c>
      <c r="BW409">
        <f>BJ409*COS(($BH409+0*($BI409-$BH409)/12))</f>
        <v/>
      </c>
      <c r="BX409">
        <f>BK409*COS(($BH409+1*($BI409-$BH409)/12))</f>
        <v/>
      </c>
      <c r="BY409">
        <f>BL409*COS(($BH409+2*($BI409-$BH409)/12))</f>
        <v/>
      </c>
      <c r="BZ409">
        <f>BM409*COS(($BH409+3*($BI409-$BH409)/12))</f>
        <v/>
      </c>
      <c r="CA409">
        <f>BN409*COS(($BH409+4*($BI409-$BH409)/12))</f>
        <v/>
      </c>
      <c r="CB409">
        <f>BO409*COS(($BH409+5*($BI409-$BH409)/12))</f>
        <v/>
      </c>
      <c r="CC409">
        <f>BP409*COS(($BH409+6*($BI409-$BH409)/12))</f>
        <v/>
      </c>
      <c r="CD409">
        <f>BQ409*COS(($BH409+7*($BI409-$BH409)/12))</f>
        <v/>
      </c>
      <c r="CE409">
        <f>BR409*COS(($BH409+8*($BI409-$BH409)/12))</f>
        <v/>
      </c>
      <c r="CF409">
        <f>BS409*COS(($BH409+9*($BI409-$BH409)/12))</f>
        <v/>
      </c>
      <c r="CG409">
        <f>BT409*COS(($BH409+10*($BI409-$BH409)/12))</f>
        <v/>
      </c>
      <c r="CH409">
        <f>BU409*COS(($BH409+11*($BI409-$BH409)/12))</f>
        <v/>
      </c>
      <c r="CI409">
        <f>BV409*COS(($BH409+12*($BI409-$BH409)/12))</f>
        <v/>
      </c>
    </row>
    <row r="410">
      <c r="B410" s="65" t="n">
        <v>6</v>
      </c>
      <c r="C410" s="66">
        <f>IF($G409&lt;cc_NEd-1E-9*ABS(cc_NEd),($C409+$D409)/2,$C409)</f>
        <v/>
      </c>
      <c r="D410" s="66">
        <f>IF($G409&lt;cc_NEd-1E-9*ABS(cc_NEd),$D409,($C409+$D409)/2)</f>
        <v/>
      </c>
      <c r="E410" s="67">
        <f>cc_D*(($C410+$D410)/2)/(1-(($C410+$D410)/2))</f>
        <v/>
      </c>
      <c r="F410" s="68">
        <f>IF($E410&lt;=cc_D,3.5,2*$E410/($E410-3*cc_D/7))</f>
        <v/>
      </c>
      <c r="G410" s="67">
        <f>(fcd_cc*((cc_D/2)^2*($BI410-COS($BI410)*SIN($BI410))-2*(cc_D/2)^2*($BI410-$BH410)/12/3*SUMPRODUCT($BJ$4:$BV$4,$BJ410:$BV410))+SUMPRODUCT($J$5:$AG$5,$J410:$AG410))/1000</f>
        <v/>
      </c>
      <c r="H410" s="67">
        <f>(fcd_cc*(2/3*(cc_D/2)^3*SIN($BI410)^3-2*(cc_D/2)^3*($BI410-$BH410)/12/3*SUMPRODUCT($BW$4:$CI$4,$BW410:$CI410))+SUMPRODUCT($J$5:$AG$5,$J410:$AG410,$J$22:$AG$22))/1E6</f>
        <v/>
      </c>
      <c r="I410" s="67">
        <f>SUMPRODUCT($J$5:$AG$5,$J410:$AG410,$J$23:$AG$23)/1E6</f>
        <v/>
      </c>
      <c r="J410">
        <f>MAX(-fyd_cc,MIN(fyd_cc,Es_cc*IF($E410&lt;=cc_D,0.0035*($E410-J$21)/$E410,0.002*($E410-J$21)/($E410-3*cc_D/7))))-fcd_cc*(1-(1-MAX(0,MIN(1,IF($E410&lt;=cc_D,0.0035*($E410-J$21)/$E410,0.002*($E410-J$21)/($E410-3*cc_D/7))/0.002)))^2)</f>
        <v/>
      </c>
      <c r="K410">
        <f>MAX(-fyd_cc,MIN(fyd_cc,Es_cc*IF($E410&lt;=cc_D,0.0035*($E410-K$21)/$E410,0.002*($E410-K$21)/($E410-3*cc_D/7))))-fcd_cc*(1-(1-MAX(0,MIN(1,IF($E410&lt;=cc_D,0.0035*($E410-K$21)/$E410,0.002*($E410-K$21)/($E410-3*cc_D/7))/0.002)))^2)</f>
        <v/>
      </c>
      <c r="L410">
        <f>MAX(-fyd_cc,MIN(fyd_cc,Es_cc*IF($E410&lt;=cc_D,0.0035*($E410-L$21)/$E410,0.002*($E410-L$21)/($E410-3*cc_D/7))))-fcd_cc*(1-(1-MAX(0,MIN(1,IF($E410&lt;=cc_D,0.0035*($E410-L$21)/$E410,0.002*($E410-L$21)/($E410-3*cc_D/7))/0.002)))^2)</f>
        <v/>
      </c>
      <c r="M410">
        <f>MAX(-fyd_cc,MIN(fyd_cc,Es_cc*IF($E410&lt;=cc_D,0.0035*($E410-M$21)/$E410,0.002*($E410-M$21)/($E410-3*cc_D/7))))-fcd_cc*(1-(1-MAX(0,MIN(1,IF($E410&lt;=cc_D,0.0035*($E410-M$21)/$E410,0.002*($E410-M$21)/($E410-3*cc_D/7))/0.002)))^2)</f>
        <v/>
      </c>
      <c r="N410">
        <f>MAX(-fyd_cc,MIN(fyd_cc,Es_cc*IF($E410&lt;=cc_D,0.0035*($E410-N$21)/$E410,0.002*($E410-N$21)/($E410-3*cc_D/7))))-fcd_cc*(1-(1-MAX(0,MIN(1,IF($E410&lt;=cc_D,0.0035*($E410-N$21)/$E410,0.002*($E410-N$21)/($E410-3*cc_D/7))/0.002)))^2)</f>
        <v/>
      </c>
      <c r="O410">
        <f>MAX(-fyd_cc,MIN(fyd_cc,Es_cc*IF($E410&lt;=cc_D,0.0035*($E410-O$21)/$E410,0.002*($E410-O$21)/($E410-3*cc_D/7))))-fcd_cc*(1-(1-MAX(0,MIN(1,IF($E410&lt;=cc_D,0.0035*($E410-O$21)/$E410,0.002*($E410-O$21)/($E410-3*cc_D/7))/0.002)))^2)</f>
        <v/>
      </c>
      <c r="P410">
        <f>MAX(-fyd_cc,MIN(fyd_cc,Es_cc*IF($E410&lt;=cc_D,0.0035*($E410-P$21)/$E410,0.002*($E410-P$21)/($E410-3*cc_D/7))))-fcd_cc*(1-(1-MAX(0,MIN(1,IF($E410&lt;=cc_D,0.0035*($E410-P$21)/$E410,0.002*($E410-P$21)/($E410-3*cc_D/7))/0.002)))^2)</f>
        <v/>
      </c>
      <c r="Q410">
        <f>MAX(-fyd_cc,MIN(fyd_cc,Es_cc*IF($E410&lt;=cc_D,0.0035*($E410-Q$21)/$E410,0.002*($E410-Q$21)/($E410-3*cc_D/7))))-fcd_cc*(1-(1-MAX(0,MIN(1,IF($E410&lt;=cc_D,0.0035*($E410-Q$21)/$E410,0.002*($E410-Q$21)/($E410-3*cc_D/7))/0.002)))^2)</f>
        <v/>
      </c>
      <c r="R410">
        <f>MAX(-fyd_cc,MIN(fyd_cc,Es_cc*IF($E410&lt;=cc_D,0.0035*($E410-R$21)/$E410,0.002*($E410-R$21)/($E410-3*cc_D/7))))-fcd_cc*(1-(1-MAX(0,MIN(1,IF($E410&lt;=cc_D,0.0035*($E410-R$21)/$E410,0.002*($E410-R$21)/($E410-3*cc_D/7))/0.002)))^2)</f>
        <v/>
      </c>
      <c r="S410">
        <f>MAX(-fyd_cc,MIN(fyd_cc,Es_cc*IF($E410&lt;=cc_D,0.0035*($E410-S$21)/$E410,0.002*($E410-S$21)/($E410-3*cc_D/7))))-fcd_cc*(1-(1-MAX(0,MIN(1,IF($E410&lt;=cc_D,0.0035*($E410-S$21)/$E410,0.002*($E410-S$21)/($E410-3*cc_D/7))/0.002)))^2)</f>
        <v/>
      </c>
      <c r="T410">
        <f>MAX(-fyd_cc,MIN(fyd_cc,Es_cc*IF($E410&lt;=cc_D,0.0035*($E410-T$21)/$E410,0.002*($E410-T$21)/($E410-3*cc_D/7))))-fcd_cc*(1-(1-MAX(0,MIN(1,IF($E410&lt;=cc_D,0.0035*($E410-T$21)/$E410,0.002*($E410-T$21)/($E410-3*cc_D/7))/0.002)))^2)</f>
        <v/>
      </c>
      <c r="U410">
        <f>MAX(-fyd_cc,MIN(fyd_cc,Es_cc*IF($E410&lt;=cc_D,0.0035*($E410-U$21)/$E410,0.002*($E410-U$21)/($E410-3*cc_D/7))))-fcd_cc*(1-(1-MAX(0,MIN(1,IF($E410&lt;=cc_D,0.0035*($E410-U$21)/$E410,0.002*($E410-U$21)/($E410-3*cc_D/7))/0.002)))^2)</f>
        <v/>
      </c>
      <c r="V410">
        <f>MAX(-fyd_cc,MIN(fyd_cc,Es_cc*IF($E410&lt;=cc_D,0.0035*($E410-V$21)/$E410,0.002*($E410-V$21)/($E410-3*cc_D/7))))-fcd_cc*(1-(1-MAX(0,MIN(1,IF($E410&lt;=cc_D,0.0035*($E410-V$21)/$E410,0.002*($E410-V$21)/($E410-3*cc_D/7))/0.002)))^2)</f>
        <v/>
      </c>
      <c r="W410">
        <f>MAX(-fyd_cc,MIN(fyd_cc,Es_cc*IF($E410&lt;=cc_D,0.0035*($E410-W$21)/$E410,0.002*($E410-W$21)/($E410-3*cc_D/7))))-fcd_cc*(1-(1-MAX(0,MIN(1,IF($E410&lt;=cc_D,0.0035*($E410-W$21)/$E410,0.002*($E410-W$21)/($E410-3*cc_D/7))/0.002)))^2)</f>
        <v/>
      </c>
      <c r="X410">
        <f>MAX(-fyd_cc,MIN(fyd_cc,Es_cc*IF($E410&lt;=cc_D,0.0035*($E410-X$21)/$E410,0.002*($E410-X$21)/($E410-3*cc_D/7))))-fcd_cc*(1-(1-MAX(0,MIN(1,IF($E410&lt;=cc_D,0.0035*($E410-X$21)/$E410,0.002*($E410-X$21)/($E410-3*cc_D/7))/0.002)))^2)</f>
        <v/>
      </c>
      <c r="Y410">
        <f>MAX(-fyd_cc,MIN(fyd_cc,Es_cc*IF($E410&lt;=cc_D,0.0035*($E410-Y$21)/$E410,0.002*($E410-Y$21)/($E410-3*cc_D/7))))-fcd_cc*(1-(1-MAX(0,MIN(1,IF($E410&lt;=cc_D,0.0035*($E410-Y$21)/$E410,0.002*($E410-Y$21)/($E410-3*cc_D/7))/0.002)))^2)</f>
        <v/>
      </c>
      <c r="Z410">
        <f>MAX(-fyd_cc,MIN(fyd_cc,Es_cc*IF($E410&lt;=cc_D,0.0035*($E410-Z$21)/$E410,0.002*($E410-Z$21)/($E410-3*cc_D/7))))-fcd_cc*(1-(1-MAX(0,MIN(1,IF($E410&lt;=cc_D,0.0035*($E410-Z$21)/$E410,0.002*($E410-Z$21)/($E410-3*cc_D/7))/0.002)))^2)</f>
        <v/>
      </c>
      <c r="AA410">
        <f>MAX(-fyd_cc,MIN(fyd_cc,Es_cc*IF($E410&lt;=cc_D,0.0035*($E410-AA$21)/$E410,0.002*($E410-AA$21)/($E410-3*cc_D/7))))-fcd_cc*(1-(1-MAX(0,MIN(1,IF($E410&lt;=cc_D,0.0035*($E410-AA$21)/$E410,0.002*($E410-AA$21)/($E410-3*cc_D/7))/0.002)))^2)</f>
        <v/>
      </c>
      <c r="AB410">
        <f>MAX(-fyd_cc,MIN(fyd_cc,Es_cc*IF($E410&lt;=cc_D,0.0035*($E410-AB$21)/$E410,0.002*($E410-AB$21)/($E410-3*cc_D/7))))-fcd_cc*(1-(1-MAX(0,MIN(1,IF($E410&lt;=cc_D,0.0035*($E410-AB$21)/$E410,0.002*($E410-AB$21)/($E410-3*cc_D/7))/0.002)))^2)</f>
        <v/>
      </c>
      <c r="AC410">
        <f>MAX(-fyd_cc,MIN(fyd_cc,Es_cc*IF($E410&lt;=cc_D,0.0035*($E410-AC$21)/$E410,0.002*($E410-AC$21)/($E410-3*cc_D/7))))-fcd_cc*(1-(1-MAX(0,MIN(1,IF($E410&lt;=cc_D,0.0035*($E410-AC$21)/$E410,0.002*($E410-AC$21)/($E410-3*cc_D/7))/0.002)))^2)</f>
        <v/>
      </c>
      <c r="AD410">
        <f>MAX(-fyd_cc,MIN(fyd_cc,Es_cc*IF($E410&lt;=cc_D,0.0035*($E410-AD$21)/$E410,0.002*($E410-AD$21)/($E410-3*cc_D/7))))-fcd_cc*(1-(1-MAX(0,MIN(1,IF($E410&lt;=cc_D,0.0035*($E410-AD$21)/$E410,0.002*($E410-AD$21)/($E410-3*cc_D/7))/0.002)))^2)</f>
        <v/>
      </c>
      <c r="AE410">
        <f>MAX(-fyd_cc,MIN(fyd_cc,Es_cc*IF($E410&lt;=cc_D,0.0035*($E410-AE$21)/$E410,0.002*($E410-AE$21)/($E410-3*cc_D/7))))-fcd_cc*(1-(1-MAX(0,MIN(1,IF($E410&lt;=cc_D,0.0035*($E410-AE$21)/$E410,0.002*($E410-AE$21)/($E410-3*cc_D/7))/0.002)))^2)</f>
        <v/>
      </c>
      <c r="AF410">
        <f>MAX(-fyd_cc,MIN(fyd_cc,Es_cc*IF($E410&lt;=cc_D,0.0035*($E410-AF$21)/$E410,0.002*($E410-AF$21)/($E410-3*cc_D/7))))-fcd_cc*(1-(1-MAX(0,MIN(1,IF($E410&lt;=cc_D,0.0035*($E410-AF$21)/$E410,0.002*($E410-AF$21)/($E410-3*cc_D/7))/0.002)))^2)</f>
        <v/>
      </c>
      <c r="AG410">
        <f>MAX(-fyd_cc,MIN(fyd_cc,Es_cc*IF($E410&lt;=cc_D,0.0035*($E410-AG$21)/$E410,0.002*($E410-AG$21)/($E410-3*cc_D/7))))-fcd_cc*(1-(1-MAX(0,MIN(1,IF($E410&lt;=cc_D,0.0035*($E410-AG$21)/$E410,0.002*($E410-AG$21)/($E410-3*cc_D/7))/0.002)))^2)</f>
        <v/>
      </c>
      <c r="BF410">
        <f>3*MIN($E410,cc_D)/7</f>
        <v/>
      </c>
      <c r="BG410">
        <f>$E410-$BF410</f>
        <v/>
      </c>
      <c r="BH410">
        <f>ACOS(MAX(-1,MIN(1,1-$BF410/(cc_D/2))))</f>
        <v/>
      </c>
      <c r="BI410">
        <f>ACOS(MAX(-1,MIN(1,1-MIN($E410,cc_D)/(cc_D/2))))</f>
        <v/>
      </c>
      <c r="BJ410">
        <f>((cc_D/2*(1-COS(($BH410+0*($BI410-$BH410)/12)))-$BF410)/$BG410)^2*SIN(($BH410+0*($BI410-$BH410)/12))^2</f>
        <v/>
      </c>
      <c r="BK410">
        <f>((cc_D/2*(1-COS(($BH410+1*($BI410-$BH410)/12)))-$BF410)/$BG410)^2*SIN(($BH410+1*($BI410-$BH410)/12))^2</f>
        <v/>
      </c>
      <c r="BL410">
        <f>((cc_D/2*(1-COS(($BH410+2*($BI410-$BH410)/12)))-$BF410)/$BG410)^2*SIN(($BH410+2*($BI410-$BH410)/12))^2</f>
        <v/>
      </c>
      <c r="BM410">
        <f>((cc_D/2*(1-COS(($BH410+3*($BI410-$BH410)/12)))-$BF410)/$BG410)^2*SIN(($BH410+3*($BI410-$BH410)/12))^2</f>
        <v/>
      </c>
      <c r="BN410">
        <f>((cc_D/2*(1-COS(($BH410+4*($BI410-$BH410)/12)))-$BF410)/$BG410)^2*SIN(($BH410+4*($BI410-$BH410)/12))^2</f>
        <v/>
      </c>
      <c r="BO410">
        <f>((cc_D/2*(1-COS(($BH410+5*($BI410-$BH410)/12)))-$BF410)/$BG410)^2*SIN(($BH410+5*($BI410-$BH410)/12))^2</f>
        <v/>
      </c>
      <c r="BP410">
        <f>((cc_D/2*(1-COS(($BH410+6*($BI410-$BH410)/12)))-$BF410)/$BG410)^2*SIN(($BH410+6*($BI410-$BH410)/12))^2</f>
        <v/>
      </c>
      <c r="BQ410">
        <f>((cc_D/2*(1-COS(($BH410+7*($BI410-$BH410)/12)))-$BF410)/$BG410)^2*SIN(($BH410+7*($BI410-$BH410)/12))^2</f>
        <v/>
      </c>
      <c r="BR410">
        <f>((cc_D/2*(1-COS(($BH410+8*($BI410-$BH410)/12)))-$BF410)/$BG410)^2*SIN(($BH410+8*($BI410-$BH410)/12))^2</f>
        <v/>
      </c>
      <c r="BS410">
        <f>((cc_D/2*(1-COS(($BH410+9*($BI410-$BH410)/12)))-$BF410)/$BG410)^2*SIN(($BH410+9*($BI410-$BH410)/12))^2</f>
        <v/>
      </c>
      <c r="BT410">
        <f>((cc_D/2*(1-COS(($BH410+10*($BI410-$BH410)/12)))-$BF410)/$BG410)^2*SIN(($BH410+10*($BI410-$BH410)/12))^2</f>
        <v/>
      </c>
      <c r="BU410">
        <f>((cc_D/2*(1-COS(($BH410+11*($BI410-$BH410)/12)))-$BF410)/$BG410)^2*SIN(($BH410+11*($BI410-$BH410)/12))^2</f>
        <v/>
      </c>
      <c r="BV410">
        <f>((cc_D/2*(1-COS(($BH410+12*($BI410-$BH410)/12)))-$BF410)/$BG410)^2*SIN(($BH410+12*($BI410-$BH410)/12))^2</f>
        <v/>
      </c>
      <c r="BW410">
        <f>BJ410*COS(($BH410+0*($BI410-$BH410)/12))</f>
        <v/>
      </c>
      <c r="BX410">
        <f>BK410*COS(($BH410+1*($BI410-$BH410)/12))</f>
        <v/>
      </c>
      <c r="BY410">
        <f>BL410*COS(($BH410+2*($BI410-$BH410)/12))</f>
        <v/>
      </c>
      <c r="BZ410">
        <f>BM410*COS(($BH410+3*($BI410-$BH410)/12))</f>
        <v/>
      </c>
      <c r="CA410">
        <f>BN410*COS(($BH410+4*($BI410-$BH410)/12))</f>
        <v/>
      </c>
      <c r="CB410">
        <f>BO410*COS(($BH410+5*($BI410-$BH410)/12))</f>
        <v/>
      </c>
      <c r="CC410">
        <f>BP410*COS(($BH410+6*($BI410-$BH410)/12))</f>
        <v/>
      </c>
      <c r="CD410">
        <f>BQ410*COS(($BH410+7*($BI410-$BH410)/12))</f>
        <v/>
      </c>
      <c r="CE410">
        <f>BR410*COS(($BH410+8*($BI410-$BH410)/12))</f>
        <v/>
      </c>
      <c r="CF410">
        <f>BS410*COS(($BH410+9*($BI410-$BH410)/12))</f>
        <v/>
      </c>
      <c r="CG410">
        <f>BT410*COS(($BH410+10*($BI410-$BH410)/12))</f>
        <v/>
      </c>
      <c r="CH410">
        <f>BU410*COS(($BH410+11*($BI410-$BH410)/12))</f>
        <v/>
      </c>
      <c r="CI410">
        <f>BV410*COS(($BH410+12*($BI410-$BH410)/12))</f>
        <v/>
      </c>
    </row>
    <row r="411">
      <c r="B411" s="65" t="n">
        <v>7</v>
      </c>
      <c r="C411" s="66">
        <f>IF($G410&lt;cc_NEd-1E-9*ABS(cc_NEd),($C410+$D410)/2,$C410)</f>
        <v/>
      </c>
      <c r="D411" s="66">
        <f>IF($G410&lt;cc_NEd-1E-9*ABS(cc_NEd),$D410,($C410+$D410)/2)</f>
        <v/>
      </c>
      <c r="E411" s="67">
        <f>cc_D*(($C411+$D411)/2)/(1-(($C411+$D411)/2))</f>
        <v/>
      </c>
      <c r="F411" s="68">
        <f>IF($E411&lt;=cc_D,3.5,2*$E411/($E411-3*cc_D/7))</f>
        <v/>
      </c>
      <c r="G411" s="67">
        <f>(fcd_cc*((cc_D/2)^2*($BI411-COS($BI411)*SIN($BI411))-2*(cc_D/2)^2*($BI411-$BH411)/12/3*SUMPRODUCT($BJ$4:$BV$4,$BJ411:$BV411))+SUMPRODUCT($J$5:$AG$5,$J411:$AG411))/1000</f>
        <v/>
      </c>
      <c r="H411" s="67">
        <f>(fcd_cc*(2/3*(cc_D/2)^3*SIN($BI411)^3-2*(cc_D/2)^3*($BI411-$BH411)/12/3*SUMPRODUCT($BW$4:$CI$4,$BW411:$CI411))+SUMPRODUCT($J$5:$AG$5,$J411:$AG411,$J$22:$AG$22))/1E6</f>
        <v/>
      </c>
      <c r="I411" s="67">
        <f>SUMPRODUCT($J$5:$AG$5,$J411:$AG411,$J$23:$AG$23)/1E6</f>
        <v/>
      </c>
      <c r="J411">
        <f>MAX(-fyd_cc,MIN(fyd_cc,Es_cc*IF($E411&lt;=cc_D,0.0035*($E411-J$21)/$E411,0.002*($E411-J$21)/($E411-3*cc_D/7))))-fcd_cc*(1-(1-MAX(0,MIN(1,IF($E411&lt;=cc_D,0.0035*($E411-J$21)/$E411,0.002*($E411-J$21)/($E411-3*cc_D/7))/0.002)))^2)</f>
        <v/>
      </c>
      <c r="K411">
        <f>MAX(-fyd_cc,MIN(fyd_cc,Es_cc*IF($E411&lt;=cc_D,0.0035*($E411-K$21)/$E411,0.002*($E411-K$21)/($E411-3*cc_D/7))))-fcd_cc*(1-(1-MAX(0,MIN(1,IF($E411&lt;=cc_D,0.0035*($E411-K$21)/$E411,0.002*($E411-K$21)/($E411-3*cc_D/7))/0.002)))^2)</f>
        <v/>
      </c>
      <c r="L411">
        <f>MAX(-fyd_cc,MIN(fyd_cc,Es_cc*IF($E411&lt;=cc_D,0.0035*($E411-L$21)/$E411,0.002*($E411-L$21)/($E411-3*cc_D/7))))-fcd_cc*(1-(1-MAX(0,MIN(1,IF($E411&lt;=cc_D,0.0035*($E411-L$21)/$E411,0.002*($E411-L$21)/($E411-3*cc_D/7))/0.002)))^2)</f>
        <v/>
      </c>
      <c r="M411">
        <f>MAX(-fyd_cc,MIN(fyd_cc,Es_cc*IF($E411&lt;=cc_D,0.0035*($E411-M$21)/$E411,0.002*($E411-M$21)/($E411-3*cc_D/7))))-fcd_cc*(1-(1-MAX(0,MIN(1,IF($E411&lt;=cc_D,0.0035*($E411-M$21)/$E411,0.002*($E411-M$21)/($E411-3*cc_D/7))/0.002)))^2)</f>
        <v/>
      </c>
      <c r="N411">
        <f>MAX(-fyd_cc,MIN(fyd_cc,Es_cc*IF($E411&lt;=cc_D,0.0035*($E411-N$21)/$E411,0.002*($E411-N$21)/($E411-3*cc_D/7))))-fcd_cc*(1-(1-MAX(0,MIN(1,IF($E411&lt;=cc_D,0.0035*($E411-N$21)/$E411,0.002*($E411-N$21)/($E411-3*cc_D/7))/0.002)))^2)</f>
        <v/>
      </c>
      <c r="O411">
        <f>MAX(-fyd_cc,MIN(fyd_cc,Es_cc*IF($E411&lt;=cc_D,0.0035*($E411-O$21)/$E411,0.002*($E411-O$21)/($E411-3*cc_D/7))))-fcd_cc*(1-(1-MAX(0,MIN(1,IF($E411&lt;=cc_D,0.0035*($E411-O$21)/$E411,0.002*($E411-O$21)/($E411-3*cc_D/7))/0.002)))^2)</f>
        <v/>
      </c>
      <c r="P411">
        <f>MAX(-fyd_cc,MIN(fyd_cc,Es_cc*IF($E411&lt;=cc_D,0.0035*($E411-P$21)/$E411,0.002*($E411-P$21)/($E411-3*cc_D/7))))-fcd_cc*(1-(1-MAX(0,MIN(1,IF($E411&lt;=cc_D,0.0035*($E411-P$21)/$E411,0.002*($E411-P$21)/($E411-3*cc_D/7))/0.002)))^2)</f>
        <v/>
      </c>
      <c r="Q411">
        <f>MAX(-fyd_cc,MIN(fyd_cc,Es_cc*IF($E411&lt;=cc_D,0.0035*($E411-Q$21)/$E411,0.002*($E411-Q$21)/($E411-3*cc_D/7))))-fcd_cc*(1-(1-MAX(0,MIN(1,IF($E411&lt;=cc_D,0.0035*($E411-Q$21)/$E411,0.002*($E411-Q$21)/($E411-3*cc_D/7))/0.002)))^2)</f>
        <v/>
      </c>
      <c r="R411">
        <f>MAX(-fyd_cc,MIN(fyd_cc,Es_cc*IF($E411&lt;=cc_D,0.0035*($E411-R$21)/$E411,0.002*($E411-R$21)/($E411-3*cc_D/7))))-fcd_cc*(1-(1-MAX(0,MIN(1,IF($E411&lt;=cc_D,0.0035*($E411-R$21)/$E411,0.002*($E411-R$21)/($E411-3*cc_D/7))/0.002)))^2)</f>
        <v/>
      </c>
      <c r="S411">
        <f>MAX(-fyd_cc,MIN(fyd_cc,Es_cc*IF($E411&lt;=cc_D,0.0035*($E411-S$21)/$E411,0.002*($E411-S$21)/($E411-3*cc_D/7))))-fcd_cc*(1-(1-MAX(0,MIN(1,IF($E411&lt;=cc_D,0.0035*($E411-S$21)/$E411,0.002*($E411-S$21)/($E411-3*cc_D/7))/0.002)))^2)</f>
        <v/>
      </c>
      <c r="T411">
        <f>MAX(-fyd_cc,MIN(fyd_cc,Es_cc*IF($E411&lt;=cc_D,0.0035*($E411-T$21)/$E411,0.002*($E411-T$21)/($E411-3*cc_D/7))))-fcd_cc*(1-(1-MAX(0,MIN(1,IF($E411&lt;=cc_D,0.0035*($E411-T$21)/$E411,0.002*($E411-T$21)/($E411-3*cc_D/7))/0.002)))^2)</f>
        <v/>
      </c>
      <c r="U411">
        <f>MAX(-fyd_cc,MIN(fyd_cc,Es_cc*IF($E411&lt;=cc_D,0.0035*($E411-U$21)/$E411,0.002*($E411-U$21)/($E411-3*cc_D/7))))-fcd_cc*(1-(1-MAX(0,MIN(1,IF($E411&lt;=cc_D,0.0035*($E411-U$21)/$E411,0.002*($E411-U$21)/($E411-3*cc_D/7))/0.002)))^2)</f>
        <v/>
      </c>
      <c r="V411">
        <f>MAX(-fyd_cc,MIN(fyd_cc,Es_cc*IF($E411&lt;=cc_D,0.0035*($E411-V$21)/$E411,0.002*($E411-V$21)/($E411-3*cc_D/7))))-fcd_cc*(1-(1-MAX(0,MIN(1,IF($E411&lt;=cc_D,0.0035*($E411-V$21)/$E411,0.002*($E411-V$21)/($E411-3*cc_D/7))/0.002)))^2)</f>
        <v/>
      </c>
      <c r="W411">
        <f>MAX(-fyd_cc,MIN(fyd_cc,Es_cc*IF($E411&lt;=cc_D,0.0035*($E411-W$21)/$E411,0.002*($E411-W$21)/($E411-3*cc_D/7))))-fcd_cc*(1-(1-MAX(0,MIN(1,IF($E411&lt;=cc_D,0.0035*($E411-W$21)/$E411,0.002*($E411-W$21)/($E411-3*cc_D/7))/0.002)))^2)</f>
        <v/>
      </c>
      <c r="X411">
        <f>MAX(-fyd_cc,MIN(fyd_cc,Es_cc*IF($E411&lt;=cc_D,0.0035*($E411-X$21)/$E411,0.002*($E411-X$21)/($E411-3*cc_D/7))))-fcd_cc*(1-(1-MAX(0,MIN(1,IF($E411&lt;=cc_D,0.0035*($E411-X$21)/$E411,0.002*($E411-X$21)/($E411-3*cc_D/7))/0.002)))^2)</f>
        <v/>
      </c>
      <c r="Y411">
        <f>MAX(-fyd_cc,MIN(fyd_cc,Es_cc*IF($E411&lt;=cc_D,0.0035*($E411-Y$21)/$E411,0.002*($E411-Y$21)/($E411-3*cc_D/7))))-fcd_cc*(1-(1-MAX(0,MIN(1,IF($E411&lt;=cc_D,0.0035*($E411-Y$21)/$E411,0.002*($E411-Y$21)/($E411-3*cc_D/7))/0.002)))^2)</f>
        <v/>
      </c>
      <c r="Z411">
        <f>MAX(-fyd_cc,MIN(fyd_cc,Es_cc*IF($E411&lt;=cc_D,0.0035*($E411-Z$21)/$E411,0.002*($E411-Z$21)/($E411-3*cc_D/7))))-fcd_cc*(1-(1-MAX(0,MIN(1,IF($E411&lt;=cc_D,0.0035*($E411-Z$21)/$E411,0.002*($E411-Z$21)/($E411-3*cc_D/7))/0.002)))^2)</f>
        <v/>
      </c>
      <c r="AA411">
        <f>MAX(-fyd_cc,MIN(fyd_cc,Es_cc*IF($E411&lt;=cc_D,0.0035*($E411-AA$21)/$E411,0.002*($E411-AA$21)/($E411-3*cc_D/7))))-fcd_cc*(1-(1-MAX(0,MIN(1,IF($E411&lt;=cc_D,0.0035*($E411-AA$21)/$E411,0.002*($E411-AA$21)/($E411-3*cc_D/7))/0.002)))^2)</f>
        <v/>
      </c>
      <c r="AB411">
        <f>MAX(-fyd_cc,MIN(fyd_cc,Es_cc*IF($E411&lt;=cc_D,0.0035*($E411-AB$21)/$E411,0.002*($E411-AB$21)/($E411-3*cc_D/7))))-fcd_cc*(1-(1-MAX(0,MIN(1,IF($E411&lt;=cc_D,0.0035*($E411-AB$21)/$E411,0.002*($E411-AB$21)/($E411-3*cc_D/7))/0.002)))^2)</f>
        <v/>
      </c>
      <c r="AC411">
        <f>MAX(-fyd_cc,MIN(fyd_cc,Es_cc*IF($E411&lt;=cc_D,0.0035*($E411-AC$21)/$E411,0.002*($E411-AC$21)/($E411-3*cc_D/7))))-fcd_cc*(1-(1-MAX(0,MIN(1,IF($E411&lt;=cc_D,0.0035*($E411-AC$21)/$E411,0.002*($E411-AC$21)/($E411-3*cc_D/7))/0.002)))^2)</f>
        <v/>
      </c>
      <c r="AD411">
        <f>MAX(-fyd_cc,MIN(fyd_cc,Es_cc*IF($E411&lt;=cc_D,0.0035*($E411-AD$21)/$E411,0.002*($E411-AD$21)/($E411-3*cc_D/7))))-fcd_cc*(1-(1-MAX(0,MIN(1,IF($E411&lt;=cc_D,0.0035*($E411-AD$21)/$E411,0.002*($E411-AD$21)/($E411-3*cc_D/7))/0.002)))^2)</f>
        <v/>
      </c>
      <c r="AE411">
        <f>MAX(-fyd_cc,MIN(fyd_cc,Es_cc*IF($E411&lt;=cc_D,0.0035*($E411-AE$21)/$E411,0.002*($E411-AE$21)/($E411-3*cc_D/7))))-fcd_cc*(1-(1-MAX(0,MIN(1,IF($E411&lt;=cc_D,0.0035*($E411-AE$21)/$E411,0.002*($E411-AE$21)/($E411-3*cc_D/7))/0.002)))^2)</f>
        <v/>
      </c>
      <c r="AF411">
        <f>MAX(-fyd_cc,MIN(fyd_cc,Es_cc*IF($E411&lt;=cc_D,0.0035*($E411-AF$21)/$E411,0.002*($E411-AF$21)/($E411-3*cc_D/7))))-fcd_cc*(1-(1-MAX(0,MIN(1,IF($E411&lt;=cc_D,0.0035*($E411-AF$21)/$E411,0.002*($E411-AF$21)/($E411-3*cc_D/7))/0.002)))^2)</f>
        <v/>
      </c>
      <c r="AG411">
        <f>MAX(-fyd_cc,MIN(fyd_cc,Es_cc*IF($E411&lt;=cc_D,0.0035*($E411-AG$21)/$E411,0.002*($E411-AG$21)/($E411-3*cc_D/7))))-fcd_cc*(1-(1-MAX(0,MIN(1,IF($E411&lt;=cc_D,0.0035*($E411-AG$21)/$E411,0.002*($E411-AG$21)/($E411-3*cc_D/7))/0.002)))^2)</f>
        <v/>
      </c>
      <c r="BF411">
        <f>3*MIN($E411,cc_D)/7</f>
        <v/>
      </c>
      <c r="BG411">
        <f>$E411-$BF411</f>
        <v/>
      </c>
      <c r="BH411">
        <f>ACOS(MAX(-1,MIN(1,1-$BF411/(cc_D/2))))</f>
        <v/>
      </c>
      <c r="BI411">
        <f>ACOS(MAX(-1,MIN(1,1-MIN($E411,cc_D)/(cc_D/2))))</f>
        <v/>
      </c>
      <c r="BJ411">
        <f>((cc_D/2*(1-COS(($BH411+0*($BI411-$BH411)/12)))-$BF411)/$BG411)^2*SIN(($BH411+0*($BI411-$BH411)/12))^2</f>
        <v/>
      </c>
      <c r="BK411">
        <f>((cc_D/2*(1-COS(($BH411+1*($BI411-$BH411)/12)))-$BF411)/$BG411)^2*SIN(($BH411+1*($BI411-$BH411)/12))^2</f>
        <v/>
      </c>
      <c r="BL411">
        <f>((cc_D/2*(1-COS(($BH411+2*($BI411-$BH411)/12)))-$BF411)/$BG411)^2*SIN(($BH411+2*($BI411-$BH411)/12))^2</f>
        <v/>
      </c>
      <c r="BM411">
        <f>((cc_D/2*(1-COS(($BH411+3*($BI411-$BH411)/12)))-$BF411)/$BG411)^2*SIN(($BH411+3*($BI411-$BH411)/12))^2</f>
        <v/>
      </c>
      <c r="BN411">
        <f>((cc_D/2*(1-COS(($BH411+4*($BI411-$BH411)/12)))-$BF411)/$BG411)^2*SIN(($BH411+4*($BI411-$BH411)/12))^2</f>
        <v/>
      </c>
      <c r="BO411">
        <f>((cc_D/2*(1-COS(($BH411+5*($BI411-$BH411)/12)))-$BF411)/$BG411)^2*SIN(($BH411+5*($BI411-$BH411)/12))^2</f>
        <v/>
      </c>
      <c r="BP411">
        <f>((cc_D/2*(1-COS(($BH411+6*($BI411-$BH411)/12)))-$BF411)/$BG411)^2*SIN(($BH411+6*($BI411-$BH411)/12))^2</f>
        <v/>
      </c>
      <c r="BQ411">
        <f>((cc_D/2*(1-COS(($BH411+7*($BI411-$BH411)/12)))-$BF411)/$BG411)^2*SIN(($BH411+7*($BI411-$BH411)/12))^2</f>
        <v/>
      </c>
      <c r="BR411">
        <f>((cc_D/2*(1-COS(($BH411+8*($BI411-$BH411)/12)))-$BF411)/$BG411)^2*SIN(($BH411+8*($BI411-$BH411)/12))^2</f>
        <v/>
      </c>
      <c r="BS411">
        <f>((cc_D/2*(1-COS(($BH411+9*($BI411-$BH411)/12)))-$BF411)/$BG411)^2*SIN(($BH411+9*($BI411-$BH411)/12))^2</f>
        <v/>
      </c>
      <c r="BT411">
        <f>((cc_D/2*(1-COS(($BH411+10*($BI411-$BH411)/12)))-$BF411)/$BG411)^2*SIN(($BH411+10*($BI411-$BH411)/12))^2</f>
        <v/>
      </c>
      <c r="BU411">
        <f>((cc_D/2*(1-COS(($BH411+11*($BI411-$BH411)/12)))-$BF411)/$BG411)^2*SIN(($BH411+11*($BI411-$BH411)/12))^2</f>
        <v/>
      </c>
      <c r="BV411">
        <f>((cc_D/2*(1-COS(($BH411+12*($BI411-$BH411)/12)))-$BF411)/$BG411)^2*SIN(($BH411+12*($BI411-$BH411)/12))^2</f>
        <v/>
      </c>
      <c r="BW411">
        <f>BJ411*COS(($BH411+0*($BI411-$BH411)/12))</f>
        <v/>
      </c>
      <c r="BX411">
        <f>BK411*COS(($BH411+1*($BI411-$BH411)/12))</f>
        <v/>
      </c>
      <c r="BY411">
        <f>BL411*COS(($BH411+2*($BI411-$BH411)/12))</f>
        <v/>
      </c>
      <c r="BZ411">
        <f>BM411*COS(($BH411+3*($BI411-$BH411)/12))</f>
        <v/>
      </c>
      <c r="CA411">
        <f>BN411*COS(($BH411+4*($BI411-$BH411)/12))</f>
        <v/>
      </c>
      <c r="CB411">
        <f>BO411*COS(($BH411+5*($BI411-$BH411)/12))</f>
        <v/>
      </c>
      <c r="CC411">
        <f>BP411*COS(($BH411+6*($BI411-$BH411)/12))</f>
        <v/>
      </c>
      <c r="CD411">
        <f>BQ411*COS(($BH411+7*($BI411-$BH411)/12))</f>
        <v/>
      </c>
      <c r="CE411">
        <f>BR411*COS(($BH411+8*($BI411-$BH411)/12))</f>
        <v/>
      </c>
      <c r="CF411">
        <f>BS411*COS(($BH411+9*($BI411-$BH411)/12))</f>
        <v/>
      </c>
      <c r="CG411">
        <f>BT411*COS(($BH411+10*($BI411-$BH411)/12))</f>
        <v/>
      </c>
      <c r="CH411">
        <f>BU411*COS(($BH411+11*($BI411-$BH411)/12))</f>
        <v/>
      </c>
      <c r="CI411">
        <f>BV411*COS(($BH411+12*($BI411-$BH411)/12))</f>
        <v/>
      </c>
    </row>
    <row r="412">
      <c r="B412" s="65" t="n">
        <v>8</v>
      </c>
      <c r="C412" s="66">
        <f>IF($G411&lt;cc_NEd-1E-9*ABS(cc_NEd),($C411+$D411)/2,$C411)</f>
        <v/>
      </c>
      <c r="D412" s="66">
        <f>IF($G411&lt;cc_NEd-1E-9*ABS(cc_NEd),$D411,($C411+$D411)/2)</f>
        <v/>
      </c>
      <c r="E412" s="67">
        <f>cc_D*(($C412+$D412)/2)/(1-(($C412+$D412)/2))</f>
        <v/>
      </c>
      <c r="F412" s="68">
        <f>IF($E412&lt;=cc_D,3.5,2*$E412/($E412-3*cc_D/7))</f>
        <v/>
      </c>
      <c r="G412" s="67">
        <f>(fcd_cc*((cc_D/2)^2*($BI412-COS($BI412)*SIN($BI412))-2*(cc_D/2)^2*($BI412-$BH412)/12/3*SUMPRODUCT($BJ$4:$BV$4,$BJ412:$BV412))+SUMPRODUCT($J$5:$AG$5,$J412:$AG412))/1000</f>
        <v/>
      </c>
      <c r="H412" s="67">
        <f>(fcd_cc*(2/3*(cc_D/2)^3*SIN($BI412)^3-2*(cc_D/2)^3*($BI412-$BH412)/12/3*SUMPRODUCT($BW$4:$CI$4,$BW412:$CI412))+SUMPRODUCT($J$5:$AG$5,$J412:$AG412,$J$22:$AG$22))/1E6</f>
        <v/>
      </c>
      <c r="I412" s="67">
        <f>SUMPRODUCT($J$5:$AG$5,$J412:$AG412,$J$23:$AG$23)/1E6</f>
        <v/>
      </c>
      <c r="J412">
        <f>MAX(-fyd_cc,MIN(fyd_cc,Es_cc*IF($E412&lt;=cc_D,0.0035*($E412-J$21)/$E412,0.002*($E412-J$21)/($E412-3*cc_D/7))))-fcd_cc*(1-(1-MAX(0,MIN(1,IF($E412&lt;=cc_D,0.0035*($E412-J$21)/$E412,0.002*($E412-J$21)/($E412-3*cc_D/7))/0.002)))^2)</f>
        <v/>
      </c>
      <c r="K412">
        <f>MAX(-fyd_cc,MIN(fyd_cc,Es_cc*IF($E412&lt;=cc_D,0.0035*($E412-K$21)/$E412,0.002*($E412-K$21)/($E412-3*cc_D/7))))-fcd_cc*(1-(1-MAX(0,MIN(1,IF($E412&lt;=cc_D,0.0035*($E412-K$21)/$E412,0.002*($E412-K$21)/($E412-3*cc_D/7))/0.002)))^2)</f>
        <v/>
      </c>
      <c r="L412">
        <f>MAX(-fyd_cc,MIN(fyd_cc,Es_cc*IF($E412&lt;=cc_D,0.0035*($E412-L$21)/$E412,0.002*($E412-L$21)/($E412-3*cc_D/7))))-fcd_cc*(1-(1-MAX(0,MIN(1,IF($E412&lt;=cc_D,0.0035*($E412-L$21)/$E412,0.002*($E412-L$21)/($E412-3*cc_D/7))/0.002)))^2)</f>
        <v/>
      </c>
      <c r="M412">
        <f>MAX(-fyd_cc,MIN(fyd_cc,Es_cc*IF($E412&lt;=cc_D,0.0035*($E412-M$21)/$E412,0.002*($E412-M$21)/($E412-3*cc_D/7))))-fcd_cc*(1-(1-MAX(0,MIN(1,IF($E412&lt;=cc_D,0.0035*($E412-M$21)/$E412,0.002*($E412-M$21)/($E412-3*cc_D/7))/0.002)))^2)</f>
        <v/>
      </c>
      <c r="N412">
        <f>MAX(-fyd_cc,MIN(fyd_cc,Es_cc*IF($E412&lt;=cc_D,0.0035*($E412-N$21)/$E412,0.002*($E412-N$21)/($E412-3*cc_D/7))))-fcd_cc*(1-(1-MAX(0,MIN(1,IF($E412&lt;=cc_D,0.0035*($E412-N$21)/$E412,0.002*($E412-N$21)/($E412-3*cc_D/7))/0.002)))^2)</f>
        <v/>
      </c>
      <c r="O412">
        <f>MAX(-fyd_cc,MIN(fyd_cc,Es_cc*IF($E412&lt;=cc_D,0.0035*($E412-O$21)/$E412,0.002*($E412-O$21)/($E412-3*cc_D/7))))-fcd_cc*(1-(1-MAX(0,MIN(1,IF($E412&lt;=cc_D,0.0035*($E412-O$21)/$E412,0.002*($E412-O$21)/($E412-3*cc_D/7))/0.002)))^2)</f>
        <v/>
      </c>
      <c r="P412">
        <f>MAX(-fyd_cc,MIN(fyd_cc,Es_cc*IF($E412&lt;=cc_D,0.0035*($E412-P$21)/$E412,0.002*($E412-P$21)/($E412-3*cc_D/7))))-fcd_cc*(1-(1-MAX(0,MIN(1,IF($E412&lt;=cc_D,0.0035*($E412-P$21)/$E412,0.002*($E412-P$21)/($E412-3*cc_D/7))/0.002)))^2)</f>
        <v/>
      </c>
      <c r="Q412">
        <f>MAX(-fyd_cc,MIN(fyd_cc,Es_cc*IF($E412&lt;=cc_D,0.0035*($E412-Q$21)/$E412,0.002*($E412-Q$21)/($E412-3*cc_D/7))))-fcd_cc*(1-(1-MAX(0,MIN(1,IF($E412&lt;=cc_D,0.0035*($E412-Q$21)/$E412,0.002*($E412-Q$21)/($E412-3*cc_D/7))/0.002)))^2)</f>
        <v/>
      </c>
      <c r="R412">
        <f>MAX(-fyd_cc,MIN(fyd_cc,Es_cc*IF($E412&lt;=cc_D,0.0035*($E412-R$21)/$E412,0.002*($E412-R$21)/($E412-3*cc_D/7))))-fcd_cc*(1-(1-MAX(0,MIN(1,IF($E412&lt;=cc_D,0.0035*($E412-R$21)/$E412,0.002*($E412-R$21)/($E412-3*cc_D/7))/0.002)))^2)</f>
        <v/>
      </c>
      <c r="S412">
        <f>MAX(-fyd_cc,MIN(fyd_cc,Es_cc*IF($E412&lt;=cc_D,0.0035*($E412-S$21)/$E412,0.002*($E412-S$21)/($E412-3*cc_D/7))))-fcd_cc*(1-(1-MAX(0,MIN(1,IF($E412&lt;=cc_D,0.0035*($E412-S$21)/$E412,0.002*($E412-S$21)/($E412-3*cc_D/7))/0.002)))^2)</f>
        <v/>
      </c>
      <c r="T412">
        <f>MAX(-fyd_cc,MIN(fyd_cc,Es_cc*IF($E412&lt;=cc_D,0.0035*($E412-T$21)/$E412,0.002*($E412-T$21)/($E412-3*cc_D/7))))-fcd_cc*(1-(1-MAX(0,MIN(1,IF($E412&lt;=cc_D,0.0035*($E412-T$21)/$E412,0.002*($E412-T$21)/($E412-3*cc_D/7))/0.002)))^2)</f>
        <v/>
      </c>
      <c r="U412">
        <f>MAX(-fyd_cc,MIN(fyd_cc,Es_cc*IF($E412&lt;=cc_D,0.0035*($E412-U$21)/$E412,0.002*($E412-U$21)/($E412-3*cc_D/7))))-fcd_cc*(1-(1-MAX(0,MIN(1,IF($E412&lt;=cc_D,0.0035*($E412-U$21)/$E412,0.002*($E412-U$21)/($E412-3*cc_D/7))/0.002)))^2)</f>
        <v/>
      </c>
      <c r="V412">
        <f>MAX(-fyd_cc,MIN(fyd_cc,Es_cc*IF($E412&lt;=cc_D,0.0035*($E412-V$21)/$E412,0.002*($E412-V$21)/($E412-3*cc_D/7))))-fcd_cc*(1-(1-MAX(0,MIN(1,IF($E412&lt;=cc_D,0.0035*($E412-V$21)/$E412,0.002*($E412-V$21)/($E412-3*cc_D/7))/0.002)))^2)</f>
        <v/>
      </c>
      <c r="W412">
        <f>MAX(-fyd_cc,MIN(fyd_cc,Es_cc*IF($E412&lt;=cc_D,0.0035*($E412-W$21)/$E412,0.002*($E412-W$21)/($E412-3*cc_D/7))))-fcd_cc*(1-(1-MAX(0,MIN(1,IF($E412&lt;=cc_D,0.0035*($E412-W$21)/$E412,0.002*($E412-W$21)/($E412-3*cc_D/7))/0.002)))^2)</f>
        <v/>
      </c>
      <c r="X412">
        <f>MAX(-fyd_cc,MIN(fyd_cc,Es_cc*IF($E412&lt;=cc_D,0.0035*($E412-X$21)/$E412,0.002*($E412-X$21)/($E412-3*cc_D/7))))-fcd_cc*(1-(1-MAX(0,MIN(1,IF($E412&lt;=cc_D,0.0035*($E412-X$21)/$E412,0.002*($E412-X$21)/($E412-3*cc_D/7))/0.002)))^2)</f>
        <v/>
      </c>
      <c r="Y412">
        <f>MAX(-fyd_cc,MIN(fyd_cc,Es_cc*IF($E412&lt;=cc_D,0.0035*($E412-Y$21)/$E412,0.002*($E412-Y$21)/($E412-3*cc_D/7))))-fcd_cc*(1-(1-MAX(0,MIN(1,IF($E412&lt;=cc_D,0.0035*($E412-Y$21)/$E412,0.002*($E412-Y$21)/($E412-3*cc_D/7))/0.002)))^2)</f>
        <v/>
      </c>
      <c r="Z412">
        <f>MAX(-fyd_cc,MIN(fyd_cc,Es_cc*IF($E412&lt;=cc_D,0.0035*($E412-Z$21)/$E412,0.002*($E412-Z$21)/($E412-3*cc_D/7))))-fcd_cc*(1-(1-MAX(0,MIN(1,IF($E412&lt;=cc_D,0.0035*($E412-Z$21)/$E412,0.002*($E412-Z$21)/($E412-3*cc_D/7))/0.002)))^2)</f>
        <v/>
      </c>
      <c r="AA412">
        <f>MAX(-fyd_cc,MIN(fyd_cc,Es_cc*IF($E412&lt;=cc_D,0.0035*($E412-AA$21)/$E412,0.002*($E412-AA$21)/($E412-3*cc_D/7))))-fcd_cc*(1-(1-MAX(0,MIN(1,IF($E412&lt;=cc_D,0.0035*($E412-AA$21)/$E412,0.002*($E412-AA$21)/($E412-3*cc_D/7))/0.002)))^2)</f>
        <v/>
      </c>
      <c r="AB412">
        <f>MAX(-fyd_cc,MIN(fyd_cc,Es_cc*IF($E412&lt;=cc_D,0.0035*($E412-AB$21)/$E412,0.002*($E412-AB$21)/($E412-3*cc_D/7))))-fcd_cc*(1-(1-MAX(0,MIN(1,IF($E412&lt;=cc_D,0.0035*($E412-AB$21)/$E412,0.002*($E412-AB$21)/($E412-3*cc_D/7))/0.002)))^2)</f>
        <v/>
      </c>
      <c r="AC412">
        <f>MAX(-fyd_cc,MIN(fyd_cc,Es_cc*IF($E412&lt;=cc_D,0.0035*($E412-AC$21)/$E412,0.002*($E412-AC$21)/($E412-3*cc_D/7))))-fcd_cc*(1-(1-MAX(0,MIN(1,IF($E412&lt;=cc_D,0.0035*($E412-AC$21)/$E412,0.002*($E412-AC$21)/($E412-3*cc_D/7))/0.002)))^2)</f>
        <v/>
      </c>
      <c r="AD412">
        <f>MAX(-fyd_cc,MIN(fyd_cc,Es_cc*IF($E412&lt;=cc_D,0.0035*($E412-AD$21)/$E412,0.002*($E412-AD$21)/($E412-3*cc_D/7))))-fcd_cc*(1-(1-MAX(0,MIN(1,IF($E412&lt;=cc_D,0.0035*($E412-AD$21)/$E412,0.002*($E412-AD$21)/($E412-3*cc_D/7))/0.002)))^2)</f>
        <v/>
      </c>
      <c r="AE412">
        <f>MAX(-fyd_cc,MIN(fyd_cc,Es_cc*IF($E412&lt;=cc_D,0.0035*($E412-AE$21)/$E412,0.002*($E412-AE$21)/($E412-3*cc_D/7))))-fcd_cc*(1-(1-MAX(0,MIN(1,IF($E412&lt;=cc_D,0.0035*($E412-AE$21)/$E412,0.002*($E412-AE$21)/($E412-3*cc_D/7))/0.002)))^2)</f>
        <v/>
      </c>
      <c r="AF412">
        <f>MAX(-fyd_cc,MIN(fyd_cc,Es_cc*IF($E412&lt;=cc_D,0.0035*($E412-AF$21)/$E412,0.002*($E412-AF$21)/($E412-3*cc_D/7))))-fcd_cc*(1-(1-MAX(0,MIN(1,IF($E412&lt;=cc_D,0.0035*($E412-AF$21)/$E412,0.002*($E412-AF$21)/($E412-3*cc_D/7))/0.002)))^2)</f>
        <v/>
      </c>
      <c r="AG412">
        <f>MAX(-fyd_cc,MIN(fyd_cc,Es_cc*IF($E412&lt;=cc_D,0.0035*($E412-AG$21)/$E412,0.002*($E412-AG$21)/($E412-3*cc_D/7))))-fcd_cc*(1-(1-MAX(0,MIN(1,IF($E412&lt;=cc_D,0.0035*($E412-AG$21)/$E412,0.002*($E412-AG$21)/($E412-3*cc_D/7))/0.002)))^2)</f>
        <v/>
      </c>
      <c r="BF412">
        <f>3*MIN($E412,cc_D)/7</f>
        <v/>
      </c>
      <c r="BG412">
        <f>$E412-$BF412</f>
        <v/>
      </c>
      <c r="BH412">
        <f>ACOS(MAX(-1,MIN(1,1-$BF412/(cc_D/2))))</f>
        <v/>
      </c>
      <c r="BI412">
        <f>ACOS(MAX(-1,MIN(1,1-MIN($E412,cc_D)/(cc_D/2))))</f>
        <v/>
      </c>
      <c r="BJ412">
        <f>((cc_D/2*(1-COS(($BH412+0*($BI412-$BH412)/12)))-$BF412)/$BG412)^2*SIN(($BH412+0*($BI412-$BH412)/12))^2</f>
        <v/>
      </c>
      <c r="BK412">
        <f>((cc_D/2*(1-COS(($BH412+1*($BI412-$BH412)/12)))-$BF412)/$BG412)^2*SIN(($BH412+1*($BI412-$BH412)/12))^2</f>
        <v/>
      </c>
      <c r="BL412">
        <f>((cc_D/2*(1-COS(($BH412+2*($BI412-$BH412)/12)))-$BF412)/$BG412)^2*SIN(($BH412+2*($BI412-$BH412)/12))^2</f>
        <v/>
      </c>
      <c r="BM412">
        <f>((cc_D/2*(1-COS(($BH412+3*($BI412-$BH412)/12)))-$BF412)/$BG412)^2*SIN(($BH412+3*($BI412-$BH412)/12))^2</f>
        <v/>
      </c>
      <c r="BN412">
        <f>((cc_D/2*(1-COS(($BH412+4*($BI412-$BH412)/12)))-$BF412)/$BG412)^2*SIN(($BH412+4*($BI412-$BH412)/12))^2</f>
        <v/>
      </c>
      <c r="BO412">
        <f>((cc_D/2*(1-COS(($BH412+5*($BI412-$BH412)/12)))-$BF412)/$BG412)^2*SIN(($BH412+5*($BI412-$BH412)/12))^2</f>
        <v/>
      </c>
      <c r="BP412">
        <f>((cc_D/2*(1-COS(($BH412+6*($BI412-$BH412)/12)))-$BF412)/$BG412)^2*SIN(($BH412+6*($BI412-$BH412)/12))^2</f>
        <v/>
      </c>
      <c r="BQ412">
        <f>((cc_D/2*(1-COS(($BH412+7*($BI412-$BH412)/12)))-$BF412)/$BG412)^2*SIN(($BH412+7*($BI412-$BH412)/12))^2</f>
        <v/>
      </c>
      <c r="BR412">
        <f>((cc_D/2*(1-COS(($BH412+8*($BI412-$BH412)/12)))-$BF412)/$BG412)^2*SIN(($BH412+8*($BI412-$BH412)/12))^2</f>
        <v/>
      </c>
      <c r="BS412">
        <f>((cc_D/2*(1-COS(($BH412+9*($BI412-$BH412)/12)))-$BF412)/$BG412)^2*SIN(($BH412+9*($BI412-$BH412)/12))^2</f>
        <v/>
      </c>
      <c r="BT412">
        <f>((cc_D/2*(1-COS(($BH412+10*($BI412-$BH412)/12)))-$BF412)/$BG412)^2*SIN(($BH412+10*($BI412-$BH412)/12))^2</f>
        <v/>
      </c>
      <c r="BU412">
        <f>((cc_D/2*(1-COS(($BH412+11*($BI412-$BH412)/12)))-$BF412)/$BG412)^2*SIN(($BH412+11*($BI412-$BH412)/12))^2</f>
        <v/>
      </c>
      <c r="BV412">
        <f>((cc_D/2*(1-COS(($BH412+12*($BI412-$BH412)/12)))-$BF412)/$BG412)^2*SIN(($BH412+12*($BI412-$BH412)/12))^2</f>
        <v/>
      </c>
      <c r="BW412">
        <f>BJ412*COS(($BH412+0*($BI412-$BH412)/12))</f>
        <v/>
      </c>
      <c r="BX412">
        <f>BK412*COS(($BH412+1*($BI412-$BH412)/12))</f>
        <v/>
      </c>
      <c r="BY412">
        <f>BL412*COS(($BH412+2*($BI412-$BH412)/12))</f>
        <v/>
      </c>
      <c r="BZ412">
        <f>BM412*COS(($BH412+3*($BI412-$BH412)/12))</f>
        <v/>
      </c>
      <c r="CA412">
        <f>BN412*COS(($BH412+4*($BI412-$BH412)/12))</f>
        <v/>
      </c>
      <c r="CB412">
        <f>BO412*COS(($BH412+5*($BI412-$BH412)/12))</f>
        <v/>
      </c>
      <c r="CC412">
        <f>BP412*COS(($BH412+6*($BI412-$BH412)/12))</f>
        <v/>
      </c>
      <c r="CD412">
        <f>BQ412*COS(($BH412+7*($BI412-$BH412)/12))</f>
        <v/>
      </c>
      <c r="CE412">
        <f>BR412*COS(($BH412+8*($BI412-$BH412)/12))</f>
        <v/>
      </c>
      <c r="CF412">
        <f>BS412*COS(($BH412+9*($BI412-$BH412)/12))</f>
        <v/>
      </c>
      <c r="CG412">
        <f>BT412*COS(($BH412+10*($BI412-$BH412)/12))</f>
        <v/>
      </c>
      <c r="CH412">
        <f>BU412*COS(($BH412+11*($BI412-$BH412)/12))</f>
        <v/>
      </c>
      <c r="CI412">
        <f>BV412*COS(($BH412+12*($BI412-$BH412)/12))</f>
        <v/>
      </c>
    </row>
    <row r="413">
      <c r="B413" s="65" t="n">
        <v>9</v>
      </c>
      <c r="C413" s="66">
        <f>IF($G412&lt;cc_NEd-1E-9*ABS(cc_NEd),($C412+$D412)/2,$C412)</f>
        <v/>
      </c>
      <c r="D413" s="66">
        <f>IF($G412&lt;cc_NEd-1E-9*ABS(cc_NEd),$D412,($C412+$D412)/2)</f>
        <v/>
      </c>
      <c r="E413" s="67">
        <f>cc_D*(($C413+$D413)/2)/(1-(($C413+$D413)/2))</f>
        <v/>
      </c>
      <c r="F413" s="68">
        <f>IF($E413&lt;=cc_D,3.5,2*$E413/($E413-3*cc_D/7))</f>
        <v/>
      </c>
      <c r="G413" s="67">
        <f>(fcd_cc*((cc_D/2)^2*($BI413-COS($BI413)*SIN($BI413))-2*(cc_D/2)^2*($BI413-$BH413)/12/3*SUMPRODUCT($BJ$4:$BV$4,$BJ413:$BV413))+SUMPRODUCT($J$5:$AG$5,$J413:$AG413))/1000</f>
        <v/>
      </c>
      <c r="H413" s="67">
        <f>(fcd_cc*(2/3*(cc_D/2)^3*SIN($BI413)^3-2*(cc_D/2)^3*($BI413-$BH413)/12/3*SUMPRODUCT($BW$4:$CI$4,$BW413:$CI413))+SUMPRODUCT($J$5:$AG$5,$J413:$AG413,$J$22:$AG$22))/1E6</f>
        <v/>
      </c>
      <c r="I413" s="67">
        <f>SUMPRODUCT($J$5:$AG$5,$J413:$AG413,$J$23:$AG$23)/1E6</f>
        <v/>
      </c>
      <c r="J413">
        <f>MAX(-fyd_cc,MIN(fyd_cc,Es_cc*IF($E413&lt;=cc_D,0.0035*($E413-J$21)/$E413,0.002*($E413-J$21)/($E413-3*cc_D/7))))-fcd_cc*(1-(1-MAX(0,MIN(1,IF($E413&lt;=cc_D,0.0035*($E413-J$21)/$E413,0.002*($E413-J$21)/($E413-3*cc_D/7))/0.002)))^2)</f>
        <v/>
      </c>
      <c r="K413">
        <f>MAX(-fyd_cc,MIN(fyd_cc,Es_cc*IF($E413&lt;=cc_D,0.0035*($E413-K$21)/$E413,0.002*($E413-K$21)/($E413-3*cc_D/7))))-fcd_cc*(1-(1-MAX(0,MIN(1,IF($E413&lt;=cc_D,0.0035*($E413-K$21)/$E413,0.002*($E413-K$21)/($E413-3*cc_D/7))/0.002)))^2)</f>
        <v/>
      </c>
      <c r="L413">
        <f>MAX(-fyd_cc,MIN(fyd_cc,Es_cc*IF($E413&lt;=cc_D,0.0035*($E413-L$21)/$E413,0.002*($E413-L$21)/($E413-3*cc_D/7))))-fcd_cc*(1-(1-MAX(0,MIN(1,IF($E413&lt;=cc_D,0.0035*($E413-L$21)/$E413,0.002*($E413-L$21)/($E413-3*cc_D/7))/0.002)))^2)</f>
        <v/>
      </c>
      <c r="M413">
        <f>MAX(-fyd_cc,MIN(fyd_cc,Es_cc*IF($E413&lt;=cc_D,0.0035*($E413-M$21)/$E413,0.002*($E413-M$21)/($E413-3*cc_D/7))))-fcd_cc*(1-(1-MAX(0,MIN(1,IF($E413&lt;=cc_D,0.0035*($E413-M$21)/$E413,0.002*($E413-M$21)/($E413-3*cc_D/7))/0.002)))^2)</f>
        <v/>
      </c>
      <c r="N413">
        <f>MAX(-fyd_cc,MIN(fyd_cc,Es_cc*IF($E413&lt;=cc_D,0.0035*($E413-N$21)/$E413,0.002*($E413-N$21)/($E413-3*cc_D/7))))-fcd_cc*(1-(1-MAX(0,MIN(1,IF($E413&lt;=cc_D,0.0035*($E413-N$21)/$E413,0.002*($E413-N$21)/($E413-3*cc_D/7))/0.002)))^2)</f>
        <v/>
      </c>
      <c r="O413">
        <f>MAX(-fyd_cc,MIN(fyd_cc,Es_cc*IF($E413&lt;=cc_D,0.0035*($E413-O$21)/$E413,0.002*($E413-O$21)/($E413-3*cc_D/7))))-fcd_cc*(1-(1-MAX(0,MIN(1,IF($E413&lt;=cc_D,0.0035*($E413-O$21)/$E413,0.002*($E413-O$21)/($E413-3*cc_D/7))/0.002)))^2)</f>
        <v/>
      </c>
      <c r="P413">
        <f>MAX(-fyd_cc,MIN(fyd_cc,Es_cc*IF($E413&lt;=cc_D,0.0035*($E413-P$21)/$E413,0.002*($E413-P$21)/($E413-3*cc_D/7))))-fcd_cc*(1-(1-MAX(0,MIN(1,IF($E413&lt;=cc_D,0.0035*($E413-P$21)/$E413,0.002*($E413-P$21)/($E413-3*cc_D/7))/0.002)))^2)</f>
        <v/>
      </c>
      <c r="Q413">
        <f>MAX(-fyd_cc,MIN(fyd_cc,Es_cc*IF($E413&lt;=cc_D,0.0035*($E413-Q$21)/$E413,0.002*($E413-Q$21)/($E413-3*cc_D/7))))-fcd_cc*(1-(1-MAX(0,MIN(1,IF($E413&lt;=cc_D,0.0035*($E413-Q$21)/$E413,0.002*($E413-Q$21)/($E413-3*cc_D/7))/0.002)))^2)</f>
        <v/>
      </c>
      <c r="R413">
        <f>MAX(-fyd_cc,MIN(fyd_cc,Es_cc*IF($E413&lt;=cc_D,0.0035*($E413-R$21)/$E413,0.002*($E413-R$21)/($E413-3*cc_D/7))))-fcd_cc*(1-(1-MAX(0,MIN(1,IF($E413&lt;=cc_D,0.0035*($E413-R$21)/$E413,0.002*($E413-R$21)/($E413-3*cc_D/7))/0.002)))^2)</f>
        <v/>
      </c>
      <c r="S413">
        <f>MAX(-fyd_cc,MIN(fyd_cc,Es_cc*IF($E413&lt;=cc_D,0.0035*($E413-S$21)/$E413,0.002*($E413-S$21)/($E413-3*cc_D/7))))-fcd_cc*(1-(1-MAX(0,MIN(1,IF($E413&lt;=cc_D,0.0035*($E413-S$21)/$E413,0.002*($E413-S$21)/($E413-3*cc_D/7))/0.002)))^2)</f>
        <v/>
      </c>
      <c r="T413">
        <f>MAX(-fyd_cc,MIN(fyd_cc,Es_cc*IF($E413&lt;=cc_D,0.0035*($E413-T$21)/$E413,0.002*($E413-T$21)/($E413-3*cc_D/7))))-fcd_cc*(1-(1-MAX(0,MIN(1,IF($E413&lt;=cc_D,0.0035*($E413-T$21)/$E413,0.002*($E413-T$21)/($E413-3*cc_D/7))/0.002)))^2)</f>
        <v/>
      </c>
      <c r="U413">
        <f>MAX(-fyd_cc,MIN(fyd_cc,Es_cc*IF($E413&lt;=cc_D,0.0035*($E413-U$21)/$E413,0.002*($E413-U$21)/($E413-3*cc_D/7))))-fcd_cc*(1-(1-MAX(0,MIN(1,IF($E413&lt;=cc_D,0.0035*($E413-U$21)/$E413,0.002*($E413-U$21)/($E413-3*cc_D/7))/0.002)))^2)</f>
        <v/>
      </c>
      <c r="V413">
        <f>MAX(-fyd_cc,MIN(fyd_cc,Es_cc*IF($E413&lt;=cc_D,0.0035*($E413-V$21)/$E413,0.002*($E413-V$21)/($E413-3*cc_D/7))))-fcd_cc*(1-(1-MAX(0,MIN(1,IF($E413&lt;=cc_D,0.0035*($E413-V$21)/$E413,0.002*($E413-V$21)/($E413-3*cc_D/7))/0.002)))^2)</f>
        <v/>
      </c>
      <c r="W413">
        <f>MAX(-fyd_cc,MIN(fyd_cc,Es_cc*IF($E413&lt;=cc_D,0.0035*($E413-W$21)/$E413,0.002*($E413-W$21)/($E413-3*cc_D/7))))-fcd_cc*(1-(1-MAX(0,MIN(1,IF($E413&lt;=cc_D,0.0035*($E413-W$21)/$E413,0.002*($E413-W$21)/($E413-3*cc_D/7))/0.002)))^2)</f>
        <v/>
      </c>
      <c r="X413">
        <f>MAX(-fyd_cc,MIN(fyd_cc,Es_cc*IF($E413&lt;=cc_D,0.0035*($E413-X$21)/$E413,0.002*($E413-X$21)/($E413-3*cc_D/7))))-fcd_cc*(1-(1-MAX(0,MIN(1,IF($E413&lt;=cc_D,0.0035*($E413-X$21)/$E413,0.002*($E413-X$21)/($E413-3*cc_D/7))/0.002)))^2)</f>
        <v/>
      </c>
      <c r="Y413">
        <f>MAX(-fyd_cc,MIN(fyd_cc,Es_cc*IF($E413&lt;=cc_D,0.0035*($E413-Y$21)/$E413,0.002*($E413-Y$21)/($E413-3*cc_D/7))))-fcd_cc*(1-(1-MAX(0,MIN(1,IF($E413&lt;=cc_D,0.0035*($E413-Y$21)/$E413,0.002*($E413-Y$21)/($E413-3*cc_D/7))/0.002)))^2)</f>
        <v/>
      </c>
      <c r="Z413">
        <f>MAX(-fyd_cc,MIN(fyd_cc,Es_cc*IF($E413&lt;=cc_D,0.0035*($E413-Z$21)/$E413,0.002*($E413-Z$21)/($E413-3*cc_D/7))))-fcd_cc*(1-(1-MAX(0,MIN(1,IF($E413&lt;=cc_D,0.0035*($E413-Z$21)/$E413,0.002*($E413-Z$21)/($E413-3*cc_D/7))/0.002)))^2)</f>
        <v/>
      </c>
      <c r="AA413">
        <f>MAX(-fyd_cc,MIN(fyd_cc,Es_cc*IF($E413&lt;=cc_D,0.0035*($E413-AA$21)/$E413,0.002*($E413-AA$21)/($E413-3*cc_D/7))))-fcd_cc*(1-(1-MAX(0,MIN(1,IF($E413&lt;=cc_D,0.0035*($E413-AA$21)/$E413,0.002*($E413-AA$21)/($E413-3*cc_D/7))/0.002)))^2)</f>
        <v/>
      </c>
      <c r="AB413">
        <f>MAX(-fyd_cc,MIN(fyd_cc,Es_cc*IF($E413&lt;=cc_D,0.0035*($E413-AB$21)/$E413,0.002*($E413-AB$21)/($E413-3*cc_D/7))))-fcd_cc*(1-(1-MAX(0,MIN(1,IF($E413&lt;=cc_D,0.0035*($E413-AB$21)/$E413,0.002*($E413-AB$21)/($E413-3*cc_D/7))/0.002)))^2)</f>
        <v/>
      </c>
      <c r="AC413">
        <f>MAX(-fyd_cc,MIN(fyd_cc,Es_cc*IF($E413&lt;=cc_D,0.0035*($E413-AC$21)/$E413,0.002*($E413-AC$21)/($E413-3*cc_D/7))))-fcd_cc*(1-(1-MAX(0,MIN(1,IF($E413&lt;=cc_D,0.0035*($E413-AC$21)/$E413,0.002*($E413-AC$21)/($E413-3*cc_D/7))/0.002)))^2)</f>
        <v/>
      </c>
      <c r="AD413">
        <f>MAX(-fyd_cc,MIN(fyd_cc,Es_cc*IF($E413&lt;=cc_D,0.0035*($E413-AD$21)/$E413,0.002*($E413-AD$21)/($E413-3*cc_D/7))))-fcd_cc*(1-(1-MAX(0,MIN(1,IF($E413&lt;=cc_D,0.0035*($E413-AD$21)/$E413,0.002*($E413-AD$21)/($E413-3*cc_D/7))/0.002)))^2)</f>
        <v/>
      </c>
      <c r="AE413">
        <f>MAX(-fyd_cc,MIN(fyd_cc,Es_cc*IF($E413&lt;=cc_D,0.0035*($E413-AE$21)/$E413,0.002*($E413-AE$21)/($E413-3*cc_D/7))))-fcd_cc*(1-(1-MAX(0,MIN(1,IF($E413&lt;=cc_D,0.0035*($E413-AE$21)/$E413,0.002*($E413-AE$21)/($E413-3*cc_D/7))/0.002)))^2)</f>
        <v/>
      </c>
      <c r="AF413">
        <f>MAX(-fyd_cc,MIN(fyd_cc,Es_cc*IF($E413&lt;=cc_D,0.0035*($E413-AF$21)/$E413,0.002*($E413-AF$21)/($E413-3*cc_D/7))))-fcd_cc*(1-(1-MAX(0,MIN(1,IF($E413&lt;=cc_D,0.0035*($E413-AF$21)/$E413,0.002*($E413-AF$21)/($E413-3*cc_D/7))/0.002)))^2)</f>
        <v/>
      </c>
      <c r="AG413">
        <f>MAX(-fyd_cc,MIN(fyd_cc,Es_cc*IF($E413&lt;=cc_D,0.0035*($E413-AG$21)/$E413,0.002*($E413-AG$21)/($E413-3*cc_D/7))))-fcd_cc*(1-(1-MAX(0,MIN(1,IF($E413&lt;=cc_D,0.0035*($E413-AG$21)/$E413,0.002*($E413-AG$21)/($E413-3*cc_D/7))/0.002)))^2)</f>
        <v/>
      </c>
      <c r="BF413">
        <f>3*MIN($E413,cc_D)/7</f>
        <v/>
      </c>
      <c r="BG413">
        <f>$E413-$BF413</f>
        <v/>
      </c>
      <c r="BH413">
        <f>ACOS(MAX(-1,MIN(1,1-$BF413/(cc_D/2))))</f>
        <v/>
      </c>
      <c r="BI413">
        <f>ACOS(MAX(-1,MIN(1,1-MIN($E413,cc_D)/(cc_D/2))))</f>
        <v/>
      </c>
      <c r="BJ413">
        <f>((cc_D/2*(1-COS(($BH413+0*($BI413-$BH413)/12)))-$BF413)/$BG413)^2*SIN(($BH413+0*($BI413-$BH413)/12))^2</f>
        <v/>
      </c>
      <c r="BK413">
        <f>((cc_D/2*(1-COS(($BH413+1*($BI413-$BH413)/12)))-$BF413)/$BG413)^2*SIN(($BH413+1*($BI413-$BH413)/12))^2</f>
        <v/>
      </c>
      <c r="BL413">
        <f>((cc_D/2*(1-COS(($BH413+2*($BI413-$BH413)/12)))-$BF413)/$BG413)^2*SIN(($BH413+2*($BI413-$BH413)/12))^2</f>
        <v/>
      </c>
      <c r="BM413">
        <f>((cc_D/2*(1-COS(($BH413+3*($BI413-$BH413)/12)))-$BF413)/$BG413)^2*SIN(($BH413+3*($BI413-$BH413)/12))^2</f>
        <v/>
      </c>
      <c r="BN413">
        <f>((cc_D/2*(1-COS(($BH413+4*($BI413-$BH413)/12)))-$BF413)/$BG413)^2*SIN(($BH413+4*($BI413-$BH413)/12))^2</f>
        <v/>
      </c>
      <c r="BO413">
        <f>((cc_D/2*(1-COS(($BH413+5*($BI413-$BH413)/12)))-$BF413)/$BG413)^2*SIN(($BH413+5*($BI413-$BH413)/12))^2</f>
        <v/>
      </c>
      <c r="BP413">
        <f>((cc_D/2*(1-COS(($BH413+6*($BI413-$BH413)/12)))-$BF413)/$BG413)^2*SIN(($BH413+6*($BI413-$BH413)/12))^2</f>
        <v/>
      </c>
      <c r="BQ413">
        <f>((cc_D/2*(1-COS(($BH413+7*($BI413-$BH413)/12)))-$BF413)/$BG413)^2*SIN(($BH413+7*($BI413-$BH413)/12))^2</f>
        <v/>
      </c>
      <c r="BR413">
        <f>((cc_D/2*(1-COS(($BH413+8*($BI413-$BH413)/12)))-$BF413)/$BG413)^2*SIN(($BH413+8*($BI413-$BH413)/12))^2</f>
        <v/>
      </c>
      <c r="BS413">
        <f>((cc_D/2*(1-COS(($BH413+9*($BI413-$BH413)/12)))-$BF413)/$BG413)^2*SIN(($BH413+9*($BI413-$BH413)/12))^2</f>
        <v/>
      </c>
      <c r="BT413">
        <f>((cc_D/2*(1-COS(($BH413+10*($BI413-$BH413)/12)))-$BF413)/$BG413)^2*SIN(($BH413+10*($BI413-$BH413)/12))^2</f>
        <v/>
      </c>
      <c r="BU413">
        <f>((cc_D/2*(1-COS(($BH413+11*($BI413-$BH413)/12)))-$BF413)/$BG413)^2*SIN(($BH413+11*($BI413-$BH413)/12))^2</f>
        <v/>
      </c>
      <c r="BV413">
        <f>((cc_D/2*(1-COS(($BH413+12*($BI413-$BH413)/12)))-$BF413)/$BG413)^2*SIN(($BH413+12*($BI413-$BH413)/12))^2</f>
        <v/>
      </c>
      <c r="BW413">
        <f>BJ413*COS(($BH413+0*($BI413-$BH413)/12))</f>
        <v/>
      </c>
      <c r="BX413">
        <f>BK413*COS(($BH413+1*($BI413-$BH413)/12))</f>
        <v/>
      </c>
      <c r="BY413">
        <f>BL413*COS(($BH413+2*($BI413-$BH413)/12))</f>
        <v/>
      </c>
      <c r="BZ413">
        <f>BM413*COS(($BH413+3*($BI413-$BH413)/12))</f>
        <v/>
      </c>
      <c r="CA413">
        <f>BN413*COS(($BH413+4*($BI413-$BH413)/12))</f>
        <v/>
      </c>
      <c r="CB413">
        <f>BO413*COS(($BH413+5*($BI413-$BH413)/12))</f>
        <v/>
      </c>
      <c r="CC413">
        <f>BP413*COS(($BH413+6*($BI413-$BH413)/12))</f>
        <v/>
      </c>
      <c r="CD413">
        <f>BQ413*COS(($BH413+7*($BI413-$BH413)/12))</f>
        <v/>
      </c>
      <c r="CE413">
        <f>BR413*COS(($BH413+8*($BI413-$BH413)/12))</f>
        <v/>
      </c>
      <c r="CF413">
        <f>BS413*COS(($BH413+9*($BI413-$BH413)/12))</f>
        <v/>
      </c>
      <c r="CG413">
        <f>BT413*COS(($BH413+10*($BI413-$BH413)/12))</f>
        <v/>
      </c>
      <c r="CH413">
        <f>BU413*COS(($BH413+11*($BI413-$BH413)/12))</f>
        <v/>
      </c>
      <c r="CI413">
        <f>BV413*COS(($BH413+12*($BI413-$BH413)/12))</f>
        <v/>
      </c>
    </row>
    <row r="414">
      <c r="B414" s="65" t="n">
        <v>10</v>
      </c>
      <c r="C414" s="66">
        <f>IF($G413&lt;cc_NEd-1E-9*ABS(cc_NEd),($C413+$D413)/2,$C413)</f>
        <v/>
      </c>
      <c r="D414" s="66">
        <f>IF($G413&lt;cc_NEd-1E-9*ABS(cc_NEd),$D413,($C413+$D413)/2)</f>
        <v/>
      </c>
      <c r="E414" s="67">
        <f>cc_D*(($C414+$D414)/2)/(1-(($C414+$D414)/2))</f>
        <v/>
      </c>
      <c r="F414" s="68">
        <f>IF($E414&lt;=cc_D,3.5,2*$E414/($E414-3*cc_D/7))</f>
        <v/>
      </c>
      <c r="G414" s="67">
        <f>(fcd_cc*((cc_D/2)^2*($BI414-COS($BI414)*SIN($BI414))-2*(cc_D/2)^2*($BI414-$BH414)/12/3*SUMPRODUCT($BJ$4:$BV$4,$BJ414:$BV414))+SUMPRODUCT($J$5:$AG$5,$J414:$AG414))/1000</f>
        <v/>
      </c>
      <c r="H414" s="67">
        <f>(fcd_cc*(2/3*(cc_D/2)^3*SIN($BI414)^3-2*(cc_D/2)^3*($BI414-$BH414)/12/3*SUMPRODUCT($BW$4:$CI$4,$BW414:$CI414))+SUMPRODUCT($J$5:$AG$5,$J414:$AG414,$J$22:$AG$22))/1E6</f>
        <v/>
      </c>
      <c r="I414" s="67">
        <f>SUMPRODUCT($J$5:$AG$5,$J414:$AG414,$J$23:$AG$23)/1E6</f>
        <v/>
      </c>
      <c r="J414">
        <f>MAX(-fyd_cc,MIN(fyd_cc,Es_cc*IF($E414&lt;=cc_D,0.0035*($E414-J$21)/$E414,0.002*($E414-J$21)/($E414-3*cc_D/7))))-fcd_cc*(1-(1-MAX(0,MIN(1,IF($E414&lt;=cc_D,0.0035*($E414-J$21)/$E414,0.002*($E414-J$21)/($E414-3*cc_D/7))/0.002)))^2)</f>
        <v/>
      </c>
      <c r="K414">
        <f>MAX(-fyd_cc,MIN(fyd_cc,Es_cc*IF($E414&lt;=cc_D,0.0035*($E414-K$21)/$E414,0.002*($E414-K$21)/($E414-3*cc_D/7))))-fcd_cc*(1-(1-MAX(0,MIN(1,IF($E414&lt;=cc_D,0.0035*($E414-K$21)/$E414,0.002*($E414-K$21)/($E414-3*cc_D/7))/0.002)))^2)</f>
        <v/>
      </c>
      <c r="L414">
        <f>MAX(-fyd_cc,MIN(fyd_cc,Es_cc*IF($E414&lt;=cc_D,0.0035*($E414-L$21)/$E414,0.002*($E414-L$21)/($E414-3*cc_D/7))))-fcd_cc*(1-(1-MAX(0,MIN(1,IF($E414&lt;=cc_D,0.0035*($E414-L$21)/$E414,0.002*($E414-L$21)/($E414-3*cc_D/7))/0.002)))^2)</f>
        <v/>
      </c>
      <c r="M414">
        <f>MAX(-fyd_cc,MIN(fyd_cc,Es_cc*IF($E414&lt;=cc_D,0.0035*($E414-M$21)/$E414,0.002*($E414-M$21)/($E414-3*cc_D/7))))-fcd_cc*(1-(1-MAX(0,MIN(1,IF($E414&lt;=cc_D,0.0035*($E414-M$21)/$E414,0.002*($E414-M$21)/($E414-3*cc_D/7))/0.002)))^2)</f>
        <v/>
      </c>
      <c r="N414">
        <f>MAX(-fyd_cc,MIN(fyd_cc,Es_cc*IF($E414&lt;=cc_D,0.0035*($E414-N$21)/$E414,0.002*($E414-N$21)/($E414-3*cc_D/7))))-fcd_cc*(1-(1-MAX(0,MIN(1,IF($E414&lt;=cc_D,0.0035*($E414-N$21)/$E414,0.002*($E414-N$21)/($E414-3*cc_D/7))/0.002)))^2)</f>
        <v/>
      </c>
      <c r="O414">
        <f>MAX(-fyd_cc,MIN(fyd_cc,Es_cc*IF($E414&lt;=cc_D,0.0035*($E414-O$21)/$E414,0.002*($E414-O$21)/($E414-3*cc_D/7))))-fcd_cc*(1-(1-MAX(0,MIN(1,IF($E414&lt;=cc_D,0.0035*($E414-O$21)/$E414,0.002*($E414-O$21)/($E414-3*cc_D/7))/0.002)))^2)</f>
        <v/>
      </c>
      <c r="P414">
        <f>MAX(-fyd_cc,MIN(fyd_cc,Es_cc*IF($E414&lt;=cc_D,0.0035*($E414-P$21)/$E414,0.002*($E414-P$21)/($E414-3*cc_D/7))))-fcd_cc*(1-(1-MAX(0,MIN(1,IF($E414&lt;=cc_D,0.0035*($E414-P$21)/$E414,0.002*($E414-P$21)/($E414-3*cc_D/7))/0.002)))^2)</f>
        <v/>
      </c>
      <c r="Q414">
        <f>MAX(-fyd_cc,MIN(fyd_cc,Es_cc*IF($E414&lt;=cc_D,0.0035*($E414-Q$21)/$E414,0.002*($E414-Q$21)/($E414-3*cc_D/7))))-fcd_cc*(1-(1-MAX(0,MIN(1,IF($E414&lt;=cc_D,0.0035*($E414-Q$21)/$E414,0.002*($E414-Q$21)/($E414-3*cc_D/7))/0.002)))^2)</f>
        <v/>
      </c>
      <c r="R414">
        <f>MAX(-fyd_cc,MIN(fyd_cc,Es_cc*IF($E414&lt;=cc_D,0.0035*($E414-R$21)/$E414,0.002*($E414-R$21)/($E414-3*cc_D/7))))-fcd_cc*(1-(1-MAX(0,MIN(1,IF($E414&lt;=cc_D,0.0035*($E414-R$21)/$E414,0.002*($E414-R$21)/($E414-3*cc_D/7))/0.002)))^2)</f>
        <v/>
      </c>
      <c r="S414">
        <f>MAX(-fyd_cc,MIN(fyd_cc,Es_cc*IF($E414&lt;=cc_D,0.0035*($E414-S$21)/$E414,0.002*($E414-S$21)/($E414-3*cc_D/7))))-fcd_cc*(1-(1-MAX(0,MIN(1,IF($E414&lt;=cc_D,0.0035*($E414-S$21)/$E414,0.002*($E414-S$21)/($E414-3*cc_D/7))/0.002)))^2)</f>
        <v/>
      </c>
      <c r="T414">
        <f>MAX(-fyd_cc,MIN(fyd_cc,Es_cc*IF($E414&lt;=cc_D,0.0035*($E414-T$21)/$E414,0.002*($E414-T$21)/($E414-3*cc_D/7))))-fcd_cc*(1-(1-MAX(0,MIN(1,IF($E414&lt;=cc_D,0.0035*($E414-T$21)/$E414,0.002*($E414-T$21)/($E414-3*cc_D/7))/0.002)))^2)</f>
        <v/>
      </c>
      <c r="U414">
        <f>MAX(-fyd_cc,MIN(fyd_cc,Es_cc*IF($E414&lt;=cc_D,0.0035*($E414-U$21)/$E414,0.002*($E414-U$21)/($E414-3*cc_D/7))))-fcd_cc*(1-(1-MAX(0,MIN(1,IF($E414&lt;=cc_D,0.0035*($E414-U$21)/$E414,0.002*($E414-U$21)/($E414-3*cc_D/7))/0.002)))^2)</f>
        <v/>
      </c>
      <c r="V414">
        <f>MAX(-fyd_cc,MIN(fyd_cc,Es_cc*IF($E414&lt;=cc_D,0.0035*($E414-V$21)/$E414,0.002*($E414-V$21)/($E414-3*cc_D/7))))-fcd_cc*(1-(1-MAX(0,MIN(1,IF($E414&lt;=cc_D,0.0035*($E414-V$21)/$E414,0.002*($E414-V$21)/($E414-3*cc_D/7))/0.002)))^2)</f>
        <v/>
      </c>
      <c r="W414">
        <f>MAX(-fyd_cc,MIN(fyd_cc,Es_cc*IF($E414&lt;=cc_D,0.0035*($E414-W$21)/$E414,0.002*($E414-W$21)/($E414-3*cc_D/7))))-fcd_cc*(1-(1-MAX(0,MIN(1,IF($E414&lt;=cc_D,0.0035*($E414-W$21)/$E414,0.002*($E414-W$21)/($E414-3*cc_D/7))/0.002)))^2)</f>
        <v/>
      </c>
      <c r="X414">
        <f>MAX(-fyd_cc,MIN(fyd_cc,Es_cc*IF($E414&lt;=cc_D,0.0035*($E414-X$21)/$E414,0.002*($E414-X$21)/($E414-3*cc_D/7))))-fcd_cc*(1-(1-MAX(0,MIN(1,IF($E414&lt;=cc_D,0.0035*($E414-X$21)/$E414,0.002*($E414-X$21)/($E414-3*cc_D/7))/0.002)))^2)</f>
        <v/>
      </c>
      <c r="Y414">
        <f>MAX(-fyd_cc,MIN(fyd_cc,Es_cc*IF($E414&lt;=cc_D,0.0035*($E414-Y$21)/$E414,0.002*($E414-Y$21)/($E414-3*cc_D/7))))-fcd_cc*(1-(1-MAX(0,MIN(1,IF($E414&lt;=cc_D,0.0035*($E414-Y$21)/$E414,0.002*($E414-Y$21)/($E414-3*cc_D/7))/0.002)))^2)</f>
        <v/>
      </c>
      <c r="Z414">
        <f>MAX(-fyd_cc,MIN(fyd_cc,Es_cc*IF($E414&lt;=cc_D,0.0035*($E414-Z$21)/$E414,0.002*($E414-Z$21)/($E414-3*cc_D/7))))-fcd_cc*(1-(1-MAX(0,MIN(1,IF($E414&lt;=cc_D,0.0035*($E414-Z$21)/$E414,0.002*($E414-Z$21)/($E414-3*cc_D/7))/0.002)))^2)</f>
        <v/>
      </c>
      <c r="AA414">
        <f>MAX(-fyd_cc,MIN(fyd_cc,Es_cc*IF($E414&lt;=cc_D,0.0035*($E414-AA$21)/$E414,0.002*($E414-AA$21)/($E414-3*cc_D/7))))-fcd_cc*(1-(1-MAX(0,MIN(1,IF($E414&lt;=cc_D,0.0035*($E414-AA$21)/$E414,0.002*($E414-AA$21)/($E414-3*cc_D/7))/0.002)))^2)</f>
        <v/>
      </c>
      <c r="AB414">
        <f>MAX(-fyd_cc,MIN(fyd_cc,Es_cc*IF($E414&lt;=cc_D,0.0035*($E414-AB$21)/$E414,0.002*($E414-AB$21)/($E414-3*cc_D/7))))-fcd_cc*(1-(1-MAX(0,MIN(1,IF($E414&lt;=cc_D,0.0035*($E414-AB$21)/$E414,0.002*($E414-AB$21)/($E414-3*cc_D/7))/0.002)))^2)</f>
        <v/>
      </c>
      <c r="AC414">
        <f>MAX(-fyd_cc,MIN(fyd_cc,Es_cc*IF($E414&lt;=cc_D,0.0035*($E414-AC$21)/$E414,0.002*($E414-AC$21)/($E414-3*cc_D/7))))-fcd_cc*(1-(1-MAX(0,MIN(1,IF($E414&lt;=cc_D,0.0035*($E414-AC$21)/$E414,0.002*($E414-AC$21)/($E414-3*cc_D/7))/0.002)))^2)</f>
        <v/>
      </c>
      <c r="AD414">
        <f>MAX(-fyd_cc,MIN(fyd_cc,Es_cc*IF($E414&lt;=cc_D,0.0035*($E414-AD$21)/$E414,0.002*($E414-AD$21)/($E414-3*cc_D/7))))-fcd_cc*(1-(1-MAX(0,MIN(1,IF($E414&lt;=cc_D,0.0035*($E414-AD$21)/$E414,0.002*($E414-AD$21)/($E414-3*cc_D/7))/0.002)))^2)</f>
        <v/>
      </c>
      <c r="AE414">
        <f>MAX(-fyd_cc,MIN(fyd_cc,Es_cc*IF($E414&lt;=cc_D,0.0035*($E414-AE$21)/$E414,0.002*($E414-AE$21)/($E414-3*cc_D/7))))-fcd_cc*(1-(1-MAX(0,MIN(1,IF($E414&lt;=cc_D,0.0035*($E414-AE$21)/$E414,0.002*($E414-AE$21)/($E414-3*cc_D/7))/0.002)))^2)</f>
        <v/>
      </c>
      <c r="AF414">
        <f>MAX(-fyd_cc,MIN(fyd_cc,Es_cc*IF($E414&lt;=cc_D,0.0035*($E414-AF$21)/$E414,0.002*($E414-AF$21)/($E414-3*cc_D/7))))-fcd_cc*(1-(1-MAX(0,MIN(1,IF($E414&lt;=cc_D,0.0035*($E414-AF$21)/$E414,0.002*($E414-AF$21)/($E414-3*cc_D/7))/0.002)))^2)</f>
        <v/>
      </c>
      <c r="AG414">
        <f>MAX(-fyd_cc,MIN(fyd_cc,Es_cc*IF($E414&lt;=cc_D,0.0035*($E414-AG$21)/$E414,0.002*($E414-AG$21)/($E414-3*cc_D/7))))-fcd_cc*(1-(1-MAX(0,MIN(1,IF($E414&lt;=cc_D,0.0035*($E414-AG$21)/$E414,0.002*($E414-AG$21)/($E414-3*cc_D/7))/0.002)))^2)</f>
        <v/>
      </c>
      <c r="BF414">
        <f>3*MIN($E414,cc_D)/7</f>
        <v/>
      </c>
      <c r="BG414">
        <f>$E414-$BF414</f>
        <v/>
      </c>
      <c r="BH414">
        <f>ACOS(MAX(-1,MIN(1,1-$BF414/(cc_D/2))))</f>
        <v/>
      </c>
      <c r="BI414">
        <f>ACOS(MAX(-1,MIN(1,1-MIN($E414,cc_D)/(cc_D/2))))</f>
        <v/>
      </c>
      <c r="BJ414">
        <f>((cc_D/2*(1-COS(($BH414+0*($BI414-$BH414)/12)))-$BF414)/$BG414)^2*SIN(($BH414+0*($BI414-$BH414)/12))^2</f>
        <v/>
      </c>
      <c r="BK414">
        <f>((cc_D/2*(1-COS(($BH414+1*($BI414-$BH414)/12)))-$BF414)/$BG414)^2*SIN(($BH414+1*($BI414-$BH414)/12))^2</f>
        <v/>
      </c>
      <c r="BL414">
        <f>((cc_D/2*(1-COS(($BH414+2*($BI414-$BH414)/12)))-$BF414)/$BG414)^2*SIN(($BH414+2*($BI414-$BH414)/12))^2</f>
        <v/>
      </c>
      <c r="BM414">
        <f>((cc_D/2*(1-COS(($BH414+3*($BI414-$BH414)/12)))-$BF414)/$BG414)^2*SIN(($BH414+3*($BI414-$BH414)/12))^2</f>
        <v/>
      </c>
      <c r="BN414">
        <f>((cc_D/2*(1-COS(($BH414+4*($BI414-$BH414)/12)))-$BF414)/$BG414)^2*SIN(($BH414+4*($BI414-$BH414)/12))^2</f>
        <v/>
      </c>
      <c r="BO414">
        <f>((cc_D/2*(1-COS(($BH414+5*($BI414-$BH414)/12)))-$BF414)/$BG414)^2*SIN(($BH414+5*($BI414-$BH414)/12))^2</f>
        <v/>
      </c>
      <c r="BP414">
        <f>((cc_D/2*(1-COS(($BH414+6*($BI414-$BH414)/12)))-$BF414)/$BG414)^2*SIN(($BH414+6*($BI414-$BH414)/12))^2</f>
        <v/>
      </c>
      <c r="BQ414">
        <f>((cc_D/2*(1-COS(($BH414+7*($BI414-$BH414)/12)))-$BF414)/$BG414)^2*SIN(($BH414+7*($BI414-$BH414)/12))^2</f>
        <v/>
      </c>
      <c r="BR414">
        <f>((cc_D/2*(1-COS(($BH414+8*($BI414-$BH414)/12)))-$BF414)/$BG414)^2*SIN(($BH414+8*($BI414-$BH414)/12))^2</f>
        <v/>
      </c>
      <c r="BS414">
        <f>((cc_D/2*(1-COS(($BH414+9*($BI414-$BH414)/12)))-$BF414)/$BG414)^2*SIN(($BH414+9*($BI414-$BH414)/12))^2</f>
        <v/>
      </c>
      <c r="BT414">
        <f>((cc_D/2*(1-COS(($BH414+10*($BI414-$BH414)/12)))-$BF414)/$BG414)^2*SIN(($BH414+10*($BI414-$BH414)/12))^2</f>
        <v/>
      </c>
      <c r="BU414">
        <f>((cc_D/2*(1-COS(($BH414+11*($BI414-$BH414)/12)))-$BF414)/$BG414)^2*SIN(($BH414+11*($BI414-$BH414)/12))^2</f>
        <v/>
      </c>
      <c r="BV414">
        <f>((cc_D/2*(1-COS(($BH414+12*($BI414-$BH414)/12)))-$BF414)/$BG414)^2*SIN(($BH414+12*($BI414-$BH414)/12))^2</f>
        <v/>
      </c>
      <c r="BW414">
        <f>BJ414*COS(($BH414+0*($BI414-$BH414)/12))</f>
        <v/>
      </c>
      <c r="BX414">
        <f>BK414*COS(($BH414+1*($BI414-$BH414)/12))</f>
        <v/>
      </c>
      <c r="BY414">
        <f>BL414*COS(($BH414+2*($BI414-$BH414)/12))</f>
        <v/>
      </c>
      <c r="BZ414">
        <f>BM414*COS(($BH414+3*($BI414-$BH414)/12))</f>
        <v/>
      </c>
      <c r="CA414">
        <f>BN414*COS(($BH414+4*($BI414-$BH414)/12))</f>
        <v/>
      </c>
      <c r="CB414">
        <f>BO414*COS(($BH414+5*($BI414-$BH414)/12))</f>
        <v/>
      </c>
      <c r="CC414">
        <f>BP414*COS(($BH414+6*($BI414-$BH414)/12))</f>
        <v/>
      </c>
      <c r="CD414">
        <f>BQ414*COS(($BH414+7*($BI414-$BH414)/12))</f>
        <v/>
      </c>
      <c r="CE414">
        <f>BR414*COS(($BH414+8*($BI414-$BH414)/12))</f>
        <v/>
      </c>
      <c r="CF414">
        <f>BS414*COS(($BH414+9*($BI414-$BH414)/12))</f>
        <v/>
      </c>
      <c r="CG414">
        <f>BT414*COS(($BH414+10*($BI414-$BH414)/12))</f>
        <v/>
      </c>
      <c r="CH414">
        <f>BU414*COS(($BH414+11*($BI414-$BH414)/12))</f>
        <v/>
      </c>
      <c r="CI414">
        <f>BV414*COS(($BH414+12*($BI414-$BH414)/12))</f>
        <v/>
      </c>
    </row>
    <row r="415">
      <c r="B415" s="65" t="n">
        <v>11</v>
      </c>
      <c r="C415" s="66">
        <f>IF($G414&lt;cc_NEd-1E-9*ABS(cc_NEd),($C414+$D414)/2,$C414)</f>
        <v/>
      </c>
      <c r="D415" s="66">
        <f>IF($G414&lt;cc_NEd-1E-9*ABS(cc_NEd),$D414,($C414+$D414)/2)</f>
        <v/>
      </c>
      <c r="E415" s="67">
        <f>cc_D*(($C415+$D415)/2)/(1-(($C415+$D415)/2))</f>
        <v/>
      </c>
      <c r="F415" s="68">
        <f>IF($E415&lt;=cc_D,3.5,2*$E415/($E415-3*cc_D/7))</f>
        <v/>
      </c>
      <c r="G415" s="67">
        <f>(fcd_cc*((cc_D/2)^2*($BI415-COS($BI415)*SIN($BI415))-2*(cc_D/2)^2*($BI415-$BH415)/12/3*SUMPRODUCT($BJ$4:$BV$4,$BJ415:$BV415))+SUMPRODUCT($J$5:$AG$5,$J415:$AG415))/1000</f>
        <v/>
      </c>
      <c r="H415" s="67">
        <f>(fcd_cc*(2/3*(cc_D/2)^3*SIN($BI415)^3-2*(cc_D/2)^3*($BI415-$BH415)/12/3*SUMPRODUCT($BW$4:$CI$4,$BW415:$CI415))+SUMPRODUCT($J$5:$AG$5,$J415:$AG415,$J$22:$AG$22))/1E6</f>
        <v/>
      </c>
      <c r="I415" s="67">
        <f>SUMPRODUCT($J$5:$AG$5,$J415:$AG415,$J$23:$AG$23)/1E6</f>
        <v/>
      </c>
      <c r="J415">
        <f>MAX(-fyd_cc,MIN(fyd_cc,Es_cc*IF($E415&lt;=cc_D,0.0035*($E415-J$21)/$E415,0.002*($E415-J$21)/($E415-3*cc_D/7))))-fcd_cc*(1-(1-MAX(0,MIN(1,IF($E415&lt;=cc_D,0.0035*($E415-J$21)/$E415,0.002*($E415-J$21)/($E415-3*cc_D/7))/0.002)))^2)</f>
        <v/>
      </c>
      <c r="K415">
        <f>MAX(-fyd_cc,MIN(fyd_cc,Es_cc*IF($E415&lt;=cc_D,0.0035*($E415-K$21)/$E415,0.002*($E415-K$21)/($E415-3*cc_D/7))))-fcd_cc*(1-(1-MAX(0,MIN(1,IF($E415&lt;=cc_D,0.0035*($E415-K$21)/$E415,0.002*($E415-K$21)/($E415-3*cc_D/7))/0.002)))^2)</f>
        <v/>
      </c>
      <c r="L415">
        <f>MAX(-fyd_cc,MIN(fyd_cc,Es_cc*IF($E415&lt;=cc_D,0.0035*($E415-L$21)/$E415,0.002*($E415-L$21)/($E415-3*cc_D/7))))-fcd_cc*(1-(1-MAX(0,MIN(1,IF($E415&lt;=cc_D,0.0035*($E415-L$21)/$E415,0.002*($E415-L$21)/($E415-3*cc_D/7))/0.002)))^2)</f>
        <v/>
      </c>
      <c r="M415">
        <f>MAX(-fyd_cc,MIN(fyd_cc,Es_cc*IF($E415&lt;=cc_D,0.0035*($E415-M$21)/$E415,0.002*($E415-M$21)/($E415-3*cc_D/7))))-fcd_cc*(1-(1-MAX(0,MIN(1,IF($E415&lt;=cc_D,0.0035*($E415-M$21)/$E415,0.002*($E415-M$21)/($E415-3*cc_D/7))/0.002)))^2)</f>
        <v/>
      </c>
      <c r="N415">
        <f>MAX(-fyd_cc,MIN(fyd_cc,Es_cc*IF($E415&lt;=cc_D,0.0035*($E415-N$21)/$E415,0.002*($E415-N$21)/($E415-3*cc_D/7))))-fcd_cc*(1-(1-MAX(0,MIN(1,IF($E415&lt;=cc_D,0.0035*($E415-N$21)/$E415,0.002*($E415-N$21)/($E415-3*cc_D/7))/0.002)))^2)</f>
        <v/>
      </c>
      <c r="O415">
        <f>MAX(-fyd_cc,MIN(fyd_cc,Es_cc*IF($E415&lt;=cc_D,0.0035*($E415-O$21)/$E415,0.002*($E415-O$21)/($E415-3*cc_D/7))))-fcd_cc*(1-(1-MAX(0,MIN(1,IF($E415&lt;=cc_D,0.0035*($E415-O$21)/$E415,0.002*($E415-O$21)/($E415-3*cc_D/7))/0.002)))^2)</f>
        <v/>
      </c>
      <c r="P415">
        <f>MAX(-fyd_cc,MIN(fyd_cc,Es_cc*IF($E415&lt;=cc_D,0.0035*($E415-P$21)/$E415,0.002*($E415-P$21)/($E415-3*cc_D/7))))-fcd_cc*(1-(1-MAX(0,MIN(1,IF($E415&lt;=cc_D,0.0035*($E415-P$21)/$E415,0.002*($E415-P$21)/($E415-3*cc_D/7))/0.002)))^2)</f>
        <v/>
      </c>
      <c r="Q415">
        <f>MAX(-fyd_cc,MIN(fyd_cc,Es_cc*IF($E415&lt;=cc_D,0.0035*($E415-Q$21)/$E415,0.002*($E415-Q$21)/($E415-3*cc_D/7))))-fcd_cc*(1-(1-MAX(0,MIN(1,IF($E415&lt;=cc_D,0.0035*($E415-Q$21)/$E415,0.002*($E415-Q$21)/($E415-3*cc_D/7))/0.002)))^2)</f>
        <v/>
      </c>
      <c r="R415">
        <f>MAX(-fyd_cc,MIN(fyd_cc,Es_cc*IF($E415&lt;=cc_D,0.0035*($E415-R$21)/$E415,0.002*($E415-R$21)/($E415-3*cc_D/7))))-fcd_cc*(1-(1-MAX(0,MIN(1,IF($E415&lt;=cc_D,0.0035*($E415-R$21)/$E415,0.002*($E415-R$21)/($E415-3*cc_D/7))/0.002)))^2)</f>
        <v/>
      </c>
      <c r="S415">
        <f>MAX(-fyd_cc,MIN(fyd_cc,Es_cc*IF($E415&lt;=cc_D,0.0035*($E415-S$21)/$E415,0.002*($E415-S$21)/($E415-3*cc_D/7))))-fcd_cc*(1-(1-MAX(0,MIN(1,IF($E415&lt;=cc_D,0.0035*($E415-S$21)/$E415,0.002*($E415-S$21)/($E415-3*cc_D/7))/0.002)))^2)</f>
        <v/>
      </c>
      <c r="T415">
        <f>MAX(-fyd_cc,MIN(fyd_cc,Es_cc*IF($E415&lt;=cc_D,0.0035*($E415-T$21)/$E415,0.002*($E415-T$21)/($E415-3*cc_D/7))))-fcd_cc*(1-(1-MAX(0,MIN(1,IF($E415&lt;=cc_D,0.0035*($E415-T$21)/$E415,0.002*($E415-T$21)/($E415-3*cc_D/7))/0.002)))^2)</f>
        <v/>
      </c>
      <c r="U415">
        <f>MAX(-fyd_cc,MIN(fyd_cc,Es_cc*IF($E415&lt;=cc_D,0.0035*($E415-U$21)/$E415,0.002*($E415-U$21)/($E415-3*cc_D/7))))-fcd_cc*(1-(1-MAX(0,MIN(1,IF($E415&lt;=cc_D,0.0035*($E415-U$21)/$E415,0.002*($E415-U$21)/($E415-3*cc_D/7))/0.002)))^2)</f>
        <v/>
      </c>
      <c r="V415">
        <f>MAX(-fyd_cc,MIN(fyd_cc,Es_cc*IF($E415&lt;=cc_D,0.0035*($E415-V$21)/$E415,0.002*($E415-V$21)/($E415-3*cc_D/7))))-fcd_cc*(1-(1-MAX(0,MIN(1,IF($E415&lt;=cc_D,0.0035*($E415-V$21)/$E415,0.002*($E415-V$21)/($E415-3*cc_D/7))/0.002)))^2)</f>
        <v/>
      </c>
      <c r="W415">
        <f>MAX(-fyd_cc,MIN(fyd_cc,Es_cc*IF($E415&lt;=cc_D,0.0035*($E415-W$21)/$E415,0.002*($E415-W$21)/($E415-3*cc_D/7))))-fcd_cc*(1-(1-MAX(0,MIN(1,IF($E415&lt;=cc_D,0.0035*($E415-W$21)/$E415,0.002*($E415-W$21)/($E415-3*cc_D/7))/0.002)))^2)</f>
        <v/>
      </c>
      <c r="X415">
        <f>MAX(-fyd_cc,MIN(fyd_cc,Es_cc*IF($E415&lt;=cc_D,0.0035*($E415-X$21)/$E415,0.002*($E415-X$21)/($E415-3*cc_D/7))))-fcd_cc*(1-(1-MAX(0,MIN(1,IF($E415&lt;=cc_D,0.0035*($E415-X$21)/$E415,0.002*($E415-X$21)/($E415-3*cc_D/7))/0.002)))^2)</f>
        <v/>
      </c>
      <c r="Y415">
        <f>MAX(-fyd_cc,MIN(fyd_cc,Es_cc*IF($E415&lt;=cc_D,0.0035*($E415-Y$21)/$E415,0.002*($E415-Y$21)/($E415-3*cc_D/7))))-fcd_cc*(1-(1-MAX(0,MIN(1,IF($E415&lt;=cc_D,0.0035*($E415-Y$21)/$E415,0.002*($E415-Y$21)/($E415-3*cc_D/7))/0.002)))^2)</f>
        <v/>
      </c>
      <c r="Z415">
        <f>MAX(-fyd_cc,MIN(fyd_cc,Es_cc*IF($E415&lt;=cc_D,0.0035*($E415-Z$21)/$E415,0.002*($E415-Z$21)/($E415-3*cc_D/7))))-fcd_cc*(1-(1-MAX(0,MIN(1,IF($E415&lt;=cc_D,0.0035*($E415-Z$21)/$E415,0.002*($E415-Z$21)/($E415-3*cc_D/7))/0.002)))^2)</f>
        <v/>
      </c>
      <c r="AA415">
        <f>MAX(-fyd_cc,MIN(fyd_cc,Es_cc*IF($E415&lt;=cc_D,0.0035*($E415-AA$21)/$E415,0.002*($E415-AA$21)/($E415-3*cc_D/7))))-fcd_cc*(1-(1-MAX(0,MIN(1,IF($E415&lt;=cc_D,0.0035*($E415-AA$21)/$E415,0.002*($E415-AA$21)/($E415-3*cc_D/7))/0.002)))^2)</f>
        <v/>
      </c>
      <c r="AB415">
        <f>MAX(-fyd_cc,MIN(fyd_cc,Es_cc*IF($E415&lt;=cc_D,0.0035*($E415-AB$21)/$E415,0.002*($E415-AB$21)/($E415-3*cc_D/7))))-fcd_cc*(1-(1-MAX(0,MIN(1,IF($E415&lt;=cc_D,0.0035*($E415-AB$21)/$E415,0.002*($E415-AB$21)/($E415-3*cc_D/7))/0.002)))^2)</f>
        <v/>
      </c>
      <c r="AC415">
        <f>MAX(-fyd_cc,MIN(fyd_cc,Es_cc*IF($E415&lt;=cc_D,0.0035*($E415-AC$21)/$E415,0.002*($E415-AC$21)/($E415-3*cc_D/7))))-fcd_cc*(1-(1-MAX(0,MIN(1,IF($E415&lt;=cc_D,0.0035*($E415-AC$21)/$E415,0.002*($E415-AC$21)/($E415-3*cc_D/7))/0.002)))^2)</f>
        <v/>
      </c>
      <c r="AD415">
        <f>MAX(-fyd_cc,MIN(fyd_cc,Es_cc*IF($E415&lt;=cc_D,0.0035*($E415-AD$21)/$E415,0.002*($E415-AD$21)/($E415-3*cc_D/7))))-fcd_cc*(1-(1-MAX(0,MIN(1,IF($E415&lt;=cc_D,0.0035*($E415-AD$21)/$E415,0.002*($E415-AD$21)/($E415-3*cc_D/7))/0.002)))^2)</f>
        <v/>
      </c>
      <c r="AE415">
        <f>MAX(-fyd_cc,MIN(fyd_cc,Es_cc*IF($E415&lt;=cc_D,0.0035*($E415-AE$21)/$E415,0.002*($E415-AE$21)/($E415-3*cc_D/7))))-fcd_cc*(1-(1-MAX(0,MIN(1,IF($E415&lt;=cc_D,0.0035*($E415-AE$21)/$E415,0.002*($E415-AE$21)/($E415-3*cc_D/7))/0.002)))^2)</f>
        <v/>
      </c>
      <c r="AF415">
        <f>MAX(-fyd_cc,MIN(fyd_cc,Es_cc*IF($E415&lt;=cc_D,0.0035*($E415-AF$21)/$E415,0.002*($E415-AF$21)/($E415-3*cc_D/7))))-fcd_cc*(1-(1-MAX(0,MIN(1,IF($E415&lt;=cc_D,0.0035*($E415-AF$21)/$E415,0.002*($E415-AF$21)/($E415-3*cc_D/7))/0.002)))^2)</f>
        <v/>
      </c>
      <c r="AG415">
        <f>MAX(-fyd_cc,MIN(fyd_cc,Es_cc*IF($E415&lt;=cc_D,0.0035*($E415-AG$21)/$E415,0.002*($E415-AG$21)/($E415-3*cc_D/7))))-fcd_cc*(1-(1-MAX(0,MIN(1,IF($E415&lt;=cc_D,0.0035*($E415-AG$21)/$E415,0.002*($E415-AG$21)/($E415-3*cc_D/7))/0.002)))^2)</f>
        <v/>
      </c>
      <c r="BF415">
        <f>3*MIN($E415,cc_D)/7</f>
        <v/>
      </c>
      <c r="BG415">
        <f>$E415-$BF415</f>
        <v/>
      </c>
      <c r="BH415">
        <f>ACOS(MAX(-1,MIN(1,1-$BF415/(cc_D/2))))</f>
        <v/>
      </c>
      <c r="BI415">
        <f>ACOS(MAX(-1,MIN(1,1-MIN($E415,cc_D)/(cc_D/2))))</f>
        <v/>
      </c>
      <c r="BJ415">
        <f>((cc_D/2*(1-COS(($BH415+0*($BI415-$BH415)/12)))-$BF415)/$BG415)^2*SIN(($BH415+0*($BI415-$BH415)/12))^2</f>
        <v/>
      </c>
      <c r="BK415">
        <f>((cc_D/2*(1-COS(($BH415+1*($BI415-$BH415)/12)))-$BF415)/$BG415)^2*SIN(($BH415+1*($BI415-$BH415)/12))^2</f>
        <v/>
      </c>
      <c r="BL415">
        <f>((cc_D/2*(1-COS(($BH415+2*($BI415-$BH415)/12)))-$BF415)/$BG415)^2*SIN(($BH415+2*($BI415-$BH415)/12))^2</f>
        <v/>
      </c>
      <c r="BM415">
        <f>((cc_D/2*(1-COS(($BH415+3*($BI415-$BH415)/12)))-$BF415)/$BG415)^2*SIN(($BH415+3*($BI415-$BH415)/12))^2</f>
        <v/>
      </c>
      <c r="BN415">
        <f>((cc_D/2*(1-COS(($BH415+4*($BI415-$BH415)/12)))-$BF415)/$BG415)^2*SIN(($BH415+4*($BI415-$BH415)/12))^2</f>
        <v/>
      </c>
      <c r="BO415">
        <f>((cc_D/2*(1-COS(($BH415+5*($BI415-$BH415)/12)))-$BF415)/$BG415)^2*SIN(($BH415+5*($BI415-$BH415)/12))^2</f>
        <v/>
      </c>
      <c r="BP415">
        <f>((cc_D/2*(1-COS(($BH415+6*($BI415-$BH415)/12)))-$BF415)/$BG415)^2*SIN(($BH415+6*($BI415-$BH415)/12))^2</f>
        <v/>
      </c>
      <c r="BQ415">
        <f>((cc_D/2*(1-COS(($BH415+7*($BI415-$BH415)/12)))-$BF415)/$BG415)^2*SIN(($BH415+7*($BI415-$BH415)/12))^2</f>
        <v/>
      </c>
      <c r="BR415">
        <f>((cc_D/2*(1-COS(($BH415+8*($BI415-$BH415)/12)))-$BF415)/$BG415)^2*SIN(($BH415+8*($BI415-$BH415)/12))^2</f>
        <v/>
      </c>
      <c r="BS415">
        <f>((cc_D/2*(1-COS(($BH415+9*($BI415-$BH415)/12)))-$BF415)/$BG415)^2*SIN(($BH415+9*($BI415-$BH415)/12))^2</f>
        <v/>
      </c>
      <c r="BT415">
        <f>((cc_D/2*(1-COS(($BH415+10*($BI415-$BH415)/12)))-$BF415)/$BG415)^2*SIN(($BH415+10*($BI415-$BH415)/12))^2</f>
        <v/>
      </c>
      <c r="BU415">
        <f>((cc_D/2*(1-COS(($BH415+11*($BI415-$BH415)/12)))-$BF415)/$BG415)^2*SIN(($BH415+11*($BI415-$BH415)/12))^2</f>
        <v/>
      </c>
      <c r="BV415">
        <f>((cc_D/2*(1-COS(($BH415+12*($BI415-$BH415)/12)))-$BF415)/$BG415)^2*SIN(($BH415+12*($BI415-$BH415)/12))^2</f>
        <v/>
      </c>
      <c r="BW415">
        <f>BJ415*COS(($BH415+0*($BI415-$BH415)/12))</f>
        <v/>
      </c>
      <c r="BX415">
        <f>BK415*COS(($BH415+1*($BI415-$BH415)/12))</f>
        <v/>
      </c>
      <c r="BY415">
        <f>BL415*COS(($BH415+2*($BI415-$BH415)/12))</f>
        <v/>
      </c>
      <c r="BZ415">
        <f>BM415*COS(($BH415+3*($BI415-$BH415)/12))</f>
        <v/>
      </c>
      <c r="CA415">
        <f>BN415*COS(($BH415+4*($BI415-$BH415)/12))</f>
        <v/>
      </c>
      <c r="CB415">
        <f>BO415*COS(($BH415+5*($BI415-$BH415)/12))</f>
        <v/>
      </c>
      <c r="CC415">
        <f>BP415*COS(($BH415+6*($BI415-$BH415)/12))</f>
        <v/>
      </c>
      <c r="CD415">
        <f>BQ415*COS(($BH415+7*($BI415-$BH415)/12))</f>
        <v/>
      </c>
      <c r="CE415">
        <f>BR415*COS(($BH415+8*($BI415-$BH415)/12))</f>
        <v/>
      </c>
      <c r="CF415">
        <f>BS415*COS(($BH415+9*($BI415-$BH415)/12))</f>
        <v/>
      </c>
      <c r="CG415">
        <f>BT415*COS(($BH415+10*($BI415-$BH415)/12))</f>
        <v/>
      </c>
      <c r="CH415">
        <f>BU415*COS(($BH415+11*($BI415-$BH415)/12))</f>
        <v/>
      </c>
      <c r="CI415">
        <f>BV415*COS(($BH415+12*($BI415-$BH415)/12))</f>
        <v/>
      </c>
    </row>
    <row r="416">
      <c r="B416" s="65" t="n">
        <v>12</v>
      </c>
      <c r="C416" s="66">
        <f>IF($G415&lt;cc_NEd-1E-9*ABS(cc_NEd),($C415+$D415)/2,$C415)</f>
        <v/>
      </c>
      <c r="D416" s="66">
        <f>IF($G415&lt;cc_NEd-1E-9*ABS(cc_NEd),$D415,($C415+$D415)/2)</f>
        <v/>
      </c>
      <c r="E416" s="67">
        <f>cc_D*(($C416+$D416)/2)/(1-(($C416+$D416)/2))</f>
        <v/>
      </c>
      <c r="F416" s="68">
        <f>IF($E416&lt;=cc_D,3.5,2*$E416/($E416-3*cc_D/7))</f>
        <v/>
      </c>
      <c r="G416" s="67">
        <f>(fcd_cc*((cc_D/2)^2*($BI416-COS($BI416)*SIN($BI416))-2*(cc_D/2)^2*($BI416-$BH416)/12/3*SUMPRODUCT($BJ$4:$BV$4,$BJ416:$BV416))+SUMPRODUCT($J$5:$AG$5,$J416:$AG416))/1000</f>
        <v/>
      </c>
      <c r="H416" s="67">
        <f>(fcd_cc*(2/3*(cc_D/2)^3*SIN($BI416)^3-2*(cc_D/2)^3*($BI416-$BH416)/12/3*SUMPRODUCT($BW$4:$CI$4,$BW416:$CI416))+SUMPRODUCT($J$5:$AG$5,$J416:$AG416,$J$22:$AG$22))/1E6</f>
        <v/>
      </c>
      <c r="I416" s="67">
        <f>SUMPRODUCT($J$5:$AG$5,$J416:$AG416,$J$23:$AG$23)/1E6</f>
        <v/>
      </c>
      <c r="J416">
        <f>MAX(-fyd_cc,MIN(fyd_cc,Es_cc*IF($E416&lt;=cc_D,0.0035*($E416-J$21)/$E416,0.002*($E416-J$21)/($E416-3*cc_D/7))))-fcd_cc*(1-(1-MAX(0,MIN(1,IF($E416&lt;=cc_D,0.0035*($E416-J$21)/$E416,0.002*($E416-J$21)/($E416-3*cc_D/7))/0.002)))^2)</f>
        <v/>
      </c>
      <c r="K416">
        <f>MAX(-fyd_cc,MIN(fyd_cc,Es_cc*IF($E416&lt;=cc_D,0.0035*($E416-K$21)/$E416,0.002*($E416-K$21)/($E416-3*cc_D/7))))-fcd_cc*(1-(1-MAX(0,MIN(1,IF($E416&lt;=cc_D,0.0035*($E416-K$21)/$E416,0.002*($E416-K$21)/($E416-3*cc_D/7))/0.002)))^2)</f>
        <v/>
      </c>
      <c r="L416">
        <f>MAX(-fyd_cc,MIN(fyd_cc,Es_cc*IF($E416&lt;=cc_D,0.0035*($E416-L$21)/$E416,0.002*($E416-L$21)/($E416-3*cc_D/7))))-fcd_cc*(1-(1-MAX(0,MIN(1,IF($E416&lt;=cc_D,0.0035*($E416-L$21)/$E416,0.002*($E416-L$21)/($E416-3*cc_D/7))/0.002)))^2)</f>
        <v/>
      </c>
      <c r="M416">
        <f>MAX(-fyd_cc,MIN(fyd_cc,Es_cc*IF($E416&lt;=cc_D,0.0035*($E416-M$21)/$E416,0.002*($E416-M$21)/($E416-3*cc_D/7))))-fcd_cc*(1-(1-MAX(0,MIN(1,IF($E416&lt;=cc_D,0.0035*($E416-M$21)/$E416,0.002*($E416-M$21)/($E416-3*cc_D/7))/0.002)))^2)</f>
        <v/>
      </c>
      <c r="N416">
        <f>MAX(-fyd_cc,MIN(fyd_cc,Es_cc*IF($E416&lt;=cc_D,0.0035*($E416-N$21)/$E416,0.002*($E416-N$21)/($E416-3*cc_D/7))))-fcd_cc*(1-(1-MAX(0,MIN(1,IF($E416&lt;=cc_D,0.0035*($E416-N$21)/$E416,0.002*($E416-N$21)/($E416-3*cc_D/7))/0.002)))^2)</f>
        <v/>
      </c>
      <c r="O416">
        <f>MAX(-fyd_cc,MIN(fyd_cc,Es_cc*IF($E416&lt;=cc_D,0.0035*($E416-O$21)/$E416,0.002*($E416-O$21)/($E416-3*cc_D/7))))-fcd_cc*(1-(1-MAX(0,MIN(1,IF($E416&lt;=cc_D,0.0035*($E416-O$21)/$E416,0.002*($E416-O$21)/($E416-3*cc_D/7))/0.002)))^2)</f>
        <v/>
      </c>
      <c r="P416">
        <f>MAX(-fyd_cc,MIN(fyd_cc,Es_cc*IF($E416&lt;=cc_D,0.0035*($E416-P$21)/$E416,0.002*($E416-P$21)/($E416-3*cc_D/7))))-fcd_cc*(1-(1-MAX(0,MIN(1,IF($E416&lt;=cc_D,0.0035*($E416-P$21)/$E416,0.002*($E416-P$21)/($E416-3*cc_D/7))/0.002)))^2)</f>
        <v/>
      </c>
      <c r="Q416">
        <f>MAX(-fyd_cc,MIN(fyd_cc,Es_cc*IF($E416&lt;=cc_D,0.0035*($E416-Q$21)/$E416,0.002*($E416-Q$21)/($E416-3*cc_D/7))))-fcd_cc*(1-(1-MAX(0,MIN(1,IF($E416&lt;=cc_D,0.0035*($E416-Q$21)/$E416,0.002*($E416-Q$21)/($E416-3*cc_D/7))/0.002)))^2)</f>
        <v/>
      </c>
      <c r="R416">
        <f>MAX(-fyd_cc,MIN(fyd_cc,Es_cc*IF($E416&lt;=cc_D,0.0035*($E416-R$21)/$E416,0.002*($E416-R$21)/($E416-3*cc_D/7))))-fcd_cc*(1-(1-MAX(0,MIN(1,IF($E416&lt;=cc_D,0.0035*($E416-R$21)/$E416,0.002*($E416-R$21)/($E416-3*cc_D/7))/0.002)))^2)</f>
        <v/>
      </c>
      <c r="S416">
        <f>MAX(-fyd_cc,MIN(fyd_cc,Es_cc*IF($E416&lt;=cc_D,0.0035*($E416-S$21)/$E416,0.002*($E416-S$21)/($E416-3*cc_D/7))))-fcd_cc*(1-(1-MAX(0,MIN(1,IF($E416&lt;=cc_D,0.0035*($E416-S$21)/$E416,0.002*($E416-S$21)/($E416-3*cc_D/7))/0.002)))^2)</f>
        <v/>
      </c>
      <c r="T416">
        <f>MAX(-fyd_cc,MIN(fyd_cc,Es_cc*IF($E416&lt;=cc_D,0.0035*($E416-T$21)/$E416,0.002*($E416-T$21)/($E416-3*cc_D/7))))-fcd_cc*(1-(1-MAX(0,MIN(1,IF($E416&lt;=cc_D,0.0035*($E416-T$21)/$E416,0.002*($E416-T$21)/($E416-3*cc_D/7))/0.002)))^2)</f>
        <v/>
      </c>
      <c r="U416">
        <f>MAX(-fyd_cc,MIN(fyd_cc,Es_cc*IF($E416&lt;=cc_D,0.0035*($E416-U$21)/$E416,0.002*($E416-U$21)/($E416-3*cc_D/7))))-fcd_cc*(1-(1-MAX(0,MIN(1,IF($E416&lt;=cc_D,0.0035*($E416-U$21)/$E416,0.002*($E416-U$21)/($E416-3*cc_D/7))/0.002)))^2)</f>
        <v/>
      </c>
      <c r="V416">
        <f>MAX(-fyd_cc,MIN(fyd_cc,Es_cc*IF($E416&lt;=cc_D,0.0035*($E416-V$21)/$E416,0.002*($E416-V$21)/($E416-3*cc_D/7))))-fcd_cc*(1-(1-MAX(0,MIN(1,IF($E416&lt;=cc_D,0.0035*($E416-V$21)/$E416,0.002*($E416-V$21)/($E416-3*cc_D/7))/0.002)))^2)</f>
        <v/>
      </c>
      <c r="W416">
        <f>MAX(-fyd_cc,MIN(fyd_cc,Es_cc*IF($E416&lt;=cc_D,0.0035*($E416-W$21)/$E416,0.002*($E416-W$21)/($E416-3*cc_D/7))))-fcd_cc*(1-(1-MAX(0,MIN(1,IF($E416&lt;=cc_D,0.0035*($E416-W$21)/$E416,0.002*($E416-W$21)/($E416-3*cc_D/7))/0.002)))^2)</f>
        <v/>
      </c>
      <c r="X416">
        <f>MAX(-fyd_cc,MIN(fyd_cc,Es_cc*IF($E416&lt;=cc_D,0.0035*($E416-X$21)/$E416,0.002*($E416-X$21)/($E416-3*cc_D/7))))-fcd_cc*(1-(1-MAX(0,MIN(1,IF($E416&lt;=cc_D,0.0035*($E416-X$21)/$E416,0.002*($E416-X$21)/($E416-3*cc_D/7))/0.002)))^2)</f>
        <v/>
      </c>
      <c r="Y416">
        <f>MAX(-fyd_cc,MIN(fyd_cc,Es_cc*IF($E416&lt;=cc_D,0.0035*($E416-Y$21)/$E416,0.002*($E416-Y$21)/($E416-3*cc_D/7))))-fcd_cc*(1-(1-MAX(0,MIN(1,IF($E416&lt;=cc_D,0.0035*($E416-Y$21)/$E416,0.002*($E416-Y$21)/($E416-3*cc_D/7))/0.002)))^2)</f>
        <v/>
      </c>
      <c r="Z416">
        <f>MAX(-fyd_cc,MIN(fyd_cc,Es_cc*IF($E416&lt;=cc_D,0.0035*($E416-Z$21)/$E416,0.002*($E416-Z$21)/($E416-3*cc_D/7))))-fcd_cc*(1-(1-MAX(0,MIN(1,IF($E416&lt;=cc_D,0.0035*($E416-Z$21)/$E416,0.002*($E416-Z$21)/($E416-3*cc_D/7))/0.002)))^2)</f>
        <v/>
      </c>
      <c r="AA416">
        <f>MAX(-fyd_cc,MIN(fyd_cc,Es_cc*IF($E416&lt;=cc_D,0.0035*($E416-AA$21)/$E416,0.002*($E416-AA$21)/($E416-3*cc_D/7))))-fcd_cc*(1-(1-MAX(0,MIN(1,IF($E416&lt;=cc_D,0.0035*($E416-AA$21)/$E416,0.002*($E416-AA$21)/($E416-3*cc_D/7))/0.002)))^2)</f>
        <v/>
      </c>
      <c r="AB416">
        <f>MAX(-fyd_cc,MIN(fyd_cc,Es_cc*IF($E416&lt;=cc_D,0.0035*($E416-AB$21)/$E416,0.002*($E416-AB$21)/($E416-3*cc_D/7))))-fcd_cc*(1-(1-MAX(0,MIN(1,IF($E416&lt;=cc_D,0.0035*($E416-AB$21)/$E416,0.002*($E416-AB$21)/($E416-3*cc_D/7))/0.002)))^2)</f>
        <v/>
      </c>
      <c r="AC416">
        <f>MAX(-fyd_cc,MIN(fyd_cc,Es_cc*IF($E416&lt;=cc_D,0.0035*($E416-AC$21)/$E416,0.002*($E416-AC$21)/($E416-3*cc_D/7))))-fcd_cc*(1-(1-MAX(0,MIN(1,IF($E416&lt;=cc_D,0.0035*($E416-AC$21)/$E416,0.002*($E416-AC$21)/($E416-3*cc_D/7))/0.002)))^2)</f>
        <v/>
      </c>
      <c r="AD416">
        <f>MAX(-fyd_cc,MIN(fyd_cc,Es_cc*IF($E416&lt;=cc_D,0.0035*($E416-AD$21)/$E416,0.002*($E416-AD$21)/($E416-3*cc_D/7))))-fcd_cc*(1-(1-MAX(0,MIN(1,IF($E416&lt;=cc_D,0.0035*($E416-AD$21)/$E416,0.002*($E416-AD$21)/($E416-3*cc_D/7))/0.002)))^2)</f>
        <v/>
      </c>
      <c r="AE416">
        <f>MAX(-fyd_cc,MIN(fyd_cc,Es_cc*IF($E416&lt;=cc_D,0.0035*($E416-AE$21)/$E416,0.002*($E416-AE$21)/($E416-3*cc_D/7))))-fcd_cc*(1-(1-MAX(0,MIN(1,IF($E416&lt;=cc_D,0.0035*($E416-AE$21)/$E416,0.002*($E416-AE$21)/($E416-3*cc_D/7))/0.002)))^2)</f>
        <v/>
      </c>
      <c r="AF416">
        <f>MAX(-fyd_cc,MIN(fyd_cc,Es_cc*IF($E416&lt;=cc_D,0.0035*($E416-AF$21)/$E416,0.002*($E416-AF$21)/($E416-3*cc_D/7))))-fcd_cc*(1-(1-MAX(0,MIN(1,IF($E416&lt;=cc_D,0.0035*($E416-AF$21)/$E416,0.002*($E416-AF$21)/($E416-3*cc_D/7))/0.002)))^2)</f>
        <v/>
      </c>
      <c r="AG416">
        <f>MAX(-fyd_cc,MIN(fyd_cc,Es_cc*IF($E416&lt;=cc_D,0.0035*($E416-AG$21)/$E416,0.002*($E416-AG$21)/($E416-3*cc_D/7))))-fcd_cc*(1-(1-MAX(0,MIN(1,IF($E416&lt;=cc_D,0.0035*($E416-AG$21)/$E416,0.002*($E416-AG$21)/($E416-3*cc_D/7))/0.002)))^2)</f>
        <v/>
      </c>
      <c r="BF416">
        <f>3*MIN($E416,cc_D)/7</f>
        <v/>
      </c>
      <c r="BG416">
        <f>$E416-$BF416</f>
        <v/>
      </c>
      <c r="BH416">
        <f>ACOS(MAX(-1,MIN(1,1-$BF416/(cc_D/2))))</f>
        <v/>
      </c>
      <c r="BI416">
        <f>ACOS(MAX(-1,MIN(1,1-MIN($E416,cc_D)/(cc_D/2))))</f>
        <v/>
      </c>
      <c r="BJ416">
        <f>((cc_D/2*(1-COS(($BH416+0*($BI416-$BH416)/12)))-$BF416)/$BG416)^2*SIN(($BH416+0*($BI416-$BH416)/12))^2</f>
        <v/>
      </c>
      <c r="BK416">
        <f>((cc_D/2*(1-COS(($BH416+1*($BI416-$BH416)/12)))-$BF416)/$BG416)^2*SIN(($BH416+1*($BI416-$BH416)/12))^2</f>
        <v/>
      </c>
      <c r="BL416">
        <f>((cc_D/2*(1-COS(($BH416+2*($BI416-$BH416)/12)))-$BF416)/$BG416)^2*SIN(($BH416+2*($BI416-$BH416)/12))^2</f>
        <v/>
      </c>
      <c r="BM416">
        <f>((cc_D/2*(1-COS(($BH416+3*($BI416-$BH416)/12)))-$BF416)/$BG416)^2*SIN(($BH416+3*($BI416-$BH416)/12))^2</f>
        <v/>
      </c>
      <c r="BN416">
        <f>((cc_D/2*(1-COS(($BH416+4*($BI416-$BH416)/12)))-$BF416)/$BG416)^2*SIN(($BH416+4*($BI416-$BH416)/12))^2</f>
        <v/>
      </c>
      <c r="BO416">
        <f>((cc_D/2*(1-COS(($BH416+5*($BI416-$BH416)/12)))-$BF416)/$BG416)^2*SIN(($BH416+5*($BI416-$BH416)/12))^2</f>
        <v/>
      </c>
      <c r="BP416">
        <f>((cc_D/2*(1-COS(($BH416+6*($BI416-$BH416)/12)))-$BF416)/$BG416)^2*SIN(($BH416+6*($BI416-$BH416)/12))^2</f>
        <v/>
      </c>
      <c r="BQ416">
        <f>((cc_D/2*(1-COS(($BH416+7*($BI416-$BH416)/12)))-$BF416)/$BG416)^2*SIN(($BH416+7*($BI416-$BH416)/12))^2</f>
        <v/>
      </c>
      <c r="BR416">
        <f>((cc_D/2*(1-COS(($BH416+8*($BI416-$BH416)/12)))-$BF416)/$BG416)^2*SIN(($BH416+8*($BI416-$BH416)/12))^2</f>
        <v/>
      </c>
      <c r="BS416">
        <f>((cc_D/2*(1-COS(($BH416+9*($BI416-$BH416)/12)))-$BF416)/$BG416)^2*SIN(($BH416+9*($BI416-$BH416)/12))^2</f>
        <v/>
      </c>
      <c r="BT416">
        <f>((cc_D/2*(1-COS(($BH416+10*($BI416-$BH416)/12)))-$BF416)/$BG416)^2*SIN(($BH416+10*($BI416-$BH416)/12))^2</f>
        <v/>
      </c>
      <c r="BU416">
        <f>((cc_D/2*(1-COS(($BH416+11*($BI416-$BH416)/12)))-$BF416)/$BG416)^2*SIN(($BH416+11*($BI416-$BH416)/12))^2</f>
        <v/>
      </c>
      <c r="BV416">
        <f>((cc_D/2*(1-COS(($BH416+12*($BI416-$BH416)/12)))-$BF416)/$BG416)^2*SIN(($BH416+12*($BI416-$BH416)/12))^2</f>
        <v/>
      </c>
      <c r="BW416">
        <f>BJ416*COS(($BH416+0*($BI416-$BH416)/12))</f>
        <v/>
      </c>
      <c r="BX416">
        <f>BK416*COS(($BH416+1*($BI416-$BH416)/12))</f>
        <v/>
      </c>
      <c r="BY416">
        <f>BL416*COS(($BH416+2*($BI416-$BH416)/12))</f>
        <v/>
      </c>
      <c r="BZ416">
        <f>BM416*COS(($BH416+3*($BI416-$BH416)/12))</f>
        <v/>
      </c>
      <c r="CA416">
        <f>BN416*COS(($BH416+4*($BI416-$BH416)/12))</f>
        <v/>
      </c>
      <c r="CB416">
        <f>BO416*COS(($BH416+5*($BI416-$BH416)/12))</f>
        <v/>
      </c>
      <c r="CC416">
        <f>BP416*COS(($BH416+6*($BI416-$BH416)/12))</f>
        <v/>
      </c>
      <c r="CD416">
        <f>BQ416*COS(($BH416+7*($BI416-$BH416)/12))</f>
        <v/>
      </c>
      <c r="CE416">
        <f>BR416*COS(($BH416+8*($BI416-$BH416)/12))</f>
        <v/>
      </c>
      <c r="CF416">
        <f>BS416*COS(($BH416+9*($BI416-$BH416)/12))</f>
        <v/>
      </c>
      <c r="CG416">
        <f>BT416*COS(($BH416+10*($BI416-$BH416)/12))</f>
        <v/>
      </c>
      <c r="CH416">
        <f>BU416*COS(($BH416+11*($BI416-$BH416)/12))</f>
        <v/>
      </c>
      <c r="CI416">
        <f>BV416*COS(($BH416+12*($BI416-$BH416)/12))</f>
        <v/>
      </c>
    </row>
    <row r="417">
      <c r="B417" s="65" t="n">
        <v>13</v>
      </c>
      <c r="C417" s="66">
        <f>IF($G416&lt;cc_NEd-1E-9*ABS(cc_NEd),($C416+$D416)/2,$C416)</f>
        <v/>
      </c>
      <c r="D417" s="66">
        <f>IF($G416&lt;cc_NEd-1E-9*ABS(cc_NEd),$D416,($C416+$D416)/2)</f>
        <v/>
      </c>
      <c r="E417" s="67">
        <f>cc_D*(($C417+$D417)/2)/(1-(($C417+$D417)/2))</f>
        <v/>
      </c>
      <c r="F417" s="68">
        <f>IF($E417&lt;=cc_D,3.5,2*$E417/($E417-3*cc_D/7))</f>
        <v/>
      </c>
      <c r="G417" s="67">
        <f>(fcd_cc*((cc_D/2)^2*($BI417-COS($BI417)*SIN($BI417))-2*(cc_D/2)^2*($BI417-$BH417)/12/3*SUMPRODUCT($BJ$4:$BV$4,$BJ417:$BV417))+SUMPRODUCT($J$5:$AG$5,$J417:$AG417))/1000</f>
        <v/>
      </c>
      <c r="H417" s="67">
        <f>(fcd_cc*(2/3*(cc_D/2)^3*SIN($BI417)^3-2*(cc_D/2)^3*($BI417-$BH417)/12/3*SUMPRODUCT($BW$4:$CI$4,$BW417:$CI417))+SUMPRODUCT($J$5:$AG$5,$J417:$AG417,$J$22:$AG$22))/1E6</f>
        <v/>
      </c>
      <c r="I417" s="67">
        <f>SUMPRODUCT($J$5:$AG$5,$J417:$AG417,$J$23:$AG$23)/1E6</f>
        <v/>
      </c>
      <c r="J417">
        <f>MAX(-fyd_cc,MIN(fyd_cc,Es_cc*IF($E417&lt;=cc_D,0.0035*($E417-J$21)/$E417,0.002*($E417-J$21)/($E417-3*cc_D/7))))-fcd_cc*(1-(1-MAX(0,MIN(1,IF($E417&lt;=cc_D,0.0035*($E417-J$21)/$E417,0.002*($E417-J$21)/($E417-3*cc_D/7))/0.002)))^2)</f>
        <v/>
      </c>
      <c r="K417">
        <f>MAX(-fyd_cc,MIN(fyd_cc,Es_cc*IF($E417&lt;=cc_D,0.0035*($E417-K$21)/$E417,0.002*($E417-K$21)/($E417-3*cc_D/7))))-fcd_cc*(1-(1-MAX(0,MIN(1,IF($E417&lt;=cc_D,0.0035*($E417-K$21)/$E417,0.002*($E417-K$21)/($E417-3*cc_D/7))/0.002)))^2)</f>
        <v/>
      </c>
      <c r="L417">
        <f>MAX(-fyd_cc,MIN(fyd_cc,Es_cc*IF($E417&lt;=cc_D,0.0035*($E417-L$21)/$E417,0.002*($E417-L$21)/($E417-3*cc_D/7))))-fcd_cc*(1-(1-MAX(0,MIN(1,IF($E417&lt;=cc_D,0.0035*($E417-L$21)/$E417,0.002*($E417-L$21)/($E417-3*cc_D/7))/0.002)))^2)</f>
        <v/>
      </c>
      <c r="M417">
        <f>MAX(-fyd_cc,MIN(fyd_cc,Es_cc*IF($E417&lt;=cc_D,0.0035*($E417-M$21)/$E417,0.002*($E417-M$21)/($E417-3*cc_D/7))))-fcd_cc*(1-(1-MAX(0,MIN(1,IF($E417&lt;=cc_D,0.0035*($E417-M$21)/$E417,0.002*($E417-M$21)/($E417-3*cc_D/7))/0.002)))^2)</f>
        <v/>
      </c>
      <c r="N417">
        <f>MAX(-fyd_cc,MIN(fyd_cc,Es_cc*IF($E417&lt;=cc_D,0.0035*($E417-N$21)/$E417,0.002*($E417-N$21)/($E417-3*cc_D/7))))-fcd_cc*(1-(1-MAX(0,MIN(1,IF($E417&lt;=cc_D,0.0035*($E417-N$21)/$E417,0.002*($E417-N$21)/($E417-3*cc_D/7))/0.002)))^2)</f>
        <v/>
      </c>
      <c r="O417">
        <f>MAX(-fyd_cc,MIN(fyd_cc,Es_cc*IF($E417&lt;=cc_D,0.0035*($E417-O$21)/$E417,0.002*($E417-O$21)/($E417-3*cc_D/7))))-fcd_cc*(1-(1-MAX(0,MIN(1,IF($E417&lt;=cc_D,0.0035*($E417-O$21)/$E417,0.002*($E417-O$21)/($E417-3*cc_D/7))/0.002)))^2)</f>
        <v/>
      </c>
      <c r="P417">
        <f>MAX(-fyd_cc,MIN(fyd_cc,Es_cc*IF($E417&lt;=cc_D,0.0035*($E417-P$21)/$E417,0.002*($E417-P$21)/($E417-3*cc_D/7))))-fcd_cc*(1-(1-MAX(0,MIN(1,IF($E417&lt;=cc_D,0.0035*($E417-P$21)/$E417,0.002*($E417-P$21)/($E417-3*cc_D/7))/0.002)))^2)</f>
        <v/>
      </c>
      <c r="Q417">
        <f>MAX(-fyd_cc,MIN(fyd_cc,Es_cc*IF($E417&lt;=cc_D,0.0035*($E417-Q$21)/$E417,0.002*($E417-Q$21)/($E417-3*cc_D/7))))-fcd_cc*(1-(1-MAX(0,MIN(1,IF($E417&lt;=cc_D,0.0035*($E417-Q$21)/$E417,0.002*($E417-Q$21)/($E417-3*cc_D/7))/0.002)))^2)</f>
        <v/>
      </c>
      <c r="R417">
        <f>MAX(-fyd_cc,MIN(fyd_cc,Es_cc*IF($E417&lt;=cc_D,0.0035*($E417-R$21)/$E417,0.002*($E417-R$21)/($E417-3*cc_D/7))))-fcd_cc*(1-(1-MAX(0,MIN(1,IF($E417&lt;=cc_D,0.0035*($E417-R$21)/$E417,0.002*($E417-R$21)/($E417-3*cc_D/7))/0.002)))^2)</f>
        <v/>
      </c>
      <c r="S417">
        <f>MAX(-fyd_cc,MIN(fyd_cc,Es_cc*IF($E417&lt;=cc_D,0.0035*($E417-S$21)/$E417,0.002*($E417-S$21)/($E417-3*cc_D/7))))-fcd_cc*(1-(1-MAX(0,MIN(1,IF($E417&lt;=cc_D,0.0035*($E417-S$21)/$E417,0.002*($E417-S$21)/($E417-3*cc_D/7))/0.002)))^2)</f>
        <v/>
      </c>
      <c r="T417">
        <f>MAX(-fyd_cc,MIN(fyd_cc,Es_cc*IF($E417&lt;=cc_D,0.0035*($E417-T$21)/$E417,0.002*($E417-T$21)/($E417-3*cc_D/7))))-fcd_cc*(1-(1-MAX(0,MIN(1,IF($E417&lt;=cc_D,0.0035*($E417-T$21)/$E417,0.002*($E417-T$21)/($E417-3*cc_D/7))/0.002)))^2)</f>
        <v/>
      </c>
      <c r="U417">
        <f>MAX(-fyd_cc,MIN(fyd_cc,Es_cc*IF($E417&lt;=cc_D,0.0035*($E417-U$21)/$E417,0.002*($E417-U$21)/($E417-3*cc_D/7))))-fcd_cc*(1-(1-MAX(0,MIN(1,IF($E417&lt;=cc_D,0.0035*($E417-U$21)/$E417,0.002*($E417-U$21)/($E417-3*cc_D/7))/0.002)))^2)</f>
        <v/>
      </c>
      <c r="V417">
        <f>MAX(-fyd_cc,MIN(fyd_cc,Es_cc*IF($E417&lt;=cc_D,0.0035*($E417-V$21)/$E417,0.002*($E417-V$21)/($E417-3*cc_D/7))))-fcd_cc*(1-(1-MAX(0,MIN(1,IF($E417&lt;=cc_D,0.0035*($E417-V$21)/$E417,0.002*($E417-V$21)/($E417-3*cc_D/7))/0.002)))^2)</f>
        <v/>
      </c>
      <c r="W417">
        <f>MAX(-fyd_cc,MIN(fyd_cc,Es_cc*IF($E417&lt;=cc_D,0.0035*($E417-W$21)/$E417,0.002*($E417-W$21)/($E417-3*cc_D/7))))-fcd_cc*(1-(1-MAX(0,MIN(1,IF($E417&lt;=cc_D,0.0035*($E417-W$21)/$E417,0.002*($E417-W$21)/($E417-3*cc_D/7))/0.002)))^2)</f>
        <v/>
      </c>
      <c r="X417">
        <f>MAX(-fyd_cc,MIN(fyd_cc,Es_cc*IF($E417&lt;=cc_D,0.0035*($E417-X$21)/$E417,0.002*($E417-X$21)/($E417-3*cc_D/7))))-fcd_cc*(1-(1-MAX(0,MIN(1,IF($E417&lt;=cc_D,0.0035*($E417-X$21)/$E417,0.002*($E417-X$21)/($E417-3*cc_D/7))/0.002)))^2)</f>
        <v/>
      </c>
      <c r="Y417">
        <f>MAX(-fyd_cc,MIN(fyd_cc,Es_cc*IF($E417&lt;=cc_D,0.0035*($E417-Y$21)/$E417,0.002*($E417-Y$21)/($E417-3*cc_D/7))))-fcd_cc*(1-(1-MAX(0,MIN(1,IF($E417&lt;=cc_D,0.0035*($E417-Y$21)/$E417,0.002*($E417-Y$21)/($E417-3*cc_D/7))/0.002)))^2)</f>
        <v/>
      </c>
      <c r="Z417">
        <f>MAX(-fyd_cc,MIN(fyd_cc,Es_cc*IF($E417&lt;=cc_D,0.0035*($E417-Z$21)/$E417,0.002*($E417-Z$21)/($E417-3*cc_D/7))))-fcd_cc*(1-(1-MAX(0,MIN(1,IF($E417&lt;=cc_D,0.0035*($E417-Z$21)/$E417,0.002*($E417-Z$21)/($E417-3*cc_D/7))/0.002)))^2)</f>
        <v/>
      </c>
      <c r="AA417">
        <f>MAX(-fyd_cc,MIN(fyd_cc,Es_cc*IF($E417&lt;=cc_D,0.0035*($E417-AA$21)/$E417,0.002*($E417-AA$21)/($E417-3*cc_D/7))))-fcd_cc*(1-(1-MAX(0,MIN(1,IF($E417&lt;=cc_D,0.0035*($E417-AA$21)/$E417,0.002*($E417-AA$21)/($E417-3*cc_D/7))/0.002)))^2)</f>
        <v/>
      </c>
      <c r="AB417">
        <f>MAX(-fyd_cc,MIN(fyd_cc,Es_cc*IF($E417&lt;=cc_D,0.0035*($E417-AB$21)/$E417,0.002*($E417-AB$21)/($E417-3*cc_D/7))))-fcd_cc*(1-(1-MAX(0,MIN(1,IF($E417&lt;=cc_D,0.0035*($E417-AB$21)/$E417,0.002*($E417-AB$21)/($E417-3*cc_D/7))/0.002)))^2)</f>
        <v/>
      </c>
      <c r="AC417">
        <f>MAX(-fyd_cc,MIN(fyd_cc,Es_cc*IF($E417&lt;=cc_D,0.0035*($E417-AC$21)/$E417,0.002*($E417-AC$21)/($E417-3*cc_D/7))))-fcd_cc*(1-(1-MAX(0,MIN(1,IF($E417&lt;=cc_D,0.0035*($E417-AC$21)/$E417,0.002*($E417-AC$21)/($E417-3*cc_D/7))/0.002)))^2)</f>
        <v/>
      </c>
      <c r="AD417">
        <f>MAX(-fyd_cc,MIN(fyd_cc,Es_cc*IF($E417&lt;=cc_D,0.0035*($E417-AD$21)/$E417,0.002*($E417-AD$21)/($E417-3*cc_D/7))))-fcd_cc*(1-(1-MAX(0,MIN(1,IF($E417&lt;=cc_D,0.0035*($E417-AD$21)/$E417,0.002*($E417-AD$21)/($E417-3*cc_D/7))/0.002)))^2)</f>
        <v/>
      </c>
      <c r="AE417">
        <f>MAX(-fyd_cc,MIN(fyd_cc,Es_cc*IF($E417&lt;=cc_D,0.0035*($E417-AE$21)/$E417,0.002*($E417-AE$21)/($E417-3*cc_D/7))))-fcd_cc*(1-(1-MAX(0,MIN(1,IF($E417&lt;=cc_D,0.0035*($E417-AE$21)/$E417,0.002*($E417-AE$21)/($E417-3*cc_D/7))/0.002)))^2)</f>
        <v/>
      </c>
      <c r="AF417">
        <f>MAX(-fyd_cc,MIN(fyd_cc,Es_cc*IF($E417&lt;=cc_D,0.0035*($E417-AF$21)/$E417,0.002*($E417-AF$21)/($E417-3*cc_D/7))))-fcd_cc*(1-(1-MAX(0,MIN(1,IF($E417&lt;=cc_D,0.0035*($E417-AF$21)/$E417,0.002*($E417-AF$21)/($E417-3*cc_D/7))/0.002)))^2)</f>
        <v/>
      </c>
      <c r="AG417">
        <f>MAX(-fyd_cc,MIN(fyd_cc,Es_cc*IF($E417&lt;=cc_D,0.0035*($E417-AG$21)/$E417,0.002*($E417-AG$21)/($E417-3*cc_D/7))))-fcd_cc*(1-(1-MAX(0,MIN(1,IF($E417&lt;=cc_D,0.0035*($E417-AG$21)/$E417,0.002*($E417-AG$21)/($E417-3*cc_D/7))/0.002)))^2)</f>
        <v/>
      </c>
      <c r="BF417">
        <f>3*MIN($E417,cc_D)/7</f>
        <v/>
      </c>
      <c r="BG417">
        <f>$E417-$BF417</f>
        <v/>
      </c>
      <c r="BH417">
        <f>ACOS(MAX(-1,MIN(1,1-$BF417/(cc_D/2))))</f>
        <v/>
      </c>
      <c r="BI417">
        <f>ACOS(MAX(-1,MIN(1,1-MIN($E417,cc_D)/(cc_D/2))))</f>
        <v/>
      </c>
      <c r="BJ417">
        <f>((cc_D/2*(1-COS(($BH417+0*($BI417-$BH417)/12)))-$BF417)/$BG417)^2*SIN(($BH417+0*($BI417-$BH417)/12))^2</f>
        <v/>
      </c>
      <c r="BK417">
        <f>((cc_D/2*(1-COS(($BH417+1*($BI417-$BH417)/12)))-$BF417)/$BG417)^2*SIN(($BH417+1*($BI417-$BH417)/12))^2</f>
        <v/>
      </c>
      <c r="BL417">
        <f>((cc_D/2*(1-COS(($BH417+2*($BI417-$BH417)/12)))-$BF417)/$BG417)^2*SIN(($BH417+2*($BI417-$BH417)/12))^2</f>
        <v/>
      </c>
      <c r="BM417">
        <f>((cc_D/2*(1-COS(($BH417+3*($BI417-$BH417)/12)))-$BF417)/$BG417)^2*SIN(($BH417+3*($BI417-$BH417)/12))^2</f>
        <v/>
      </c>
      <c r="BN417">
        <f>((cc_D/2*(1-COS(($BH417+4*($BI417-$BH417)/12)))-$BF417)/$BG417)^2*SIN(($BH417+4*($BI417-$BH417)/12))^2</f>
        <v/>
      </c>
      <c r="BO417">
        <f>((cc_D/2*(1-COS(($BH417+5*($BI417-$BH417)/12)))-$BF417)/$BG417)^2*SIN(($BH417+5*($BI417-$BH417)/12))^2</f>
        <v/>
      </c>
      <c r="BP417">
        <f>((cc_D/2*(1-COS(($BH417+6*($BI417-$BH417)/12)))-$BF417)/$BG417)^2*SIN(($BH417+6*($BI417-$BH417)/12))^2</f>
        <v/>
      </c>
      <c r="BQ417">
        <f>((cc_D/2*(1-COS(($BH417+7*($BI417-$BH417)/12)))-$BF417)/$BG417)^2*SIN(($BH417+7*($BI417-$BH417)/12))^2</f>
        <v/>
      </c>
      <c r="BR417">
        <f>((cc_D/2*(1-COS(($BH417+8*($BI417-$BH417)/12)))-$BF417)/$BG417)^2*SIN(($BH417+8*($BI417-$BH417)/12))^2</f>
        <v/>
      </c>
      <c r="BS417">
        <f>((cc_D/2*(1-COS(($BH417+9*($BI417-$BH417)/12)))-$BF417)/$BG417)^2*SIN(($BH417+9*($BI417-$BH417)/12))^2</f>
        <v/>
      </c>
      <c r="BT417">
        <f>((cc_D/2*(1-COS(($BH417+10*($BI417-$BH417)/12)))-$BF417)/$BG417)^2*SIN(($BH417+10*($BI417-$BH417)/12))^2</f>
        <v/>
      </c>
      <c r="BU417">
        <f>((cc_D/2*(1-COS(($BH417+11*($BI417-$BH417)/12)))-$BF417)/$BG417)^2*SIN(($BH417+11*($BI417-$BH417)/12))^2</f>
        <v/>
      </c>
      <c r="BV417">
        <f>((cc_D/2*(1-COS(($BH417+12*($BI417-$BH417)/12)))-$BF417)/$BG417)^2*SIN(($BH417+12*($BI417-$BH417)/12))^2</f>
        <v/>
      </c>
      <c r="BW417">
        <f>BJ417*COS(($BH417+0*($BI417-$BH417)/12))</f>
        <v/>
      </c>
      <c r="BX417">
        <f>BK417*COS(($BH417+1*($BI417-$BH417)/12))</f>
        <v/>
      </c>
      <c r="BY417">
        <f>BL417*COS(($BH417+2*($BI417-$BH417)/12))</f>
        <v/>
      </c>
      <c r="BZ417">
        <f>BM417*COS(($BH417+3*($BI417-$BH417)/12))</f>
        <v/>
      </c>
      <c r="CA417">
        <f>BN417*COS(($BH417+4*($BI417-$BH417)/12))</f>
        <v/>
      </c>
      <c r="CB417">
        <f>BO417*COS(($BH417+5*($BI417-$BH417)/12))</f>
        <v/>
      </c>
      <c r="CC417">
        <f>BP417*COS(($BH417+6*($BI417-$BH417)/12))</f>
        <v/>
      </c>
      <c r="CD417">
        <f>BQ417*COS(($BH417+7*($BI417-$BH417)/12))</f>
        <v/>
      </c>
      <c r="CE417">
        <f>BR417*COS(($BH417+8*($BI417-$BH417)/12))</f>
        <v/>
      </c>
      <c r="CF417">
        <f>BS417*COS(($BH417+9*($BI417-$BH417)/12))</f>
        <v/>
      </c>
      <c r="CG417">
        <f>BT417*COS(($BH417+10*($BI417-$BH417)/12))</f>
        <v/>
      </c>
      <c r="CH417">
        <f>BU417*COS(($BH417+11*($BI417-$BH417)/12))</f>
        <v/>
      </c>
      <c r="CI417">
        <f>BV417*COS(($BH417+12*($BI417-$BH417)/12))</f>
        <v/>
      </c>
    </row>
    <row r="418">
      <c r="B418" s="65" t="n">
        <v>14</v>
      </c>
      <c r="C418" s="66">
        <f>IF($G417&lt;cc_NEd-1E-9*ABS(cc_NEd),($C417+$D417)/2,$C417)</f>
        <v/>
      </c>
      <c r="D418" s="66">
        <f>IF($G417&lt;cc_NEd-1E-9*ABS(cc_NEd),$D417,($C417+$D417)/2)</f>
        <v/>
      </c>
      <c r="E418" s="67">
        <f>cc_D*(($C418+$D418)/2)/(1-(($C418+$D418)/2))</f>
        <v/>
      </c>
      <c r="F418" s="68">
        <f>IF($E418&lt;=cc_D,3.5,2*$E418/($E418-3*cc_D/7))</f>
        <v/>
      </c>
      <c r="G418" s="67">
        <f>(fcd_cc*((cc_D/2)^2*($BI418-COS($BI418)*SIN($BI418))-2*(cc_D/2)^2*($BI418-$BH418)/12/3*SUMPRODUCT($BJ$4:$BV$4,$BJ418:$BV418))+SUMPRODUCT($J$5:$AG$5,$J418:$AG418))/1000</f>
        <v/>
      </c>
      <c r="H418" s="67">
        <f>(fcd_cc*(2/3*(cc_D/2)^3*SIN($BI418)^3-2*(cc_D/2)^3*($BI418-$BH418)/12/3*SUMPRODUCT($BW$4:$CI$4,$BW418:$CI418))+SUMPRODUCT($J$5:$AG$5,$J418:$AG418,$J$22:$AG$22))/1E6</f>
        <v/>
      </c>
      <c r="I418" s="67">
        <f>SUMPRODUCT($J$5:$AG$5,$J418:$AG418,$J$23:$AG$23)/1E6</f>
        <v/>
      </c>
      <c r="J418">
        <f>MAX(-fyd_cc,MIN(fyd_cc,Es_cc*IF($E418&lt;=cc_D,0.0035*($E418-J$21)/$E418,0.002*($E418-J$21)/($E418-3*cc_D/7))))-fcd_cc*(1-(1-MAX(0,MIN(1,IF($E418&lt;=cc_D,0.0035*($E418-J$21)/$E418,0.002*($E418-J$21)/($E418-3*cc_D/7))/0.002)))^2)</f>
        <v/>
      </c>
      <c r="K418">
        <f>MAX(-fyd_cc,MIN(fyd_cc,Es_cc*IF($E418&lt;=cc_D,0.0035*($E418-K$21)/$E418,0.002*($E418-K$21)/($E418-3*cc_D/7))))-fcd_cc*(1-(1-MAX(0,MIN(1,IF($E418&lt;=cc_D,0.0035*($E418-K$21)/$E418,0.002*($E418-K$21)/($E418-3*cc_D/7))/0.002)))^2)</f>
        <v/>
      </c>
      <c r="L418">
        <f>MAX(-fyd_cc,MIN(fyd_cc,Es_cc*IF($E418&lt;=cc_D,0.0035*($E418-L$21)/$E418,0.002*($E418-L$21)/($E418-3*cc_D/7))))-fcd_cc*(1-(1-MAX(0,MIN(1,IF($E418&lt;=cc_D,0.0035*($E418-L$21)/$E418,0.002*($E418-L$21)/($E418-3*cc_D/7))/0.002)))^2)</f>
        <v/>
      </c>
      <c r="M418">
        <f>MAX(-fyd_cc,MIN(fyd_cc,Es_cc*IF($E418&lt;=cc_D,0.0035*($E418-M$21)/$E418,0.002*($E418-M$21)/($E418-3*cc_D/7))))-fcd_cc*(1-(1-MAX(0,MIN(1,IF($E418&lt;=cc_D,0.0035*($E418-M$21)/$E418,0.002*($E418-M$21)/($E418-3*cc_D/7))/0.002)))^2)</f>
        <v/>
      </c>
      <c r="N418">
        <f>MAX(-fyd_cc,MIN(fyd_cc,Es_cc*IF($E418&lt;=cc_D,0.0035*($E418-N$21)/$E418,0.002*($E418-N$21)/($E418-3*cc_D/7))))-fcd_cc*(1-(1-MAX(0,MIN(1,IF($E418&lt;=cc_D,0.0035*($E418-N$21)/$E418,0.002*($E418-N$21)/($E418-3*cc_D/7))/0.002)))^2)</f>
        <v/>
      </c>
      <c r="O418">
        <f>MAX(-fyd_cc,MIN(fyd_cc,Es_cc*IF($E418&lt;=cc_D,0.0035*($E418-O$21)/$E418,0.002*($E418-O$21)/($E418-3*cc_D/7))))-fcd_cc*(1-(1-MAX(0,MIN(1,IF($E418&lt;=cc_D,0.0035*($E418-O$21)/$E418,0.002*($E418-O$21)/($E418-3*cc_D/7))/0.002)))^2)</f>
        <v/>
      </c>
      <c r="P418">
        <f>MAX(-fyd_cc,MIN(fyd_cc,Es_cc*IF($E418&lt;=cc_D,0.0035*($E418-P$21)/$E418,0.002*($E418-P$21)/($E418-3*cc_D/7))))-fcd_cc*(1-(1-MAX(0,MIN(1,IF($E418&lt;=cc_D,0.0035*($E418-P$21)/$E418,0.002*($E418-P$21)/($E418-3*cc_D/7))/0.002)))^2)</f>
        <v/>
      </c>
      <c r="Q418">
        <f>MAX(-fyd_cc,MIN(fyd_cc,Es_cc*IF($E418&lt;=cc_D,0.0035*($E418-Q$21)/$E418,0.002*($E418-Q$21)/($E418-3*cc_D/7))))-fcd_cc*(1-(1-MAX(0,MIN(1,IF($E418&lt;=cc_D,0.0035*($E418-Q$21)/$E418,0.002*($E418-Q$21)/($E418-3*cc_D/7))/0.002)))^2)</f>
        <v/>
      </c>
      <c r="R418">
        <f>MAX(-fyd_cc,MIN(fyd_cc,Es_cc*IF($E418&lt;=cc_D,0.0035*($E418-R$21)/$E418,0.002*($E418-R$21)/($E418-3*cc_D/7))))-fcd_cc*(1-(1-MAX(0,MIN(1,IF($E418&lt;=cc_D,0.0035*($E418-R$21)/$E418,0.002*($E418-R$21)/($E418-3*cc_D/7))/0.002)))^2)</f>
        <v/>
      </c>
      <c r="S418">
        <f>MAX(-fyd_cc,MIN(fyd_cc,Es_cc*IF($E418&lt;=cc_D,0.0035*($E418-S$21)/$E418,0.002*($E418-S$21)/($E418-3*cc_D/7))))-fcd_cc*(1-(1-MAX(0,MIN(1,IF($E418&lt;=cc_D,0.0035*($E418-S$21)/$E418,0.002*($E418-S$21)/($E418-3*cc_D/7))/0.002)))^2)</f>
        <v/>
      </c>
      <c r="T418">
        <f>MAX(-fyd_cc,MIN(fyd_cc,Es_cc*IF($E418&lt;=cc_D,0.0035*($E418-T$21)/$E418,0.002*($E418-T$21)/($E418-3*cc_D/7))))-fcd_cc*(1-(1-MAX(0,MIN(1,IF($E418&lt;=cc_D,0.0035*($E418-T$21)/$E418,0.002*($E418-T$21)/($E418-3*cc_D/7))/0.002)))^2)</f>
        <v/>
      </c>
      <c r="U418">
        <f>MAX(-fyd_cc,MIN(fyd_cc,Es_cc*IF($E418&lt;=cc_D,0.0035*($E418-U$21)/$E418,0.002*($E418-U$21)/($E418-3*cc_D/7))))-fcd_cc*(1-(1-MAX(0,MIN(1,IF($E418&lt;=cc_D,0.0035*($E418-U$21)/$E418,0.002*($E418-U$21)/($E418-3*cc_D/7))/0.002)))^2)</f>
        <v/>
      </c>
      <c r="V418">
        <f>MAX(-fyd_cc,MIN(fyd_cc,Es_cc*IF($E418&lt;=cc_D,0.0035*($E418-V$21)/$E418,0.002*($E418-V$21)/($E418-3*cc_D/7))))-fcd_cc*(1-(1-MAX(0,MIN(1,IF($E418&lt;=cc_D,0.0035*($E418-V$21)/$E418,0.002*($E418-V$21)/($E418-3*cc_D/7))/0.002)))^2)</f>
        <v/>
      </c>
      <c r="W418">
        <f>MAX(-fyd_cc,MIN(fyd_cc,Es_cc*IF($E418&lt;=cc_D,0.0035*($E418-W$21)/$E418,0.002*($E418-W$21)/($E418-3*cc_D/7))))-fcd_cc*(1-(1-MAX(0,MIN(1,IF($E418&lt;=cc_D,0.0035*($E418-W$21)/$E418,0.002*($E418-W$21)/($E418-3*cc_D/7))/0.002)))^2)</f>
        <v/>
      </c>
      <c r="X418">
        <f>MAX(-fyd_cc,MIN(fyd_cc,Es_cc*IF($E418&lt;=cc_D,0.0035*($E418-X$21)/$E418,0.002*($E418-X$21)/($E418-3*cc_D/7))))-fcd_cc*(1-(1-MAX(0,MIN(1,IF($E418&lt;=cc_D,0.0035*($E418-X$21)/$E418,0.002*($E418-X$21)/($E418-3*cc_D/7))/0.002)))^2)</f>
        <v/>
      </c>
      <c r="Y418">
        <f>MAX(-fyd_cc,MIN(fyd_cc,Es_cc*IF($E418&lt;=cc_D,0.0035*($E418-Y$21)/$E418,0.002*($E418-Y$21)/($E418-3*cc_D/7))))-fcd_cc*(1-(1-MAX(0,MIN(1,IF($E418&lt;=cc_D,0.0035*($E418-Y$21)/$E418,0.002*($E418-Y$21)/($E418-3*cc_D/7))/0.002)))^2)</f>
        <v/>
      </c>
      <c r="Z418">
        <f>MAX(-fyd_cc,MIN(fyd_cc,Es_cc*IF($E418&lt;=cc_D,0.0035*($E418-Z$21)/$E418,0.002*($E418-Z$21)/($E418-3*cc_D/7))))-fcd_cc*(1-(1-MAX(0,MIN(1,IF($E418&lt;=cc_D,0.0035*($E418-Z$21)/$E418,0.002*($E418-Z$21)/($E418-3*cc_D/7))/0.002)))^2)</f>
        <v/>
      </c>
      <c r="AA418">
        <f>MAX(-fyd_cc,MIN(fyd_cc,Es_cc*IF($E418&lt;=cc_D,0.0035*($E418-AA$21)/$E418,0.002*($E418-AA$21)/($E418-3*cc_D/7))))-fcd_cc*(1-(1-MAX(0,MIN(1,IF($E418&lt;=cc_D,0.0035*($E418-AA$21)/$E418,0.002*($E418-AA$21)/($E418-3*cc_D/7))/0.002)))^2)</f>
        <v/>
      </c>
      <c r="AB418">
        <f>MAX(-fyd_cc,MIN(fyd_cc,Es_cc*IF($E418&lt;=cc_D,0.0035*($E418-AB$21)/$E418,0.002*($E418-AB$21)/($E418-3*cc_D/7))))-fcd_cc*(1-(1-MAX(0,MIN(1,IF($E418&lt;=cc_D,0.0035*($E418-AB$21)/$E418,0.002*($E418-AB$21)/($E418-3*cc_D/7))/0.002)))^2)</f>
        <v/>
      </c>
      <c r="AC418">
        <f>MAX(-fyd_cc,MIN(fyd_cc,Es_cc*IF($E418&lt;=cc_D,0.0035*($E418-AC$21)/$E418,0.002*($E418-AC$21)/($E418-3*cc_D/7))))-fcd_cc*(1-(1-MAX(0,MIN(1,IF($E418&lt;=cc_D,0.0035*($E418-AC$21)/$E418,0.002*($E418-AC$21)/($E418-3*cc_D/7))/0.002)))^2)</f>
        <v/>
      </c>
      <c r="AD418">
        <f>MAX(-fyd_cc,MIN(fyd_cc,Es_cc*IF($E418&lt;=cc_D,0.0035*($E418-AD$21)/$E418,0.002*($E418-AD$21)/($E418-3*cc_D/7))))-fcd_cc*(1-(1-MAX(0,MIN(1,IF($E418&lt;=cc_D,0.0035*($E418-AD$21)/$E418,0.002*($E418-AD$21)/($E418-3*cc_D/7))/0.002)))^2)</f>
        <v/>
      </c>
      <c r="AE418">
        <f>MAX(-fyd_cc,MIN(fyd_cc,Es_cc*IF($E418&lt;=cc_D,0.0035*($E418-AE$21)/$E418,0.002*($E418-AE$21)/($E418-3*cc_D/7))))-fcd_cc*(1-(1-MAX(0,MIN(1,IF($E418&lt;=cc_D,0.0035*($E418-AE$21)/$E418,0.002*($E418-AE$21)/($E418-3*cc_D/7))/0.002)))^2)</f>
        <v/>
      </c>
      <c r="AF418">
        <f>MAX(-fyd_cc,MIN(fyd_cc,Es_cc*IF($E418&lt;=cc_D,0.0035*($E418-AF$21)/$E418,0.002*($E418-AF$21)/($E418-3*cc_D/7))))-fcd_cc*(1-(1-MAX(0,MIN(1,IF($E418&lt;=cc_D,0.0035*($E418-AF$21)/$E418,0.002*($E418-AF$21)/($E418-3*cc_D/7))/0.002)))^2)</f>
        <v/>
      </c>
      <c r="AG418">
        <f>MAX(-fyd_cc,MIN(fyd_cc,Es_cc*IF($E418&lt;=cc_D,0.0035*($E418-AG$21)/$E418,0.002*($E418-AG$21)/($E418-3*cc_D/7))))-fcd_cc*(1-(1-MAX(0,MIN(1,IF($E418&lt;=cc_D,0.0035*($E418-AG$21)/$E418,0.002*($E418-AG$21)/($E418-3*cc_D/7))/0.002)))^2)</f>
        <v/>
      </c>
      <c r="BF418">
        <f>3*MIN($E418,cc_D)/7</f>
        <v/>
      </c>
      <c r="BG418">
        <f>$E418-$BF418</f>
        <v/>
      </c>
      <c r="BH418">
        <f>ACOS(MAX(-1,MIN(1,1-$BF418/(cc_D/2))))</f>
        <v/>
      </c>
      <c r="BI418">
        <f>ACOS(MAX(-1,MIN(1,1-MIN($E418,cc_D)/(cc_D/2))))</f>
        <v/>
      </c>
      <c r="BJ418">
        <f>((cc_D/2*(1-COS(($BH418+0*($BI418-$BH418)/12)))-$BF418)/$BG418)^2*SIN(($BH418+0*($BI418-$BH418)/12))^2</f>
        <v/>
      </c>
      <c r="BK418">
        <f>((cc_D/2*(1-COS(($BH418+1*($BI418-$BH418)/12)))-$BF418)/$BG418)^2*SIN(($BH418+1*($BI418-$BH418)/12))^2</f>
        <v/>
      </c>
      <c r="BL418">
        <f>((cc_D/2*(1-COS(($BH418+2*($BI418-$BH418)/12)))-$BF418)/$BG418)^2*SIN(($BH418+2*($BI418-$BH418)/12))^2</f>
        <v/>
      </c>
      <c r="BM418">
        <f>((cc_D/2*(1-COS(($BH418+3*($BI418-$BH418)/12)))-$BF418)/$BG418)^2*SIN(($BH418+3*($BI418-$BH418)/12))^2</f>
        <v/>
      </c>
      <c r="BN418">
        <f>((cc_D/2*(1-COS(($BH418+4*($BI418-$BH418)/12)))-$BF418)/$BG418)^2*SIN(($BH418+4*($BI418-$BH418)/12))^2</f>
        <v/>
      </c>
      <c r="BO418">
        <f>((cc_D/2*(1-COS(($BH418+5*($BI418-$BH418)/12)))-$BF418)/$BG418)^2*SIN(($BH418+5*($BI418-$BH418)/12))^2</f>
        <v/>
      </c>
      <c r="BP418">
        <f>((cc_D/2*(1-COS(($BH418+6*($BI418-$BH418)/12)))-$BF418)/$BG418)^2*SIN(($BH418+6*($BI418-$BH418)/12))^2</f>
        <v/>
      </c>
      <c r="BQ418">
        <f>((cc_D/2*(1-COS(($BH418+7*($BI418-$BH418)/12)))-$BF418)/$BG418)^2*SIN(($BH418+7*($BI418-$BH418)/12))^2</f>
        <v/>
      </c>
      <c r="BR418">
        <f>((cc_D/2*(1-COS(($BH418+8*($BI418-$BH418)/12)))-$BF418)/$BG418)^2*SIN(($BH418+8*($BI418-$BH418)/12))^2</f>
        <v/>
      </c>
      <c r="BS418">
        <f>((cc_D/2*(1-COS(($BH418+9*($BI418-$BH418)/12)))-$BF418)/$BG418)^2*SIN(($BH418+9*($BI418-$BH418)/12))^2</f>
        <v/>
      </c>
      <c r="BT418">
        <f>((cc_D/2*(1-COS(($BH418+10*($BI418-$BH418)/12)))-$BF418)/$BG418)^2*SIN(($BH418+10*($BI418-$BH418)/12))^2</f>
        <v/>
      </c>
      <c r="BU418">
        <f>((cc_D/2*(1-COS(($BH418+11*($BI418-$BH418)/12)))-$BF418)/$BG418)^2*SIN(($BH418+11*($BI418-$BH418)/12))^2</f>
        <v/>
      </c>
      <c r="BV418">
        <f>((cc_D/2*(1-COS(($BH418+12*($BI418-$BH418)/12)))-$BF418)/$BG418)^2*SIN(($BH418+12*($BI418-$BH418)/12))^2</f>
        <v/>
      </c>
      <c r="BW418">
        <f>BJ418*COS(($BH418+0*($BI418-$BH418)/12))</f>
        <v/>
      </c>
      <c r="BX418">
        <f>BK418*COS(($BH418+1*($BI418-$BH418)/12))</f>
        <v/>
      </c>
      <c r="BY418">
        <f>BL418*COS(($BH418+2*($BI418-$BH418)/12))</f>
        <v/>
      </c>
      <c r="BZ418">
        <f>BM418*COS(($BH418+3*($BI418-$BH418)/12))</f>
        <v/>
      </c>
      <c r="CA418">
        <f>BN418*COS(($BH418+4*($BI418-$BH418)/12))</f>
        <v/>
      </c>
      <c r="CB418">
        <f>BO418*COS(($BH418+5*($BI418-$BH418)/12))</f>
        <v/>
      </c>
      <c r="CC418">
        <f>BP418*COS(($BH418+6*($BI418-$BH418)/12))</f>
        <v/>
      </c>
      <c r="CD418">
        <f>BQ418*COS(($BH418+7*($BI418-$BH418)/12))</f>
        <v/>
      </c>
      <c r="CE418">
        <f>BR418*COS(($BH418+8*($BI418-$BH418)/12))</f>
        <v/>
      </c>
      <c r="CF418">
        <f>BS418*COS(($BH418+9*($BI418-$BH418)/12))</f>
        <v/>
      </c>
      <c r="CG418">
        <f>BT418*COS(($BH418+10*($BI418-$BH418)/12))</f>
        <v/>
      </c>
      <c r="CH418">
        <f>BU418*COS(($BH418+11*($BI418-$BH418)/12))</f>
        <v/>
      </c>
      <c r="CI418">
        <f>BV418*COS(($BH418+12*($BI418-$BH418)/12))</f>
        <v/>
      </c>
    </row>
    <row r="419">
      <c r="B419" s="65" t="n">
        <v>15</v>
      </c>
      <c r="C419" s="66">
        <f>IF($G418&lt;cc_NEd-1E-9*ABS(cc_NEd),($C418+$D418)/2,$C418)</f>
        <v/>
      </c>
      <c r="D419" s="66">
        <f>IF($G418&lt;cc_NEd-1E-9*ABS(cc_NEd),$D418,($C418+$D418)/2)</f>
        <v/>
      </c>
      <c r="E419" s="67">
        <f>cc_D*(($C419+$D419)/2)/(1-(($C419+$D419)/2))</f>
        <v/>
      </c>
      <c r="F419" s="68">
        <f>IF($E419&lt;=cc_D,3.5,2*$E419/($E419-3*cc_D/7))</f>
        <v/>
      </c>
      <c r="G419" s="67">
        <f>(fcd_cc*((cc_D/2)^2*($BI419-COS($BI419)*SIN($BI419))-2*(cc_D/2)^2*($BI419-$BH419)/12/3*SUMPRODUCT($BJ$4:$BV$4,$BJ419:$BV419))+SUMPRODUCT($J$5:$AG$5,$J419:$AG419))/1000</f>
        <v/>
      </c>
      <c r="H419" s="67">
        <f>(fcd_cc*(2/3*(cc_D/2)^3*SIN($BI419)^3-2*(cc_D/2)^3*($BI419-$BH419)/12/3*SUMPRODUCT($BW$4:$CI$4,$BW419:$CI419))+SUMPRODUCT($J$5:$AG$5,$J419:$AG419,$J$22:$AG$22))/1E6</f>
        <v/>
      </c>
      <c r="I419" s="67">
        <f>SUMPRODUCT($J$5:$AG$5,$J419:$AG419,$J$23:$AG$23)/1E6</f>
        <v/>
      </c>
      <c r="J419">
        <f>MAX(-fyd_cc,MIN(fyd_cc,Es_cc*IF($E419&lt;=cc_D,0.0035*($E419-J$21)/$E419,0.002*($E419-J$21)/($E419-3*cc_D/7))))-fcd_cc*(1-(1-MAX(0,MIN(1,IF($E419&lt;=cc_D,0.0035*($E419-J$21)/$E419,0.002*($E419-J$21)/($E419-3*cc_D/7))/0.002)))^2)</f>
        <v/>
      </c>
      <c r="K419">
        <f>MAX(-fyd_cc,MIN(fyd_cc,Es_cc*IF($E419&lt;=cc_D,0.0035*($E419-K$21)/$E419,0.002*($E419-K$21)/($E419-3*cc_D/7))))-fcd_cc*(1-(1-MAX(0,MIN(1,IF($E419&lt;=cc_D,0.0035*($E419-K$21)/$E419,0.002*($E419-K$21)/($E419-3*cc_D/7))/0.002)))^2)</f>
        <v/>
      </c>
      <c r="L419">
        <f>MAX(-fyd_cc,MIN(fyd_cc,Es_cc*IF($E419&lt;=cc_D,0.0035*($E419-L$21)/$E419,0.002*($E419-L$21)/($E419-3*cc_D/7))))-fcd_cc*(1-(1-MAX(0,MIN(1,IF($E419&lt;=cc_D,0.0035*($E419-L$21)/$E419,0.002*($E419-L$21)/($E419-3*cc_D/7))/0.002)))^2)</f>
        <v/>
      </c>
      <c r="M419">
        <f>MAX(-fyd_cc,MIN(fyd_cc,Es_cc*IF($E419&lt;=cc_D,0.0035*($E419-M$21)/$E419,0.002*($E419-M$21)/($E419-3*cc_D/7))))-fcd_cc*(1-(1-MAX(0,MIN(1,IF($E419&lt;=cc_D,0.0035*($E419-M$21)/$E419,0.002*($E419-M$21)/($E419-3*cc_D/7))/0.002)))^2)</f>
        <v/>
      </c>
      <c r="N419">
        <f>MAX(-fyd_cc,MIN(fyd_cc,Es_cc*IF($E419&lt;=cc_D,0.0035*($E419-N$21)/$E419,0.002*($E419-N$21)/($E419-3*cc_D/7))))-fcd_cc*(1-(1-MAX(0,MIN(1,IF($E419&lt;=cc_D,0.0035*($E419-N$21)/$E419,0.002*($E419-N$21)/($E419-3*cc_D/7))/0.002)))^2)</f>
        <v/>
      </c>
      <c r="O419">
        <f>MAX(-fyd_cc,MIN(fyd_cc,Es_cc*IF($E419&lt;=cc_D,0.0035*($E419-O$21)/$E419,0.002*($E419-O$21)/($E419-3*cc_D/7))))-fcd_cc*(1-(1-MAX(0,MIN(1,IF($E419&lt;=cc_D,0.0035*($E419-O$21)/$E419,0.002*($E419-O$21)/($E419-3*cc_D/7))/0.002)))^2)</f>
        <v/>
      </c>
      <c r="P419">
        <f>MAX(-fyd_cc,MIN(fyd_cc,Es_cc*IF($E419&lt;=cc_D,0.0035*($E419-P$21)/$E419,0.002*($E419-P$21)/($E419-3*cc_D/7))))-fcd_cc*(1-(1-MAX(0,MIN(1,IF($E419&lt;=cc_D,0.0035*($E419-P$21)/$E419,0.002*($E419-P$21)/($E419-3*cc_D/7))/0.002)))^2)</f>
        <v/>
      </c>
      <c r="Q419">
        <f>MAX(-fyd_cc,MIN(fyd_cc,Es_cc*IF($E419&lt;=cc_D,0.0035*($E419-Q$21)/$E419,0.002*($E419-Q$21)/($E419-3*cc_D/7))))-fcd_cc*(1-(1-MAX(0,MIN(1,IF($E419&lt;=cc_D,0.0035*($E419-Q$21)/$E419,0.002*($E419-Q$21)/($E419-3*cc_D/7))/0.002)))^2)</f>
        <v/>
      </c>
      <c r="R419">
        <f>MAX(-fyd_cc,MIN(fyd_cc,Es_cc*IF($E419&lt;=cc_D,0.0035*($E419-R$21)/$E419,0.002*($E419-R$21)/($E419-3*cc_D/7))))-fcd_cc*(1-(1-MAX(0,MIN(1,IF($E419&lt;=cc_D,0.0035*($E419-R$21)/$E419,0.002*($E419-R$21)/($E419-3*cc_D/7))/0.002)))^2)</f>
        <v/>
      </c>
      <c r="S419">
        <f>MAX(-fyd_cc,MIN(fyd_cc,Es_cc*IF($E419&lt;=cc_D,0.0035*($E419-S$21)/$E419,0.002*($E419-S$21)/($E419-3*cc_D/7))))-fcd_cc*(1-(1-MAX(0,MIN(1,IF($E419&lt;=cc_D,0.0035*($E419-S$21)/$E419,0.002*($E419-S$21)/($E419-3*cc_D/7))/0.002)))^2)</f>
        <v/>
      </c>
      <c r="T419">
        <f>MAX(-fyd_cc,MIN(fyd_cc,Es_cc*IF($E419&lt;=cc_D,0.0035*($E419-T$21)/$E419,0.002*($E419-T$21)/($E419-3*cc_D/7))))-fcd_cc*(1-(1-MAX(0,MIN(1,IF($E419&lt;=cc_D,0.0035*($E419-T$21)/$E419,0.002*($E419-T$21)/($E419-3*cc_D/7))/0.002)))^2)</f>
        <v/>
      </c>
      <c r="U419">
        <f>MAX(-fyd_cc,MIN(fyd_cc,Es_cc*IF($E419&lt;=cc_D,0.0035*($E419-U$21)/$E419,0.002*($E419-U$21)/($E419-3*cc_D/7))))-fcd_cc*(1-(1-MAX(0,MIN(1,IF($E419&lt;=cc_D,0.0035*($E419-U$21)/$E419,0.002*($E419-U$21)/($E419-3*cc_D/7))/0.002)))^2)</f>
        <v/>
      </c>
      <c r="V419">
        <f>MAX(-fyd_cc,MIN(fyd_cc,Es_cc*IF($E419&lt;=cc_D,0.0035*($E419-V$21)/$E419,0.002*($E419-V$21)/($E419-3*cc_D/7))))-fcd_cc*(1-(1-MAX(0,MIN(1,IF($E419&lt;=cc_D,0.0035*($E419-V$21)/$E419,0.002*($E419-V$21)/($E419-3*cc_D/7))/0.002)))^2)</f>
        <v/>
      </c>
      <c r="W419">
        <f>MAX(-fyd_cc,MIN(fyd_cc,Es_cc*IF($E419&lt;=cc_D,0.0035*($E419-W$21)/$E419,0.002*($E419-W$21)/($E419-3*cc_D/7))))-fcd_cc*(1-(1-MAX(0,MIN(1,IF($E419&lt;=cc_D,0.0035*($E419-W$21)/$E419,0.002*($E419-W$21)/($E419-3*cc_D/7))/0.002)))^2)</f>
        <v/>
      </c>
      <c r="X419">
        <f>MAX(-fyd_cc,MIN(fyd_cc,Es_cc*IF($E419&lt;=cc_D,0.0035*($E419-X$21)/$E419,0.002*($E419-X$21)/($E419-3*cc_D/7))))-fcd_cc*(1-(1-MAX(0,MIN(1,IF($E419&lt;=cc_D,0.0035*($E419-X$21)/$E419,0.002*($E419-X$21)/($E419-3*cc_D/7))/0.002)))^2)</f>
        <v/>
      </c>
      <c r="Y419">
        <f>MAX(-fyd_cc,MIN(fyd_cc,Es_cc*IF($E419&lt;=cc_D,0.0035*($E419-Y$21)/$E419,0.002*($E419-Y$21)/($E419-3*cc_D/7))))-fcd_cc*(1-(1-MAX(0,MIN(1,IF($E419&lt;=cc_D,0.0035*($E419-Y$21)/$E419,0.002*($E419-Y$21)/($E419-3*cc_D/7))/0.002)))^2)</f>
        <v/>
      </c>
      <c r="Z419">
        <f>MAX(-fyd_cc,MIN(fyd_cc,Es_cc*IF($E419&lt;=cc_D,0.0035*($E419-Z$21)/$E419,0.002*($E419-Z$21)/($E419-3*cc_D/7))))-fcd_cc*(1-(1-MAX(0,MIN(1,IF($E419&lt;=cc_D,0.0035*($E419-Z$21)/$E419,0.002*($E419-Z$21)/($E419-3*cc_D/7))/0.002)))^2)</f>
        <v/>
      </c>
      <c r="AA419">
        <f>MAX(-fyd_cc,MIN(fyd_cc,Es_cc*IF($E419&lt;=cc_D,0.0035*($E419-AA$21)/$E419,0.002*($E419-AA$21)/($E419-3*cc_D/7))))-fcd_cc*(1-(1-MAX(0,MIN(1,IF($E419&lt;=cc_D,0.0035*($E419-AA$21)/$E419,0.002*($E419-AA$21)/($E419-3*cc_D/7))/0.002)))^2)</f>
        <v/>
      </c>
      <c r="AB419">
        <f>MAX(-fyd_cc,MIN(fyd_cc,Es_cc*IF($E419&lt;=cc_D,0.0035*($E419-AB$21)/$E419,0.002*($E419-AB$21)/($E419-3*cc_D/7))))-fcd_cc*(1-(1-MAX(0,MIN(1,IF($E419&lt;=cc_D,0.0035*($E419-AB$21)/$E419,0.002*($E419-AB$21)/($E419-3*cc_D/7))/0.002)))^2)</f>
        <v/>
      </c>
      <c r="AC419">
        <f>MAX(-fyd_cc,MIN(fyd_cc,Es_cc*IF($E419&lt;=cc_D,0.0035*($E419-AC$21)/$E419,0.002*($E419-AC$21)/($E419-3*cc_D/7))))-fcd_cc*(1-(1-MAX(0,MIN(1,IF($E419&lt;=cc_D,0.0035*($E419-AC$21)/$E419,0.002*($E419-AC$21)/($E419-3*cc_D/7))/0.002)))^2)</f>
        <v/>
      </c>
      <c r="AD419">
        <f>MAX(-fyd_cc,MIN(fyd_cc,Es_cc*IF($E419&lt;=cc_D,0.0035*($E419-AD$21)/$E419,0.002*($E419-AD$21)/($E419-3*cc_D/7))))-fcd_cc*(1-(1-MAX(0,MIN(1,IF($E419&lt;=cc_D,0.0035*($E419-AD$21)/$E419,0.002*($E419-AD$21)/($E419-3*cc_D/7))/0.002)))^2)</f>
        <v/>
      </c>
      <c r="AE419">
        <f>MAX(-fyd_cc,MIN(fyd_cc,Es_cc*IF($E419&lt;=cc_D,0.0035*($E419-AE$21)/$E419,0.002*($E419-AE$21)/($E419-3*cc_D/7))))-fcd_cc*(1-(1-MAX(0,MIN(1,IF($E419&lt;=cc_D,0.0035*($E419-AE$21)/$E419,0.002*($E419-AE$21)/($E419-3*cc_D/7))/0.002)))^2)</f>
        <v/>
      </c>
      <c r="AF419">
        <f>MAX(-fyd_cc,MIN(fyd_cc,Es_cc*IF($E419&lt;=cc_D,0.0035*($E419-AF$21)/$E419,0.002*($E419-AF$21)/($E419-3*cc_D/7))))-fcd_cc*(1-(1-MAX(0,MIN(1,IF($E419&lt;=cc_D,0.0035*($E419-AF$21)/$E419,0.002*($E419-AF$21)/($E419-3*cc_D/7))/0.002)))^2)</f>
        <v/>
      </c>
      <c r="AG419">
        <f>MAX(-fyd_cc,MIN(fyd_cc,Es_cc*IF($E419&lt;=cc_D,0.0035*($E419-AG$21)/$E419,0.002*($E419-AG$21)/($E419-3*cc_D/7))))-fcd_cc*(1-(1-MAX(0,MIN(1,IF($E419&lt;=cc_D,0.0035*($E419-AG$21)/$E419,0.002*($E419-AG$21)/($E419-3*cc_D/7))/0.002)))^2)</f>
        <v/>
      </c>
      <c r="BF419">
        <f>3*MIN($E419,cc_D)/7</f>
        <v/>
      </c>
      <c r="BG419">
        <f>$E419-$BF419</f>
        <v/>
      </c>
      <c r="BH419">
        <f>ACOS(MAX(-1,MIN(1,1-$BF419/(cc_D/2))))</f>
        <v/>
      </c>
      <c r="BI419">
        <f>ACOS(MAX(-1,MIN(1,1-MIN($E419,cc_D)/(cc_D/2))))</f>
        <v/>
      </c>
      <c r="BJ419">
        <f>((cc_D/2*(1-COS(($BH419+0*($BI419-$BH419)/12)))-$BF419)/$BG419)^2*SIN(($BH419+0*($BI419-$BH419)/12))^2</f>
        <v/>
      </c>
      <c r="BK419">
        <f>((cc_D/2*(1-COS(($BH419+1*($BI419-$BH419)/12)))-$BF419)/$BG419)^2*SIN(($BH419+1*($BI419-$BH419)/12))^2</f>
        <v/>
      </c>
      <c r="BL419">
        <f>((cc_D/2*(1-COS(($BH419+2*($BI419-$BH419)/12)))-$BF419)/$BG419)^2*SIN(($BH419+2*($BI419-$BH419)/12))^2</f>
        <v/>
      </c>
      <c r="BM419">
        <f>((cc_D/2*(1-COS(($BH419+3*($BI419-$BH419)/12)))-$BF419)/$BG419)^2*SIN(($BH419+3*($BI419-$BH419)/12))^2</f>
        <v/>
      </c>
      <c r="BN419">
        <f>((cc_D/2*(1-COS(($BH419+4*($BI419-$BH419)/12)))-$BF419)/$BG419)^2*SIN(($BH419+4*($BI419-$BH419)/12))^2</f>
        <v/>
      </c>
      <c r="BO419">
        <f>((cc_D/2*(1-COS(($BH419+5*($BI419-$BH419)/12)))-$BF419)/$BG419)^2*SIN(($BH419+5*($BI419-$BH419)/12))^2</f>
        <v/>
      </c>
      <c r="BP419">
        <f>((cc_D/2*(1-COS(($BH419+6*($BI419-$BH419)/12)))-$BF419)/$BG419)^2*SIN(($BH419+6*($BI419-$BH419)/12))^2</f>
        <v/>
      </c>
      <c r="BQ419">
        <f>((cc_D/2*(1-COS(($BH419+7*($BI419-$BH419)/12)))-$BF419)/$BG419)^2*SIN(($BH419+7*($BI419-$BH419)/12))^2</f>
        <v/>
      </c>
      <c r="BR419">
        <f>((cc_D/2*(1-COS(($BH419+8*($BI419-$BH419)/12)))-$BF419)/$BG419)^2*SIN(($BH419+8*($BI419-$BH419)/12))^2</f>
        <v/>
      </c>
      <c r="BS419">
        <f>((cc_D/2*(1-COS(($BH419+9*($BI419-$BH419)/12)))-$BF419)/$BG419)^2*SIN(($BH419+9*($BI419-$BH419)/12))^2</f>
        <v/>
      </c>
      <c r="BT419">
        <f>((cc_D/2*(1-COS(($BH419+10*($BI419-$BH419)/12)))-$BF419)/$BG419)^2*SIN(($BH419+10*($BI419-$BH419)/12))^2</f>
        <v/>
      </c>
      <c r="BU419">
        <f>((cc_D/2*(1-COS(($BH419+11*($BI419-$BH419)/12)))-$BF419)/$BG419)^2*SIN(($BH419+11*($BI419-$BH419)/12))^2</f>
        <v/>
      </c>
      <c r="BV419">
        <f>((cc_D/2*(1-COS(($BH419+12*($BI419-$BH419)/12)))-$BF419)/$BG419)^2*SIN(($BH419+12*($BI419-$BH419)/12))^2</f>
        <v/>
      </c>
      <c r="BW419">
        <f>BJ419*COS(($BH419+0*($BI419-$BH419)/12))</f>
        <v/>
      </c>
      <c r="BX419">
        <f>BK419*COS(($BH419+1*($BI419-$BH419)/12))</f>
        <v/>
      </c>
      <c r="BY419">
        <f>BL419*COS(($BH419+2*($BI419-$BH419)/12))</f>
        <v/>
      </c>
      <c r="BZ419">
        <f>BM419*COS(($BH419+3*($BI419-$BH419)/12))</f>
        <v/>
      </c>
      <c r="CA419">
        <f>BN419*COS(($BH419+4*($BI419-$BH419)/12))</f>
        <v/>
      </c>
      <c r="CB419">
        <f>BO419*COS(($BH419+5*($BI419-$BH419)/12))</f>
        <v/>
      </c>
      <c r="CC419">
        <f>BP419*COS(($BH419+6*($BI419-$BH419)/12))</f>
        <v/>
      </c>
      <c r="CD419">
        <f>BQ419*COS(($BH419+7*($BI419-$BH419)/12))</f>
        <v/>
      </c>
      <c r="CE419">
        <f>BR419*COS(($BH419+8*($BI419-$BH419)/12))</f>
        <v/>
      </c>
      <c r="CF419">
        <f>BS419*COS(($BH419+9*($BI419-$BH419)/12))</f>
        <v/>
      </c>
      <c r="CG419">
        <f>BT419*COS(($BH419+10*($BI419-$BH419)/12))</f>
        <v/>
      </c>
      <c r="CH419">
        <f>BU419*COS(($BH419+11*($BI419-$BH419)/12))</f>
        <v/>
      </c>
      <c r="CI419">
        <f>BV419*COS(($BH419+12*($BI419-$BH419)/12))</f>
        <v/>
      </c>
    </row>
    <row r="420">
      <c r="B420" s="65" t="n">
        <v>16</v>
      </c>
      <c r="C420" s="66">
        <f>IF($G419&lt;cc_NEd-1E-9*ABS(cc_NEd),($C419+$D419)/2,$C419)</f>
        <v/>
      </c>
      <c r="D420" s="66">
        <f>IF($G419&lt;cc_NEd-1E-9*ABS(cc_NEd),$D419,($C419+$D419)/2)</f>
        <v/>
      </c>
      <c r="E420" s="67">
        <f>cc_D*(($C420+$D420)/2)/(1-(($C420+$D420)/2))</f>
        <v/>
      </c>
      <c r="F420" s="68">
        <f>IF($E420&lt;=cc_D,3.5,2*$E420/($E420-3*cc_D/7))</f>
        <v/>
      </c>
      <c r="G420" s="67">
        <f>(fcd_cc*((cc_D/2)^2*($BI420-COS($BI420)*SIN($BI420))-2*(cc_D/2)^2*($BI420-$BH420)/12/3*SUMPRODUCT($BJ$4:$BV$4,$BJ420:$BV420))+SUMPRODUCT($J$5:$AG$5,$J420:$AG420))/1000</f>
        <v/>
      </c>
      <c r="H420" s="67">
        <f>(fcd_cc*(2/3*(cc_D/2)^3*SIN($BI420)^3-2*(cc_D/2)^3*($BI420-$BH420)/12/3*SUMPRODUCT($BW$4:$CI$4,$BW420:$CI420))+SUMPRODUCT($J$5:$AG$5,$J420:$AG420,$J$22:$AG$22))/1E6</f>
        <v/>
      </c>
      <c r="I420" s="67">
        <f>SUMPRODUCT($J$5:$AG$5,$J420:$AG420,$J$23:$AG$23)/1E6</f>
        <v/>
      </c>
      <c r="J420">
        <f>MAX(-fyd_cc,MIN(fyd_cc,Es_cc*IF($E420&lt;=cc_D,0.0035*($E420-J$21)/$E420,0.002*($E420-J$21)/($E420-3*cc_D/7))))-fcd_cc*(1-(1-MAX(0,MIN(1,IF($E420&lt;=cc_D,0.0035*($E420-J$21)/$E420,0.002*($E420-J$21)/($E420-3*cc_D/7))/0.002)))^2)</f>
        <v/>
      </c>
      <c r="K420">
        <f>MAX(-fyd_cc,MIN(fyd_cc,Es_cc*IF($E420&lt;=cc_D,0.0035*($E420-K$21)/$E420,0.002*($E420-K$21)/($E420-3*cc_D/7))))-fcd_cc*(1-(1-MAX(0,MIN(1,IF($E420&lt;=cc_D,0.0035*($E420-K$21)/$E420,0.002*($E420-K$21)/($E420-3*cc_D/7))/0.002)))^2)</f>
        <v/>
      </c>
      <c r="L420">
        <f>MAX(-fyd_cc,MIN(fyd_cc,Es_cc*IF($E420&lt;=cc_D,0.0035*($E420-L$21)/$E420,0.002*($E420-L$21)/($E420-3*cc_D/7))))-fcd_cc*(1-(1-MAX(0,MIN(1,IF($E420&lt;=cc_D,0.0035*($E420-L$21)/$E420,0.002*($E420-L$21)/($E420-3*cc_D/7))/0.002)))^2)</f>
        <v/>
      </c>
      <c r="M420">
        <f>MAX(-fyd_cc,MIN(fyd_cc,Es_cc*IF($E420&lt;=cc_D,0.0035*($E420-M$21)/$E420,0.002*($E420-M$21)/($E420-3*cc_D/7))))-fcd_cc*(1-(1-MAX(0,MIN(1,IF($E420&lt;=cc_D,0.0035*($E420-M$21)/$E420,0.002*($E420-M$21)/($E420-3*cc_D/7))/0.002)))^2)</f>
        <v/>
      </c>
      <c r="N420">
        <f>MAX(-fyd_cc,MIN(fyd_cc,Es_cc*IF($E420&lt;=cc_D,0.0035*($E420-N$21)/$E420,0.002*($E420-N$21)/($E420-3*cc_D/7))))-fcd_cc*(1-(1-MAX(0,MIN(1,IF($E420&lt;=cc_D,0.0035*($E420-N$21)/$E420,0.002*($E420-N$21)/($E420-3*cc_D/7))/0.002)))^2)</f>
        <v/>
      </c>
      <c r="O420">
        <f>MAX(-fyd_cc,MIN(fyd_cc,Es_cc*IF($E420&lt;=cc_D,0.0035*($E420-O$21)/$E420,0.002*($E420-O$21)/($E420-3*cc_D/7))))-fcd_cc*(1-(1-MAX(0,MIN(1,IF($E420&lt;=cc_D,0.0035*($E420-O$21)/$E420,0.002*($E420-O$21)/($E420-3*cc_D/7))/0.002)))^2)</f>
        <v/>
      </c>
      <c r="P420">
        <f>MAX(-fyd_cc,MIN(fyd_cc,Es_cc*IF($E420&lt;=cc_D,0.0035*($E420-P$21)/$E420,0.002*($E420-P$21)/($E420-3*cc_D/7))))-fcd_cc*(1-(1-MAX(0,MIN(1,IF($E420&lt;=cc_D,0.0035*($E420-P$21)/$E420,0.002*($E420-P$21)/($E420-3*cc_D/7))/0.002)))^2)</f>
        <v/>
      </c>
      <c r="Q420">
        <f>MAX(-fyd_cc,MIN(fyd_cc,Es_cc*IF($E420&lt;=cc_D,0.0035*($E420-Q$21)/$E420,0.002*($E420-Q$21)/($E420-3*cc_D/7))))-fcd_cc*(1-(1-MAX(0,MIN(1,IF($E420&lt;=cc_D,0.0035*($E420-Q$21)/$E420,0.002*($E420-Q$21)/($E420-3*cc_D/7))/0.002)))^2)</f>
        <v/>
      </c>
      <c r="R420">
        <f>MAX(-fyd_cc,MIN(fyd_cc,Es_cc*IF($E420&lt;=cc_D,0.0035*($E420-R$21)/$E420,0.002*($E420-R$21)/($E420-3*cc_D/7))))-fcd_cc*(1-(1-MAX(0,MIN(1,IF($E420&lt;=cc_D,0.0035*($E420-R$21)/$E420,0.002*($E420-R$21)/($E420-3*cc_D/7))/0.002)))^2)</f>
        <v/>
      </c>
      <c r="S420">
        <f>MAX(-fyd_cc,MIN(fyd_cc,Es_cc*IF($E420&lt;=cc_D,0.0035*($E420-S$21)/$E420,0.002*($E420-S$21)/($E420-3*cc_D/7))))-fcd_cc*(1-(1-MAX(0,MIN(1,IF($E420&lt;=cc_D,0.0035*($E420-S$21)/$E420,0.002*($E420-S$21)/($E420-3*cc_D/7))/0.002)))^2)</f>
        <v/>
      </c>
      <c r="T420">
        <f>MAX(-fyd_cc,MIN(fyd_cc,Es_cc*IF($E420&lt;=cc_D,0.0035*($E420-T$21)/$E420,0.002*($E420-T$21)/($E420-3*cc_D/7))))-fcd_cc*(1-(1-MAX(0,MIN(1,IF($E420&lt;=cc_D,0.0035*($E420-T$21)/$E420,0.002*($E420-T$21)/($E420-3*cc_D/7))/0.002)))^2)</f>
        <v/>
      </c>
      <c r="U420">
        <f>MAX(-fyd_cc,MIN(fyd_cc,Es_cc*IF($E420&lt;=cc_D,0.0035*($E420-U$21)/$E420,0.002*($E420-U$21)/($E420-3*cc_D/7))))-fcd_cc*(1-(1-MAX(0,MIN(1,IF($E420&lt;=cc_D,0.0035*($E420-U$21)/$E420,0.002*($E420-U$21)/($E420-3*cc_D/7))/0.002)))^2)</f>
        <v/>
      </c>
      <c r="V420">
        <f>MAX(-fyd_cc,MIN(fyd_cc,Es_cc*IF($E420&lt;=cc_D,0.0035*($E420-V$21)/$E420,0.002*($E420-V$21)/($E420-3*cc_D/7))))-fcd_cc*(1-(1-MAX(0,MIN(1,IF($E420&lt;=cc_D,0.0035*($E420-V$21)/$E420,0.002*($E420-V$21)/($E420-3*cc_D/7))/0.002)))^2)</f>
        <v/>
      </c>
      <c r="W420">
        <f>MAX(-fyd_cc,MIN(fyd_cc,Es_cc*IF($E420&lt;=cc_D,0.0035*($E420-W$21)/$E420,0.002*($E420-W$21)/($E420-3*cc_D/7))))-fcd_cc*(1-(1-MAX(0,MIN(1,IF($E420&lt;=cc_D,0.0035*($E420-W$21)/$E420,0.002*($E420-W$21)/($E420-3*cc_D/7))/0.002)))^2)</f>
        <v/>
      </c>
      <c r="X420">
        <f>MAX(-fyd_cc,MIN(fyd_cc,Es_cc*IF($E420&lt;=cc_D,0.0035*($E420-X$21)/$E420,0.002*($E420-X$21)/($E420-3*cc_D/7))))-fcd_cc*(1-(1-MAX(0,MIN(1,IF($E420&lt;=cc_D,0.0035*($E420-X$21)/$E420,0.002*($E420-X$21)/($E420-3*cc_D/7))/0.002)))^2)</f>
        <v/>
      </c>
      <c r="Y420">
        <f>MAX(-fyd_cc,MIN(fyd_cc,Es_cc*IF($E420&lt;=cc_D,0.0035*($E420-Y$21)/$E420,0.002*($E420-Y$21)/($E420-3*cc_D/7))))-fcd_cc*(1-(1-MAX(0,MIN(1,IF($E420&lt;=cc_D,0.0035*($E420-Y$21)/$E420,0.002*($E420-Y$21)/($E420-3*cc_D/7))/0.002)))^2)</f>
        <v/>
      </c>
      <c r="Z420">
        <f>MAX(-fyd_cc,MIN(fyd_cc,Es_cc*IF($E420&lt;=cc_D,0.0035*($E420-Z$21)/$E420,0.002*($E420-Z$21)/($E420-3*cc_D/7))))-fcd_cc*(1-(1-MAX(0,MIN(1,IF($E420&lt;=cc_D,0.0035*($E420-Z$21)/$E420,0.002*($E420-Z$21)/($E420-3*cc_D/7))/0.002)))^2)</f>
        <v/>
      </c>
      <c r="AA420">
        <f>MAX(-fyd_cc,MIN(fyd_cc,Es_cc*IF($E420&lt;=cc_D,0.0035*($E420-AA$21)/$E420,0.002*($E420-AA$21)/($E420-3*cc_D/7))))-fcd_cc*(1-(1-MAX(0,MIN(1,IF($E420&lt;=cc_D,0.0035*($E420-AA$21)/$E420,0.002*($E420-AA$21)/($E420-3*cc_D/7))/0.002)))^2)</f>
        <v/>
      </c>
      <c r="AB420">
        <f>MAX(-fyd_cc,MIN(fyd_cc,Es_cc*IF($E420&lt;=cc_D,0.0035*($E420-AB$21)/$E420,0.002*($E420-AB$21)/($E420-3*cc_D/7))))-fcd_cc*(1-(1-MAX(0,MIN(1,IF($E420&lt;=cc_D,0.0035*($E420-AB$21)/$E420,0.002*($E420-AB$21)/($E420-3*cc_D/7))/0.002)))^2)</f>
        <v/>
      </c>
      <c r="AC420">
        <f>MAX(-fyd_cc,MIN(fyd_cc,Es_cc*IF($E420&lt;=cc_D,0.0035*($E420-AC$21)/$E420,0.002*($E420-AC$21)/($E420-3*cc_D/7))))-fcd_cc*(1-(1-MAX(0,MIN(1,IF($E420&lt;=cc_D,0.0035*($E420-AC$21)/$E420,0.002*($E420-AC$21)/($E420-3*cc_D/7))/0.002)))^2)</f>
        <v/>
      </c>
      <c r="AD420">
        <f>MAX(-fyd_cc,MIN(fyd_cc,Es_cc*IF($E420&lt;=cc_D,0.0035*($E420-AD$21)/$E420,0.002*($E420-AD$21)/($E420-3*cc_D/7))))-fcd_cc*(1-(1-MAX(0,MIN(1,IF($E420&lt;=cc_D,0.0035*($E420-AD$21)/$E420,0.002*($E420-AD$21)/($E420-3*cc_D/7))/0.002)))^2)</f>
        <v/>
      </c>
      <c r="AE420">
        <f>MAX(-fyd_cc,MIN(fyd_cc,Es_cc*IF($E420&lt;=cc_D,0.0035*($E420-AE$21)/$E420,0.002*($E420-AE$21)/($E420-3*cc_D/7))))-fcd_cc*(1-(1-MAX(0,MIN(1,IF($E420&lt;=cc_D,0.0035*($E420-AE$21)/$E420,0.002*($E420-AE$21)/($E420-3*cc_D/7))/0.002)))^2)</f>
        <v/>
      </c>
      <c r="AF420">
        <f>MAX(-fyd_cc,MIN(fyd_cc,Es_cc*IF($E420&lt;=cc_D,0.0035*($E420-AF$21)/$E420,0.002*($E420-AF$21)/($E420-3*cc_D/7))))-fcd_cc*(1-(1-MAX(0,MIN(1,IF($E420&lt;=cc_D,0.0035*($E420-AF$21)/$E420,0.002*($E420-AF$21)/($E420-3*cc_D/7))/0.002)))^2)</f>
        <v/>
      </c>
      <c r="AG420">
        <f>MAX(-fyd_cc,MIN(fyd_cc,Es_cc*IF($E420&lt;=cc_D,0.0035*($E420-AG$21)/$E420,0.002*($E420-AG$21)/($E420-3*cc_D/7))))-fcd_cc*(1-(1-MAX(0,MIN(1,IF($E420&lt;=cc_D,0.0035*($E420-AG$21)/$E420,0.002*($E420-AG$21)/($E420-3*cc_D/7))/0.002)))^2)</f>
        <v/>
      </c>
      <c r="BF420">
        <f>3*MIN($E420,cc_D)/7</f>
        <v/>
      </c>
      <c r="BG420">
        <f>$E420-$BF420</f>
        <v/>
      </c>
      <c r="BH420">
        <f>ACOS(MAX(-1,MIN(1,1-$BF420/(cc_D/2))))</f>
        <v/>
      </c>
      <c r="BI420">
        <f>ACOS(MAX(-1,MIN(1,1-MIN($E420,cc_D)/(cc_D/2))))</f>
        <v/>
      </c>
      <c r="BJ420">
        <f>((cc_D/2*(1-COS(($BH420+0*($BI420-$BH420)/12)))-$BF420)/$BG420)^2*SIN(($BH420+0*($BI420-$BH420)/12))^2</f>
        <v/>
      </c>
      <c r="BK420">
        <f>((cc_D/2*(1-COS(($BH420+1*($BI420-$BH420)/12)))-$BF420)/$BG420)^2*SIN(($BH420+1*($BI420-$BH420)/12))^2</f>
        <v/>
      </c>
      <c r="BL420">
        <f>((cc_D/2*(1-COS(($BH420+2*($BI420-$BH420)/12)))-$BF420)/$BG420)^2*SIN(($BH420+2*($BI420-$BH420)/12))^2</f>
        <v/>
      </c>
      <c r="BM420">
        <f>((cc_D/2*(1-COS(($BH420+3*($BI420-$BH420)/12)))-$BF420)/$BG420)^2*SIN(($BH420+3*($BI420-$BH420)/12))^2</f>
        <v/>
      </c>
      <c r="BN420">
        <f>((cc_D/2*(1-COS(($BH420+4*($BI420-$BH420)/12)))-$BF420)/$BG420)^2*SIN(($BH420+4*($BI420-$BH420)/12))^2</f>
        <v/>
      </c>
      <c r="BO420">
        <f>((cc_D/2*(1-COS(($BH420+5*($BI420-$BH420)/12)))-$BF420)/$BG420)^2*SIN(($BH420+5*($BI420-$BH420)/12))^2</f>
        <v/>
      </c>
      <c r="BP420">
        <f>((cc_D/2*(1-COS(($BH420+6*($BI420-$BH420)/12)))-$BF420)/$BG420)^2*SIN(($BH420+6*($BI420-$BH420)/12))^2</f>
        <v/>
      </c>
      <c r="BQ420">
        <f>((cc_D/2*(1-COS(($BH420+7*($BI420-$BH420)/12)))-$BF420)/$BG420)^2*SIN(($BH420+7*($BI420-$BH420)/12))^2</f>
        <v/>
      </c>
      <c r="BR420">
        <f>((cc_D/2*(1-COS(($BH420+8*($BI420-$BH420)/12)))-$BF420)/$BG420)^2*SIN(($BH420+8*($BI420-$BH420)/12))^2</f>
        <v/>
      </c>
      <c r="BS420">
        <f>((cc_D/2*(1-COS(($BH420+9*($BI420-$BH420)/12)))-$BF420)/$BG420)^2*SIN(($BH420+9*($BI420-$BH420)/12))^2</f>
        <v/>
      </c>
      <c r="BT420">
        <f>((cc_D/2*(1-COS(($BH420+10*($BI420-$BH420)/12)))-$BF420)/$BG420)^2*SIN(($BH420+10*($BI420-$BH420)/12))^2</f>
        <v/>
      </c>
      <c r="BU420">
        <f>((cc_D/2*(1-COS(($BH420+11*($BI420-$BH420)/12)))-$BF420)/$BG420)^2*SIN(($BH420+11*($BI420-$BH420)/12))^2</f>
        <v/>
      </c>
      <c r="BV420">
        <f>((cc_D/2*(1-COS(($BH420+12*($BI420-$BH420)/12)))-$BF420)/$BG420)^2*SIN(($BH420+12*($BI420-$BH420)/12))^2</f>
        <v/>
      </c>
      <c r="BW420">
        <f>BJ420*COS(($BH420+0*($BI420-$BH420)/12))</f>
        <v/>
      </c>
      <c r="BX420">
        <f>BK420*COS(($BH420+1*($BI420-$BH420)/12))</f>
        <v/>
      </c>
      <c r="BY420">
        <f>BL420*COS(($BH420+2*($BI420-$BH420)/12))</f>
        <v/>
      </c>
      <c r="BZ420">
        <f>BM420*COS(($BH420+3*($BI420-$BH420)/12))</f>
        <v/>
      </c>
      <c r="CA420">
        <f>BN420*COS(($BH420+4*($BI420-$BH420)/12))</f>
        <v/>
      </c>
      <c r="CB420">
        <f>BO420*COS(($BH420+5*($BI420-$BH420)/12))</f>
        <v/>
      </c>
      <c r="CC420">
        <f>BP420*COS(($BH420+6*($BI420-$BH420)/12))</f>
        <v/>
      </c>
      <c r="CD420">
        <f>BQ420*COS(($BH420+7*($BI420-$BH420)/12))</f>
        <v/>
      </c>
      <c r="CE420">
        <f>BR420*COS(($BH420+8*($BI420-$BH420)/12))</f>
        <v/>
      </c>
      <c r="CF420">
        <f>BS420*COS(($BH420+9*($BI420-$BH420)/12))</f>
        <v/>
      </c>
      <c r="CG420">
        <f>BT420*COS(($BH420+10*($BI420-$BH420)/12))</f>
        <v/>
      </c>
      <c r="CH420">
        <f>BU420*COS(($BH420+11*($BI420-$BH420)/12))</f>
        <v/>
      </c>
      <c r="CI420">
        <f>BV420*COS(($BH420+12*($BI420-$BH420)/12))</f>
        <v/>
      </c>
    </row>
    <row r="421">
      <c r="B421" s="65" t="n">
        <v>17</v>
      </c>
      <c r="C421" s="66">
        <f>IF($G420&lt;cc_NEd-1E-9*ABS(cc_NEd),($C420+$D420)/2,$C420)</f>
        <v/>
      </c>
      <c r="D421" s="66">
        <f>IF($G420&lt;cc_NEd-1E-9*ABS(cc_NEd),$D420,($C420+$D420)/2)</f>
        <v/>
      </c>
      <c r="E421" s="67">
        <f>cc_D*(($C421+$D421)/2)/(1-(($C421+$D421)/2))</f>
        <v/>
      </c>
      <c r="F421" s="68">
        <f>IF($E421&lt;=cc_D,3.5,2*$E421/($E421-3*cc_D/7))</f>
        <v/>
      </c>
      <c r="G421" s="67">
        <f>(fcd_cc*((cc_D/2)^2*($BI421-COS($BI421)*SIN($BI421))-2*(cc_D/2)^2*($BI421-$BH421)/12/3*SUMPRODUCT($BJ$4:$BV$4,$BJ421:$BV421))+SUMPRODUCT($J$5:$AG$5,$J421:$AG421))/1000</f>
        <v/>
      </c>
      <c r="H421" s="67">
        <f>(fcd_cc*(2/3*(cc_D/2)^3*SIN($BI421)^3-2*(cc_D/2)^3*($BI421-$BH421)/12/3*SUMPRODUCT($BW$4:$CI$4,$BW421:$CI421))+SUMPRODUCT($J$5:$AG$5,$J421:$AG421,$J$22:$AG$22))/1E6</f>
        <v/>
      </c>
      <c r="I421" s="67">
        <f>SUMPRODUCT($J$5:$AG$5,$J421:$AG421,$J$23:$AG$23)/1E6</f>
        <v/>
      </c>
      <c r="J421">
        <f>MAX(-fyd_cc,MIN(fyd_cc,Es_cc*IF($E421&lt;=cc_D,0.0035*($E421-J$21)/$E421,0.002*($E421-J$21)/($E421-3*cc_D/7))))-fcd_cc*(1-(1-MAX(0,MIN(1,IF($E421&lt;=cc_D,0.0035*($E421-J$21)/$E421,0.002*($E421-J$21)/($E421-3*cc_D/7))/0.002)))^2)</f>
        <v/>
      </c>
      <c r="K421">
        <f>MAX(-fyd_cc,MIN(fyd_cc,Es_cc*IF($E421&lt;=cc_D,0.0035*($E421-K$21)/$E421,0.002*($E421-K$21)/($E421-3*cc_D/7))))-fcd_cc*(1-(1-MAX(0,MIN(1,IF($E421&lt;=cc_D,0.0035*($E421-K$21)/$E421,0.002*($E421-K$21)/($E421-3*cc_D/7))/0.002)))^2)</f>
        <v/>
      </c>
      <c r="L421">
        <f>MAX(-fyd_cc,MIN(fyd_cc,Es_cc*IF($E421&lt;=cc_D,0.0035*($E421-L$21)/$E421,0.002*($E421-L$21)/($E421-3*cc_D/7))))-fcd_cc*(1-(1-MAX(0,MIN(1,IF($E421&lt;=cc_D,0.0035*($E421-L$21)/$E421,0.002*($E421-L$21)/($E421-3*cc_D/7))/0.002)))^2)</f>
        <v/>
      </c>
      <c r="M421">
        <f>MAX(-fyd_cc,MIN(fyd_cc,Es_cc*IF($E421&lt;=cc_D,0.0035*($E421-M$21)/$E421,0.002*($E421-M$21)/($E421-3*cc_D/7))))-fcd_cc*(1-(1-MAX(0,MIN(1,IF($E421&lt;=cc_D,0.0035*($E421-M$21)/$E421,0.002*($E421-M$21)/($E421-3*cc_D/7))/0.002)))^2)</f>
        <v/>
      </c>
      <c r="N421">
        <f>MAX(-fyd_cc,MIN(fyd_cc,Es_cc*IF($E421&lt;=cc_D,0.0035*($E421-N$21)/$E421,0.002*($E421-N$21)/($E421-3*cc_D/7))))-fcd_cc*(1-(1-MAX(0,MIN(1,IF($E421&lt;=cc_D,0.0035*($E421-N$21)/$E421,0.002*($E421-N$21)/($E421-3*cc_D/7))/0.002)))^2)</f>
        <v/>
      </c>
      <c r="O421">
        <f>MAX(-fyd_cc,MIN(fyd_cc,Es_cc*IF($E421&lt;=cc_D,0.0035*($E421-O$21)/$E421,0.002*($E421-O$21)/($E421-3*cc_D/7))))-fcd_cc*(1-(1-MAX(0,MIN(1,IF($E421&lt;=cc_D,0.0035*($E421-O$21)/$E421,0.002*($E421-O$21)/($E421-3*cc_D/7))/0.002)))^2)</f>
        <v/>
      </c>
      <c r="P421">
        <f>MAX(-fyd_cc,MIN(fyd_cc,Es_cc*IF($E421&lt;=cc_D,0.0035*($E421-P$21)/$E421,0.002*($E421-P$21)/($E421-3*cc_D/7))))-fcd_cc*(1-(1-MAX(0,MIN(1,IF($E421&lt;=cc_D,0.0035*($E421-P$21)/$E421,0.002*($E421-P$21)/($E421-3*cc_D/7))/0.002)))^2)</f>
        <v/>
      </c>
      <c r="Q421">
        <f>MAX(-fyd_cc,MIN(fyd_cc,Es_cc*IF($E421&lt;=cc_D,0.0035*($E421-Q$21)/$E421,0.002*($E421-Q$21)/($E421-3*cc_D/7))))-fcd_cc*(1-(1-MAX(0,MIN(1,IF($E421&lt;=cc_D,0.0035*($E421-Q$21)/$E421,0.002*($E421-Q$21)/($E421-3*cc_D/7))/0.002)))^2)</f>
        <v/>
      </c>
      <c r="R421">
        <f>MAX(-fyd_cc,MIN(fyd_cc,Es_cc*IF($E421&lt;=cc_D,0.0035*($E421-R$21)/$E421,0.002*($E421-R$21)/($E421-3*cc_D/7))))-fcd_cc*(1-(1-MAX(0,MIN(1,IF($E421&lt;=cc_D,0.0035*($E421-R$21)/$E421,0.002*($E421-R$21)/($E421-3*cc_D/7))/0.002)))^2)</f>
        <v/>
      </c>
      <c r="S421">
        <f>MAX(-fyd_cc,MIN(fyd_cc,Es_cc*IF($E421&lt;=cc_D,0.0035*($E421-S$21)/$E421,0.002*($E421-S$21)/($E421-3*cc_D/7))))-fcd_cc*(1-(1-MAX(0,MIN(1,IF($E421&lt;=cc_D,0.0035*($E421-S$21)/$E421,0.002*($E421-S$21)/($E421-3*cc_D/7))/0.002)))^2)</f>
        <v/>
      </c>
      <c r="T421">
        <f>MAX(-fyd_cc,MIN(fyd_cc,Es_cc*IF($E421&lt;=cc_D,0.0035*($E421-T$21)/$E421,0.002*($E421-T$21)/($E421-3*cc_D/7))))-fcd_cc*(1-(1-MAX(0,MIN(1,IF($E421&lt;=cc_D,0.0035*($E421-T$21)/$E421,0.002*($E421-T$21)/($E421-3*cc_D/7))/0.002)))^2)</f>
        <v/>
      </c>
      <c r="U421">
        <f>MAX(-fyd_cc,MIN(fyd_cc,Es_cc*IF($E421&lt;=cc_D,0.0035*($E421-U$21)/$E421,0.002*($E421-U$21)/($E421-3*cc_D/7))))-fcd_cc*(1-(1-MAX(0,MIN(1,IF($E421&lt;=cc_D,0.0035*($E421-U$21)/$E421,0.002*($E421-U$21)/($E421-3*cc_D/7))/0.002)))^2)</f>
        <v/>
      </c>
      <c r="V421">
        <f>MAX(-fyd_cc,MIN(fyd_cc,Es_cc*IF($E421&lt;=cc_D,0.0035*($E421-V$21)/$E421,0.002*($E421-V$21)/($E421-3*cc_D/7))))-fcd_cc*(1-(1-MAX(0,MIN(1,IF($E421&lt;=cc_D,0.0035*($E421-V$21)/$E421,0.002*($E421-V$21)/($E421-3*cc_D/7))/0.002)))^2)</f>
        <v/>
      </c>
      <c r="W421">
        <f>MAX(-fyd_cc,MIN(fyd_cc,Es_cc*IF($E421&lt;=cc_D,0.0035*($E421-W$21)/$E421,0.002*($E421-W$21)/($E421-3*cc_D/7))))-fcd_cc*(1-(1-MAX(0,MIN(1,IF($E421&lt;=cc_D,0.0035*($E421-W$21)/$E421,0.002*($E421-W$21)/($E421-3*cc_D/7))/0.002)))^2)</f>
        <v/>
      </c>
      <c r="X421">
        <f>MAX(-fyd_cc,MIN(fyd_cc,Es_cc*IF($E421&lt;=cc_D,0.0035*($E421-X$21)/$E421,0.002*($E421-X$21)/($E421-3*cc_D/7))))-fcd_cc*(1-(1-MAX(0,MIN(1,IF($E421&lt;=cc_D,0.0035*($E421-X$21)/$E421,0.002*($E421-X$21)/($E421-3*cc_D/7))/0.002)))^2)</f>
        <v/>
      </c>
      <c r="Y421">
        <f>MAX(-fyd_cc,MIN(fyd_cc,Es_cc*IF($E421&lt;=cc_D,0.0035*($E421-Y$21)/$E421,0.002*($E421-Y$21)/($E421-3*cc_D/7))))-fcd_cc*(1-(1-MAX(0,MIN(1,IF($E421&lt;=cc_D,0.0035*($E421-Y$21)/$E421,0.002*($E421-Y$21)/($E421-3*cc_D/7))/0.002)))^2)</f>
        <v/>
      </c>
      <c r="Z421">
        <f>MAX(-fyd_cc,MIN(fyd_cc,Es_cc*IF($E421&lt;=cc_D,0.0035*($E421-Z$21)/$E421,0.002*($E421-Z$21)/($E421-3*cc_D/7))))-fcd_cc*(1-(1-MAX(0,MIN(1,IF($E421&lt;=cc_D,0.0035*($E421-Z$21)/$E421,0.002*($E421-Z$21)/($E421-3*cc_D/7))/0.002)))^2)</f>
        <v/>
      </c>
      <c r="AA421">
        <f>MAX(-fyd_cc,MIN(fyd_cc,Es_cc*IF($E421&lt;=cc_D,0.0035*($E421-AA$21)/$E421,0.002*($E421-AA$21)/($E421-3*cc_D/7))))-fcd_cc*(1-(1-MAX(0,MIN(1,IF($E421&lt;=cc_D,0.0035*($E421-AA$21)/$E421,0.002*($E421-AA$21)/($E421-3*cc_D/7))/0.002)))^2)</f>
        <v/>
      </c>
      <c r="AB421">
        <f>MAX(-fyd_cc,MIN(fyd_cc,Es_cc*IF($E421&lt;=cc_D,0.0035*($E421-AB$21)/$E421,0.002*($E421-AB$21)/($E421-3*cc_D/7))))-fcd_cc*(1-(1-MAX(0,MIN(1,IF($E421&lt;=cc_D,0.0035*($E421-AB$21)/$E421,0.002*($E421-AB$21)/($E421-3*cc_D/7))/0.002)))^2)</f>
        <v/>
      </c>
      <c r="AC421">
        <f>MAX(-fyd_cc,MIN(fyd_cc,Es_cc*IF($E421&lt;=cc_D,0.0035*($E421-AC$21)/$E421,0.002*($E421-AC$21)/($E421-3*cc_D/7))))-fcd_cc*(1-(1-MAX(0,MIN(1,IF($E421&lt;=cc_D,0.0035*($E421-AC$21)/$E421,0.002*($E421-AC$21)/($E421-3*cc_D/7))/0.002)))^2)</f>
        <v/>
      </c>
      <c r="AD421">
        <f>MAX(-fyd_cc,MIN(fyd_cc,Es_cc*IF($E421&lt;=cc_D,0.0035*($E421-AD$21)/$E421,0.002*($E421-AD$21)/($E421-3*cc_D/7))))-fcd_cc*(1-(1-MAX(0,MIN(1,IF($E421&lt;=cc_D,0.0035*($E421-AD$21)/$E421,0.002*($E421-AD$21)/($E421-3*cc_D/7))/0.002)))^2)</f>
        <v/>
      </c>
      <c r="AE421">
        <f>MAX(-fyd_cc,MIN(fyd_cc,Es_cc*IF($E421&lt;=cc_D,0.0035*($E421-AE$21)/$E421,0.002*($E421-AE$21)/($E421-3*cc_D/7))))-fcd_cc*(1-(1-MAX(0,MIN(1,IF($E421&lt;=cc_D,0.0035*($E421-AE$21)/$E421,0.002*($E421-AE$21)/($E421-3*cc_D/7))/0.002)))^2)</f>
        <v/>
      </c>
      <c r="AF421">
        <f>MAX(-fyd_cc,MIN(fyd_cc,Es_cc*IF($E421&lt;=cc_D,0.0035*($E421-AF$21)/$E421,0.002*($E421-AF$21)/($E421-3*cc_D/7))))-fcd_cc*(1-(1-MAX(0,MIN(1,IF($E421&lt;=cc_D,0.0035*($E421-AF$21)/$E421,0.002*($E421-AF$21)/($E421-3*cc_D/7))/0.002)))^2)</f>
        <v/>
      </c>
      <c r="AG421">
        <f>MAX(-fyd_cc,MIN(fyd_cc,Es_cc*IF($E421&lt;=cc_D,0.0035*($E421-AG$21)/$E421,0.002*($E421-AG$21)/($E421-3*cc_D/7))))-fcd_cc*(1-(1-MAX(0,MIN(1,IF($E421&lt;=cc_D,0.0035*($E421-AG$21)/$E421,0.002*($E421-AG$21)/($E421-3*cc_D/7))/0.002)))^2)</f>
        <v/>
      </c>
      <c r="BF421">
        <f>3*MIN($E421,cc_D)/7</f>
        <v/>
      </c>
      <c r="BG421">
        <f>$E421-$BF421</f>
        <v/>
      </c>
      <c r="BH421">
        <f>ACOS(MAX(-1,MIN(1,1-$BF421/(cc_D/2))))</f>
        <v/>
      </c>
      <c r="BI421">
        <f>ACOS(MAX(-1,MIN(1,1-MIN($E421,cc_D)/(cc_D/2))))</f>
        <v/>
      </c>
      <c r="BJ421">
        <f>((cc_D/2*(1-COS(($BH421+0*($BI421-$BH421)/12)))-$BF421)/$BG421)^2*SIN(($BH421+0*($BI421-$BH421)/12))^2</f>
        <v/>
      </c>
      <c r="BK421">
        <f>((cc_D/2*(1-COS(($BH421+1*($BI421-$BH421)/12)))-$BF421)/$BG421)^2*SIN(($BH421+1*($BI421-$BH421)/12))^2</f>
        <v/>
      </c>
      <c r="BL421">
        <f>((cc_D/2*(1-COS(($BH421+2*($BI421-$BH421)/12)))-$BF421)/$BG421)^2*SIN(($BH421+2*($BI421-$BH421)/12))^2</f>
        <v/>
      </c>
      <c r="BM421">
        <f>((cc_D/2*(1-COS(($BH421+3*($BI421-$BH421)/12)))-$BF421)/$BG421)^2*SIN(($BH421+3*($BI421-$BH421)/12))^2</f>
        <v/>
      </c>
      <c r="BN421">
        <f>((cc_D/2*(1-COS(($BH421+4*($BI421-$BH421)/12)))-$BF421)/$BG421)^2*SIN(($BH421+4*($BI421-$BH421)/12))^2</f>
        <v/>
      </c>
      <c r="BO421">
        <f>((cc_D/2*(1-COS(($BH421+5*($BI421-$BH421)/12)))-$BF421)/$BG421)^2*SIN(($BH421+5*($BI421-$BH421)/12))^2</f>
        <v/>
      </c>
      <c r="BP421">
        <f>((cc_D/2*(1-COS(($BH421+6*($BI421-$BH421)/12)))-$BF421)/$BG421)^2*SIN(($BH421+6*($BI421-$BH421)/12))^2</f>
        <v/>
      </c>
      <c r="BQ421">
        <f>((cc_D/2*(1-COS(($BH421+7*($BI421-$BH421)/12)))-$BF421)/$BG421)^2*SIN(($BH421+7*($BI421-$BH421)/12))^2</f>
        <v/>
      </c>
      <c r="BR421">
        <f>((cc_D/2*(1-COS(($BH421+8*($BI421-$BH421)/12)))-$BF421)/$BG421)^2*SIN(($BH421+8*($BI421-$BH421)/12))^2</f>
        <v/>
      </c>
      <c r="BS421">
        <f>((cc_D/2*(1-COS(($BH421+9*($BI421-$BH421)/12)))-$BF421)/$BG421)^2*SIN(($BH421+9*($BI421-$BH421)/12))^2</f>
        <v/>
      </c>
      <c r="BT421">
        <f>((cc_D/2*(1-COS(($BH421+10*($BI421-$BH421)/12)))-$BF421)/$BG421)^2*SIN(($BH421+10*($BI421-$BH421)/12))^2</f>
        <v/>
      </c>
      <c r="BU421">
        <f>((cc_D/2*(1-COS(($BH421+11*($BI421-$BH421)/12)))-$BF421)/$BG421)^2*SIN(($BH421+11*($BI421-$BH421)/12))^2</f>
        <v/>
      </c>
      <c r="BV421">
        <f>((cc_D/2*(1-COS(($BH421+12*($BI421-$BH421)/12)))-$BF421)/$BG421)^2*SIN(($BH421+12*($BI421-$BH421)/12))^2</f>
        <v/>
      </c>
      <c r="BW421">
        <f>BJ421*COS(($BH421+0*($BI421-$BH421)/12))</f>
        <v/>
      </c>
      <c r="BX421">
        <f>BK421*COS(($BH421+1*($BI421-$BH421)/12))</f>
        <v/>
      </c>
      <c r="BY421">
        <f>BL421*COS(($BH421+2*($BI421-$BH421)/12))</f>
        <v/>
      </c>
      <c r="BZ421">
        <f>BM421*COS(($BH421+3*($BI421-$BH421)/12))</f>
        <v/>
      </c>
      <c r="CA421">
        <f>BN421*COS(($BH421+4*($BI421-$BH421)/12))</f>
        <v/>
      </c>
      <c r="CB421">
        <f>BO421*COS(($BH421+5*($BI421-$BH421)/12))</f>
        <v/>
      </c>
      <c r="CC421">
        <f>BP421*COS(($BH421+6*($BI421-$BH421)/12))</f>
        <v/>
      </c>
      <c r="CD421">
        <f>BQ421*COS(($BH421+7*($BI421-$BH421)/12))</f>
        <v/>
      </c>
      <c r="CE421">
        <f>BR421*COS(($BH421+8*($BI421-$BH421)/12))</f>
        <v/>
      </c>
      <c r="CF421">
        <f>BS421*COS(($BH421+9*($BI421-$BH421)/12))</f>
        <v/>
      </c>
      <c r="CG421">
        <f>BT421*COS(($BH421+10*($BI421-$BH421)/12))</f>
        <v/>
      </c>
      <c r="CH421">
        <f>BU421*COS(($BH421+11*($BI421-$BH421)/12))</f>
        <v/>
      </c>
      <c r="CI421">
        <f>BV421*COS(($BH421+12*($BI421-$BH421)/12))</f>
        <v/>
      </c>
    </row>
    <row r="422">
      <c r="B422" s="65" t="n">
        <v>18</v>
      </c>
      <c r="C422" s="66">
        <f>IF($G421&lt;cc_NEd-1E-9*ABS(cc_NEd),($C421+$D421)/2,$C421)</f>
        <v/>
      </c>
      <c r="D422" s="66">
        <f>IF($G421&lt;cc_NEd-1E-9*ABS(cc_NEd),$D421,($C421+$D421)/2)</f>
        <v/>
      </c>
      <c r="E422" s="67">
        <f>cc_D*(($C422+$D422)/2)/(1-(($C422+$D422)/2))</f>
        <v/>
      </c>
      <c r="F422" s="68">
        <f>IF($E422&lt;=cc_D,3.5,2*$E422/($E422-3*cc_D/7))</f>
        <v/>
      </c>
      <c r="G422" s="67">
        <f>(fcd_cc*((cc_D/2)^2*($BI422-COS($BI422)*SIN($BI422))-2*(cc_D/2)^2*($BI422-$BH422)/12/3*SUMPRODUCT($BJ$4:$BV$4,$BJ422:$BV422))+SUMPRODUCT($J$5:$AG$5,$J422:$AG422))/1000</f>
        <v/>
      </c>
      <c r="H422" s="67">
        <f>(fcd_cc*(2/3*(cc_D/2)^3*SIN($BI422)^3-2*(cc_D/2)^3*($BI422-$BH422)/12/3*SUMPRODUCT($BW$4:$CI$4,$BW422:$CI422))+SUMPRODUCT($J$5:$AG$5,$J422:$AG422,$J$22:$AG$22))/1E6</f>
        <v/>
      </c>
      <c r="I422" s="67">
        <f>SUMPRODUCT($J$5:$AG$5,$J422:$AG422,$J$23:$AG$23)/1E6</f>
        <v/>
      </c>
      <c r="J422">
        <f>MAX(-fyd_cc,MIN(fyd_cc,Es_cc*IF($E422&lt;=cc_D,0.0035*($E422-J$21)/$E422,0.002*($E422-J$21)/($E422-3*cc_D/7))))-fcd_cc*(1-(1-MAX(0,MIN(1,IF($E422&lt;=cc_D,0.0035*($E422-J$21)/$E422,0.002*($E422-J$21)/($E422-3*cc_D/7))/0.002)))^2)</f>
        <v/>
      </c>
      <c r="K422">
        <f>MAX(-fyd_cc,MIN(fyd_cc,Es_cc*IF($E422&lt;=cc_D,0.0035*($E422-K$21)/$E422,0.002*($E422-K$21)/($E422-3*cc_D/7))))-fcd_cc*(1-(1-MAX(0,MIN(1,IF($E422&lt;=cc_D,0.0035*($E422-K$21)/$E422,0.002*($E422-K$21)/($E422-3*cc_D/7))/0.002)))^2)</f>
        <v/>
      </c>
      <c r="L422">
        <f>MAX(-fyd_cc,MIN(fyd_cc,Es_cc*IF($E422&lt;=cc_D,0.0035*($E422-L$21)/$E422,0.002*($E422-L$21)/($E422-3*cc_D/7))))-fcd_cc*(1-(1-MAX(0,MIN(1,IF($E422&lt;=cc_D,0.0035*($E422-L$21)/$E422,0.002*($E422-L$21)/($E422-3*cc_D/7))/0.002)))^2)</f>
        <v/>
      </c>
      <c r="M422">
        <f>MAX(-fyd_cc,MIN(fyd_cc,Es_cc*IF($E422&lt;=cc_D,0.0035*($E422-M$21)/$E422,0.002*($E422-M$21)/($E422-3*cc_D/7))))-fcd_cc*(1-(1-MAX(0,MIN(1,IF($E422&lt;=cc_D,0.0035*($E422-M$21)/$E422,0.002*($E422-M$21)/($E422-3*cc_D/7))/0.002)))^2)</f>
        <v/>
      </c>
      <c r="N422">
        <f>MAX(-fyd_cc,MIN(fyd_cc,Es_cc*IF($E422&lt;=cc_D,0.0035*($E422-N$21)/$E422,0.002*($E422-N$21)/($E422-3*cc_D/7))))-fcd_cc*(1-(1-MAX(0,MIN(1,IF($E422&lt;=cc_D,0.0035*($E422-N$21)/$E422,0.002*($E422-N$21)/($E422-3*cc_D/7))/0.002)))^2)</f>
        <v/>
      </c>
      <c r="O422">
        <f>MAX(-fyd_cc,MIN(fyd_cc,Es_cc*IF($E422&lt;=cc_D,0.0035*($E422-O$21)/$E422,0.002*($E422-O$21)/($E422-3*cc_D/7))))-fcd_cc*(1-(1-MAX(0,MIN(1,IF($E422&lt;=cc_D,0.0035*($E422-O$21)/$E422,0.002*($E422-O$21)/($E422-3*cc_D/7))/0.002)))^2)</f>
        <v/>
      </c>
      <c r="P422">
        <f>MAX(-fyd_cc,MIN(fyd_cc,Es_cc*IF($E422&lt;=cc_D,0.0035*($E422-P$21)/$E422,0.002*($E422-P$21)/($E422-3*cc_D/7))))-fcd_cc*(1-(1-MAX(0,MIN(1,IF($E422&lt;=cc_D,0.0035*($E422-P$21)/$E422,0.002*($E422-P$21)/($E422-3*cc_D/7))/0.002)))^2)</f>
        <v/>
      </c>
      <c r="Q422">
        <f>MAX(-fyd_cc,MIN(fyd_cc,Es_cc*IF($E422&lt;=cc_D,0.0035*($E422-Q$21)/$E422,0.002*($E422-Q$21)/($E422-3*cc_D/7))))-fcd_cc*(1-(1-MAX(0,MIN(1,IF($E422&lt;=cc_D,0.0035*($E422-Q$21)/$E422,0.002*($E422-Q$21)/($E422-3*cc_D/7))/0.002)))^2)</f>
        <v/>
      </c>
      <c r="R422">
        <f>MAX(-fyd_cc,MIN(fyd_cc,Es_cc*IF($E422&lt;=cc_D,0.0035*($E422-R$21)/$E422,0.002*($E422-R$21)/($E422-3*cc_D/7))))-fcd_cc*(1-(1-MAX(0,MIN(1,IF($E422&lt;=cc_D,0.0035*($E422-R$21)/$E422,0.002*($E422-R$21)/($E422-3*cc_D/7))/0.002)))^2)</f>
        <v/>
      </c>
      <c r="S422">
        <f>MAX(-fyd_cc,MIN(fyd_cc,Es_cc*IF($E422&lt;=cc_D,0.0035*($E422-S$21)/$E422,0.002*($E422-S$21)/($E422-3*cc_D/7))))-fcd_cc*(1-(1-MAX(0,MIN(1,IF($E422&lt;=cc_D,0.0035*($E422-S$21)/$E422,0.002*($E422-S$21)/($E422-3*cc_D/7))/0.002)))^2)</f>
        <v/>
      </c>
      <c r="T422">
        <f>MAX(-fyd_cc,MIN(fyd_cc,Es_cc*IF($E422&lt;=cc_D,0.0035*($E422-T$21)/$E422,0.002*($E422-T$21)/($E422-3*cc_D/7))))-fcd_cc*(1-(1-MAX(0,MIN(1,IF($E422&lt;=cc_D,0.0035*($E422-T$21)/$E422,0.002*($E422-T$21)/($E422-3*cc_D/7))/0.002)))^2)</f>
        <v/>
      </c>
      <c r="U422">
        <f>MAX(-fyd_cc,MIN(fyd_cc,Es_cc*IF($E422&lt;=cc_D,0.0035*($E422-U$21)/$E422,0.002*($E422-U$21)/($E422-3*cc_D/7))))-fcd_cc*(1-(1-MAX(0,MIN(1,IF($E422&lt;=cc_D,0.0035*($E422-U$21)/$E422,0.002*($E422-U$21)/($E422-3*cc_D/7))/0.002)))^2)</f>
        <v/>
      </c>
      <c r="V422">
        <f>MAX(-fyd_cc,MIN(fyd_cc,Es_cc*IF($E422&lt;=cc_D,0.0035*($E422-V$21)/$E422,0.002*($E422-V$21)/($E422-3*cc_D/7))))-fcd_cc*(1-(1-MAX(0,MIN(1,IF($E422&lt;=cc_D,0.0035*($E422-V$21)/$E422,0.002*($E422-V$21)/($E422-3*cc_D/7))/0.002)))^2)</f>
        <v/>
      </c>
      <c r="W422">
        <f>MAX(-fyd_cc,MIN(fyd_cc,Es_cc*IF($E422&lt;=cc_D,0.0035*($E422-W$21)/$E422,0.002*($E422-W$21)/($E422-3*cc_D/7))))-fcd_cc*(1-(1-MAX(0,MIN(1,IF($E422&lt;=cc_D,0.0035*($E422-W$21)/$E422,0.002*($E422-W$21)/($E422-3*cc_D/7))/0.002)))^2)</f>
        <v/>
      </c>
      <c r="X422">
        <f>MAX(-fyd_cc,MIN(fyd_cc,Es_cc*IF($E422&lt;=cc_D,0.0035*($E422-X$21)/$E422,0.002*($E422-X$21)/($E422-3*cc_D/7))))-fcd_cc*(1-(1-MAX(0,MIN(1,IF($E422&lt;=cc_D,0.0035*($E422-X$21)/$E422,0.002*($E422-X$21)/($E422-3*cc_D/7))/0.002)))^2)</f>
        <v/>
      </c>
      <c r="Y422">
        <f>MAX(-fyd_cc,MIN(fyd_cc,Es_cc*IF($E422&lt;=cc_D,0.0035*($E422-Y$21)/$E422,0.002*($E422-Y$21)/($E422-3*cc_D/7))))-fcd_cc*(1-(1-MAX(0,MIN(1,IF($E422&lt;=cc_D,0.0035*($E422-Y$21)/$E422,0.002*($E422-Y$21)/($E422-3*cc_D/7))/0.002)))^2)</f>
        <v/>
      </c>
      <c r="Z422">
        <f>MAX(-fyd_cc,MIN(fyd_cc,Es_cc*IF($E422&lt;=cc_D,0.0035*($E422-Z$21)/$E422,0.002*($E422-Z$21)/($E422-3*cc_D/7))))-fcd_cc*(1-(1-MAX(0,MIN(1,IF($E422&lt;=cc_D,0.0035*($E422-Z$21)/$E422,0.002*($E422-Z$21)/($E422-3*cc_D/7))/0.002)))^2)</f>
        <v/>
      </c>
      <c r="AA422">
        <f>MAX(-fyd_cc,MIN(fyd_cc,Es_cc*IF($E422&lt;=cc_D,0.0035*($E422-AA$21)/$E422,0.002*($E422-AA$21)/($E422-3*cc_D/7))))-fcd_cc*(1-(1-MAX(0,MIN(1,IF($E422&lt;=cc_D,0.0035*($E422-AA$21)/$E422,0.002*($E422-AA$21)/($E422-3*cc_D/7))/0.002)))^2)</f>
        <v/>
      </c>
      <c r="AB422">
        <f>MAX(-fyd_cc,MIN(fyd_cc,Es_cc*IF($E422&lt;=cc_D,0.0035*($E422-AB$21)/$E422,0.002*($E422-AB$21)/($E422-3*cc_D/7))))-fcd_cc*(1-(1-MAX(0,MIN(1,IF($E422&lt;=cc_D,0.0035*($E422-AB$21)/$E422,0.002*($E422-AB$21)/($E422-3*cc_D/7))/0.002)))^2)</f>
        <v/>
      </c>
      <c r="AC422">
        <f>MAX(-fyd_cc,MIN(fyd_cc,Es_cc*IF($E422&lt;=cc_D,0.0035*($E422-AC$21)/$E422,0.002*($E422-AC$21)/($E422-3*cc_D/7))))-fcd_cc*(1-(1-MAX(0,MIN(1,IF($E422&lt;=cc_D,0.0035*($E422-AC$21)/$E422,0.002*($E422-AC$21)/($E422-3*cc_D/7))/0.002)))^2)</f>
        <v/>
      </c>
      <c r="AD422">
        <f>MAX(-fyd_cc,MIN(fyd_cc,Es_cc*IF($E422&lt;=cc_D,0.0035*($E422-AD$21)/$E422,0.002*($E422-AD$21)/($E422-3*cc_D/7))))-fcd_cc*(1-(1-MAX(0,MIN(1,IF($E422&lt;=cc_D,0.0035*($E422-AD$21)/$E422,0.002*($E422-AD$21)/($E422-3*cc_D/7))/0.002)))^2)</f>
        <v/>
      </c>
      <c r="AE422">
        <f>MAX(-fyd_cc,MIN(fyd_cc,Es_cc*IF($E422&lt;=cc_D,0.0035*($E422-AE$21)/$E422,0.002*($E422-AE$21)/($E422-3*cc_D/7))))-fcd_cc*(1-(1-MAX(0,MIN(1,IF($E422&lt;=cc_D,0.0035*($E422-AE$21)/$E422,0.002*($E422-AE$21)/($E422-3*cc_D/7))/0.002)))^2)</f>
        <v/>
      </c>
      <c r="AF422">
        <f>MAX(-fyd_cc,MIN(fyd_cc,Es_cc*IF($E422&lt;=cc_D,0.0035*($E422-AF$21)/$E422,0.002*($E422-AF$21)/($E422-3*cc_D/7))))-fcd_cc*(1-(1-MAX(0,MIN(1,IF($E422&lt;=cc_D,0.0035*($E422-AF$21)/$E422,0.002*($E422-AF$21)/($E422-3*cc_D/7))/0.002)))^2)</f>
        <v/>
      </c>
      <c r="AG422">
        <f>MAX(-fyd_cc,MIN(fyd_cc,Es_cc*IF($E422&lt;=cc_D,0.0035*($E422-AG$21)/$E422,0.002*($E422-AG$21)/($E422-3*cc_D/7))))-fcd_cc*(1-(1-MAX(0,MIN(1,IF($E422&lt;=cc_D,0.0035*($E422-AG$21)/$E422,0.002*($E422-AG$21)/($E422-3*cc_D/7))/0.002)))^2)</f>
        <v/>
      </c>
      <c r="BF422">
        <f>3*MIN($E422,cc_D)/7</f>
        <v/>
      </c>
      <c r="BG422">
        <f>$E422-$BF422</f>
        <v/>
      </c>
      <c r="BH422">
        <f>ACOS(MAX(-1,MIN(1,1-$BF422/(cc_D/2))))</f>
        <v/>
      </c>
      <c r="BI422">
        <f>ACOS(MAX(-1,MIN(1,1-MIN($E422,cc_D)/(cc_D/2))))</f>
        <v/>
      </c>
      <c r="BJ422">
        <f>((cc_D/2*(1-COS(($BH422+0*($BI422-$BH422)/12)))-$BF422)/$BG422)^2*SIN(($BH422+0*($BI422-$BH422)/12))^2</f>
        <v/>
      </c>
      <c r="BK422">
        <f>((cc_D/2*(1-COS(($BH422+1*($BI422-$BH422)/12)))-$BF422)/$BG422)^2*SIN(($BH422+1*($BI422-$BH422)/12))^2</f>
        <v/>
      </c>
      <c r="BL422">
        <f>((cc_D/2*(1-COS(($BH422+2*($BI422-$BH422)/12)))-$BF422)/$BG422)^2*SIN(($BH422+2*($BI422-$BH422)/12))^2</f>
        <v/>
      </c>
      <c r="BM422">
        <f>((cc_D/2*(1-COS(($BH422+3*($BI422-$BH422)/12)))-$BF422)/$BG422)^2*SIN(($BH422+3*($BI422-$BH422)/12))^2</f>
        <v/>
      </c>
      <c r="BN422">
        <f>((cc_D/2*(1-COS(($BH422+4*($BI422-$BH422)/12)))-$BF422)/$BG422)^2*SIN(($BH422+4*($BI422-$BH422)/12))^2</f>
        <v/>
      </c>
      <c r="BO422">
        <f>((cc_D/2*(1-COS(($BH422+5*($BI422-$BH422)/12)))-$BF422)/$BG422)^2*SIN(($BH422+5*($BI422-$BH422)/12))^2</f>
        <v/>
      </c>
      <c r="BP422">
        <f>((cc_D/2*(1-COS(($BH422+6*($BI422-$BH422)/12)))-$BF422)/$BG422)^2*SIN(($BH422+6*($BI422-$BH422)/12))^2</f>
        <v/>
      </c>
      <c r="BQ422">
        <f>((cc_D/2*(1-COS(($BH422+7*($BI422-$BH422)/12)))-$BF422)/$BG422)^2*SIN(($BH422+7*($BI422-$BH422)/12))^2</f>
        <v/>
      </c>
      <c r="BR422">
        <f>((cc_D/2*(1-COS(($BH422+8*($BI422-$BH422)/12)))-$BF422)/$BG422)^2*SIN(($BH422+8*($BI422-$BH422)/12))^2</f>
        <v/>
      </c>
      <c r="BS422">
        <f>((cc_D/2*(1-COS(($BH422+9*($BI422-$BH422)/12)))-$BF422)/$BG422)^2*SIN(($BH422+9*($BI422-$BH422)/12))^2</f>
        <v/>
      </c>
      <c r="BT422">
        <f>((cc_D/2*(1-COS(($BH422+10*($BI422-$BH422)/12)))-$BF422)/$BG422)^2*SIN(($BH422+10*($BI422-$BH422)/12))^2</f>
        <v/>
      </c>
      <c r="BU422">
        <f>((cc_D/2*(1-COS(($BH422+11*($BI422-$BH422)/12)))-$BF422)/$BG422)^2*SIN(($BH422+11*($BI422-$BH422)/12))^2</f>
        <v/>
      </c>
      <c r="BV422">
        <f>((cc_D/2*(1-COS(($BH422+12*($BI422-$BH422)/12)))-$BF422)/$BG422)^2*SIN(($BH422+12*($BI422-$BH422)/12))^2</f>
        <v/>
      </c>
      <c r="BW422">
        <f>BJ422*COS(($BH422+0*($BI422-$BH422)/12))</f>
        <v/>
      </c>
      <c r="BX422">
        <f>BK422*COS(($BH422+1*($BI422-$BH422)/12))</f>
        <v/>
      </c>
      <c r="BY422">
        <f>BL422*COS(($BH422+2*($BI422-$BH422)/12))</f>
        <v/>
      </c>
      <c r="BZ422">
        <f>BM422*COS(($BH422+3*($BI422-$BH422)/12))</f>
        <v/>
      </c>
      <c r="CA422">
        <f>BN422*COS(($BH422+4*($BI422-$BH422)/12))</f>
        <v/>
      </c>
      <c r="CB422">
        <f>BO422*COS(($BH422+5*($BI422-$BH422)/12))</f>
        <v/>
      </c>
      <c r="CC422">
        <f>BP422*COS(($BH422+6*($BI422-$BH422)/12))</f>
        <v/>
      </c>
      <c r="CD422">
        <f>BQ422*COS(($BH422+7*($BI422-$BH422)/12))</f>
        <v/>
      </c>
      <c r="CE422">
        <f>BR422*COS(($BH422+8*($BI422-$BH422)/12))</f>
        <v/>
      </c>
      <c r="CF422">
        <f>BS422*COS(($BH422+9*($BI422-$BH422)/12))</f>
        <v/>
      </c>
      <c r="CG422">
        <f>BT422*COS(($BH422+10*($BI422-$BH422)/12))</f>
        <v/>
      </c>
      <c r="CH422">
        <f>BU422*COS(($BH422+11*($BI422-$BH422)/12))</f>
        <v/>
      </c>
      <c r="CI422">
        <f>BV422*COS(($BH422+12*($BI422-$BH422)/12))</f>
        <v/>
      </c>
    </row>
    <row r="423">
      <c r="B423" s="65" t="n">
        <v>19</v>
      </c>
      <c r="C423" s="66">
        <f>IF($G422&lt;cc_NEd-1E-9*ABS(cc_NEd),($C422+$D422)/2,$C422)</f>
        <v/>
      </c>
      <c r="D423" s="66">
        <f>IF($G422&lt;cc_NEd-1E-9*ABS(cc_NEd),$D422,($C422+$D422)/2)</f>
        <v/>
      </c>
      <c r="E423" s="67">
        <f>cc_D*(($C423+$D423)/2)/(1-(($C423+$D423)/2))</f>
        <v/>
      </c>
      <c r="F423" s="68">
        <f>IF($E423&lt;=cc_D,3.5,2*$E423/($E423-3*cc_D/7))</f>
        <v/>
      </c>
      <c r="G423" s="67">
        <f>(fcd_cc*((cc_D/2)^2*($BI423-COS($BI423)*SIN($BI423))-2*(cc_D/2)^2*($BI423-$BH423)/12/3*SUMPRODUCT($BJ$4:$BV$4,$BJ423:$BV423))+SUMPRODUCT($J$5:$AG$5,$J423:$AG423))/1000</f>
        <v/>
      </c>
      <c r="H423" s="67">
        <f>(fcd_cc*(2/3*(cc_D/2)^3*SIN($BI423)^3-2*(cc_D/2)^3*($BI423-$BH423)/12/3*SUMPRODUCT($BW$4:$CI$4,$BW423:$CI423))+SUMPRODUCT($J$5:$AG$5,$J423:$AG423,$J$22:$AG$22))/1E6</f>
        <v/>
      </c>
      <c r="I423" s="67">
        <f>SUMPRODUCT($J$5:$AG$5,$J423:$AG423,$J$23:$AG$23)/1E6</f>
        <v/>
      </c>
      <c r="J423">
        <f>MAX(-fyd_cc,MIN(fyd_cc,Es_cc*IF($E423&lt;=cc_D,0.0035*($E423-J$21)/$E423,0.002*($E423-J$21)/($E423-3*cc_D/7))))-fcd_cc*(1-(1-MAX(0,MIN(1,IF($E423&lt;=cc_D,0.0035*($E423-J$21)/$E423,0.002*($E423-J$21)/($E423-3*cc_D/7))/0.002)))^2)</f>
        <v/>
      </c>
      <c r="K423">
        <f>MAX(-fyd_cc,MIN(fyd_cc,Es_cc*IF($E423&lt;=cc_D,0.0035*($E423-K$21)/$E423,0.002*($E423-K$21)/($E423-3*cc_D/7))))-fcd_cc*(1-(1-MAX(0,MIN(1,IF($E423&lt;=cc_D,0.0035*($E423-K$21)/$E423,0.002*($E423-K$21)/($E423-3*cc_D/7))/0.002)))^2)</f>
        <v/>
      </c>
      <c r="L423">
        <f>MAX(-fyd_cc,MIN(fyd_cc,Es_cc*IF($E423&lt;=cc_D,0.0035*($E423-L$21)/$E423,0.002*($E423-L$21)/($E423-3*cc_D/7))))-fcd_cc*(1-(1-MAX(0,MIN(1,IF($E423&lt;=cc_D,0.0035*($E423-L$21)/$E423,0.002*($E423-L$21)/($E423-3*cc_D/7))/0.002)))^2)</f>
        <v/>
      </c>
      <c r="M423">
        <f>MAX(-fyd_cc,MIN(fyd_cc,Es_cc*IF($E423&lt;=cc_D,0.0035*($E423-M$21)/$E423,0.002*($E423-M$21)/($E423-3*cc_D/7))))-fcd_cc*(1-(1-MAX(0,MIN(1,IF($E423&lt;=cc_D,0.0035*($E423-M$21)/$E423,0.002*($E423-M$21)/($E423-3*cc_D/7))/0.002)))^2)</f>
        <v/>
      </c>
      <c r="N423">
        <f>MAX(-fyd_cc,MIN(fyd_cc,Es_cc*IF($E423&lt;=cc_D,0.0035*($E423-N$21)/$E423,0.002*($E423-N$21)/($E423-3*cc_D/7))))-fcd_cc*(1-(1-MAX(0,MIN(1,IF($E423&lt;=cc_D,0.0035*($E423-N$21)/$E423,0.002*($E423-N$21)/($E423-3*cc_D/7))/0.002)))^2)</f>
        <v/>
      </c>
      <c r="O423">
        <f>MAX(-fyd_cc,MIN(fyd_cc,Es_cc*IF($E423&lt;=cc_D,0.0035*($E423-O$21)/$E423,0.002*($E423-O$21)/($E423-3*cc_D/7))))-fcd_cc*(1-(1-MAX(0,MIN(1,IF($E423&lt;=cc_D,0.0035*($E423-O$21)/$E423,0.002*($E423-O$21)/($E423-3*cc_D/7))/0.002)))^2)</f>
        <v/>
      </c>
      <c r="P423">
        <f>MAX(-fyd_cc,MIN(fyd_cc,Es_cc*IF($E423&lt;=cc_D,0.0035*($E423-P$21)/$E423,0.002*($E423-P$21)/($E423-3*cc_D/7))))-fcd_cc*(1-(1-MAX(0,MIN(1,IF($E423&lt;=cc_D,0.0035*($E423-P$21)/$E423,0.002*($E423-P$21)/($E423-3*cc_D/7))/0.002)))^2)</f>
        <v/>
      </c>
      <c r="Q423">
        <f>MAX(-fyd_cc,MIN(fyd_cc,Es_cc*IF($E423&lt;=cc_D,0.0035*($E423-Q$21)/$E423,0.002*($E423-Q$21)/($E423-3*cc_D/7))))-fcd_cc*(1-(1-MAX(0,MIN(1,IF($E423&lt;=cc_D,0.0035*($E423-Q$21)/$E423,0.002*($E423-Q$21)/($E423-3*cc_D/7))/0.002)))^2)</f>
        <v/>
      </c>
      <c r="R423">
        <f>MAX(-fyd_cc,MIN(fyd_cc,Es_cc*IF($E423&lt;=cc_D,0.0035*($E423-R$21)/$E423,0.002*($E423-R$21)/($E423-3*cc_D/7))))-fcd_cc*(1-(1-MAX(0,MIN(1,IF($E423&lt;=cc_D,0.0035*($E423-R$21)/$E423,0.002*($E423-R$21)/($E423-3*cc_D/7))/0.002)))^2)</f>
        <v/>
      </c>
      <c r="S423">
        <f>MAX(-fyd_cc,MIN(fyd_cc,Es_cc*IF($E423&lt;=cc_D,0.0035*($E423-S$21)/$E423,0.002*($E423-S$21)/($E423-3*cc_D/7))))-fcd_cc*(1-(1-MAX(0,MIN(1,IF($E423&lt;=cc_D,0.0035*($E423-S$21)/$E423,0.002*($E423-S$21)/($E423-3*cc_D/7))/0.002)))^2)</f>
        <v/>
      </c>
      <c r="T423">
        <f>MAX(-fyd_cc,MIN(fyd_cc,Es_cc*IF($E423&lt;=cc_D,0.0035*($E423-T$21)/$E423,0.002*($E423-T$21)/($E423-3*cc_D/7))))-fcd_cc*(1-(1-MAX(0,MIN(1,IF($E423&lt;=cc_D,0.0035*($E423-T$21)/$E423,0.002*($E423-T$21)/($E423-3*cc_D/7))/0.002)))^2)</f>
        <v/>
      </c>
      <c r="U423">
        <f>MAX(-fyd_cc,MIN(fyd_cc,Es_cc*IF($E423&lt;=cc_D,0.0035*($E423-U$21)/$E423,0.002*($E423-U$21)/($E423-3*cc_D/7))))-fcd_cc*(1-(1-MAX(0,MIN(1,IF($E423&lt;=cc_D,0.0035*($E423-U$21)/$E423,0.002*($E423-U$21)/($E423-3*cc_D/7))/0.002)))^2)</f>
        <v/>
      </c>
      <c r="V423">
        <f>MAX(-fyd_cc,MIN(fyd_cc,Es_cc*IF($E423&lt;=cc_D,0.0035*($E423-V$21)/$E423,0.002*($E423-V$21)/($E423-3*cc_D/7))))-fcd_cc*(1-(1-MAX(0,MIN(1,IF($E423&lt;=cc_D,0.0035*($E423-V$21)/$E423,0.002*($E423-V$21)/($E423-3*cc_D/7))/0.002)))^2)</f>
        <v/>
      </c>
      <c r="W423">
        <f>MAX(-fyd_cc,MIN(fyd_cc,Es_cc*IF($E423&lt;=cc_D,0.0035*($E423-W$21)/$E423,0.002*($E423-W$21)/($E423-3*cc_D/7))))-fcd_cc*(1-(1-MAX(0,MIN(1,IF($E423&lt;=cc_D,0.0035*($E423-W$21)/$E423,0.002*($E423-W$21)/($E423-3*cc_D/7))/0.002)))^2)</f>
        <v/>
      </c>
      <c r="X423">
        <f>MAX(-fyd_cc,MIN(fyd_cc,Es_cc*IF($E423&lt;=cc_D,0.0035*($E423-X$21)/$E423,0.002*($E423-X$21)/($E423-3*cc_D/7))))-fcd_cc*(1-(1-MAX(0,MIN(1,IF($E423&lt;=cc_D,0.0035*($E423-X$21)/$E423,0.002*($E423-X$21)/($E423-3*cc_D/7))/0.002)))^2)</f>
        <v/>
      </c>
      <c r="Y423">
        <f>MAX(-fyd_cc,MIN(fyd_cc,Es_cc*IF($E423&lt;=cc_D,0.0035*($E423-Y$21)/$E423,0.002*($E423-Y$21)/($E423-3*cc_D/7))))-fcd_cc*(1-(1-MAX(0,MIN(1,IF($E423&lt;=cc_D,0.0035*($E423-Y$21)/$E423,0.002*($E423-Y$21)/($E423-3*cc_D/7))/0.002)))^2)</f>
        <v/>
      </c>
      <c r="Z423">
        <f>MAX(-fyd_cc,MIN(fyd_cc,Es_cc*IF($E423&lt;=cc_D,0.0035*($E423-Z$21)/$E423,0.002*($E423-Z$21)/($E423-3*cc_D/7))))-fcd_cc*(1-(1-MAX(0,MIN(1,IF($E423&lt;=cc_D,0.0035*($E423-Z$21)/$E423,0.002*($E423-Z$21)/($E423-3*cc_D/7))/0.002)))^2)</f>
        <v/>
      </c>
      <c r="AA423">
        <f>MAX(-fyd_cc,MIN(fyd_cc,Es_cc*IF($E423&lt;=cc_D,0.0035*($E423-AA$21)/$E423,0.002*($E423-AA$21)/($E423-3*cc_D/7))))-fcd_cc*(1-(1-MAX(0,MIN(1,IF($E423&lt;=cc_D,0.0035*($E423-AA$21)/$E423,0.002*($E423-AA$21)/($E423-3*cc_D/7))/0.002)))^2)</f>
        <v/>
      </c>
      <c r="AB423">
        <f>MAX(-fyd_cc,MIN(fyd_cc,Es_cc*IF($E423&lt;=cc_D,0.0035*($E423-AB$21)/$E423,0.002*($E423-AB$21)/($E423-3*cc_D/7))))-fcd_cc*(1-(1-MAX(0,MIN(1,IF($E423&lt;=cc_D,0.0035*($E423-AB$21)/$E423,0.002*($E423-AB$21)/($E423-3*cc_D/7))/0.002)))^2)</f>
        <v/>
      </c>
      <c r="AC423">
        <f>MAX(-fyd_cc,MIN(fyd_cc,Es_cc*IF($E423&lt;=cc_D,0.0035*($E423-AC$21)/$E423,0.002*($E423-AC$21)/($E423-3*cc_D/7))))-fcd_cc*(1-(1-MAX(0,MIN(1,IF($E423&lt;=cc_D,0.0035*($E423-AC$21)/$E423,0.002*($E423-AC$21)/($E423-3*cc_D/7))/0.002)))^2)</f>
        <v/>
      </c>
      <c r="AD423">
        <f>MAX(-fyd_cc,MIN(fyd_cc,Es_cc*IF($E423&lt;=cc_D,0.0035*($E423-AD$21)/$E423,0.002*($E423-AD$21)/($E423-3*cc_D/7))))-fcd_cc*(1-(1-MAX(0,MIN(1,IF($E423&lt;=cc_D,0.0035*($E423-AD$21)/$E423,0.002*($E423-AD$21)/($E423-3*cc_D/7))/0.002)))^2)</f>
        <v/>
      </c>
      <c r="AE423">
        <f>MAX(-fyd_cc,MIN(fyd_cc,Es_cc*IF($E423&lt;=cc_D,0.0035*($E423-AE$21)/$E423,0.002*($E423-AE$21)/($E423-3*cc_D/7))))-fcd_cc*(1-(1-MAX(0,MIN(1,IF($E423&lt;=cc_D,0.0035*($E423-AE$21)/$E423,0.002*($E423-AE$21)/($E423-3*cc_D/7))/0.002)))^2)</f>
        <v/>
      </c>
      <c r="AF423">
        <f>MAX(-fyd_cc,MIN(fyd_cc,Es_cc*IF($E423&lt;=cc_D,0.0035*($E423-AF$21)/$E423,0.002*($E423-AF$21)/($E423-3*cc_D/7))))-fcd_cc*(1-(1-MAX(0,MIN(1,IF($E423&lt;=cc_D,0.0035*($E423-AF$21)/$E423,0.002*($E423-AF$21)/($E423-3*cc_D/7))/0.002)))^2)</f>
        <v/>
      </c>
      <c r="AG423">
        <f>MAX(-fyd_cc,MIN(fyd_cc,Es_cc*IF($E423&lt;=cc_D,0.0035*($E423-AG$21)/$E423,0.002*($E423-AG$21)/($E423-3*cc_D/7))))-fcd_cc*(1-(1-MAX(0,MIN(1,IF($E423&lt;=cc_D,0.0035*($E423-AG$21)/$E423,0.002*($E423-AG$21)/($E423-3*cc_D/7))/0.002)))^2)</f>
        <v/>
      </c>
      <c r="BF423">
        <f>3*MIN($E423,cc_D)/7</f>
        <v/>
      </c>
      <c r="BG423">
        <f>$E423-$BF423</f>
        <v/>
      </c>
      <c r="BH423">
        <f>ACOS(MAX(-1,MIN(1,1-$BF423/(cc_D/2))))</f>
        <v/>
      </c>
      <c r="BI423">
        <f>ACOS(MAX(-1,MIN(1,1-MIN($E423,cc_D)/(cc_D/2))))</f>
        <v/>
      </c>
      <c r="BJ423">
        <f>((cc_D/2*(1-COS(($BH423+0*($BI423-$BH423)/12)))-$BF423)/$BG423)^2*SIN(($BH423+0*($BI423-$BH423)/12))^2</f>
        <v/>
      </c>
      <c r="BK423">
        <f>((cc_D/2*(1-COS(($BH423+1*($BI423-$BH423)/12)))-$BF423)/$BG423)^2*SIN(($BH423+1*($BI423-$BH423)/12))^2</f>
        <v/>
      </c>
      <c r="BL423">
        <f>((cc_D/2*(1-COS(($BH423+2*($BI423-$BH423)/12)))-$BF423)/$BG423)^2*SIN(($BH423+2*($BI423-$BH423)/12))^2</f>
        <v/>
      </c>
      <c r="BM423">
        <f>((cc_D/2*(1-COS(($BH423+3*($BI423-$BH423)/12)))-$BF423)/$BG423)^2*SIN(($BH423+3*($BI423-$BH423)/12))^2</f>
        <v/>
      </c>
      <c r="BN423">
        <f>((cc_D/2*(1-COS(($BH423+4*($BI423-$BH423)/12)))-$BF423)/$BG423)^2*SIN(($BH423+4*($BI423-$BH423)/12))^2</f>
        <v/>
      </c>
      <c r="BO423">
        <f>((cc_D/2*(1-COS(($BH423+5*($BI423-$BH423)/12)))-$BF423)/$BG423)^2*SIN(($BH423+5*($BI423-$BH423)/12))^2</f>
        <v/>
      </c>
      <c r="BP423">
        <f>((cc_D/2*(1-COS(($BH423+6*($BI423-$BH423)/12)))-$BF423)/$BG423)^2*SIN(($BH423+6*($BI423-$BH423)/12))^2</f>
        <v/>
      </c>
      <c r="BQ423">
        <f>((cc_D/2*(1-COS(($BH423+7*($BI423-$BH423)/12)))-$BF423)/$BG423)^2*SIN(($BH423+7*($BI423-$BH423)/12))^2</f>
        <v/>
      </c>
      <c r="BR423">
        <f>((cc_D/2*(1-COS(($BH423+8*($BI423-$BH423)/12)))-$BF423)/$BG423)^2*SIN(($BH423+8*($BI423-$BH423)/12))^2</f>
        <v/>
      </c>
      <c r="BS423">
        <f>((cc_D/2*(1-COS(($BH423+9*($BI423-$BH423)/12)))-$BF423)/$BG423)^2*SIN(($BH423+9*($BI423-$BH423)/12))^2</f>
        <v/>
      </c>
      <c r="BT423">
        <f>((cc_D/2*(1-COS(($BH423+10*($BI423-$BH423)/12)))-$BF423)/$BG423)^2*SIN(($BH423+10*($BI423-$BH423)/12))^2</f>
        <v/>
      </c>
      <c r="BU423">
        <f>((cc_D/2*(1-COS(($BH423+11*($BI423-$BH423)/12)))-$BF423)/$BG423)^2*SIN(($BH423+11*($BI423-$BH423)/12))^2</f>
        <v/>
      </c>
      <c r="BV423">
        <f>((cc_D/2*(1-COS(($BH423+12*($BI423-$BH423)/12)))-$BF423)/$BG423)^2*SIN(($BH423+12*($BI423-$BH423)/12))^2</f>
        <v/>
      </c>
      <c r="BW423">
        <f>BJ423*COS(($BH423+0*($BI423-$BH423)/12))</f>
        <v/>
      </c>
      <c r="BX423">
        <f>BK423*COS(($BH423+1*($BI423-$BH423)/12))</f>
        <v/>
      </c>
      <c r="BY423">
        <f>BL423*COS(($BH423+2*($BI423-$BH423)/12))</f>
        <v/>
      </c>
      <c r="BZ423">
        <f>BM423*COS(($BH423+3*($BI423-$BH423)/12))</f>
        <v/>
      </c>
      <c r="CA423">
        <f>BN423*COS(($BH423+4*($BI423-$BH423)/12))</f>
        <v/>
      </c>
      <c r="CB423">
        <f>BO423*COS(($BH423+5*($BI423-$BH423)/12))</f>
        <v/>
      </c>
      <c r="CC423">
        <f>BP423*COS(($BH423+6*($BI423-$BH423)/12))</f>
        <v/>
      </c>
      <c r="CD423">
        <f>BQ423*COS(($BH423+7*($BI423-$BH423)/12))</f>
        <v/>
      </c>
      <c r="CE423">
        <f>BR423*COS(($BH423+8*($BI423-$BH423)/12))</f>
        <v/>
      </c>
      <c r="CF423">
        <f>BS423*COS(($BH423+9*($BI423-$BH423)/12))</f>
        <v/>
      </c>
      <c r="CG423">
        <f>BT423*COS(($BH423+10*($BI423-$BH423)/12))</f>
        <v/>
      </c>
      <c r="CH423">
        <f>BU423*COS(($BH423+11*($BI423-$BH423)/12))</f>
        <v/>
      </c>
      <c r="CI423">
        <f>BV423*COS(($BH423+12*($BI423-$BH423)/12))</f>
        <v/>
      </c>
    </row>
    <row r="424">
      <c r="B424" s="65" t="n">
        <v>20</v>
      </c>
      <c r="C424" s="66">
        <f>IF($G423&lt;cc_NEd-1E-9*ABS(cc_NEd),($C423+$D423)/2,$C423)</f>
        <v/>
      </c>
      <c r="D424" s="66">
        <f>IF($G423&lt;cc_NEd-1E-9*ABS(cc_NEd),$D423,($C423+$D423)/2)</f>
        <v/>
      </c>
      <c r="E424" s="67">
        <f>cc_D*(($C424+$D424)/2)/(1-(($C424+$D424)/2))</f>
        <v/>
      </c>
      <c r="F424" s="68">
        <f>IF($E424&lt;=cc_D,3.5,2*$E424/($E424-3*cc_D/7))</f>
        <v/>
      </c>
      <c r="G424" s="67">
        <f>(fcd_cc*((cc_D/2)^2*($BI424-COS($BI424)*SIN($BI424))-2*(cc_D/2)^2*($BI424-$BH424)/12/3*SUMPRODUCT($BJ$4:$BV$4,$BJ424:$BV424))+SUMPRODUCT($J$5:$AG$5,$J424:$AG424))/1000</f>
        <v/>
      </c>
      <c r="H424" s="67">
        <f>(fcd_cc*(2/3*(cc_D/2)^3*SIN($BI424)^3-2*(cc_D/2)^3*($BI424-$BH424)/12/3*SUMPRODUCT($BW$4:$CI$4,$BW424:$CI424))+SUMPRODUCT($J$5:$AG$5,$J424:$AG424,$J$22:$AG$22))/1E6</f>
        <v/>
      </c>
      <c r="I424" s="67">
        <f>SUMPRODUCT($J$5:$AG$5,$J424:$AG424,$J$23:$AG$23)/1E6</f>
        <v/>
      </c>
      <c r="J424">
        <f>MAX(-fyd_cc,MIN(fyd_cc,Es_cc*IF($E424&lt;=cc_D,0.0035*($E424-J$21)/$E424,0.002*($E424-J$21)/($E424-3*cc_D/7))))-fcd_cc*(1-(1-MAX(0,MIN(1,IF($E424&lt;=cc_D,0.0035*($E424-J$21)/$E424,0.002*($E424-J$21)/($E424-3*cc_D/7))/0.002)))^2)</f>
        <v/>
      </c>
      <c r="K424">
        <f>MAX(-fyd_cc,MIN(fyd_cc,Es_cc*IF($E424&lt;=cc_D,0.0035*($E424-K$21)/$E424,0.002*($E424-K$21)/($E424-3*cc_D/7))))-fcd_cc*(1-(1-MAX(0,MIN(1,IF($E424&lt;=cc_D,0.0035*($E424-K$21)/$E424,0.002*($E424-K$21)/($E424-3*cc_D/7))/0.002)))^2)</f>
        <v/>
      </c>
      <c r="L424">
        <f>MAX(-fyd_cc,MIN(fyd_cc,Es_cc*IF($E424&lt;=cc_D,0.0035*($E424-L$21)/$E424,0.002*($E424-L$21)/($E424-3*cc_D/7))))-fcd_cc*(1-(1-MAX(0,MIN(1,IF($E424&lt;=cc_D,0.0035*($E424-L$21)/$E424,0.002*($E424-L$21)/($E424-3*cc_D/7))/0.002)))^2)</f>
        <v/>
      </c>
      <c r="M424">
        <f>MAX(-fyd_cc,MIN(fyd_cc,Es_cc*IF($E424&lt;=cc_D,0.0035*($E424-M$21)/$E424,0.002*($E424-M$21)/($E424-3*cc_D/7))))-fcd_cc*(1-(1-MAX(0,MIN(1,IF($E424&lt;=cc_D,0.0035*($E424-M$21)/$E424,0.002*($E424-M$21)/($E424-3*cc_D/7))/0.002)))^2)</f>
        <v/>
      </c>
      <c r="N424">
        <f>MAX(-fyd_cc,MIN(fyd_cc,Es_cc*IF($E424&lt;=cc_D,0.0035*($E424-N$21)/$E424,0.002*($E424-N$21)/($E424-3*cc_D/7))))-fcd_cc*(1-(1-MAX(0,MIN(1,IF($E424&lt;=cc_D,0.0035*($E424-N$21)/$E424,0.002*($E424-N$21)/($E424-3*cc_D/7))/0.002)))^2)</f>
        <v/>
      </c>
      <c r="O424">
        <f>MAX(-fyd_cc,MIN(fyd_cc,Es_cc*IF($E424&lt;=cc_D,0.0035*($E424-O$21)/$E424,0.002*($E424-O$21)/($E424-3*cc_D/7))))-fcd_cc*(1-(1-MAX(0,MIN(1,IF($E424&lt;=cc_D,0.0035*($E424-O$21)/$E424,0.002*($E424-O$21)/($E424-3*cc_D/7))/0.002)))^2)</f>
        <v/>
      </c>
      <c r="P424">
        <f>MAX(-fyd_cc,MIN(fyd_cc,Es_cc*IF($E424&lt;=cc_D,0.0035*($E424-P$21)/$E424,0.002*($E424-P$21)/($E424-3*cc_D/7))))-fcd_cc*(1-(1-MAX(0,MIN(1,IF($E424&lt;=cc_D,0.0035*($E424-P$21)/$E424,0.002*($E424-P$21)/($E424-3*cc_D/7))/0.002)))^2)</f>
        <v/>
      </c>
      <c r="Q424">
        <f>MAX(-fyd_cc,MIN(fyd_cc,Es_cc*IF($E424&lt;=cc_D,0.0035*($E424-Q$21)/$E424,0.002*($E424-Q$21)/($E424-3*cc_D/7))))-fcd_cc*(1-(1-MAX(0,MIN(1,IF($E424&lt;=cc_D,0.0035*($E424-Q$21)/$E424,0.002*($E424-Q$21)/($E424-3*cc_D/7))/0.002)))^2)</f>
        <v/>
      </c>
      <c r="R424">
        <f>MAX(-fyd_cc,MIN(fyd_cc,Es_cc*IF($E424&lt;=cc_D,0.0035*($E424-R$21)/$E424,0.002*($E424-R$21)/($E424-3*cc_D/7))))-fcd_cc*(1-(1-MAX(0,MIN(1,IF($E424&lt;=cc_D,0.0035*($E424-R$21)/$E424,0.002*($E424-R$21)/($E424-3*cc_D/7))/0.002)))^2)</f>
        <v/>
      </c>
      <c r="S424">
        <f>MAX(-fyd_cc,MIN(fyd_cc,Es_cc*IF($E424&lt;=cc_D,0.0035*($E424-S$21)/$E424,0.002*($E424-S$21)/($E424-3*cc_D/7))))-fcd_cc*(1-(1-MAX(0,MIN(1,IF($E424&lt;=cc_D,0.0035*($E424-S$21)/$E424,0.002*($E424-S$21)/($E424-3*cc_D/7))/0.002)))^2)</f>
        <v/>
      </c>
      <c r="T424">
        <f>MAX(-fyd_cc,MIN(fyd_cc,Es_cc*IF($E424&lt;=cc_D,0.0035*($E424-T$21)/$E424,0.002*($E424-T$21)/($E424-3*cc_D/7))))-fcd_cc*(1-(1-MAX(0,MIN(1,IF($E424&lt;=cc_D,0.0035*($E424-T$21)/$E424,0.002*($E424-T$21)/($E424-3*cc_D/7))/0.002)))^2)</f>
        <v/>
      </c>
      <c r="U424">
        <f>MAX(-fyd_cc,MIN(fyd_cc,Es_cc*IF($E424&lt;=cc_D,0.0035*($E424-U$21)/$E424,0.002*($E424-U$21)/($E424-3*cc_D/7))))-fcd_cc*(1-(1-MAX(0,MIN(1,IF($E424&lt;=cc_D,0.0035*($E424-U$21)/$E424,0.002*($E424-U$21)/($E424-3*cc_D/7))/0.002)))^2)</f>
        <v/>
      </c>
      <c r="V424">
        <f>MAX(-fyd_cc,MIN(fyd_cc,Es_cc*IF($E424&lt;=cc_D,0.0035*($E424-V$21)/$E424,0.002*($E424-V$21)/($E424-3*cc_D/7))))-fcd_cc*(1-(1-MAX(0,MIN(1,IF($E424&lt;=cc_D,0.0035*($E424-V$21)/$E424,0.002*($E424-V$21)/($E424-3*cc_D/7))/0.002)))^2)</f>
        <v/>
      </c>
      <c r="W424">
        <f>MAX(-fyd_cc,MIN(fyd_cc,Es_cc*IF($E424&lt;=cc_D,0.0035*($E424-W$21)/$E424,0.002*($E424-W$21)/($E424-3*cc_D/7))))-fcd_cc*(1-(1-MAX(0,MIN(1,IF($E424&lt;=cc_D,0.0035*($E424-W$21)/$E424,0.002*($E424-W$21)/($E424-3*cc_D/7))/0.002)))^2)</f>
        <v/>
      </c>
      <c r="X424">
        <f>MAX(-fyd_cc,MIN(fyd_cc,Es_cc*IF($E424&lt;=cc_D,0.0035*($E424-X$21)/$E424,0.002*($E424-X$21)/($E424-3*cc_D/7))))-fcd_cc*(1-(1-MAX(0,MIN(1,IF($E424&lt;=cc_D,0.0035*($E424-X$21)/$E424,0.002*($E424-X$21)/($E424-3*cc_D/7))/0.002)))^2)</f>
        <v/>
      </c>
      <c r="Y424">
        <f>MAX(-fyd_cc,MIN(fyd_cc,Es_cc*IF($E424&lt;=cc_D,0.0035*($E424-Y$21)/$E424,0.002*($E424-Y$21)/($E424-3*cc_D/7))))-fcd_cc*(1-(1-MAX(0,MIN(1,IF($E424&lt;=cc_D,0.0035*($E424-Y$21)/$E424,0.002*($E424-Y$21)/($E424-3*cc_D/7))/0.002)))^2)</f>
        <v/>
      </c>
      <c r="Z424">
        <f>MAX(-fyd_cc,MIN(fyd_cc,Es_cc*IF($E424&lt;=cc_D,0.0035*($E424-Z$21)/$E424,0.002*($E424-Z$21)/($E424-3*cc_D/7))))-fcd_cc*(1-(1-MAX(0,MIN(1,IF($E424&lt;=cc_D,0.0035*($E424-Z$21)/$E424,0.002*($E424-Z$21)/($E424-3*cc_D/7))/0.002)))^2)</f>
        <v/>
      </c>
      <c r="AA424">
        <f>MAX(-fyd_cc,MIN(fyd_cc,Es_cc*IF($E424&lt;=cc_D,0.0035*($E424-AA$21)/$E424,0.002*($E424-AA$21)/($E424-3*cc_D/7))))-fcd_cc*(1-(1-MAX(0,MIN(1,IF($E424&lt;=cc_D,0.0035*($E424-AA$21)/$E424,0.002*($E424-AA$21)/($E424-3*cc_D/7))/0.002)))^2)</f>
        <v/>
      </c>
      <c r="AB424">
        <f>MAX(-fyd_cc,MIN(fyd_cc,Es_cc*IF($E424&lt;=cc_D,0.0035*($E424-AB$21)/$E424,0.002*($E424-AB$21)/($E424-3*cc_D/7))))-fcd_cc*(1-(1-MAX(0,MIN(1,IF($E424&lt;=cc_D,0.0035*($E424-AB$21)/$E424,0.002*($E424-AB$21)/($E424-3*cc_D/7))/0.002)))^2)</f>
        <v/>
      </c>
      <c r="AC424">
        <f>MAX(-fyd_cc,MIN(fyd_cc,Es_cc*IF($E424&lt;=cc_D,0.0035*($E424-AC$21)/$E424,0.002*($E424-AC$21)/($E424-3*cc_D/7))))-fcd_cc*(1-(1-MAX(0,MIN(1,IF($E424&lt;=cc_D,0.0035*($E424-AC$21)/$E424,0.002*($E424-AC$21)/($E424-3*cc_D/7))/0.002)))^2)</f>
        <v/>
      </c>
      <c r="AD424">
        <f>MAX(-fyd_cc,MIN(fyd_cc,Es_cc*IF($E424&lt;=cc_D,0.0035*($E424-AD$21)/$E424,0.002*($E424-AD$21)/($E424-3*cc_D/7))))-fcd_cc*(1-(1-MAX(0,MIN(1,IF($E424&lt;=cc_D,0.0035*($E424-AD$21)/$E424,0.002*($E424-AD$21)/($E424-3*cc_D/7))/0.002)))^2)</f>
        <v/>
      </c>
      <c r="AE424">
        <f>MAX(-fyd_cc,MIN(fyd_cc,Es_cc*IF($E424&lt;=cc_D,0.0035*($E424-AE$21)/$E424,0.002*($E424-AE$21)/($E424-3*cc_D/7))))-fcd_cc*(1-(1-MAX(0,MIN(1,IF($E424&lt;=cc_D,0.0035*($E424-AE$21)/$E424,0.002*($E424-AE$21)/($E424-3*cc_D/7))/0.002)))^2)</f>
        <v/>
      </c>
      <c r="AF424">
        <f>MAX(-fyd_cc,MIN(fyd_cc,Es_cc*IF($E424&lt;=cc_D,0.0035*($E424-AF$21)/$E424,0.002*($E424-AF$21)/($E424-3*cc_D/7))))-fcd_cc*(1-(1-MAX(0,MIN(1,IF($E424&lt;=cc_D,0.0035*($E424-AF$21)/$E424,0.002*($E424-AF$21)/($E424-3*cc_D/7))/0.002)))^2)</f>
        <v/>
      </c>
      <c r="AG424">
        <f>MAX(-fyd_cc,MIN(fyd_cc,Es_cc*IF($E424&lt;=cc_D,0.0035*($E424-AG$21)/$E424,0.002*($E424-AG$21)/($E424-3*cc_D/7))))-fcd_cc*(1-(1-MAX(0,MIN(1,IF($E424&lt;=cc_D,0.0035*($E424-AG$21)/$E424,0.002*($E424-AG$21)/($E424-3*cc_D/7))/0.002)))^2)</f>
        <v/>
      </c>
      <c r="BF424">
        <f>3*MIN($E424,cc_D)/7</f>
        <v/>
      </c>
      <c r="BG424">
        <f>$E424-$BF424</f>
        <v/>
      </c>
      <c r="BH424">
        <f>ACOS(MAX(-1,MIN(1,1-$BF424/(cc_D/2))))</f>
        <v/>
      </c>
      <c r="BI424">
        <f>ACOS(MAX(-1,MIN(1,1-MIN($E424,cc_D)/(cc_D/2))))</f>
        <v/>
      </c>
      <c r="BJ424">
        <f>((cc_D/2*(1-COS(($BH424+0*($BI424-$BH424)/12)))-$BF424)/$BG424)^2*SIN(($BH424+0*($BI424-$BH424)/12))^2</f>
        <v/>
      </c>
      <c r="BK424">
        <f>((cc_D/2*(1-COS(($BH424+1*($BI424-$BH424)/12)))-$BF424)/$BG424)^2*SIN(($BH424+1*($BI424-$BH424)/12))^2</f>
        <v/>
      </c>
      <c r="BL424">
        <f>((cc_D/2*(1-COS(($BH424+2*($BI424-$BH424)/12)))-$BF424)/$BG424)^2*SIN(($BH424+2*($BI424-$BH424)/12))^2</f>
        <v/>
      </c>
      <c r="BM424">
        <f>((cc_D/2*(1-COS(($BH424+3*($BI424-$BH424)/12)))-$BF424)/$BG424)^2*SIN(($BH424+3*($BI424-$BH424)/12))^2</f>
        <v/>
      </c>
      <c r="BN424">
        <f>((cc_D/2*(1-COS(($BH424+4*($BI424-$BH424)/12)))-$BF424)/$BG424)^2*SIN(($BH424+4*($BI424-$BH424)/12))^2</f>
        <v/>
      </c>
      <c r="BO424">
        <f>((cc_D/2*(1-COS(($BH424+5*($BI424-$BH424)/12)))-$BF424)/$BG424)^2*SIN(($BH424+5*($BI424-$BH424)/12))^2</f>
        <v/>
      </c>
      <c r="BP424">
        <f>((cc_D/2*(1-COS(($BH424+6*($BI424-$BH424)/12)))-$BF424)/$BG424)^2*SIN(($BH424+6*($BI424-$BH424)/12))^2</f>
        <v/>
      </c>
      <c r="BQ424">
        <f>((cc_D/2*(1-COS(($BH424+7*($BI424-$BH424)/12)))-$BF424)/$BG424)^2*SIN(($BH424+7*($BI424-$BH424)/12))^2</f>
        <v/>
      </c>
      <c r="BR424">
        <f>((cc_D/2*(1-COS(($BH424+8*($BI424-$BH424)/12)))-$BF424)/$BG424)^2*SIN(($BH424+8*($BI424-$BH424)/12))^2</f>
        <v/>
      </c>
      <c r="BS424">
        <f>((cc_D/2*(1-COS(($BH424+9*($BI424-$BH424)/12)))-$BF424)/$BG424)^2*SIN(($BH424+9*($BI424-$BH424)/12))^2</f>
        <v/>
      </c>
      <c r="BT424">
        <f>((cc_D/2*(1-COS(($BH424+10*($BI424-$BH424)/12)))-$BF424)/$BG424)^2*SIN(($BH424+10*($BI424-$BH424)/12))^2</f>
        <v/>
      </c>
      <c r="BU424">
        <f>((cc_D/2*(1-COS(($BH424+11*($BI424-$BH424)/12)))-$BF424)/$BG424)^2*SIN(($BH424+11*($BI424-$BH424)/12))^2</f>
        <v/>
      </c>
      <c r="BV424">
        <f>((cc_D/2*(1-COS(($BH424+12*($BI424-$BH424)/12)))-$BF424)/$BG424)^2*SIN(($BH424+12*($BI424-$BH424)/12))^2</f>
        <v/>
      </c>
      <c r="BW424">
        <f>BJ424*COS(($BH424+0*($BI424-$BH424)/12))</f>
        <v/>
      </c>
      <c r="BX424">
        <f>BK424*COS(($BH424+1*($BI424-$BH424)/12))</f>
        <v/>
      </c>
      <c r="BY424">
        <f>BL424*COS(($BH424+2*($BI424-$BH424)/12))</f>
        <v/>
      </c>
      <c r="BZ424">
        <f>BM424*COS(($BH424+3*($BI424-$BH424)/12))</f>
        <v/>
      </c>
      <c r="CA424">
        <f>BN424*COS(($BH424+4*($BI424-$BH424)/12))</f>
        <v/>
      </c>
      <c r="CB424">
        <f>BO424*COS(($BH424+5*($BI424-$BH424)/12))</f>
        <v/>
      </c>
      <c r="CC424">
        <f>BP424*COS(($BH424+6*($BI424-$BH424)/12))</f>
        <v/>
      </c>
      <c r="CD424">
        <f>BQ424*COS(($BH424+7*($BI424-$BH424)/12))</f>
        <v/>
      </c>
      <c r="CE424">
        <f>BR424*COS(($BH424+8*($BI424-$BH424)/12))</f>
        <v/>
      </c>
      <c r="CF424">
        <f>BS424*COS(($BH424+9*($BI424-$BH424)/12))</f>
        <v/>
      </c>
      <c r="CG424">
        <f>BT424*COS(($BH424+10*($BI424-$BH424)/12))</f>
        <v/>
      </c>
      <c r="CH424">
        <f>BU424*COS(($BH424+11*($BI424-$BH424)/12))</f>
        <v/>
      </c>
      <c r="CI424">
        <f>BV424*COS(($BH424+12*($BI424-$BH424)/12))</f>
        <v/>
      </c>
    </row>
    <row r="425">
      <c r="B425" s="65" t="n">
        <v>21</v>
      </c>
      <c r="C425" s="66">
        <f>IF($G424&lt;cc_NEd-1E-9*ABS(cc_NEd),($C424+$D424)/2,$C424)</f>
        <v/>
      </c>
      <c r="D425" s="66">
        <f>IF($G424&lt;cc_NEd-1E-9*ABS(cc_NEd),$D424,($C424+$D424)/2)</f>
        <v/>
      </c>
      <c r="E425" s="67">
        <f>cc_D*(($C425+$D425)/2)/(1-(($C425+$D425)/2))</f>
        <v/>
      </c>
      <c r="F425" s="68">
        <f>IF($E425&lt;=cc_D,3.5,2*$E425/($E425-3*cc_D/7))</f>
        <v/>
      </c>
      <c r="G425" s="67">
        <f>(fcd_cc*((cc_D/2)^2*($BI425-COS($BI425)*SIN($BI425))-2*(cc_D/2)^2*($BI425-$BH425)/12/3*SUMPRODUCT($BJ$4:$BV$4,$BJ425:$BV425))+SUMPRODUCT($J$5:$AG$5,$J425:$AG425))/1000</f>
        <v/>
      </c>
      <c r="H425" s="67">
        <f>(fcd_cc*(2/3*(cc_D/2)^3*SIN($BI425)^3-2*(cc_D/2)^3*($BI425-$BH425)/12/3*SUMPRODUCT($BW$4:$CI$4,$BW425:$CI425))+SUMPRODUCT($J$5:$AG$5,$J425:$AG425,$J$22:$AG$22))/1E6</f>
        <v/>
      </c>
      <c r="I425" s="67">
        <f>SUMPRODUCT($J$5:$AG$5,$J425:$AG425,$J$23:$AG$23)/1E6</f>
        <v/>
      </c>
      <c r="J425">
        <f>MAX(-fyd_cc,MIN(fyd_cc,Es_cc*IF($E425&lt;=cc_D,0.0035*($E425-J$21)/$E425,0.002*($E425-J$21)/($E425-3*cc_D/7))))-fcd_cc*(1-(1-MAX(0,MIN(1,IF($E425&lt;=cc_D,0.0035*($E425-J$21)/$E425,0.002*($E425-J$21)/($E425-3*cc_D/7))/0.002)))^2)</f>
        <v/>
      </c>
      <c r="K425">
        <f>MAX(-fyd_cc,MIN(fyd_cc,Es_cc*IF($E425&lt;=cc_D,0.0035*($E425-K$21)/$E425,0.002*($E425-K$21)/($E425-3*cc_D/7))))-fcd_cc*(1-(1-MAX(0,MIN(1,IF($E425&lt;=cc_D,0.0035*($E425-K$21)/$E425,0.002*($E425-K$21)/($E425-3*cc_D/7))/0.002)))^2)</f>
        <v/>
      </c>
      <c r="L425">
        <f>MAX(-fyd_cc,MIN(fyd_cc,Es_cc*IF($E425&lt;=cc_D,0.0035*($E425-L$21)/$E425,0.002*($E425-L$21)/($E425-3*cc_D/7))))-fcd_cc*(1-(1-MAX(0,MIN(1,IF($E425&lt;=cc_D,0.0035*($E425-L$21)/$E425,0.002*($E425-L$21)/($E425-3*cc_D/7))/0.002)))^2)</f>
        <v/>
      </c>
      <c r="M425">
        <f>MAX(-fyd_cc,MIN(fyd_cc,Es_cc*IF($E425&lt;=cc_D,0.0035*($E425-M$21)/$E425,0.002*($E425-M$21)/($E425-3*cc_D/7))))-fcd_cc*(1-(1-MAX(0,MIN(1,IF($E425&lt;=cc_D,0.0035*($E425-M$21)/$E425,0.002*($E425-M$21)/($E425-3*cc_D/7))/0.002)))^2)</f>
        <v/>
      </c>
      <c r="N425">
        <f>MAX(-fyd_cc,MIN(fyd_cc,Es_cc*IF($E425&lt;=cc_D,0.0035*($E425-N$21)/$E425,0.002*($E425-N$21)/($E425-3*cc_D/7))))-fcd_cc*(1-(1-MAX(0,MIN(1,IF($E425&lt;=cc_D,0.0035*($E425-N$21)/$E425,0.002*($E425-N$21)/($E425-3*cc_D/7))/0.002)))^2)</f>
        <v/>
      </c>
      <c r="O425">
        <f>MAX(-fyd_cc,MIN(fyd_cc,Es_cc*IF($E425&lt;=cc_D,0.0035*($E425-O$21)/$E425,0.002*($E425-O$21)/($E425-3*cc_D/7))))-fcd_cc*(1-(1-MAX(0,MIN(1,IF($E425&lt;=cc_D,0.0035*($E425-O$21)/$E425,0.002*($E425-O$21)/($E425-3*cc_D/7))/0.002)))^2)</f>
        <v/>
      </c>
      <c r="P425">
        <f>MAX(-fyd_cc,MIN(fyd_cc,Es_cc*IF($E425&lt;=cc_D,0.0035*($E425-P$21)/$E425,0.002*($E425-P$21)/($E425-3*cc_D/7))))-fcd_cc*(1-(1-MAX(0,MIN(1,IF($E425&lt;=cc_D,0.0035*($E425-P$21)/$E425,0.002*($E425-P$21)/($E425-3*cc_D/7))/0.002)))^2)</f>
        <v/>
      </c>
      <c r="Q425">
        <f>MAX(-fyd_cc,MIN(fyd_cc,Es_cc*IF($E425&lt;=cc_D,0.0035*($E425-Q$21)/$E425,0.002*($E425-Q$21)/($E425-3*cc_D/7))))-fcd_cc*(1-(1-MAX(0,MIN(1,IF($E425&lt;=cc_D,0.0035*($E425-Q$21)/$E425,0.002*($E425-Q$21)/($E425-3*cc_D/7))/0.002)))^2)</f>
        <v/>
      </c>
      <c r="R425">
        <f>MAX(-fyd_cc,MIN(fyd_cc,Es_cc*IF($E425&lt;=cc_D,0.0035*($E425-R$21)/$E425,0.002*($E425-R$21)/($E425-3*cc_D/7))))-fcd_cc*(1-(1-MAX(0,MIN(1,IF($E425&lt;=cc_D,0.0035*($E425-R$21)/$E425,0.002*($E425-R$21)/($E425-3*cc_D/7))/0.002)))^2)</f>
        <v/>
      </c>
      <c r="S425">
        <f>MAX(-fyd_cc,MIN(fyd_cc,Es_cc*IF($E425&lt;=cc_D,0.0035*($E425-S$21)/$E425,0.002*($E425-S$21)/($E425-3*cc_D/7))))-fcd_cc*(1-(1-MAX(0,MIN(1,IF($E425&lt;=cc_D,0.0035*($E425-S$21)/$E425,0.002*($E425-S$21)/($E425-3*cc_D/7))/0.002)))^2)</f>
        <v/>
      </c>
      <c r="T425">
        <f>MAX(-fyd_cc,MIN(fyd_cc,Es_cc*IF($E425&lt;=cc_D,0.0035*($E425-T$21)/$E425,0.002*($E425-T$21)/($E425-3*cc_D/7))))-fcd_cc*(1-(1-MAX(0,MIN(1,IF($E425&lt;=cc_D,0.0035*($E425-T$21)/$E425,0.002*($E425-T$21)/($E425-3*cc_D/7))/0.002)))^2)</f>
        <v/>
      </c>
      <c r="U425">
        <f>MAX(-fyd_cc,MIN(fyd_cc,Es_cc*IF($E425&lt;=cc_D,0.0035*($E425-U$21)/$E425,0.002*($E425-U$21)/($E425-3*cc_D/7))))-fcd_cc*(1-(1-MAX(0,MIN(1,IF($E425&lt;=cc_D,0.0035*($E425-U$21)/$E425,0.002*($E425-U$21)/($E425-3*cc_D/7))/0.002)))^2)</f>
        <v/>
      </c>
      <c r="V425">
        <f>MAX(-fyd_cc,MIN(fyd_cc,Es_cc*IF($E425&lt;=cc_D,0.0035*($E425-V$21)/$E425,0.002*($E425-V$21)/($E425-3*cc_D/7))))-fcd_cc*(1-(1-MAX(0,MIN(1,IF($E425&lt;=cc_D,0.0035*($E425-V$21)/$E425,0.002*($E425-V$21)/($E425-3*cc_D/7))/0.002)))^2)</f>
        <v/>
      </c>
      <c r="W425">
        <f>MAX(-fyd_cc,MIN(fyd_cc,Es_cc*IF($E425&lt;=cc_D,0.0035*($E425-W$21)/$E425,0.002*($E425-W$21)/($E425-3*cc_D/7))))-fcd_cc*(1-(1-MAX(0,MIN(1,IF($E425&lt;=cc_D,0.0035*($E425-W$21)/$E425,0.002*($E425-W$21)/($E425-3*cc_D/7))/0.002)))^2)</f>
        <v/>
      </c>
      <c r="X425">
        <f>MAX(-fyd_cc,MIN(fyd_cc,Es_cc*IF($E425&lt;=cc_D,0.0035*($E425-X$21)/$E425,0.002*($E425-X$21)/($E425-3*cc_D/7))))-fcd_cc*(1-(1-MAX(0,MIN(1,IF($E425&lt;=cc_D,0.0035*($E425-X$21)/$E425,0.002*($E425-X$21)/($E425-3*cc_D/7))/0.002)))^2)</f>
        <v/>
      </c>
      <c r="Y425">
        <f>MAX(-fyd_cc,MIN(fyd_cc,Es_cc*IF($E425&lt;=cc_D,0.0035*($E425-Y$21)/$E425,0.002*($E425-Y$21)/($E425-3*cc_D/7))))-fcd_cc*(1-(1-MAX(0,MIN(1,IF($E425&lt;=cc_D,0.0035*($E425-Y$21)/$E425,0.002*($E425-Y$21)/($E425-3*cc_D/7))/0.002)))^2)</f>
        <v/>
      </c>
      <c r="Z425">
        <f>MAX(-fyd_cc,MIN(fyd_cc,Es_cc*IF($E425&lt;=cc_D,0.0035*($E425-Z$21)/$E425,0.002*($E425-Z$21)/($E425-3*cc_D/7))))-fcd_cc*(1-(1-MAX(0,MIN(1,IF($E425&lt;=cc_D,0.0035*($E425-Z$21)/$E425,0.002*($E425-Z$21)/($E425-3*cc_D/7))/0.002)))^2)</f>
        <v/>
      </c>
      <c r="AA425">
        <f>MAX(-fyd_cc,MIN(fyd_cc,Es_cc*IF($E425&lt;=cc_D,0.0035*($E425-AA$21)/$E425,0.002*($E425-AA$21)/($E425-3*cc_D/7))))-fcd_cc*(1-(1-MAX(0,MIN(1,IF($E425&lt;=cc_D,0.0035*($E425-AA$21)/$E425,0.002*($E425-AA$21)/($E425-3*cc_D/7))/0.002)))^2)</f>
        <v/>
      </c>
      <c r="AB425">
        <f>MAX(-fyd_cc,MIN(fyd_cc,Es_cc*IF($E425&lt;=cc_D,0.0035*($E425-AB$21)/$E425,0.002*($E425-AB$21)/($E425-3*cc_D/7))))-fcd_cc*(1-(1-MAX(0,MIN(1,IF($E425&lt;=cc_D,0.0035*($E425-AB$21)/$E425,0.002*($E425-AB$21)/($E425-3*cc_D/7))/0.002)))^2)</f>
        <v/>
      </c>
      <c r="AC425">
        <f>MAX(-fyd_cc,MIN(fyd_cc,Es_cc*IF($E425&lt;=cc_D,0.0035*($E425-AC$21)/$E425,0.002*($E425-AC$21)/($E425-3*cc_D/7))))-fcd_cc*(1-(1-MAX(0,MIN(1,IF($E425&lt;=cc_D,0.0035*($E425-AC$21)/$E425,0.002*($E425-AC$21)/($E425-3*cc_D/7))/0.002)))^2)</f>
        <v/>
      </c>
      <c r="AD425">
        <f>MAX(-fyd_cc,MIN(fyd_cc,Es_cc*IF($E425&lt;=cc_D,0.0035*($E425-AD$21)/$E425,0.002*($E425-AD$21)/($E425-3*cc_D/7))))-fcd_cc*(1-(1-MAX(0,MIN(1,IF($E425&lt;=cc_D,0.0035*($E425-AD$21)/$E425,0.002*($E425-AD$21)/($E425-3*cc_D/7))/0.002)))^2)</f>
        <v/>
      </c>
      <c r="AE425">
        <f>MAX(-fyd_cc,MIN(fyd_cc,Es_cc*IF($E425&lt;=cc_D,0.0035*($E425-AE$21)/$E425,0.002*($E425-AE$21)/($E425-3*cc_D/7))))-fcd_cc*(1-(1-MAX(0,MIN(1,IF($E425&lt;=cc_D,0.0035*($E425-AE$21)/$E425,0.002*($E425-AE$21)/($E425-3*cc_D/7))/0.002)))^2)</f>
        <v/>
      </c>
      <c r="AF425">
        <f>MAX(-fyd_cc,MIN(fyd_cc,Es_cc*IF($E425&lt;=cc_D,0.0035*($E425-AF$21)/$E425,0.002*($E425-AF$21)/($E425-3*cc_D/7))))-fcd_cc*(1-(1-MAX(0,MIN(1,IF($E425&lt;=cc_D,0.0035*($E425-AF$21)/$E425,0.002*($E425-AF$21)/($E425-3*cc_D/7))/0.002)))^2)</f>
        <v/>
      </c>
      <c r="AG425">
        <f>MAX(-fyd_cc,MIN(fyd_cc,Es_cc*IF($E425&lt;=cc_D,0.0035*($E425-AG$21)/$E425,0.002*($E425-AG$21)/($E425-3*cc_D/7))))-fcd_cc*(1-(1-MAX(0,MIN(1,IF($E425&lt;=cc_D,0.0035*($E425-AG$21)/$E425,0.002*($E425-AG$21)/($E425-3*cc_D/7))/0.002)))^2)</f>
        <v/>
      </c>
      <c r="BF425">
        <f>3*MIN($E425,cc_D)/7</f>
        <v/>
      </c>
      <c r="BG425">
        <f>$E425-$BF425</f>
        <v/>
      </c>
      <c r="BH425">
        <f>ACOS(MAX(-1,MIN(1,1-$BF425/(cc_D/2))))</f>
        <v/>
      </c>
      <c r="BI425">
        <f>ACOS(MAX(-1,MIN(1,1-MIN($E425,cc_D)/(cc_D/2))))</f>
        <v/>
      </c>
      <c r="BJ425">
        <f>((cc_D/2*(1-COS(($BH425+0*($BI425-$BH425)/12)))-$BF425)/$BG425)^2*SIN(($BH425+0*($BI425-$BH425)/12))^2</f>
        <v/>
      </c>
      <c r="BK425">
        <f>((cc_D/2*(1-COS(($BH425+1*($BI425-$BH425)/12)))-$BF425)/$BG425)^2*SIN(($BH425+1*($BI425-$BH425)/12))^2</f>
        <v/>
      </c>
      <c r="BL425">
        <f>((cc_D/2*(1-COS(($BH425+2*($BI425-$BH425)/12)))-$BF425)/$BG425)^2*SIN(($BH425+2*($BI425-$BH425)/12))^2</f>
        <v/>
      </c>
      <c r="BM425">
        <f>((cc_D/2*(1-COS(($BH425+3*($BI425-$BH425)/12)))-$BF425)/$BG425)^2*SIN(($BH425+3*($BI425-$BH425)/12))^2</f>
        <v/>
      </c>
      <c r="BN425">
        <f>((cc_D/2*(1-COS(($BH425+4*($BI425-$BH425)/12)))-$BF425)/$BG425)^2*SIN(($BH425+4*($BI425-$BH425)/12))^2</f>
        <v/>
      </c>
      <c r="BO425">
        <f>((cc_D/2*(1-COS(($BH425+5*($BI425-$BH425)/12)))-$BF425)/$BG425)^2*SIN(($BH425+5*($BI425-$BH425)/12))^2</f>
        <v/>
      </c>
      <c r="BP425">
        <f>((cc_D/2*(1-COS(($BH425+6*($BI425-$BH425)/12)))-$BF425)/$BG425)^2*SIN(($BH425+6*($BI425-$BH425)/12))^2</f>
        <v/>
      </c>
      <c r="BQ425">
        <f>((cc_D/2*(1-COS(($BH425+7*($BI425-$BH425)/12)))-$BF425)/$BG425)^2*SIN(($BH425+7*($BI425-$BH425)/12))^2</f>
        <v/>
      </c>
      <c r="BR425">
        <f>((cc_D/2*(1-COS(($BH425+8*($BI425-$BH425)/12)))-$BF425)/$BG425)^2*SIN(($BH425+8*($BI425-$BH425)/12))^2</f>
        <v/>
      </c>
      <c r="BS425">
        <f>((cc_D/2*(1-COS(($BH425+9*($BI425-$BH425)/12)))-$BF425)/$BG425)^2*SIN(($BH425+9*($BI425-$BH425)/12))^2</f>
        <v/>
      </c>
      <c r="BT425">
        <f>((cc_D/2*(1-COS(($BH425+10*($BI425-$BH425)/12)))-$BF425)/$BG425)^2*SIN(($BH425+10*($BI425-$BH425)/12))^2</f>
        <v/>
      </c>
      <c r="BU425">
        <f>((cc_D/2*(1-COS(($BH425+11*($BI425-$BH425)/12)))-$BF425)/$BG425)^2*SIN(($BH425+11*($BI425-$BH425)/12))^2</f>
        <v/>
      </c>
      <c r="BV425">
        <f>((cc_D/2*(1-COS(($BH425+12*($BI425-$BH425)/12)))-$BF425)/$BG425)^2*SIN(($BH425+12*($BI425-$BH425)/12))^2</f>
        <v/>
      </c>
      <c r="BW425">
        <f>BJ425*COS(($BH425+0*($BI425-$BH425)/12))</f>
        <v/>
      </c>
      <c r="BX425">
        <f>BK425*COS(($BH425+1*($BI425-$BH425)/12))</f>
        <v/>
      </c>
      <c r="BY425">
        <f>BL425*COS(($BH425+2*($BI425-$BH425)/12))</f>
        <v/>
      </c>
      <c r="BZ425">
        <f>BM425*COS(($BH425+3*($BI425-$BH425)/12))</f>
        <v/>
      </c>
      <c r="CA425">
        <f>BN425*COS(($BH425+4*($BI425-$BH425)/12))</f>
        <v/>
      </c>
      <c r="CB425">
        <f>BO425*COS(($BH425+5*($BI425-$BH425)/12))</f>
        <v/>
      </c>
      <c r="CC425">
        <f>BP425*COS(($BH425+6*($BI425-$BH425)/12))</f>
        <v/>
      </c>
      <c r="CD425">
        <f>BQ425*COS(($BH425+7*($BI425-$BH425)/12))</f>
        <v/>
      </c>
      <c r="CE425">
        <f>BR425*COS(($BH425+8*($BI425-$BH425)/12))</f>
        <v/>
      </c>
      <c r="CF425">
        <f>BS425*COS(($BH425+9*($BI425-$BH425)/12))</f>
        <v/>
      </c>
      <c r="CG425">
        <f>BT425*COS(($BH425+10*($BI425-$BH425)/12))</f>
        <v/>
      </c>
      <c r="CH425">
        <f>BU425*COS(($BH425+11*($BI425-$BH425)/12))</f>
        <v/>
      </c>
      <c r="CI425">
        <f>BV425*COS(($BH425+12*($BI425-$BH425)/12))</f>
        <v/>
      </c>
    </row>
    <row r="426">
      <c r="B426" s="65" t="n">
        <v>22</v>
      </c>
      <c r="C426" s="66">
        <f>IF($G425&lt;cc_NEd-1E-9*ABS(cc_NEd),($C425+$D425)/2,$C425)</f>
        <v/>
      </c>
      <c r="D426" s="66">
        <f>IF($G425&lt;cc_NEd-1E-9*ABS(cc_NEd),$D425,($C425+$D425)/2)</f>
        <v/>
      </c>
      <c r="E426" s="67">
        <f>cc_D*(($C426+$D426)/2)/(1-(($C426+$D426)/2))</f>
        <v/>
      </c>
      <c r="F426" s="68">
        <f>IF($E426&lt;=cc_D,3.5,2*$E426/($E426-3*cc_D/7))</f>
        <v/>
      </c>
      <c r="G426" s="67">
        <f>(fcd_cc*((cc_D/2)^2*($BI426-COS($BI426)*SIN($BI426))-2*(cc_D/2)^2*($BI426-$BH426)/12/3*SUMPRODUCT($BJ$4:$BV$4,$BJ426:$BV426))+SUMPRODUCT($J$5:$AG$5,$J426:$AG426))/1000</f>
        <v/>
      </c>
      <c r="H426" s="67">
        <f>(fcd_cc*(2/3*(cc_D/2)^3*SIN($BI426)^3-2*(cc_D/2)^3*($BI426-$BH426)/12/3*SUMPRODUCT($BW$4:$CI$4,$BW426:$CI426))+SUMPRODUCT($J$5:$AG$5,$J426:$AG426,$J$22:$AG$22))/1E6</f>
        <v/>
      </c>
      <c r="I426" s="67">
        <f>SUMPRODUCT($J$5:$AG$5,$J426:$AG426,$J$23:$AG$23)/1E6</f>
        <v/>
      </c>
      <c r="J426">
        <f>MAX(-fyd_cc,MIN(fyd_cc,Es_cc*IF($E426&lt;=cc_D,0.0035*($E426-J$21)/$E426,0.002*($E426-J$21)/($E426-3*cc_D/7))))-fcd_cc*(1-(1-MAX(0,MIN(1,IF($E426&lt;=cc_D,0.0035*($E426-J$21)/$E426,0.002*($E426-J$21)/($E426-3*cc_D/7))/0.002)))^2)</f>
        <v/>
      </c>
      <c r="K426">
        <f>MAX(-fyd_cc,MIN(fyd_cc,Es_cc*IF($E426&lt;=cc_D,0.0035*($E426-K$21)/$E426,0.002*($E426-K$21)/($E426-3*cc_D/7))))-fcd_cc*(1-(1-MAX(0,MIN(1,IF($E426&lt;=cc_D,0.0035*($E426-K$21)/$E426,0.002*($E426-K$21)/($E426-3*cc_D/7))/0.002)))^2)</f>
        <v/>
      </c>
      <c r="L426">
        <f>MAX(-fyd_cc,MIN(fyd_cc,Es_cc*IF($E426&lt;=cc_D,0.0035*($E426-L$21)/$E426,0.002*($E426-L$21)/($E426-3*cc_D/7))))-fcd_cc*(1-(1-MAX(0,MIN(1,IF($E426&lt;=cc_D,0.0035*($E426-L$21)/$E426,0.002*($E426-L$21)/($E426-3*cc_D/7))/0.002)))^2)</f>
        <v/>
      </c>
      <c r="M426">
        <f>MAX(-fyd_cc,MIN(fyd_cc,Es_cc*IF($E426&lt;=cc_D,0.0035*($E426-M$21)/$E426,0.002*($E426-M$21)/($E426-3*cc_D/7))))-fcd_cc*(1-(1-MAX(0,MIN(1,IF($E426&lt;=cc_D,0.0035*($E426-M$21)/$E426,0.002*($E426-M$21)/($E426-3*cc_D/7))/0.002)))^2)</f>
        <v/>
      </c>
      <c r="N426">
        <f>MAX(-fyd_cc,MIN(fyd_cc,Es_cc*IF($E426&lt;=cc_D,0.0035*($E426-N$21)/$E426,0.002*($E426-N$21)/($E426-3*cc_D/7))))-fcd_cc*(1-(1-MAX(0,MIN(1,IF($E426&lt;=cc_D,0.0035*($E426-N$21)/$E426,0.002*($E426-N$21)/($E426-3*cc_D/7))/0.002)))^2)</f>
        <v/>
      </c>
      <c r="O426">
        <f>MAX(-fyd_cc,MIN(fyd_cc,Es_cc*IF($E426&lt;=cc_D,0.0035*($E426-O$21)/$E426,0.002*($E426-O$21)/($E426-3*cc_D/7))))-fcd_cc*(1-(1-MAX(0,MIN(1,IF($E426&lt;=cc_D,0.0035*($E426-O$21)/$E426,0.002*($E426-O$21)/($E426-3*cc_D/7))/0.002)))^2)</f>
        <v/>
      </c>
      <c r="P426">
        <f>MAX(-fyd_cc,MIN(fyd_cc,Es_cc*IF($E426&lt;=cc_D,0.0035*($E426-P$21)/$E426,0.002*($E426-P$21)/($E426-3*cc_D/7))))-fcd_cc*(1-(1-MAX(0,MIN(1,IF($E426&lt;=cc_D,0.0035*($E426-P$21)/$E426,0.002*($E426-P$21)/($E426-3*cc_D/7))/0.002)))^2)</f>
        <v/>
      </c>
      <c r="Q426">
        <f>MAX(-fyd_cc,MIN(fyd_cc,Es_cc*IF($E426&lt;=cc_D,0.0035*($E426-Q$21)/$E426,0.002*($E426-Q$21)/($E426-3*cc_D/7))))-fcd_cc*(1-(1-MAX(0,MIN(1,IF($E426&lt;=cc_D,0.0035*($E426-Q$21)/$E426,0.002*($E426-Q$21)/($E426-3*cc_D/7))/0.002)))^2)</f>
        <v/>
      </c>
      <c r="R426">
        <f>MAX(-fyd_cc,MIN(fyd_cc,Es_cc*IF($E426&lt;=cc_D,0.0035*($E426-R$21)/$E426,0.002*($E426-R$21)/($E426-3*cc_D/7))))-fcd_cc*(1-(1-MAX(0,MIN(1,IF($E426&lt;=cc_D,0.0035*($E426-R$21)/$E426,0.002*($E426-R$21)/($E426-3*cc_D/7))/0.002)))^2)</f>
        <v/>
      </c>
      <c r="S426">
        <f>MAX(-fyd_cc,MIN(fyd_cc,Es_cc*IF($E426&lt;=cc_D,0.0035*($E426-S$21)/$E426,0.002*($E426-S$21)/($E426-3*cc_D/7))))-fcd_cc*(1-(1-MAX(0,MIN(1,IF($E426&lt;=cc_D,0.0035*($E426-S$21)/$E426,0.002*($E426-S$21)/($E426-3*cc_D/7))/0.002)))^2)</f>
        <v/>
      </c>
      <c r="T426">
        <f>MAX(-fyd_cc,MIN(fyd_cc,Es_cc*IF($E426&lt;=cc_D,0.0035*($E426-T$21)/$E426,0.002*($E426-T$21)/($E426-3*cc_D/7))))-fcd_cc*(1-(1-MAX(0,MIN(1,IF($E426&lt;=cc_D,0.0035*($E426-T$21)/$E426,0.002*($E426-T$21)/($E426-3*cc_D/7))/0.002)))^2)</f>
        <v/>
      </c>
      <c r="U426">
        <f>MAX(-fyd_cc,MIN(fyd_cc,Es_cc*IF($E426&lt;=cc_D,0.0035*($E426-U$21)/$E426,0.002*($E426-U$21)/($E426-3*cc_D/7))))-fcd_cc*(1-(1-MAX(0,MIN(1,IF($E426&lt;=cc_D,0.0035*($E426-U$21)/$E426,0.002*($E426-U$21)/($E426-3*cc_D/7))/0.002)))^2)</f>
        <v/>
      </c>
      <c r="V426">
        <f>MAX(-fyd_cc,MIN(fyd_cc,Es_cc*IF($E426&lt;=cc_D,0.0035*($E426-V$21)/$E426,0.002*($E426-V$21)/($E426-3*cc_D/7))))-fcd_cc*(1-(1-MAX(0,MIN(1,IF($E426&lt;=cc_D,0.0035*($E426-V$21)/$E426,0.002*($E426-V$21)/($E426-3*cc_D/7))/0.002)))^2)</f>
        <v/>
      </c>
      <c r="W426">
        <f>MAX(-fyd_cc,MIN(fyd_cc,Es_cc*IF($E426&lt;=cc_D,0.0035*($E426-W$21)/$E426,0.002*($E426-W$21)/($E426-3*cc_D/7))))-fcd_cc*(1-(1-MAX(0,MIN(1,IF($E426&lt;=cc_D,0.0035*($E426-W$21)/$E426,0.002*($E426-W$21)/($E426-3*cc_D/7))/0.002)))^2)</f>
        <v/>
      </c>
      <c r="X426">
        <f>MAX(-fyd_cc,MIN(fyd_cc,Es_cc*IF($E426&lt;=cc_D,0.0035*($E426-X$21)/$E426,0.002*($E426-X$21)/($E426-3*cc_D/7))))-fcd_cc*(1-(1-MAX(0,MIN(1,IF($E426&lt;=cc_D,0.0035*($E426-X$21)/$E426,0.002*($E426-X$21)/($E426-3*cc_D/7))/0.002)))^2)</f>
        <v/>
      </c>
      <c r="Y426">
        <f>MAX(-fyd_cc,MIN(fyd_cc,Es_cc*IF($E426&lt;=cc_D,0.0035*($E426-Y$21)/$E426,0.002*($E426-Y$21)/($E426-3*cc_D/7))))-fcd_cc*(1-(1-MAX(0,MIN(1,IF($E426&lt;=cc_D,0.0035*($E426-Y$21)/$E426,0.002*($E426-Y$21)/($E426-3*cc_D/7))/0.002)))^2)</f>
        <v/>
      </c>
      <c r="Z426">
        <f>MAX(-fyd_cc,MIN(fyd_cc,Es_cc*IF($E426&lt;=cc_D,0.0035*($E426-Z$21)/$E426,0.002*($E426-Z$21)/($E426-3*cc_D/7))))-fcd_cc*(1-(1-MAX(0,MIN(1,IF($E426&lt;=cc_D,0.0035*($E426-Z$21)/$E426,0.002*($E426-Z$21)/($E426-3*cc_D/7))/0.002)))^2)</f>
        <v/>
      </c>
      <c r="AA426">
        <f>MAX(-fyd_cc,MIN(fyd_cc,Es_cc*IF($E426&lt;=cc_D,0.0035*($E426-AA$21)/$E426,0.002*($E426-AA$21)/($E426-3*cc_D/7))))-fcd_cc*(1-(1-MAX(0,MIN(1,IF($E426&lt;=cc_D,0.0035*($E426-AA$21)/$E426,0.002*($E426-AA$21)/($E426-3*cc_D/7))/0.002)))^2)</f>
        <v/>
      </c>
      <c r="AB426">
        <f>MAX(-fyd_cc,MIN(fyd_cc,Es_cc*IF($E426&lt;=cc_D,0.0035*($E426-AB$21)/$E426,0.002*($E426-AB$21)/($E426-3*cc_D/7))))-fcd_cc*(1-(1-MAX(0,MIN(1,IF($E426&lt;=cc_D,0.0035*($E426-AB$21)/$E426,0.002*($E426-AB$21)/($E426-3*cc_D/7))/0.002)))^2)</f>
        <v/>
      </c>
      <c r="AC426">
        <f>MAX(-fyd_cc,MIN(fyd_cc,Es_cc*IF($E426&lt;=cc_D,0.0035*($E426-AC$21)/$E426,0.002*($E426-AC$21)/($E426-3*cc_D/7))))-fcd_cc*(1-(1-MAX(0,MIN(1,IF($E426&lt;=cc_D,0.0035*($E426-AC$21)/$E426,0.002*($E426-AC$21)/($E426-3*cc_D/7))/0.002)))^2)</f>
        <v/>
      </c>
      <c r="AD426">
        <f>MAX(-fyd_cc,MIN(fyd_cc,Es_cc*IF($E426&lt;=cc_D,0.0035*($E426-AD$21)/$E426,0.002*($E426-AD$21)/($E426-3*cc_D/7))))-fcd_cc*(1-(1-MAX(0,MIN(1,IF($E426&lt;=cc_D,0.0035*($E426-AD$21)/$E426,0.002*($E426-AD$21)/($E426-3*cc_D/7))/0.002)))^2)</f>
        <v/>
      </c>
      <c r="AE426">
        <f>MAX(-fyd_cc,MIN(fyd_cc,Es_cc*IF($E426&lt;=cc_D,0.0035*($E426-AE$21)/$E426,0.002*($E426-AE$21)/($E426-3*cc_D/7))))-fcd_cc*(1-(1-MAX(0,MIN(1,IF($E426&lt;=cc_D,0.0035*($E426-AE$21)/$E426,0.002*($E426-AE$21)/($E426-3*cc_D/7))/0.002)))^2)</f>
        <v/>
      </c>
      <c r="AF426">
        <f>MAX(-fyd_cc,MIN(fyd_cc,Es_cc*IF($E426&lt;=cc_D,0.0035*($E426-AF$21)/$E426,0.002*($E426-AF$21)/($E426-3*cc_D/7))))-fcd_cc*(1-(1-MAX(0,MIN(1,IF($E426&lt;=cc_D,0.0035*($E426-AF$21)/$E426,0.002*($E426-AF$21)/($E426-3*cc_D/7))/0.002)))^2)</f>
        <v/>
      </c>
      <c r="AG426">
        <f>MAX(-fyd_cc,MIN(fyd_cc,Es_cc*IF($E426&lt;=cc_D,0.0035*($E426-AG$21)/$E426,0.002*($E426-AG$21)/($E426-3*cc_D/7))))-fcd_cc*(1-(1-MAX(0,MIN(1,IF($E426&lt;=cc_D,0.0035*($E426-AG$21)/$E426,0.002*($E426-AG$21)/($E426-3*cc_D/7))/0.002)))^2)</f>
        <v/>
      </c>
      <c r="BF426">
        <f>3*MIN($E426,cc_D)/7</f>
        <v/>
      </c>
      <c r="BG426">
        <f>$E426-$BF426</f>
        <v/>
      </c>
      <c r="BH426">
        <f>ACOS(MAX(-1,MIN(1,1-$BF426/(cc_D/2))))</f>
        <v/>
      </c>
      <c r="BI426">
        <f>ACOS(MAX(-1,MIN(1,1-MIN($E426,cc_D)/(cc_D/2))))</f>
        <v/>
      </c>
      <c r="BJ426">
        <f>((cc_D/2*(1-COS(($BH426+0*($BI426-$BH426)/12)))-$BF426)/$BG426)^2*SIN(($BH426+0*($BI426-$BH426)/12))^2</f>
        <v/>
      </c>
      <c r="BK426">
        <f>((cc_D/2*(1-COS(($BH426+1*($BI426-$BH426)/12)))-$BF426)/$BG426)^2*SIN(($BH426+1*($BI426-$BH426)/12))^2</f>
        <v/>
      </c>
      <c r="BL426">
        <f>((cc_D/2*(1-COS(($BH426+2*($BI426-$BH426)/12)))-$BF426)/$BG426)^2*SIN(($BH426+2*($BI426-$BH426)/12))^2</f>
        <v/>
      </c>
      <c r="BM426">
        <f>((cc_D/2*(1-COS(($BH426+3*($BI426-$BH426)/12)))-$BF426)/$BG426)^2*SIN(($BH426+3*($BI426-$BH426)/12))^2</f>
        <v/>
      </c>
      <c r="BN426">
        <f>((cc_D/2*(1-COS(($BH426+4*($BI426-$BH426)/12)))-$BF426)/$BG426)^2*SIN(($BH426+4*($BI426-$BH426)/12))^2</f>
        <v/>
      </c>
      <c r="BO426">
        <f>((cc_D/2*(1-COS(($BH426+5*($BI426-$BH426)/12)))-$BF426)/$BG426)^2*SIN(($BH426+5*($BI426-$BH426)/12))^2</f>
        <v/>
      </c>
      <c r="BP426">
        <f>((cc_D/2*(1-COS(($BH426+6*($BI426-$BH426)/12)))-$BF426)/$BG426)^2*SIN(($BH426+6*($BI426-$BH426)/12))^2</f>
        <v/>
      </c>
      <c r="BQ426">
        <f>((cc_D/2*(1-COS(($BH426+7*($BI426-$BH426)/12)))-$BF426)/$BG426)^2*SIN(($BH426+7*($BI426-$BH426)/12))^2</f>
        <v/>
      </c>
      <c r="BR426">
        <f>((cc_D/2*(1-COS(($BH426+8*($BI426-$BH426)/12)))-$BF426)/$BG426)^2*SIN(($BH426+8*($BI426-$BH426)/12))^2</f>
        <v/>
      </c>
      <c r="BS426">
        <f>((cc_D/2*(1-COS(($BH426+9*($BI426-$BH426)/12)))-$BF426)/$BG426)^2*SIN(($BH426+9*($BI426-$BH426)/12))^2</f>
        <v/>
      </c>
      <c r="BT426">
        <f>((cc_D/2*(1-COS(($BH426+10*($BI426-$BH426)/12)))-$BF426)/$BG426)^2*SIN(($BH426+10*($BI426-$BH426)/12))^2</f>
        <v/>
      </c>
      <c r="BU426">
        <f>((cc_D/2*(1-COS(($BH426+11*($BI426-$BH426)/12)))-$BF426)/$BG426)^2*SIN(($BH426+11*($BI426-$BH426)/12))^2</f>
        <v/>
      </c>
      <c r="BV426">
        <f>((cc_D/2*(1-COS(($BH426+12*($BI426-$BH426)/12)))-$BF426)/$BG426)^2*SIN(($BH426+12*($BI426-$BH426)/12))^2</f>
        <v/>
      </c>
      <c r="BW426">
        <f>BJ426*COS(($BH426+0*($BI426-$BH426)/12))</f>
        <v/>
      </c>
      <c r="BX426">
        <f>BK426*COS(($BH426+1*($BI426-$BH426)/12))</f>
        <v/>
      </c>
      <c r="BY426">
        <f>BL426*COS(($BH426+2*($BI426-$BH426)/12))</f>
        <v/>
      </c>
      <c r="BZ426">
        <f>BM426*COS(($BH426+3*($BI426-$BH426)/12))</f>
        <v/>
      </c>
      <c r="CA426">
        <f>BN426*COS(($BH426+4*($BI426-$BH426)/12))</f>
        <v/>
      </c>
      <c r="CB426">
        <f>BO426*COS(($BH426+5*($BI426-$BH426)/12))</f>
        <v/>
      </c>
      <c r="CC426">
        <f>BP426*COS(($BH426+6*($BI426-$BH426)/12))</f>
        <v/>
      </c>
      <c r="CD426">
        <f>BQ426*COS(($BH426+7*($BI426-$BH426)/12))</f>
        <v/>
      </c>
      <c r="CE426">
        <f>BR426*COS(($BH426+8*($BI426-$BH426)/12))</f>
        <v/>
      </c>
      <c r="CF426">
        <f>BS426*COS(($BH426+9*($BI426-$BH426)/12))</f>
        <v/>
      </c>
      <c r="CG426">
        <f>BT426*COS(($BH426+10*($BI426-$BH426)/12))</f>
        <v/>
      </c>
      <c r="CH426">
        <f>BU426*COS(($BH426+11*($BI426-$BH426)/12))</f>
        <v/>
      </c>
      <c r="CI426">
        <f>BV426*COS(($BH426+12*($BI426-$BH426)/12))</f>
        <v/>
      </c>
    </row>
    <row r="427">
      <c r="B427" s="65" t="n">
        <v>23</v>
      </c>
      <c r="C427" s="66">
        <f>IF($G426&lt;cc_NEd-1E-9*ABS(cc_NEd),($C426+$D426)/2,$C426)</f>
        <v/>
      </c>
      <c r="D427" s="66">
        <f>IF($G426&lt;cc_NEd-1E-9*ABS(cc_NEd),$D426,($C426+$D426)/2)</f>
        <v/>
      </c>
      <c r="E427" s="67">
        <f>cc_D*(($C427+$D427)/2)/(1-(($C427+$D427)/2))</f>
        <v/>
      </c>
      <c r="F427" s="68">
        <f>IF($E427&lt;=cc_D,3.5,2*$E427/($E427-3*cc_D/7))</f>
        <v/>
      </c>
      <c r="G427" s="67">
        <f>(fcd_cc*((cc_D/2)^2*($BI427-COS($BI427)*SIN($BI427))-2*(cc_D/2)^2*($BI427-$BH427)/12/3*SUMPRODUCT($BJ$4:$BV$4,$BJ427:$BV427))+SUMPRODUCT($J$5:$AG$5,$J427:$AG427))/1000</f>
        <v/>
      </c>
      <c r="H427" s="67">
        <f>(fcd_cc*(2/3*(cc_D/2)^3*SIN($BI427)^3-2*(cc_D/2)^3*($BI427-$BH427)/12/3*SUMPRODUCT($BW$4:$CI$4,$BW427:$CI427))+SUMPRODUCT($J$5:$AG$5,$J427:$AG427,$J$22:$AG$22))/1E6</f>
        <v/>
      </c>
      <c r="I427" s="67">
        <f>SUMPRODUCT($J$5:$AG$5,$J427:$AG427,$J$23:$AG$23)/1E6</f>
        <v/>
      </c>
      <c r="J427">
        <f>MAX(-fyd_cc,MIN(fyd_cc,Es_cc*IF($E427&lt;=cc_D,0.0035*($E427-J$21)/$E427,0.002*($E427-J$21)/($E427-3*cc_D/7))))-fcd_cc*(1-(1-MAX(0,MIN(1,IF($E427&lt;=cc_D,0.0035*($E427-J$21)/$E427,0.002*($E427-J$21)/($E427-3*cc_D/7))/0.002)))^2)</f>
        <v/>
      </c>
      <c r="K427">
        <f>MAX(-fyd_cc,MIN(fyd_cc,Es_cc*IF($E427&lt;=cc_D,0.0035*($E427-K$21)/$E427,0.002*($E427-K$21)/($E427-3*cc_D/7))))-fcd_cc*(1-(1-MAX(0,MIN(1,IF($E427&lt;=cc_D,0.0035*($E427-K$21)/$E427,0.002*($E427-K$21)/($E427-3*cc_D/7))/0.002)))^2)</f>
        <v/>
      </c>
      <c r="L427">
        <f>MAX(-fyd_cc,MIN(fyd_cc,Es_cc*IF($E427&lt;=cc_D,0.0035*($E427-L$21)/$E427,0.002*($E427-L$21)/($E427-3*cc_D/7))))-fcd_cc*(1-(1-MAX(0,MIN(1,IF($E427&lt;=cc_D,0.0035*($E427-L$21)/$E427,0.002*($E427-L$21)/($E427-3*cc_D/7))/0.002)))^2)</f>
        <v/>
      </c>
      <c r="M427">
        <f>MAX(-fyd_cc,MIN(fyd_cc,Es_cc*IF($E427&lt;=cc_D,0.0035*($E427-M$21)/$E427,0.002*($E427-M$21)/($E427-3*cc_D/7))))-fcd_cc*(1-(1-MAX(0,MIN(1,IF($E427&lt;=cc_D,0.0035*($E427-M$21)/$E427,0.002*($E427-M$21)/($E427-3*cc_D/7))/0.002)))^2)</f>
        <v/>
      </c>
      <c r="N427">
        <f>MAX(-fyd_cc,MIN(fyd_cc,Es_cc*IF($E427&lt;=cc_D,0.0035*($E427-N$21)/$E427,0.002*($E427-N$21)/($E427-3*cc_D/7))))-fcd_cc*(1-(1-MAX(0,MIN(1,IF($E427&lt;=cc_D,0.0035*($E427-N$21)/$E427,0.002*($E427-N$21)/($E427-3*cc_D/7))/0.002)))^2)</f>
        <v/>
      </c>
      <c r="O427">
        <f>MAX(-fyd_cc,MIN(fyd_cc,Es_cc*IF($E427&lt;=cc_D,0.0035*($E427-O$21)/$E427,0.002*($E427-O$21)/($E427-3*cc_D/7))))-fcd_cc*(1-(1-MAX(0,MIN(1,IF($E427&lt;=cc_D,0.0035*($E427-O$21)/$E427,0.002*($E427-O$21)/($E427-3*cc_D/7))/0.002)))^2)</f>
        <v/>
      </c>
      <c r="P427">
        <f>MAX(-fyd_cc,MIN(fyd_cc,Es_cc*IF($E427&lt;=cc_D,0.0035*($E427-P$21)/$E427,0.002*($E427-P$21)/($E427-3*cc_D/7))))-fcd_cc*(1-(1-MAX(0,MIN(1,IF($E427&lt;=cc_D,0.0035*($E427-P$21)/$E427,0.002*($E427-P$21)/($E427-3*cc_D/7))/0.002)))^2)</f>
        <v/>
      </c>
      <c r="Q427">
        <f>MAX(-fyd_cc,MIN(fyd_cc,Es_cc*IF($E427&lt;=cc_D,0.0035*($E427-Q$21)/$E427,0.002*($E427-Q$21)/($E427-3*cc_D/7))))-fcd_cc*(1-(1-MAX(0,MIN(1,IF($E427&lt;=cc_D,0.0035*($E427-Q$21)/$E427,0.002*($E427-Q$21)/($E427-3*cc_D/7))/0.002)))^2)</f>
        <v/>
      </c>
      <c r="R427">
        <f>MAX(-fyd_cc,MIN(fyd_cc,Es_cc*IF($E427&lt;=cc_D,0.0035*($E427-R$21)/$E427,0.002*($E427-R$21)/($E427-3*cc_D/7))))-fcd_cc*(1-(1-MAX(0,MIN(1,IF($E427&lt;=cc_D,0.0035*($E427-R$21)/$E427,0.002*($E427-R$21)/($E427-3*cc_D/7))/0.002)))^2)</f>
        <v/>
      </c>
      <c r="S427">
        <f>MAX(-fyd_cc,MIN(fyd_cc,Es_cc*IF($E427&lt;=cc_D,0.0035*($E427-S$21)/$E427,0.002*($E427-S$21)/($E427-3*cc_D/7))))-fcd_cc*(1-(1-MAX(0,MIN(1,IF($E427&lt;=cc_D,0.0035*($E427-S$21)/$E427,0.002*($E427-S$21)/($E427-3*cc_D/7))/0.002)))^2)</f>
        <v/>
      </c>
      <c r="T427">
        <f>MAX(-fyd_cc,MIN(fyd_cc,Es_cc*IF($E427&lt;=cc_D,0.0035*($E427-T$21)/$E427,0.002*($E427-T$21)/($E427-3*cc_D/7))))-fcd_cc*(1-(1-MAX(0,MIN(1,IF($E427&lt;=cc_D,0.0035*($E427-T$21)/$E427,0.002*($E427-T$21)/($E427-3*cc_D/7))/0.002)))^2)</f>
        <v/>
      </c>
      <c r="U427">
        <f>MAX(-fyd_cc,MIN(fyd_cc,Es_cc*IF($E427&lt;=cc_D,0.0035*($E427-U$21)/$E427,0.002*($E427-U$21)/($E427-3*cc_D/7))))-fcd_cc*(1-(1-MAX(0,MIN(1,IF($E427&lt;=cc_D,0.0035*($E427-U$21)/$E427,0.002*($E427-U$21)/($E427-3*cc_D/7))/0.002)))^2)</f>
        <v/>
      </c>
      <c r="V427">
        <f>MAX(-fyd_cc,MIN(fyd_cc,Es_cc*IF($E427&lt;=cc_D,0.0035*($E427-V$21)/$E427,0.002*($E427-V$21)/($E427-3*cc_D/7))))-fcd_cc*(1-(1-MAX(0,MIN(1,IF($E427&lt;=cc_D,0.0035*($E427-V$21)/$E427,0.002*($E427-V$21)/($E427-3*cc_D/7))/0.002)))^2)</f>
        <v/>
      </c>
      <c r="W427">
        <f>MAX(-fyd_cc,MIN(fyd_cc,Es_cc*IF($E427&lt;=cc_D,0.0035*($E427-W$21)/$E427,0.002*($E427-W$21)/($E427-3*cc_D/7))))-fcd_cc*(1-(1-MAX(0,MIN(1,IF($E427&lt;=cc_D,0.0035*($E427-W$21)/$E427,0.002*($E427-W$21)/($E427-3*cc_D/7))/0.002)))^2)</f>
        <v/>
      </c>
      <c r="X427">
        <f>MAX(-fyd_cc,MIN(fyd_cc,Es_cc*IF($E427&lt;=cc_D,0.0035*($E427-X$21)/$E427,0.002*($E427-X$21)/($E427-3*cc_D/7))))-fcd_cc*(1-(1-MAX(0,MIN(1,IF($E427&lt;=cc_D,0.0035*($E427-X$21)/$E427,0.002*($E427-X$21)/($E427-3*cc_D/7))/0.002)))^2)</f>
        <v/>
      </c>
      <c r="Y427">
        <f>MAX(-fyd_cc,MIN(fyd_cc,Es_cc*IF($E427&lt;=cc_D,0.0035*($E427-Y$21)/$E427,0.002*($E427-Y$21)/($E427-3*cc_D/7))))-fcd_cc*(1-(1-MAX(0,MIN(1,IF($E427&lt;=cc_D,0.0035*($E427-Y$21)/$E427,0.002*($E427-Y$21)/($E427-3*cc_D/7))/0.002)))^2)</f>
        <v/>
      </c>
      <c r="Z427">
        <f>MAX(-fyd_cc,MIN(fyd_cc,Es_cc*IF($E427&lt;=cc_D,0.0035*($E427-Z$21)/$E427,0.002*($E427-Z$21)/($E427-3*cc_D/7))))-fcd_cc*(1-(1-MAX(0,MIN(1,IF($E427&lt;=cc_D,0.0035*($E427-Z$21)/$E427,0.002*($E427-Z$21)/($E427-3*cc_D/7))/0.002)))^2)</f>
        <v/>
      </c>
      <c r="AA427">
        <f>MAX(-fyd_cc,MIN(fyd_cc,Es_cc*IF($E427&lt;=cc_D,0.0035*($E427-AA$21)/$E427,0.002*($E427-AA$21)/($E427-3*cc_D/7))))-fcd_cc*(1-(1-MAX(0,MIN(1,IF($E427&lt;=cc_D,0.0035*($E427-AA$21)/$E427,0.002*($E427-AA$21)/($E427-3*cc_D/7))/0.002)))^2)</f>
        <v/>
      </c>
      <c r="AB427">
        <f>MAX(-fyd_cc,MIN(fyd_cc,Es_cc*IF($E427&lt;=cc_D,0.0035*($E427-AB$21)/$E427,0.002*($E427-AB$21)/($E427-3*cc_D/7))))-fcd_cc*(1-(1-MAX(0,MIN(1,IF($E427&lt;=cc_D,0.0035*($E427-AB$21)/$E427,0.002*($E427-AB$21)/($E427-3*cc_D/7))/0.002)))^2)</f>
        <v/>
      </c>
      <c r="AC427">
        <f>MAX(-fyd_cc,MIN(fyd_cc,Es_cc*IF($E427&lt;=cc_D,0.0035*($E427-AC$21)/$E427,0.002*($E427-AC$21)/($E427-3*cc_D/7))))-fcd_cc*(1-(1-MAX(0,MIN(1,IF($E427&lt;=cc_D,0.0035*($E427-AC$21)/$E427,0.002*($E427-AC$21)/($E427-3*cc_D/7))/0.002)))^2)</f>
        <v/>
      </c>
      <c r="AD427">
        <f>MAX(-fyd_cc,MIN(fyd_cc,Es_cc*IF($E427&lt;=cc_D,0.0035*($E427-AD$21)/$E427,0.002*($E427-AD$21)/($E427-3*cc_D/7))))-fcd_cc*(1-(1-MAX(0,MIN(1,IF($E427&lt;=cc_D,0.0035*($E427-AD$21)/$E427,0.002*($E427-AD$21)/($E427-3*cc_D/7))/0.002)))^2)</f>
        <v/>
      </c>
      <c r="AE427">
        <f>MAX(-fyd_cc,MIN(fyd_cc,Es_cc*IF($E427&lt;=cc_D,0.0035*($E427-AE$21)/$E427,0.002*($E427-AE$21)/($E427-3*cc_D/7))))-fcd_cc*(1-(1-MAX(0,MIN(1,IF($E427&lt;=cc_D,0.0035*($E427-AE$21)/$E427,0.002*($E427-AE$21)/($E427-3*cc_D/7))/0.002)))^2)</f>
        <v/>
      </c>
      <c r="AF427">
        <f>MAX(-fyd_cc,MIN(fyd_cc,Es_cc*IF($E427&lt;=cc_D,0.0035*($E427-AF$21)/$E427,0.002*($E427-AF$21)/($E427-3*cc_D/7))))-fcd_cc*(1-(1-MAX(0,MIN(1,IF($E427&lt;=cc_D,0.0035*($E427-AF$21)/$E427,0.002*($E427-AF$21)/($E427-3*cc_D/7))/0.002)))^2)</f>
        <v/>
      </c>
      <c r="AG427">
        <f>MAX(-fyd_cc,MIN(fyd_cc,Es_cc*IF($E427&lt;=cc_D,0.0035*($E427-AG$21)/$E427,0.002*($E427-AG$21)/($E427-3*cc_D/7))))-fcd_cc*(1-(1-MAX(0,MIN(1,IF($E427&lt;=cc_D,0.0035*($E427-AG$21)/$E427,0.002*($E427-AG$21)/($E427-3*cc_D/7))/0.002)))^2)</f>
        <v/>
      </c>
      <c r="BF427">
        <f>3*MIN($E427,cc_D)/7</f>
        <v/>
      </c>
      <c r="BG427">
        <f>$E427-$BF427</f>
        <v/>
      </c>
      <c r="BH427">
        <f>ACOS(MAX(-1,MIN(1,1-$BF427/(cc_D/2))))</f>
        <v/>
      </c>
      <c r="BI427">
        <f>ACOS(MAX(-1,MIN(1,1-MIN($E427,cc_D)/(cc_D/2))))</f>
        <v/>
      </c>
      <c r="BJ427">
        <f>((cc_D/2*(1-COS(($BH427+0*($BI427-$BH427)/12)))-$BF427)/$BG427)^2*SIN(($BH427+0*($BI427-$BH427)/12))^2</f>
        <v/>
      </c>
      <c r="BK427">
        <f>((cc_D/2*(1-COS(($BH427+1*($BI427-$BH427)/12)))-$BF427)/$BG427)^2*SIN(($BH427+1*($BI427-$BH427)/12))^2</f>
        <v/>
      </c>
      <c r="BL427">
        <f>((cc_D/2*(1-COS(($BH427+2*($BI427-$BH427)/12)))-$BF427)/$BG427)^2*SIN(($BH427+2*($BI427-$BH427)/12))^2</f>
        <v/>
      </c>
      <c r="BM427">
        <f>((cc_D/2*(1-COS(($BH427+3*($BI427-$BH427)/12)))-$BF427)/$BG427)^2*SIN(($BH427+3*($BI427-$BH427)/12))^2</f>
        <v/>
      </c>
      <c r="BN427">
        <f>((cc_D/2*(1-COS(($BH427+4*($BI427-$BH427)/12)))-$BF427)/$BG427)^2*SIN(($BH427+4*($BI427-$BH427)/12))^2</f>
        <v/>
      </c>
      <c r="BO427">
        <f>((cc_D/2*(1-COS(($BH427+5*($BI427-$BH427)/12)))-$BF427)/$BG427)^2*SIN(($BH427+5*($BI427-$BH427)/12))^2</f>
        <v/>
      </c>
      <c r="BP427">
        <f>((cc_D/2*(1-COS(($BH427+6*($BI427-$BH427)/12)))-$BF427)/$BG427)^2*SIN(($BH427+6*($BI427-$BH427)/12))^2</f>
        <v/>
      </c>
      <c r="BQ427">
        <f>((cc_D/2*(1-COS(($BH427+7*($BI427-$BH427)/12)))-$BF427)/$BG427)^2*SIN(($BH427+7*($BI427-$BH427)/12))^2</f>
        <v/>
      </c>
      <c r="BR427">
        <f>((cc_D/2*(1-COS(($BH427+8*($BI427-$BH427)/12)))-$BF427)/$BG427)^2*SIN(($BH427+8*($BI427-$BH427)/12))^2</f>
        <v/>
      </c>
      <c r="BS427">
        <f>((cc_D/2*(1-COS(($BH427+9*($BI427-$BH427)/12)))-$BF427)/$BG427)^2*SIN(($BH427+9*($BI427-$BH427)/12))^2</f>
        <v/>
      </c>
      <c r="BT427">
        <f>((cc_D/2*(1-COS(($BH427+10*($BI427-$BH427)/12)))-$BF427)/$BG427)^2*SIN(($BH427+10*($BI427-$BH427)/12))^2</f>
        <v/>
      </c>
      <c r="BU427">
        <f>((cc_D/2*(1-COS(($BH427+11*($BI427-$BH427)/12)))-$BF427)/$BG427)^2*SIN(($BH427+11*($BI427-$BH427)/12))^2</f>
        <v/>
      </c>
      <c r="BV427">
        <f>((cc_D/2*(1-COS(($BH427+12*($BI427-$BH427)/12)))-$BF427)/$BG427)^2*SIN(($BH427+12*($BI427-$BH427)/12))^2</f>
        <v/>
      </c>
      <c r="BW427">
        <f>BJ427*COS(($BH427+0*($BI427-$BH427)/12))</f>
        <v/>
      </c>
      <c r="BX427">
        <f>BK427*COS(($BH427+1*($BI427-$BH427)/12))</f>
        <v/>
      </c>
      <c r="BY427">
        <f>BL427*COS(($BH427+2*($BI427-$BH427)/12))</f>
        <v/>
      </c>
      <c r="BZ427">
        <f>BM427*COS(($BH427+3*($BI427-$BH427)/12))</f>
        <v/>
      </c>
      <c r="CA427">
        <f>BN427*COS(($BH427+4*($BI427-$BH427)/12))</f>
        <v/>
      </c>
      <c r="CB427">
        <f>BO427*COS(($BH427+5*($BI427-$BH427)/12))</f>
        <v/>
      </c>
      <c r="CC427">
        <f>BP427*COS(($BH427+6*($BI427-$BH427)/12))</f>
        <v/>
      </c>
      <c r="CD427">
        <f>BQ427*COS(($BH427+7*($BI427-$BH427)/12))</f>
        <v/>
      </c>
      <c r="CE427">
        <f>BR427*COS(($BH427+8*($BI427-$BH427)/12))</f>
        <v/>
      </c>
      <c r="CF427">
        <f>BS427*COS(($BH427+9*($BI427-$BH427)/12))</f>
        <v/>
      </c>
      <c r="CG427">
        <f>BT427*COS(($BH427+10*($BI427-$BH427)/12))</f>
        <v/>
      </c>
      <c r="CH427">
        <f>BU427*COS(($BH427+11*($BI427-$BH427)/12))</f>
        <v/>
      </c>
      <c r="CI427">
        <f>BV427*COS(($BH427+12*($BI427-$BH427)/12))</f>
        <v/>
      </c>
    </row>
    <row r="428">
      <c r="B428" s="65" t="n">
        <v>24</v>
      </c>
      <c r="C428" s="66">
        <f>IF($G427&lt;cc_NEd-1E-9*ABS(cc_NEd),($C427+$D427)/2,$C427)</f>
        <v/>
      </c>
      <c r="D428" s="66">
        <f>IF($G427&lt;cc_NEd-1E-9*ABS(cc_NEd),$D427,($C427+$D427)/2)</f>
        <v/>
      </c>
      <c r="E428" s="67">
        <f>cc_D*(($C428+$D428)/2)/(1-(($C428+$D428)/2))</f>
        <v/>
      </c>
      <c r="F428" s="68">
        <f>IF($E428&lt;=cc_D,3.5,2*$E428/($E428-3*cc_D/7))</f>
        <v/>
      </c>
      <c r="G428" s="67">
        <f>(fcd_cc*((cc_D/2)^2*($BI428-COS($BI428)*SIN($BI428))-2*(cc_D/2)^2*($BI428-$BH428)/12/3*SUMPRODUCT($BJ$4:$BV$4,$BJ428:$BV428))+SUMPRODUCT($J$5:$AG$5,$J428:$AG428))/1000</f>
        <v/>
      </c>
      <c r="H428" s="67">
        <f>(fcd_cc*(2/3*(cc_D/2)^3*SIN($BI428)^3-2*(cc_D/2)^3*($BI428-$BH428)/12/3*SUMPRODUCT($BW$4:$CI$4,$BW428:$CI428))+SUMPRODUCT($J$5:$AG$5,$J428:$AG428,$J$22:$AG$22))/1E6</f>
        <v/>
      </c>
      <c r="I428" s="67">
        <f>SUMPRODUCT($J$5:$AG$5,$J428:$AG428,$J$23:$AG$23)/1E6</f>
        <v/>
      </c>
      <c r="J428">
        <f>MAX(-fyd_cc,MIN(fyd_cc,Es_cc*IF($E428&lt;=cc_D,0.0035*($E428-J$21)/$E428,0.002*($E428-J$21)/($E428-3*cc_D/7))))-fcd_cc*(1-(1-MAX(0,MIN(1,IF($E428&lt;=cc_D,0.0035*($E428-J$21)/$E428,0.002*($E428-J$21)/($E428-3*cc_D/7))/0.002)))^2)</f>
        <v/>
      </c>
      <c r="K428">
        <f>MAX(-fyd_cc,MIN(fyd_cc,Es_cc*IF($E428&lt;=cc_D,0.0035*($E428-K$21)/$E428,0.002*($E428-K$21)/($E428-3*cc_D/7))))-fcd_cc*(1-(1-MAX(0,MIN(1,IF($E428&lt;=cc_D,0.0035*($E428-K$21)/$E428,0.002*($E428-K$21)/($E428-3*cc_D/7))/0.002)))^2)</f>
        <v/>
      </c>
      <c r="L428">
        <f>MAX(-fyd_cc,MIN(fyd_cc,Es_cc*IF($E428&lt;=cc_D,0.0035*($E428-L$21)/$E428,0.002*($E428-L$21)/($E428-3*cc_D/7))))-fcd_cc*(1-(1-MAX(0,MIN(1,IF($E428&lt;=cc_D,0.0035*($E428-L$21)/$E428,0.002*($E428-L$21)/($E428-3*cc_D/7))/0.002)))^2)</f>
        <v/>
      </c>
      <c r="M428">
        <f>MAX(-fyd_cc,MIN(fyd_cc,Es_cc*IF($E428&lt;=cc_D,0.0035*($E428-M$21)/$E428,0.002*($E428-M$21)/($E428-3*cc_D/7))))-fcd_cc*(1-(1-MAX(0,MIN(1,IF($E428&lt;=cc_D,0.0035*($E428-M$21)/$E428,0.002*($E428-M$21)/($E428-3*cc_D/7))/0.002)))^2)</f>
        <v/>
      </c>
      <c r="N428">
        <f>MAX(-fyd_cc,MIN(fyd_cc,Es_cc*IF($E428&lt;=cc_D,0.0035*($E428-N$21)/$E428,0.002*($E428-N$21)/($E428-3*cc_D/7))))-fcd_cc*(1-(1-MAX(0,MIN(1,IF($E428&lt;=cc_D,0.0035*($E428-N$21)/$E428,0.002*($E428-N$21)/($E428-3*cc_D/7))/0.002)))^2)</f>
        <v/>
      </c>
      <c r="O428">
        <f>MAX(-fyd_cc,MIN(fyd_cc,Es_cc*IF($E428&lt;=cc_D,0.0035*($E428-O$21)/$E428,0.002*($E428-O$21)/($E428-3*cc_D/7))))-fcd_cc*(1-(1-MAX(0,MIN(1,IF($E428&lt;=cc_D,0.0035*($E428-O$21)/$E428,0.002*($E428-O$21)/($E428-3*cc_D/7))/0.002)))^2)</f>
        <v/>
      </c>
      <c r="P428">
        <f>MAX(-fyd_cc,MIN(fyd_cc,Es_cc*IF($E428&lt;=cc_D,0.0035*($E428-P$21)/$E428,0.002*($E428-P$21)/($E428-3*cc_D/7))))-fcd_cc*(1-(1-MAX(0,MIN(1,IF($E428&lt;=cc_D,0.0035*($E428-P$21)/$E428,0.002*($E428-P$21)/($E428-3*cc_D/7))/0.002)))^2)</f>
        <v/>
      </c>
      <c r="Q428">
        <f>MAX(-fyd_cc,MIN(fyd_cc,Es_cc*IF($E428&lt;=cc_D,0.0035*($E428-Q$21)/$E428,0.002*($E428-Q$21)/($E428-3*cc_D/7))))-fcd_cc*(1-(1-MAX(0,MIN(1,IF($E428&lt;=cc_D,0.0035*($E428-Q$21)/$E428,0.002*($E428-Q$21)/($E428-3*cc_D/7))/0.002)))^2)</f>
        <v/>
      </c>
      <c r="R428">
        <f>MAX(-fyd_cc,MIN(fyd_cc,Es_cc*IF($E428&lt;=cc_D,0.0035*($E428-R$21)/$E428,0.002*($E428-R$21)/($E428-3*cc_D/7))))-fcd_cc*(1-(1-MAX(0,MIN(1,IF($E428&lt;=cc_D,0.0035*($E428-R$21)/$E428,0.002*($E428-R$21)/($E428-3*cc_D/7))/0.002)))^2)</f>
        <v/>
      </c>
      <c r="S428">
        <f>MAX(-fyd_cc,MIN(fyd_cc,Es_cc*IF($E428&lt;=cc_D,0.0035*($E428-S$21)/$E428,0.002*($E428-S$21)/($E428-3*cc_D/7))))-fcd_cc*(1-(1-MAX(0,MIN(1,IF($E428&lt;=cc_D,0.0035*($E428-S$21)/$E428,0.002*($E428-S$21)/($E428-3*cc_D/7))/0.002)))^2)</f>
        <v/>
      </c>
      <c r="T428">
        <f>MAX(-fyd_cc,MIN(fyd_cc,Es_cc*IF($E428&lt;=cc_D,0.0035*($E428-T$21)/$E428,0.002*($E428-T$21)/($E428-3*cc_D/7))))-fcd_cc*(1-(1-MAX(0,MIN(1,IF($E428&lt;=cc_D,0.0035*($E428-T$21)/$E428,0.002*($E428-T$21)/($E428-3*cc_D/7))/0.002)))^2)</f>
        <v/>
      </c>
      <c r="U428">
        <f>MAX(-fyd_cc,MIN(fyd_cc,Es_cc*IF($E428&lt;=cc_D,0.0035*($E428-U$21)/$E428,0.002*($E428-U$21)/($E428-3*cc_D/7))))-fcd_cc*(1-(1-MAX(0,MIN(1,IF($E428&lt;=cc_D,0.0035*($E428-U$21)/$E428,0.002*($E428-U$21)/($E428-3*cc_D/7))/0.002)))^2)</f>
        <v/>
      </c>
      <c r="V428">
        <f>MAX(-fyd_cc,MIN(fyd_cc,Es_cc*IF($E428&lt;=cc_D,0.0035*($E428-V$21)/$E428,0.002*($E428-V$21)/($E428-3*cc_D/7))))-fcd_cc*(1-(1-MAX(0,MIN(1,IF($E428&lt;=cc_D,0.0035*($E428-V$21)/$E428,0.002*($E428-V$21)/($E428-3*cc_D/7))/0.002)))^2)</f>
        <v/>
      </c>
      <c r="W428">
        <f>MAX(-fyd_cc,MIN(fyd_cc,Es_cc*IF($E428&lt;=cc_D,0.0035*($E428-W$21)/$E428,0.002*($E428-W$21)/($E428-3*cc_D/7))))-fcd_cc*(1-(1-MAX(0,MIN(1,IF($E428&lt;=cc_D,0.0035*($E428-W$21)/$E428,0.002*($E428-W$21)/($E428-3*cc_D/7))/0.002)))^2)</f>
        <v/>
      </c>
      <c r="X428">
        <f>MAX(-fyd_cc,MIN(fyd_cc,Es_cc*IF($E428&lt;=cc_D,0.0035*($E428-X$21)/$E428,0.002*($E428-X$21)/($E428-3*cc_D/7))))-fcd_cc*(1-(1-MAX(0,MIN(1,IF($E428&lt;=cc_D,0.0035*($E428-X$21)/$E428,0.002*($E428-X$21)/($E428-3*cc_D/7))/0.002)))^2)</f>
        <v/>
      </c>
      <c r="Y428">
        <f>MAX(-fyd_cc,MIN(fyd_cc,Es_cc*IF($E428&lt;=cc_D,0.0035*($E428-Y$21)/$E428,0.002*($E428-Y$21)/($E428-3*cc_D/7))))-fcd_cc*(1-(1-MAX(0,MIN(1,IF($E428&lt;=cc_D,0.0035*($E428-Y$21)/$E428,0.002*($E428-Y$21)/($E428-3*cc_D/7))/0.002)))^2)</f>
        <v/>
      </c>
      <c r="Z428">
        <f>MAX(-fyd_cc,MIN(fyd_cc,Es_cc*IF($E428&lt;=cc_D,0.0035*($E428-Z$21)/$E428,0.002*($E428-Z$21)/($E428-3*cc_D/7))))-fcd_cc*(1-(1-MAX(0,MIN(1,IF($E428&lt;=cc_D,0.0035*($E428-Z$21)/$E428,0.002*($E428-Z$21)/($E428-3*cc_D/7))/0.002)))^2)</f>
        <v/>
      </c>
      <c r="AA428">
        <f>MAX(-fyd_cc,MIN(fyd_cc,Es_cc*IF($E428&lt;=cc_D,0.0035*($E428-AA$21)/$E428,0.002*($E428-AA$21)/($E428-3*cc_D/7))))-fcd_cc*(1-(1-MAX(0,MIN(1,IF($E428&lt;=cc_D,0.0035*($E428-AA$21)/$E428,0.002*($E428-AA$21)/($E428-3*cc_D/7))/0.002)))^2)</f>
        <v/>
      </c>
      <c r="AB428">
        <f>MAX(-fyd_cc,MIN(fyd_cc,Es_cc*IF($E428&lt;=cc_D,0.0035*($E428-AB$21)/$E428,0.002*($E428-AB$21)/($E428-3*cc_D/7))))-fcd_cc*(1-(1-MAX(0,MIN(1,IF($E428&lt;=cc_D,0.0035*($E428-AB$21)/$E428,0.002*($E428-AB$21)/($E428-3*cc_D/7))/0.002)))^2)</f>
        <v/>
      </c>
      <c r="AC428">
        <f>MAX(-fyd_cc,MIN(fyd_cc,Es_cc*IF($E428&lt;=cc_D,0.0035*($E428-AC$21)/$E428,0.002*($E428-AC$21)/($E428-3*cc_D/7))))-fcd_cc*(1-(1-MAX(0,MIN(1,IF($E428&lt;=cc_D,0.0035*($E428-AC$21)/$E428,0.002*($E428-AC$21)/($E428-3*cc_D/7))/0.002)))^2)</f>
        <v/>
      </c>
      <c r="AD428">
        <f>MAX(-fyd_cc,MIN(fyd_cc,Es_cc*IF($E428&lt;=cc_D,0.0035*($E428-AD$21)/$E428,0.002*($E428-AD$21)/($E428-3*cc_D/7))))-fcd_cc*(1-(1-MAX(0,MIN(1,IF($E428&lt;=cc_D,0.0035*($E428-AD$21)/$E428,0.002*($E428-AD$21)/($E428-3*cc_D/7))/0.002)))^2)</f>
        <v/>
      </c>
      <c r="AE428">
        <f>MAX(-fyd_cc,MIN(fyd_cc,Es_cc*IF($E428&lt;=cc_D,0.0035*($E428-AE$21)/$E428,0.002*($E428-AE$21)/($E428-3*cc_D/7))))-fcd_cc*(1-(1-MAX(0,MIN(1,IF($E428&lt;=cc_D,0.0035*($E428-AE$21)/$E428,0.002*($E428-AE$21)/($E428-3*cc_D/7))/0.002)))^2)</f>
        <v/>
      </c>
      <c r="AF428">
        <f>MAX(-fyd_cc,MIN(fyd_cc,Es_cc*IF($E428&lt;=cc_D,0.0035*($E428-AF$21)/$E428,0.002*($E428-AF$21)/($E428-3*cc_D/7))))-fcd_cc*(1-(1-MAX(0,MIN(1,IF($E428&lt;=cc_D,0.0035*($E428-AF$21)/$E428,0.002*($E428-AF$21)/($E428-3*cc_D/7))/0.002)))^2)</f>
        <v/>
      </c>
      <c r="AG428">
        <f>MAX(-fyd_cc,MIN(fyd_cc,Es_cc*IF($E428&lt;=cc_D,0.0035*($E428-AG$21)/$E428,0.002*($E428-AG$21)/($E428-3*cc_D/7))))-fcd_cc*(1-(1-MAX(0,MIN(1,IF($E428&lt;=cc_D,0.0035*($E428-AG$21)/$E428,0.002*($E428-AG$21)/($E428-3*cc_D/7))/0.002)))^2)</f>
        <v/>
      </c>
      <c r="BF428">
        <f>3*MIN($E428,cc_D)/7</f>
        <v/>
      </c>
      <c r="BG428">
        <f>$E428-$BF428</f>
        <v/>
      </c>
      <c r="BH428">
        <f>ACOS(MAX(-1,MIN(1,1-$BF428/(cc_D/2))))</f>
        <v/>
      </c>
      <c r="BI428">
        <f>ACOS(MAX(-1,MIN(1,1-MIN($E428,cc_D)/(cc_D/2))))</f>
        <v/>
      </c>
      <c r="BJ428">
        <f>((cc_D/2*(1-COS(($BH428+0*($BI428-$BH428)/12)))-$BF428)/$BG428)^2*SIN(($BH428+0*($BI428-$BH428)/12))^2</f>
        <v/>
      </c>
      <c r="BK428">
        <f>((cc_D/2*(1-COS(($BH428+1*($BI428-$BH428)/12)))-$BF428)/$BG428)^2*SIN(($BH428+1*($BI428-$BH428)/12))^2</f>
        <v/>
      </c>
      <c r="BL428">
        <f>((cc_D/2*(1-COS(($BH428+2*($BI428-$BH428)/12)))-$BF428)/$BG428)^2*SIN(($BH428+2*($BI428-$BH428)/12))^2</f>
        <v/>
      </c>
      <c r="BM428">
        <f>((cc_D/2*(1-COS(($BH428+3*($BI428-$BH428)/12)))-$BF428)/$BG428)^2*SIN(($BH428+3*($BI428-$BH428)/12))^2</f>
        <v/>
      </c>
      <c r="BN428">
        <f>((cc_D/2*(1-COS(($BH428+4*($BI428-$BH428)/12)))-$BF428)/$BG428)^2*SIN(($BH428+4*($BI428-$BH428)/12))^2</f>
        <v/>
      </c>
      <c r="BO428">
        <f>((cc_D/2*(1-COS(($BH428+5*($BI428-$BH428)/12)))-$BF428)/$BG428)^2*SIN(($BH428+5*($BI428-$BH428)/12))^2</f>
        <v/>
      </c>
      <c r="BP428">
        <f>((cc_D/2*(1-COS(($BH428+6*($BI428-$BH428)/12)))-$BF428)/$BG428)^2*SIN(($BH428+6*($BI428-$BH428)/12))^2</f>
        <v/>
      </c>
      <c r="BQ428">
        <f>((cc_D/2*(1-COS(($BH428+7*($BI428-$BH428)/12)))-$BF428)/$BG428)^2*SIN(($BH428+7*($BI428-$BH428)/12))^2</f>
        <v/>
      </c>
      <c r="BR428">
        <f>((cc_D/2*(1-COS(($BH428+8*($BI428-$BH428)/12)))-$BF428)/$BG428)^2*SIN(($BH428+8*($BI428-$BH428)/12))^2</f>
        <v/>
      </c>
      <c r="BS428">
        <f>((cc_D/2*(1-COS(($BH428+9*($BI428-$BH428)/12)))-$BF428)/$BG428)^2*SIN(($BH428+9*($BI428-$BH428)/12))^2</f>
        <v/>
      </c>
      <c r="BT428">
        <f>((cc_D/2*(1-COS(($BH428+10*($BI428-$BH428)/12)))-$BF428)/$BG428)^2*SIN(($BH428+10*($BI428-$BH428)/12))^2</f>
        <v/>
      </c>
      <c r="BU428">
        <f>((cc_D/2*(1-COS(($BH428+11*($BI428-$BH428)/12)))-$BF428)/$BG428)^2*SIN(($BH428+11*($BI428-$BH428)/12))^2</f>
        <v/>
      </c>
      <c r="BV428">
        <f>((cc_D/2*(1-COS(($BH428+12*($BI428-$BH428)/12)))-$BF428)/$BG428)^2*SIN(($BH428+12*($BI428-$BH428)/12))^2</f>
        <v/>
      </c>
      <c r="BW428">
        <f>BJ428*COS(($BH428+0*($BI428-$BH428)/12))</f>
        <v/>
      </c>
      <c r="BX428">
        <f>BK428*COS(($BH428+1*($BI428-$BH428)/12))</f>
        <v/>
      </c>
      <c r="BY428">
        <f>BL428*COS(($BH428+2*($BI428-$BH428)/12))</f>
        <v/>
      </c>
      <c r="BZ428">
        <f>BM428*COS(($BH428+3*($BI428-$BH428)/12))</f>
        <v/>
      </c>
      <c r="CA428">
        <f>BN428*COS(($BH428+4*($BI428-$BH428)/12))</f>
        <v/>
      </c>
      <c r="CB428">
        <f>BO428*COS(($BH428+5*($BI428-$BH428)/12))</f>
        <v/>
      </c>
      <c r="CC428">
        <f>BP428*COS(($BH428+6*($BI428-$BH428)/12))</f>
        <v/>
      </c>
      <c r="CD428">
        <f>BQ428*COS(($BH428+7*($BI428-$BH428)/12))</f>
        <v/>
      </c>
      <c r="CE428">
        <f>BR428*COS(($BH428+8*($BI428-$BH428)/12))</f>
        <v/>
      </c>
      <c r="CF428">
        <f>BS428*COS(($BH428+9*($BI428-$BH428)/12))</f>
        <v/>
      </c>
      <c r="CG428">
        <f>BT428*COS(($BH428+10*($BI428-$BH428)/12))</f>
        <v/>
      </c>
      <c r="CH428">
        <f>BU428*COS(($BH428+11*($BI428-$BH428)/12))</f>
        <v/>
      </c>
      <c r="CI428">
        <f>BV428*COS(($BH428+12*($BI428-$BH428)/12))</f>
        <v/>
      </c>
    </row>
    <row r="429">
      <c r="B429" s="65" t="n">
        <v>25</v>
      </c>
      <c r="C429" s="66">
        <f>IF($G428&lt;cc_NEd-1E-9*ABS(cc_NEd),($C428+$D428)/2,$C428)</f>
        <v/>
      </c>
      <c r="D429" s="66">
        <f>IF($G428&lt;cc_NEd-1E-9*ABS(cc_NEd),$D428,($C428+$D428)/2)</f>
        <v/>
      </c>
      <c r="E429" s="67">
        <f>cc_D*(($C429+$D429)/2)/(1-(($C429+$D429)/2))</f>
        <v/>
      </c>
      <c r="F429" s="68">
        <f>IF($E429&lt;=cc_D,3.5,2*$E429/($E429-3*cc_D/7))</f>
        <v/>
      </c>
      <c r="G429" s="67">
        <f>(fcd_cc*((cc_D/2)^2*($BI429-COS($BI429)*SIN($BI429))-2*(cc_D/2)^2*($BI429-$BH429)/12/3*SUMPRODUCT($BJ$4:$BV$4,$BJ429:$BV429))+SUMPRODUCT($J$5:$AG$5,$J429:$AG429))/1000</f>
        <v/>
      </c>
      <c r="H429" s="67">
        <f>(fcd_cc*(2/3*(cc_D/2)^3*SIN($BI429)^3-2*(cc_D/2)^3*($BI429-$BH429)/12/3*SUMPRODUCT($BW$4:$CI$4,$BW429:$CI429))+SUMPRODUCT($J$5:$AG$5,$J429:$AG429,$J$22:$AG$22))/1E6</f>
        <v/>
      </c>
      <c r="I429" s="67">
        <f>SUMPRODUCT($J$5:$AG$5,$J429:$AG429,$J$23:$AG$23)/1E6</f>
        <v/>
      </c>
      <c r="J429">
        <f>MAX(-fyd_cc,MIN(fyd_cc,Es_cc*IF($E429&lt;=cc_D,0.0035*($E429-J$21)/$E429,0.002*($E429-J$21)/($E429-3*cc_D/7))))-fcd_cc*(1-(1-MAX(0,MIN(1,IF($E429&lt;=cc_D,0.0035*($E429-J$21)/$E429,0.002*($E429-J$21)/($E429-3*cc_D/7))/0.002)))^2)</f>
        <v/>
      </c>
      <c r="K429">
        <f>MAX(-fyd_cc,MIN(fyd_cc,Es_cc*IF($E429&lt;=cc_D,0.0035*($E429-K$21)/$E429,0.002*($E429-K$21)/($E429-3*cc_D/7))))-fcd_cc*(1-(1-MAX(0,MIN(1,IF($E429&lt;=cc_D,0.0035*($E429-K$21)/$E429,0.002*($E429-K$21)/($E429-3*cc_D/7))/0.002)))^2)</f>
        <v/>
      </c>
      <c r="L429">
        <f>MAX(-fyd_cc,MIN(fyd_cc,Es_cc*IF($E429&lt;=cc_D,0.0035*($E429-L$21)/$E429,0.002*($E429-L$21)/($E429-3*cc_D/7))))-fcd_cc*(1-(1-MAX(0,MIN(1,IF($E429&lt;=cc_D,0.0035*($E429-L$21)/$E429,0.002*($E429-L$21)/($E429-3*cc_D/7))/0.002)))^2)</f>
        <v/>
      </c>
      <c r="M429">
        <f>MAX(-fyd_cc,MIN(fyd_cc,Es_cc*IF($E429&lt;=cc_D,0.0035*($E429-M$21)/$E429,0.002*($E429-M$21)/($E429-3*cc_D/7))))-fcd_cc*(1-(1-MAX(0,MIN(1,IF($E429&lt;=cc_D,0.0035*($E429-M$21)/$E429,0.002*($E429-M$21)/($E429-3*cc_D/7))/0.002)))^2)</f>
        <v/>
      </c>
      <c r="N429">
        <f>MAX(-fyd_cc,MIN(fyd_cc,Es_cc*IF($E429&lt;=cc_D,0.0035*($E429-N$21)/$E429,0.002*($E429-N$21)/($E429-3*cc_D/7))))-fcd_cc*(1-(1-MAX(0,MIN(1,IF($E429&lt;=cc_D,0.0035*($E429-N$21)/$E429,0.002*($E429-N$21)/($E429-3*cc_D/7))/0.002)))^2)</f>
        <v/>
      </c>
      <c r="O429">
        <f>MAX(-fyd_cc,MIN(fyd_cc,Es_cc*IF($E429&lt;=cc_D,0.0035*($E429-O$21)/$E429,0.002*($E429-O$21)/($E429-3*cc_D/7))))-fcd_cc*(1-(1-MAX(0,MIN(1,IF($E429&lt;=cc_D,0.0035*($E429-O$21)/$E429,0.002*($E429-O$21)/($E429-3*cc_D/7))/0.002)))^2)</f>
        <v/>
      </c>
      <c r="P429">
        <f>MAX(-fyd_cc,MIN(fyd_cc,Es_cc*IF($E429&lt;=cc_D,0.0035*($E429-P$21)/$E429,0.002*($E429-P$21)/($E429-3*cc_D/7))))-fcd_cc*(1-(1-MAX(0,MIN(1,IF($E429&lt;=cc_D,0.0035*($E429-P$21)/$E429,0.002*($E429-P$21)/($E429-3*cc_D/7))/0.002)))^2)</f>
        <v/>
      </c>
      <c r="Q429">
        <f>MAX(-fyd_cc,MIN(fyd_cc,Es_cc*IF($E429&lt;=cc_D,0.0035*($E429-Q$21)/$E429,0.002*($E429-Q$21)/($E429-3*cc_D/7))))-fcd_cc*(1-(1-MAX(0,MIN(1,IF($E429&lt;=cc_D,0.0035*($E429-Q$21)/$E429,0.002*($E429-Q$21)/($E429-3*cc_D/7))/0.002)))^2)</f>
        <v/>
      </c>
      <c r="R429">
        <f>MAX(-fyd_cc,MIN(fyd_cc,Es_cc*IF($E429&lt;=cc_D,0.0035*($E429-R$21)/$E429,0.002*($E429-R$21)/($E429-3*cc_D/7))))-fcd_cc*(1-(1-MAX(0,MIN(1,IF($E429&lt;=cc_D,0.0035*($E429-R$21)/$E429,0.002*($E429-R$21)/($E429-3*cc_D/7))/0.002)))^2)</f>
        <v/>
      </c>
      <c r="S429">
        <f>MAX(-fyd_cc,MIN(fyd_cc,Es_cc*IF($E429&lt;=cc_D,0.0035*($E429-S$21)/$E429,0.002*($E429-S$21)/($E429-3*cc_D/7))))-fcd_cc*(1-(1-MAX(0,MIN(1,IF($E429&lt;=cc_D,0.0035*($E429-S$21)/$E429,0.002*($E429-S$21)/($E429-3*cc_D/7))/0.002)))^2)</f>
        <v/>
      </c>
      <c r="T429">
        <f>MAX(-fyd_cc,MIN(fyd_cc,Es_cc*IF($E429&lt;=cc_D,0.0035*($E429-T$21)/$E429,0.002*($E429-T$21)/($E429-3*cc_D/7))))-fcd_cc*(1-(1-MAX(0,MIN(1,IF($E429&lt;=cc_D,0.0035*($E429-T$21)/$E429,0.002*($E429-T$21)/($E429-3*cc_D/7))/0.002)))^2)</f>
        <v/>
      </c>
      <c r="U429">
        <f>MAX(-fyd_cc,MIN(fyd_cc,Es_cc*IF($E429&lt;=cc_D,0.0035*($E429-U$21)/$E429,0.002*($E429-U$21)/($E429-3*cc_D/7))))-fcd_cc*(1-(1-MAX(0,MIN(1,IF($E429&lt;=cc_D,0.0035*($E429-U$21)/$E429,0.002*($E429-U$21)/($E429-3*cc_D/7))/0.002)))^2)</f>
        <v/>
      </c>
      <c r="V429">
        <f>MAX(-fyd_cc,MIN(fyd_cc,Es_cc*IF($E429&lt;=cc_D,0.0035*($E429-V$21)/$E429,0.002*($E429-V$21)/($E429-3*cc_D/7))))-fcd_cc*(1-(1-MAX(0,MIN(1,IF($E429&lt;=cc_D,0.0035*($E429-V$21)/$E429,0.002*($E429-V$21)/($E429-3*cc_D/7))/0.002)))^2)</f>
        <v/>
      </c>
      <c r="W429">
        <f>MAX(-fyd_cc,MIN(fyd_cc,Es_cc*IF($E429&lt;=cc_D,0.0035*($E429-W$21)/$E429,0.002*($E429-W$21)/($E429-3*cc_D/7))))-fcd_cc*(1-(1-MAX(0,MIN(1,IF($E429&lt;=cc_D,0.0035*($E429-W$21)/$E429,0.002*($E429-W$21)/($E429-3*cc_D/7))/0.002)))^2)</f>
        <v/>
      </c>
      <c r="X429">
        <f>MAX(-fyd_cc,MIN(fyd_cc,Es_cc*IF($E429&lt;=cc_D,0.0035*($E429-X$21)/$E429,0.002*($E429-X$21)/($E429-3*cc_D/7))))-fcd_cc*(1-(1-MAX(0,MIN(1,IF($E429&lt;=cc_D,0.0035*($E429-X$21)/$E429,0.002*($E429-X$21)/($E429-3*cc_D/7))/0.002)))^2)</f>
        <v/>
      </c>
      <c r="Y429">
        <f>MAX(-fyd_cc,MIN(fyd_cc,Es_cc*IF($E429&lt;=cc_D,0.0035*($E429-Y$21)/$E429,0.002*($E429-Y$21)/($E429-3*cc_D/7))))-fcd_cc*(1-(1-MAX(0,MIN(1,IF($E429&lt;=cc_D,0.0035*($E429-Y$21)/$E429,0.002*($E429-Y$21)/($E429-3*cc_D/7))/0.002)))^2)</f>
        <v/>
      </c>
      <c r="Z429">
        <f>MAX(-fyd_cc,MIN(fyd_cc,Es_cc*IF($E429&lt;=cc_D,0.0035*($E429-Z$21)/$E429,0.002*($E429-Z$21)/($E429-3*cc_D/7))))-fcd_cc*(1-(1-MAX(0,MIN(1,IF($E429&lt;=cc_D,0.0035*($E429-Z$21)/$E429,0.002*($E429-Z$21)/($E429-3*cc_D/7))/0.002)))^2)</f>
        <v/>
      </c>
      <c r="AA429">
        <f>MAX(-fyd_cc,MIN(fyd_cc,Es_cc*IF($E429&lt;=cc_D,0.0035*($E429-AA$21)/$E429,0.002*($E429-AA$21)/($E429-3*cc_D/7))))-fcd_cc*(1-(1-MAX(0,MIN(1,IF($E429&lt;=cc_D,0.0035*($E429-AA$21)/$E429,0.002*($E429-AA$21)/($E429-3*cc_D/7))/0.002)))^2)</f>
        <v/>
      </c>
      <c r="AB429">
        <f>MAX(-fyd_cc,MIN(fyd_cc,Es_cc*IF($E429&lt;=cc_D,0.0035*($E429-AB$21)/$E429,0.002*($E429-AB$21)/($E429-3*cc_D/7))))-fcd_cc*(1-(1-MAX(0,MIN(1,IF($E429&lt;=cc_D,0.0035*($E429-AB$21)/$E429,0.002*($E429-AB$21)/($E429-3*cc_D/7))/0.002)))^2)</f>
        <v/>
      </c>
      <c r="AC429">
        <f>MAX(-fyd_cc,MIN(fyd_cc,Es_cc*IF($E429&lt;=cc_D,0.0035*($E429-AC$21)/$E429,0.002*($E429-AC$21)/($E429-3*cc_D/7))))-fcd_cc*(1-(1-MAX(0,MIN(1,IF($E429&lt;=cc_D,0.0035*($E429-AC$21)/$E429,0.002*($E429-AC$21)/($E429-3*cc_D/7))/0.002)))^2)</f>
        <v/>
      </c>
      <c r="AD429">
        <f>MAX(-fyd_cc,MIN(fyd_cc,Es_cc*IF($E429&lt;=cc_D,0.0035*($E429-AD$21)/$E429,0.002*($E429-AD$21)/($E429-3*cc_D/7))))-fcd_cc*(1-(1-MAX(0,MIN(1,IF($E429&lt;=cc_D,0.0035*($E429-AD$21)/$E429,0.002*($E429-AD$21)/($E429-3*cc_D/7))/0.002)))^2)</f>
        <v/>
      </c>
      <c r="AE429">
        <f>MAX(-fyd_cc,MIN(fyd_cc,Es_cc*IF($E429&lt;=cc_D,0.0035*($E429-AE$21)/$E429,0.002*($E429-AE$21)/($E429-3*cc_D/7))))-fcd_cc*(1-(1-MAX(0,MIN(1,IF($E429&lt;=cc_D,0.0035*($E429-AE$21)/$E429,0.002*($E429-AE$21)/($E429-3*cc_D/7))/0.002)))^2)</f>
        <v/>
      </c>
      <c r="AF429">
        <f>MAX(-fyd_cc,MIN(fyd_cc,Es_cc*IF($E429&lt;=cc_D,0.0035*($E429-AF$21)/$E429,0.002*($E429-AF$21)/($E429-3*cc_D/7))))-fcd_cc*(1-(1-MAX(0,MIN(1,IF($E429&lt;=cc_D,0.0035*($E429-AF$21)/$E429,0.002*($E429-AF$21)/($E429-3*cc_D/7))/0.002)))^2)</f>
        <v/>
      </c>
      <c r="AG429">
        <f>MAX(-fyd_cc,MIN(fyd_cc,Es_cc*IF($E429&lt;=cc_D,0.0035*($E429-AG$21)/$E429,0.002*($E429-AG$21)/($E429-3*cc_D/7))))-fcd_cc*(1-(1-MAX(0,MIN(1,IF($E429&lt;=cc_D,0.0035*($E429-AG$21)/$E429,0.002*($E429-AG$21)/($E429-3*cc_D/7))/0.002)))^2)</f>
        <v/>
      </c>
      <c r="BF429">
        <f>3*MIN($E429,cc_D)/7</f>
        <v/>
      </c>
      <c r="BG429">
        <f>$E429-$BF429</f>
        <v/>
      </c>
      <c r="BH429">
        <f>ACOS(MAX(-1,MIN(1,1-$BF429/(cc_D/2))))</f>
        <v/>
      </c>
      <c r="BI429">
        <f>ACOS(MAX(-1,MIN(1,1-MIN($E429,cc_D)/(cc_D/2))))</f>
        <v/>
      </c>
      <c r="BJ429">
        <f>((cc_D/2*(1-COS(($BH429+0*($BI429-$BH429)/12)))-$BF429)/$BG429)^2*SIN(($BH429+0*($BI429-$BH429)/12))^2</f>
        <v/>
      </c>
      <c r="BK429">
        <f>((cc_D/2*(1-COS(($BH429+1*($BI429-$BH429)/12)))-$BF429)/$BG429)^2*SIN(($BH429+1*($BI429-$BH429)/12))^2</f>
        <v/>
      </c>
      <c r="BL429">
        <f>((cc_D/2*(1-COS(($BH429+2*($BI429-$BH429)/12)))-$BF429)/$BG429)^2*SIN(($BH429+2*($BI429-$BH429)/12))^2</f>
        <v/>
      </c>
      <c r="BM429">
        <f>((cc_D/2*(1-COS(($BH429+3*($BI429-$BH429)/12)))-$BF429)/$BG429)^2*SIN(($BH429+3*($BI429-$BH429)/12))^2</f>
        <v/>
      </c>
      <c r="BN429">
        <f>((cc_D/2*(1-COS(($BH429+4*($BI429-$BH429)/12)))-$BF429)/$BG429)^2*SIN(($BH429+4*($BI429-$BH429)/12))^2</f>
        <v/>
      </c>
      <c r="BO429">
        <f>((cc_D/2*(1-COS(($BH429+5*($BI429-$BH429)/12)))-$BF429)/$BG429)^2*SIN(($BH429+5*($BI429-$BH429)/12))^2</f>
        <v/>
      </c>
      <c r="BP429">
        <f>((cc_D/2*(1-COS(($BH429+6*($BI429-$BH429)/12)))-$BF429)/$BG429)^2*SIN(($BH429+6*($BI429-$BH429)/12))^2</f>
        <v/>
      </c>
      <c r="BQ429">
        <f>((cc_D/2*(1-COS(($BH429+7*($BI429-$BH429)/12)))-$BF429)/$BG429)^2*SIN(($BH429+7*($BI429-$BH429)/12))^2</f>
        <v/>
      </c>
      <c r="BR429">
        <f>((cc_D/2*(1-COS(($BH429+8*($BI429-$BH429)/12)))-$BF429)/$BG429)^2*SIN(($BH429+8*($BI429-$BH429)/12))^2</f>
        <v/>
      </c>
      <c r="BS429">
        <f>((cc_D/2*(1-COS(($BH429+9*($BI429-$BH429)/12)))-$BF429)/$BG429)^2*SIN(($BH429+9*($BI429-$BH429)/12))^2</f>
        <v/>
      </c>
      <c r="BT429">
        <f>((cc_D/2*(1-COS(($BH429+10*($BI429-$BH429)/12)))-$BF429)/$BG429)^2*SIN(($BH429+10*($BI429-$BH429)/12))^2</f>
        <v/>
      </c>
      <c r="BU429">
        <f>((cc_D/2*(1-COS(($BH429+11*($BI429-$BH429)/12)))-$BF429)/$BG429)^2*SIN(($BH429+11*($BI429-$BH429)/12))^2</f>
        <v/>
      </c>
      <c r="BV429">
        <f>((cc_D/2*(1-COS(($BH429+12*($BI429-$BH429)/12)))-$BF429)/$BG429)^2*SIN(($BH429+12*($BI429-$BH429)/12))^2</f>
        <v/>
      </c>
      <c r="BW429">
        <f>BJ429*COS(($BH429+0*($BI429-$BH429)/12))</f>
        <v/>
      </c>
      <c r="BX429">
        <f>BK429*COS(($BH429+1*($BI429-$BH429)/12))</f>
        <v/>
      </c>
      <c r="BY429">
        <f>BL429*COS(($BH429+2*($BI429-$BH429)/12))</f>
        <v/>
      </c>
      <c r="BZ429">
        <f>BM429*COS(($BH429+3*($BI429-$BH429)/12))</f>
        <v/>
      </c>
      <c r="CA429">
        <f>BN429*COS(($BH429+4*($BI429-$BH429)/12))</f>
        <v/>
      </c>
      <c r="CB429">
        <f>BO429*COS(($BH429+5*($BI429-$BH429)/12))</f>
        <v/>
      </c>
      <c r="CC429">
        <f>BP429*COS(($BH429+6*($BI429-$BH429)/12))</f>
        <v/>
      </c>
      <c r="CD429">
        <f>BQ429*COS(($BH429+7*($BI429-$BH429)/12))</f>
        <v/>
      </c>
      <c r="CE429">
        <f>BR429*COS(($BH429+8*($BI429-$BH429)/12))</f>
        <v/>
      </c>
      <c r="CF429">
        <f>BS429*COS(($BH429+9*($BI429-$BH429)/12))</f>
        <v/>
      </c>
      <c r="CG429">
        <f>BT429*COS(($BH429+10*($BI429-$BH429)/12))</f>
        <v/>
      </c>
      <c r="CH429">
        <f>BU429*COS(($BH429+11*($BI429-$BH429)/12))</f>
        <v/>
      </c>
      <c r="CI429">
        <f>BV429*COS(($BH429+12*($BI429-$BH429)/12))</f>
        <v/>
      </c>
    </row>
    <row r="430">
      <c r="B430" s="65" t="n">
        <v>26</v>
      </c>
      <c r="C430" s="66">
        <f>IF($G429&lt;cc_NEd-1E-9*ABS(cc_NEd),($C429+$D429)/2,$C429)</f>
        <v/>
      </c>
      <c r="D430" s="66">
        <f>IF($G429&lt;cc_NEd-1E-9*ABS(cc_NEd),$D429,($C429+$D429)/2)</f>
        <v/>
      </c>
      <c r="E430" s="67">
        <f>cc_D*(($C430+$D430)/2)/(1-(($C430+$D430)/2))</f>
        <v/>
      </c>
      <c r="F430" s="68">
        <f>IF($E430&lt;=cc_D,3.5,2*$E430/($E430-3*cc_D/7))</f>
        <v/>
      </c>
      <c r="G430" s="67">
        <f>(fcd_cc*((cc_D/2)^2*($BI430-COS($BI430)*SIN($BI430))-2*(cc_D/2)^2*($BI430-$BH430)/12/3*SUMPRODUCT($BJ$4:$BV$4,$BJ430:$BV430))+SUMPRODUCT($J$5:$AG$5,$J430:$AG430))/1000</f>
        <v/>
      </c>
      <c r="H430" s="67">
        <f>(fcd_cc*(2/3*(cc_D/2)^3*SIN($BI430)^3-2*(cc_D/2)^3*($BI430-$BH430)/12/3*SUMPRODUCT($BW$4:$CI$4,$BW430:$CI430))+SUMPRODUCT($J$5:$AG$5,$J430:$AG430,$J$22:$AG$22))/1E6</f>
        <v/>
      </c>
      <c r="I430" s="67">
        <f>SUMPRODUCT($J$5:$AG$5,$J430:$AG430,$J$23:$AG$23)/1E6</f>
        <v/>
      </c>
      <c r="J430">
        <f>MAX(-fyd_cc,MIN(fyd_cc,Es_cc*IF($E430&lt;=cc_D,0.0035*($E430-J$21)/$E430,0.002*($E430-J$21)/($E430-3*cc_D/7))))-fcd_cc*(1-(1-MAX(0,MIN(1,IF($E430&lt;=cc_D,0.0035*($E430-J$21)/$E430,0.002*($E430-J$21)/($E430-3*cc_D/7))/0.002)))^2)</f>
        <v/>
      </c>
      <c r="K430">
        <f>MAX(-fyd_cc,MIN(fyd_cc,Es_cc*IF($E430&lt;=cc_D,0.0035*($E430-K$21)/$E430,0.002*($E430-K$21)/($E430-3*cc_D/7))))-fcd_cc*(1-(1-MAX(0,MIN(1,IF($E430&lt;=cc_D,0.0035*($E430-K$21)/$E430,0.002*($E430-K$21)/($E430-3*cc_D/7))/0.002)))^2)</f>
        <v/>
      </c>
      <c r="L430">
        <f>MAX(-fyd_cc,MIN(fyd_cc,Es_cc*IF($E430&lt;=cc_D,0.0035*($E430-L$21)/$E430,0.002*($E430-L$21)/($E430-3*cc_D/7))))-fcd_cc*(1-(1-MAX(0,MIN(1,IF($E430&lt;=cc_D,0.0035*($E430-L$21)/$E430,0.002*($E430-L$21)/($E430-3*cc_D/7))/0.002)))^2)</f>
        <v/>
      </c>
      <c r="M430">
        <f>MAX(-fyd_cc,MIN(fyd_cc,Es_cc*IF($E430&lt;=cc_D,0.0035*($E430-M$21)/$E430,0.002*($E430-M$21)/($E430-3*cc_D/7))))-fcd_cc*(1-(1-MAX(0,MIN(1,IF($E430&lt;=cc_D,0.0035*($E430-M$21)/$E430,0.002*($E430-M$21)/($E430-3*cc_D/7))/0.002)))^2)</f>
        <v/>
      </c>
      <c r="N430">
        <f>MAX(-fyd_cc,MIN(fyd_cc,Es_cc*IF($E430&lt;=cc_D,0.0035*($E430-N$21)/$E430,0.002*($E430-N$21)/($E430-3*cc_D/7))))-fcd_cc*(1-(1-MAX(0,MIN(1,IF($E430&lt;=cc_D,0.0035*($E430-N$21)/$E430,0.002*($E430-N$21)/($E430-3*cc_D/7))/0.002)))^2)</f>
        <v/>
      </c>
      <c r="O430">
        <f>MAX(-fyd_cc,MIN(fyd_cc,Es_cc*IF($E430&lt;=cc_D,0.0035*($E430-O$21)/$E430,0.002*($E430-O$21)/($E430-3*cc_D/7))))-fcd_cc*(1-(1-MAX(0,MIN(1,IF($E430&lt;=cc_D,0.0035*($E430-O$21)/$E430,0.002*($E430-O$21)/($E430-3*cc_D/7))/0.002)))^2)</f>
        <v/>
      </c>
      <c r="P430">
        <f>MAX(-fyd_cc,MIN(fyd_cc,Es_cc*IF($E430&lt;=cc_D,0.0035*($E430-P$21)/$E430,0.002*($E430-P$21)/($E430-3*cc_D/7))))-fcd_cc*(1-(1-MAX(0,MIN(1,IF($E430&lt;=cc_D,0.0035*($E430-P$21)/$E430,0.002*($E430-P$21)/($E430-3*cc_D/7))/0.002)))^2)</f>
        <v/>
      </c>
      <c r="Q430">
        <f>MAX(-fyd_cc,MIN(fyd_cc,Es_cc*IF($E430&lt;=cc_D,0.0035*($E430-Q$21)/$E430,0.002*($E430-Q$21)/($E430-3*cc_D/7))))-fcd_cc*(1-(1-MAX(0,MIN(1,IF($E430&lt;=cc_D,0.0035*($E430-Q$21)/$E430,0.002*($E430-Q$21)/($E430-3*cc_D/7))/0.002)))^2)</f>
        <v/>
      </c>
      <c r="R430">
        <f>MAX(-fyd_cc,MIN(fyd_cc,Es_cc*IF($E430&lt;=cc_D,0.0035*($E430-R$21)/$E430,0.002*($E430-R$21)/($E430-3*cc_D/7))))-fcd_cc*(1-(1-MAX(0,MIN(1,IF($E430&lt;=cc_D,0.0035*($E430-R$21)/$E430,0.002*($E430-R$21)/($E430-3*cc_D/7))/0.002)))^2)</f>
        <v/>
      </c>
      <c r="S430">
        <f>MAX(-fyd_cc,MIN(fyd_cc,Es_cc*IF($E430&lt;=cc_D,0.0035*($E430-S$21)/$E430,0.002*($E430-S$21)/($E430-3*cc_D/7))))-fcd_cc*(1-(1-MAX(0,MIN(1,IF($E430&lt;=cc_D,0.0035*($E430-S$21)/$E430,0.002*($E430-S$21)/($E430-3*cc_D/7))/0.002)))^2)</f>
        <v/>
      </c>
      <c r="T430">
        <f>MAX(-fyd_cc,MIN(fyd_cc,Es_cc*IF($E430&lt;=cc_D,0.0035*($E430-T$21)/$E430,0.002*($E430-T$21)/($E430-3*cc_D/7))))-fcd_cc*(1-(1-MAX(0,MIN(1,IF($E430&lt;=cc_D,0.0035*($E430-T$21)/$E430,0.002*($E430-T$21)/($E430-3*cc_D/7))/0.002)))^2)</f>
        <v/>
      </c>
      <c r="U430">
        <f>MAX(-fyd_cc,MIN(fyd_cc,Es_cc*IF($E430&lt;=cc_D,0.0035*($E430-U$21)/$E430,0.002*($E430-U$21)/($E430-3*cc_D/7))))-fcd_cc*(1-(1-MAX(0,MIN(1,IF($E430&lt;=cc_D,0.0035*($E430-U$21)/$E430,0.002*($E430-U$21)/($E430-3*cc_D/7))/0.002)))^2)</f>
        <v/>
      </c>
      <c r="V430">
        <f>MAX(-fyd_cc,MIN(fyd_cc,Es_cc*IF($E430&lt;=cc_D,0.0035*($E430-V$21)/$E430,0.002*($E430-V$21)/($E430-3*cc_D/7))))-fcd_cc*(1-(1-MAX(0,MIN(1,IF($E430&lt;=cc_D,0.0035*($E430-V$21)/$E430,0.002*($E430-V$21)/($E430-3*cc_D/7))/0.002)))^2)</f>
        <v/>
      </c>
      <c r="W430">
        <f>MAX(-fyd_cc,MIN(fyd_cc,Es_cc*IF($E430&lt;=cc_D,0.0035*($E430-W$21)/$E430,0.002*($E430-W$21)/($E430-3*cc_D/7))))-fcd_cc*(1-(1-MAX(0,MIN(1,IF($E430&lt;=cc_D,0.0035*($E430-W$21)/$E430,0.002*($E430-W$21)/($E430-3*cc_D/7))/0.002)))^2)</f>
        <v/>
      </c>
      <c r="X430">
        <f>MAX(-fyd_cc,MIN(fyd_cc,Es_cc*IF($E430&lt;=cc_D,0.0035*($E430-X$21)/$E430,0.002*($E430-X$21)/($E430-3*cc_D/7))))-fcd_cc*(1-(1-MAX(0,MIN(1,IF($E430&lt;=cc_D,0.0035*($E430-X$21)/$E430,0.002*($E430-X$21)/($E430-3*cc_D/7))/0.002)))^2)</f>
        <v/>
      </c>
      <c r="Y430">
        <f>MAX(-fyd_cc,MIN(fyd_cc,Es_cc*IF($E430&lt;=cc_D,0.0035*($E430-Y$21)/$E430,0.002*($E430-Y$21)/($E430-3*cc_D/7))))-fcd_cc*(1-(1-MAX(0,MIN(1,IF($E430&lt;=cc_D,0.0035*($E430-Y$21)/$E430,0.002*($E430-Y$21)/($E430-3*cc_D/7))/0.002)))^2)</f>
        <v/>
      </c>
      <c r="Z430">
        <f>MAX(-fyd_cc,MIN(fyd_cc,Es_cc*IF($E430&lt;=cc_D,0.0035*($E430-Z$21)/$E430,0.002*($E430-Z$21)/($E430-3*cc_D/7))))-fcd_cc*(1-(1-MAX(0,MIN(1,IF($E430&lt;=cc_D,0.0035*($E430-Z$21)/$E430,0.002*($E430-Z$21)/($E430-3*cc_D/7))/0.002)))^2)</f>
        <v/>
      </c>
      <c r="AA430">
        <f>MAX(-fyd_cc,MIN(fyd_cc,Es_cc*IF($E430&lt;=cc_D,0.0035*($E430-AA$21)/$E430,0.002*($E430-AA$21)/($E430-3*cc_D/7))))-fcd_cc*(1-(1-MAX(0,MIN(1,IF($E430&lt;=cc_D,0.0035*($E430-AA$21)/$E430,0.002*($E430-AA$21)/($E430-3*cc_D/7))/0.002)))^2)</f>
        <v/>
      </c>
      <c r="AB430">
        <f>MAX(-fyd_cc,MIN(fyd_cc,Es_cc*IF($E430&lt;=cc_D,0.0035*($E430-AB$21)/$E430,0.002*($E430-AB$21)/($E430-3*cc_D/7))))-fcd_cc*(1-(1-MAX(0,MIN(1,IF($E430&lt;=cc_D,0.0035*($E430-AB$21)/$E430,0.002*($E430-AB$21)/($E430-3*cc_D/7))/0.002)))^2)</f>
        <v/>
      </c>
      <c r="AC430">
        <f>MAX(-fyd_cc,MIN(fyd_cc,Es_cc*IF($E430&lt;=cc_D,0.0035*($E430-AC$21)/$E430,0.002*($E430-AC$21)/($E430-3*cc_D/7))))-fcd_cc*(1-(1-MAX(0,MIN(1,IF($E430&lt;=cc_D,0.0035*($E430-AC$21)/$E430,0.002*($E430-AC$21)/($E430-3*cc_D/7))/0.002)))^2)</f>
        <v/>
      </c>
      <c r="AD430">
        <f>MAX(-fyd_cc,MIN(fyd_cc,Es_cc*IF($E430&lt;=cc_D,0.0035*($E430-AD$21)/$E430,0.002*($E430-AD$21)/($E430-3*cc_D/7))))-fcd_cc*(1-(1-MAX(0,MIN(1,IF($E430&lt;=cc_D,0.0035*($E430-AD$21)/$E430,0.002*($E430-AD$21)/($E430-3*cc_D/7))/0.002)))^2)</f>
        <v/>
      </c>
      <c r="AE430">
        <f>MAX(-fyd_cc,MIN(fyd_cc,Es_cc*IF($E430&lt;=cc_D,0.0035*($E430-AE$21)/$E430,0.002*($E430-AE$21)/($E430-3*cc_D/7))))-fcd_cc*(1-(1-MAX(0,MIN(1,IF($E430&lt;=cc_D,0.0035*($E430-AE$21)/$E430,0.002*($E430-AE$21)/($E430-3*cc_D/7))/0.002)))^2)</f>
        <v/>
      </c>
      <c r="AF430">
        <f>MAX(-fyd_cc,MIN(fyd_cc,Es_cc*IF($E430&lt;=cc_D,0.0035*($E430-AF$21)/$E430,0.002*($E430-AF$21)/($E430-3*cc_D/7))))-fcd_cc*(1-(1-MAX(0,MIN(1,IF($E430&lt;=cc_D,0.0035*($E430-AF$21)/$E430,0.002*($E430-AF$21)/($E430-3*cc_D/7))/0.002)))^2)</f>
        <v/>
      </c>
      <c r="AG430">
        <f>MAX(-fyd_cc,MIN(fyd_cc,Es_cc*IF($E430&lt;=cc_D,0.0035*($E430-AG$21)/$E430,0.002*($E430-AG$21)/($E430-3*cc_D/7))))-fcd_cc*(1-(1-MAX(0,MIN(1,IF($E430&lt;=cc_D,0.0035*($E430-AG$21)/$E430,0.002*($E430-AG$21)/($E430-3*cc_D/7))/0.002)))^2)</f>
        <v/>
      </c>
      <c r="BF430">
        <f>3*MIN($E430,cc_D)/7</f>
        <v/>
      </c>
      <c r="BG430">
        <f>$E430-$BF430</f>
        <v/>
      </c>
      <c r="BH430">
        <f>ACOS(MAX(-1,MIN(1,1-$BF430/(cc_D/2))))</f>
        <v/>
      </c>
      <c r="BI430">
        <f>ACOS(MAX(-1,MIN(1,1-MIN($E430,cc_D)/(cc_D/2))))</f>
        <v/>
      </c>
      <c r="BJ430">
        <f>((cc_D/2*(1-COS(($BH430+0*($BI430-$BH430)/12)))-$BF430)/$BG430)^2*SIN(($BH430+0*($BI430-$BH430)/12))^2</f>
        <v/>
      </c>
      <c r="BK430">
        <f>((cc_D/2*(1-COS(($BH430+1*($BI430-$BH430)/12)))-$BF430)/$BG430)^2*SIN(($BH430+1*($BI430-$BH430)/12))^2</f>
        <v/>
      </c>
      <c r="BL430">
        <f>((cc_D/2*(1-COS(($BH430+2*($BI430-$BH430)/12)))-$BF430)/$BG430)^2*SIN(($BH430+2*($BI430-$BH430)/12))^2</f>
        <v/>
      </c>
      <c r="BM430">
        <f>((cc_D/2*(1-COS(($BH430+3*($BI430-$BH430)/12)))-$BF430)/$BG430)^2*SIN(($BH430+3*($BI430-$BH430)/12))^2</f>
        <v/>
      </c>
      <c r="BN430">
        <f>((cc_D/2*(1-COS(($BH430+4*($BI430-$BH430)/12)))-$BF430)/$BG430)^2*SIN(($BH430+4*($BI430-$BH430)/12))^2</f>
        <v/>
      </c>
      <c r="BO430">
        <f>((cc_D/2*(1-COS(($BH430+5*($BI430-$BH430)/12)))-$BF430)/$BG430)^2*SIN(($BH430+5*($BI430-$BH430)/12))^2</f>
        <v/>
      </c>
      <c r="BP430">
        <f>((cc_D/2*(1-COS(($BH430+6*($BI430-$BH430)/12)))-$BF430)/$BG430)^2*SIN(($BH430+6*($BI430-$BH430)/12))^2</f>
        <v/>
      </c>
      <c r="BQ430">
        <f>((cc_D/2*(1-COS(($BH430+7*($BI430-$BH430)/12)))-$BF430)/$BG430)^2*SIN(($BH430+7*($BI430-$BH430)/12))^2</f>
        <v/>
      </c>
      <c r="BR430">
        <f>((cc_D/2*(1-COS(($BH430+8*($BI430-$BH430)/12)))-$BF430)/$BG430)^2*SIN(($BH430+8*($BI430-$BH430)/12))^2</f>
        <v/>
      </c>
      <c r="BS430">
        <f>((cc_D/2*(1-COS(($BH430+9*($BI430-$BH430)/12)))-$BF430)/$BG430)^2*SIN(($BH430+9*($BI430-$BH430)/12))^2</f>
        <v/>
      </c>
      <c r="BT430">
        <f>((cc_D/2*(1-COS(($BH430+10*($BI430-$BH430)/12)))-$BF430)/$BG430)^2*SIN(($BH430+10*($BI430-$BH430)/12))^2</f>
        <v/>
      </c>
      <c r="BU430">
        <f>((cc_D/2*(1-COS(($BH430+11*($BI430-$BH430)/12)))-$BF430)/$BG430)^2*SIN(($BH430+11*($BI430-$BH430)/12))^2</f>
        <v/>
      </c>
      <c r="BV430">
        <f>((cc_D/2*(1-COS(($BH430+12*($BI430-$BH430)/12)))-$BF430)/$BG430)^2*SIN(($BH430+12*($BI430-$BH430)/12))^2</f>
        <v/>
      </c>
      <c r="BW430">
        <f>BJ430*COS(($BH430+0*($BI430-$BH430)/12))</f>
        <v/>
      </c>
      <c r="BX430">
        <f>BK430*COS(($BH430+1*($BI430-$BH430)/12))</f>
        <v/>
      </c>
      <c r="BY430">
        <f>BL430*COS(($BH430+2*($BI430-$BH430)/12))</f>
        <v/>
      </c>
      <c r="BZ430">
        <f>BM430*COS(($BH430+3*($BI430-$BH430)/12))</f>
        <v/>
      </c>
      <c r="CA430">
        <f>BN430*COS(($BH430+4*($BI430-$BH430)/12))</f>
        <v/>
      </c>
      <c r="CB430">
        <f>BO430*COS(($BH430+5*($BI430-$BH430)/12))</f>
        <v/>
      </c>
      <c r="CC430">
        <f>BP430*COS(($BH430+6*($BI430-$BH430)/12))</f>
        <v/>
      </c>
      <c r="CD430">
        <f>BQ430*COS(($BH430+7*($BI430-$BH430)/12))</f>
        <v/>
      </c>
      <c r="CE430">
        <f>BR430*COS(($BH430+8*($BI430-$BH430)/12))</f>
        <v/>
      </c>
      <c r="CF430">
        <f>BS430*COS(($BH430+9*($BI430-$BH430)/12))</f>
        <v/>
      </c>
      <c r="CG430">
        <f>BT430*COS(($BH430+10*($BI430-$BH430)/12))</f>
        <v/>
      </c>
      <c r="CH430">
        <f>BU430*COS(($BH430+11*($BI430-$BH430)/12))</f>
        <v/>
      </c>
      <c r="CI430">
        <f>BV430*COS(($BH430+12*($BI430-$BH430)/12))</f>
        <v/>
      </c>
    </row>
    <row r="431">
      <c r="B431" s="65" t="n">
        <v>27</v>
      </c>
      <c r="C431" s="66">
        <f>IF($G430&lt;cc_NEd-1E-9*ABS(cc_NEd),($C430+$D430)/2,$C430)</f>
        <v/>
      </c>
      <c r="D431" s="66">
        <f>IF($G430&lt;cc_NEd-1E-9*ABS(cc_NEd),$D430,($C430+$D430)/2)</f>
        <v/>
      </c>
      <c r="E431" s="67">
        <f>cc_D*(($C431+$D431)/2)/(1-(($C431+$D431)/2))</f>
        <v/>
      </c>
      <c r="F431" s="68">
        <f>IF($E431&lt;=cc_D,3.5,2*$E431/($E431-3*cc_D/7))</f>
        <v/>
      </c>
      <c r="G431" s="67">
        <f>(fcd_cc*((cc_D/2)^2*($BI431-COS($BI431)*SIN($BI431))-2*(cc_D/2)^2*($BI431-$BH431)/12/3*SUMPRODUCT($BJ$4:$BV$4,$BJ431:$BV431))+SUMPRODUCT($J$5:$AG$5,$J431:$AG431))/1000</f>
        <v/>
      </c>
      <c r="H431" s="67">
        <f>(fcd_cc*(2/3*(cc_D/2)^3*SIN($BI431)^3-2*(cc_D/2)^3*($BI431-$BH431)/12/3*SUMPRODUCT($BW$4:$CI$4,$BW431:$CI431))+SUMPRODUCT($J$5:$AG$5,$J431:$AG431,$J$22:$AG$22))/1E6</f>
        <v/>
      </c>
      <c r="I431" s="67">
        <f>SUMPRODUCT($J$5:$AG$5,$J431:$AG431,$J$23:$AG$23)/1E6</f>
        <v/>
      </c>
      <c r="J431">
        <f>MAX(-fyd_cc,MIN(fyd_cc,Es_cc*IF($E431&lt;=cc_D,0.0035*($E431-J$21)/$E431,0.002*($E431-J$21)/($E431-3*cc_D/7))))-fcd_cc*(1-(1-MAX(0,MIN(1,IF($E431&lt;=cc_D,0.0035*($E431-J$21)/$E431,0.002*($E431-J$21)/($E431-3*cc_D/7))/0.002)))^2)</f>
        <v/>
      </c>
      <c r="K431">
        <f>MAX(-fyd_cc,MIN(fyd_cc,Es_cc*IF($E431&lt;=cc_D,0.0035*($E431-K$21)/$E431,0.002*($E431-K$21)/($E431-3*cc_D/7))))-fcd_cc*(1-(1-MAX(0,MIN(1,IF($E431&lt;=cc_D,0.0035*($E431-K$21)/$E431,0.002*($E431-K$21)/($E431-3*cc_D/7))/0.002)))^2)</f>
        <v/>
      </c>
      <c r="L431">
        <f>MAX(-fyd_cc,MIN(fyd_cc,Es_cc*IF($E431&lt;=cc_D,0.0035*($E431-L$21)/$E431,0.002*($E431-L$21)/($E431-3*cc_D/7))))-fcd_cc*(1-(1-MAX(0,MIN(1,IF($E431&lt;=cc_D,0.0035*($E431-L$21)/$E431,0.002*($E431-L$21)/($E431-3*cc_D/7))/0.002)))^2)</f>
        <v/>
      </c>
      <c r="M431">
        <f>MAX(-fyd_cc,MIN(fyd_cc,Es_cc*IF($E431&lt;=cc_D,0.0035*($E431-M$21)/$E431,0.002*($E431-M$21)/($E431-3*cc_D/7))))-fcd_cc*(1-(1-MAX(0,MIN(1,IF($E431&lt;=cc_D,0.0035*($E431-M$21)/$E431,0.002*($E431-M$21)/($E431-3*cc_D/7))/0.002)))^2)</f>
        <v/>
      </c>
      <c r="N431">
        <f>MAX(-fyd_cc,MIN(fyd_cc,Es_cc*IF($E431&lt;=cc_D,0.0035*($E431-N$21)/$E431,0.002*($E431-N$21)/($E431-3*cc_D/7))))-fcd_cc*(1-(1-MAX(0,MIN(1,IF($E431&lt;=cc_D,0.0035*($E431-N$21)/$E431,0.002*($E431-N$21)/($E431-3*cc_D/7))/0.002)))^2)</f>
        <v/>
      </c>
      <c r="O431">
        <f>MAX(-fyd_cc,MIN(fyd_cc,Es_cc*IF($E431&lt;=cc_D,0.0035*($E431-O$21)/$E431,0.002*($E431-O$21)/($E431-3*cc_D/7))))-fcd_cc*(1-(1-MAX(0,MIN(1,IF($E431&lt;=cc_D,0.0035*($E431-O$21)/$E431,0.002*($E431-O$21)/($E431-3*cc_D/7))/0.002)))^2)</f>
        <v/>
      </c>
      <c r="P431">
        <f>MAX(-fyd_cc,MIN(fyd_cc,Es_cc*IF($E431&lt;=cc_D,0.0035*($E431-P$21)/$E431,0.002*($E431-P$21)/($E431-3*cc_D/7))))-fcd_cc*(1-(1-MAX(0,MIN(1,IF($E431&lt;=cc_D,0.0035*($E431-P$21)/$E431,0.002*($E431-P$21)/($E431-3*cc_D/7))/0.002)))^2)</f>
        <v/>
      </c>
      <c r="Q431">
        <f>MAX(-fyd_cc,MIN(fyd_cc,Es_cc*IF($E431&lt;=cc_D,0.0035*($E431-Q$21)/$E431,0.002*($E431-Q$21)/($E431-3*cc_D/7))))-fcd_cc*(1-(1-MAX(0,MIN(1,IF($E431&lt;=cc_D,0.0035*($E431-Q$21)/$E431,0.002*($E431-Q$21)/($E431-3*cc_D/7))/0.002)))^2)</f>
        <v/>
      </c>
      <c r="R431">
        <f>MAX(-fyd_cc,MIN(fyd_cc,Es_cc*IF($E431&lt;=cc_D,0.0035*($E431-R$21)/$E431,0.002*($E431-R$21)/($E431-3*cc_D/7))))-fcd_cc*(1-(1-MAX(0,MIN(1,IF($E431&lt;=cc_D,0.0035*($E431-R$21)/$E431,0.002*($E431-R$21)/($E431-3*cc_D/7))/0.002)))^2)</f>
        <v/>
      </c>
      <c r="S431">
        <f>MAX(-fyd_cc,MIN(fyd_cc,Es_cc*IF($E431&lt;=cc_D,0.0035*($E431-S$21)/$E431,0.002*($E431-S$21)/($E431-3*cc_D/7))))-fcd_cc*(1-(1-MAX(0,MIN(1,IF($E431&lt;=cc_D,0.0035*($E431-S$21)/$E431,0.002*($E431-S$21)/($E431-3*cc_D/7))/0.002)))^2)</f>
        <v/>
      </c>
      <c r="T431">
        <f>MAX(-fyd_cc,MIN(fyd_cc,Es_cc*IF($E431&lt;=cc_D,0.0035*($E431-T$21)/$E431,0.002*($E431-T$21)/($E431-3*cc_D/7))))-fcd_cc*(1-(1-MAX(0,MIN(1,IF($E431&lt;=cc_D,0.0035*($E431-T$21)/$E431,0.002*($E431-T$21)/($E431-3*cc_D/7))/0.002)))^2)</f>
        <v/>
      </c>
      <c r="U431">
        <f>MAX(-fyd_cc,MIN(fyd_cc,Es_cc*IF($E431&lt;=cc_D,0.0035*($E431-U$21)/$E431,0.002*($E431-U$21)/($E431-3*cc_D/7))))-fcd_cc*(1-(1-MAX(0,MIN(1,IF($E431&lt;=cc_D,0.0035*($E431-U$21)/$E431,0.002*($E431-U$21)/($E431-3*cc_D/7))/0.002)))^2)</f>
        <v/>
      </c>
      <c r="V431">
        <f>MAX(-fyd_cc,MIN(fyd_cc,Es_cc*IF($E431&lt;=cc_D,0.0035*($E431-V$21)/$E431,0.002*($E431-V$21)/($E431-3*cc_D/7))))-fcd_cc*(1-(1-MAX(0,MIN(1,IF($E431&lt;=cc_D,0.0035*($E431-V$21)/$E431,0.002*($E431-V$21)/($E431-3*cc_D/7))/0.002)))^2)</f>
        <v/>
      </c>
      <c r="W431">
        <f>MAX(-fyd_cc,MIN(fyd_cc,Es_cc*IF($E431&lt;=cc_D,0.0035*($E431-W$21)/$E431,0.002*($E431-W$21)/($E431-3*cc_D/7))))-fcd_cc*(1-(1-MAX(0,MIN(1,IF($E431&lt;=cc_D,0.0035*($E431-W$21)/$E431,0.002*($E431-W$21)/($E431-3*cc_D/7))/0.002)))^2)</f>
        <v/>
      </c>
      <c r="X431">
        <f>MAX(-fyd_cc,MIN(fyd_cc,Es_cc*IF($E431&lt;=cc_D,0.0035*($E431-X$21)/$E431,0.002*($E431-X$21)/($E431-3*cc_D/7))))-fcd_cc*(1-(1-MAX(0,MIN(1,IF($E431&lt;=cc_D,0.0035*($E431-X$21)/$E431,0.002*($E431-X$21)/($E431-3*cc_D/7))/0.002)))^2)</f>
        <v/>
      </c>
      <c r="Y431">
        <f>MAX(-fyd_cc,MIN(fyd_cc,Es_cc*IF($E431&lt;=cc_D,0.0035*($E431-Y$21)/$E431,0.002*($E431-Y$21)/($E431-3*cc_D/7))))-fcd_cc*(1-(1-MAX(0,MIN(1,IF($E431&lt;=cc_D,0.0035*($E431-Y$21)/$E431,0.002*($E431-Y$21)/($E431-3*cc_D/7))/0.002)))^2)</f>
        <v/>
      </c>
      <c r="Z431">
        <f>MAX(-fyd_cc,MIN(fyd_cc,Es_cc*IF($E431&lt;=cc_D,0.0035*($E431-Z$21)/$E431,0.002*($E431-Z$21)/($E431-3*cc_D/7))))-fcd_cc*(1-(1-MAX(0,MIN(1,IF($E431&lt;=cc_D,0.0035*($E431-Z$21)/$E431,0.002*($E431-Z$21)/($E431-3*cc_D/7))/0.002)))^2)</f>
        <v/>
      </c>
      <c r="AA431">
        <f>MAX(-fyd_cc,MIN(fyd_cc,Es_cc*IF($E431&lt;=cc_D,0.0035*($E431-AA$21)/$E431,0.002*($E431-AA$21)/($E431-3*cc_D/7))))-fcd_cc*(1-(1-MAX(0,MIN(1,IF($E431&lt;=cc_D,0.0035*($E431-AA$21)/$E431,0.002*($E431-AA$21)/($E431-3*cc_D/7))/0.002)))^2)</f>
        <v/>
      </c>
      <c r="AB431">
        <f>MAX(-fyd_cc,MIN(fyd_cc,Es_cc*IF($E431&lt;=cc_D,0.0035*($E431-AB$21)/$E431,0.002*($E431-AB$21)/($E431-3*cc_D/7))))-fcd_cc*(1-(1-MAX(0,MIN(1,IF($E431&lt;=cc_D,0.0035*($E431-AB$21)/$E431,0.002*($E431-AB$21)/($E431-3*cc_D/7))/0.002)))^2)</f>
        <v/>
      </c>
      <c r="AC431">
        <f>MAX(-fyd_cc,MIN(fyd_cc,Es_cc*IF($E431&lt;=cc_D,0.0035*($E431-AC$21)/$E431,0.002*($E431-AC$21)/($E431-3*cc_D/7))))-fcd_cc*(1-(1-MAX(0,MIN(1,IF($E431&lt;=cc_D,0.0035*($E431-AC$21)/$E431,0.002*($E431-AC$21)/($E431-3*cc_D/7))/0.002)))^2)</f>
        <v/>
      </c>
      <c r="AD431">
        <f>MAX(-fyd_cc,MIN(fyd_cc,Es_cc*IF($E431&lt;=cc_D,0.0035*($E431-AD$21)/$E431,0.002*($E431-AD$21)/($E431-3*cc_D/7))))-fcd_cc*(1-(1-MAX(0,MIN(1,IF($E431&lt;=cc_D,0.0035*($E431-AD$21)/$E431,0.002*($E431-AD$21)/($E431-3*cc_D/7))/0.002)))^2)</f>
        <v/>
      </c>
      <c r="AE431">
        <f>MAX(-fyd_cc,MIN(fyd_cc,Es_cc*IF($E431&lt;=cc_D,0.0035*($E431-AE$21)/$E431,0.002*($E431-AE$21)/($E431-3*cc_D/7))))-fcd_cc*(1-(1-MAX(0,MIN(1,IF($E431&lt;=cc_D,0.0035*($E431-AE$21)/$E431,0.002*($E431-AE$21)/($E431-3*cc_D/7))/0.002)))^2)</f>
        <v/>
      </c>
      <c r="AF431">
        <f>MAX(-fyd_cc,MIN(fyd_cc,Es_cc*IF($E431&lt;=cc_D,0.0035*($E431-AF$21)/$E431,0.002*($E431-AF$21)/($E431-3*cc_D/7))))-fcd_cc*(1-(1-MAX(0,MIN(1,IF($E431&lt;=cc_D,0.0035*($E431-AF$21)/$E431,0.002*($E431-AF$21)/($E431-3*cc_D/7))/0.002)))^2)</f>
        <v/>
      </c>
      <c r="AG431">
        <f>MAX(-fyd_cc,MIN(fyd_cc,Es_cc*IF($E431&lt;=cc_D,0.0035*($E431-AG$21)/$E431,0.002*($E431-AG$21)/($E431-3*cc_D/7))))-fcd_cc*(1-(1-MAX(0,MIN(1,IF($E431&lt;=cc_D,0.0035*($E431-AG$21)/$E431,0.002*($E431-AG$21)/($E431-3*cc_D/7))/0.002)))^2)</f>
        <v/>
      </c>
      <c r="BF431">
        <f>3*MIN($E431,cc_D)/7</f>
        <v/>
      </c>
      <c r="BG431">
        <f>$E431-$BF431</f>
        <v/>
      </c>
      <c r="BH431">
        <f>ACOS(MAX(-1,MIN(1,1-$BF431/(cc_D/2))))</f>
        <v/>
      </c>
      <c r="BI431">
        <f>ACOS(MAX(-1,MIN(1,1-MIN($E431,cc_D)/(cc_D/2))))</f>
        <v/>
      </c>
      <c r="BJ431">
        <f>((cc_D/2*(1-COS(($BH431+0*($BI431-$BH431)/12)))-$BF431)/$BG431)^2*SIN(($BH431+0*($BI431-$BH431)/12))^2</f>
        <v/>
      </c>
      <c r="BK431">
        <f>((cc_D/2*(1-COS(($BH431+1*($BI431-$BH431)/12)))-$BF431)/$BG431)^2*SIN(($BH431+1*($BI431-$BH431)/12))^2</f>
        <v/>
      </c>
      <c r="BL431">
        <f>((cc_D/2*(1-COS(($BH431+2*($BI431-$BH431)/12)))-$BF431)/$BG431)^2*SIN(($BH431+2*($BI431-$BH431)/12))^2</f>
        <v/>
      </c>
      <c r="BM431">
        <f>((cc_D/2*(1-COS(($BH431+3*($BI431-$BH431)/12)))-$BF431)/$BG431)^2*SIN(($BH431+3*($BI431-$BH431)/12))^2</f>
        <v/>
      </c>
      <c r="BN431">
        <f>((cc_D/2*(1-COS(($BH431+4*($BI431-$BH431)/12)))-$BF431)/$BG431)^2*SIN(($BH431+4*($BI431-$BH431)/12))^2</f>
        <v/>
      </c>
      <c r="BO431">
        <f>((cc_D/2*(1-COS(($BH431+5*($BI431-$BH431)/12)))-$BF431)/$BG431)^2*SIN(($BH431+5*($BI431-$BH431)/12))^2</f>
        <v/>
      </c>
      <c r="BP431">
        <f>((cc_D/2*(1-COS(($BH431+6*($BI431-$BH431)/12)))-$BF431)/$BG431)^2*SIN(($BH431+6*($BI431-$BH431)/12))^2</f>
        <v/>
      </c>
      <c r="BQ431">
        <f>((cc_D/2*(1-COS(($BH431+7*($BI431-$BH431)/12)))-$BF431)/$BG431)^2*SIN(($BH431+7*($BI431-$BH431)/12))^2</f>
        <v/>
      </c>
      <c r="BR431">
        <f>((cc_D/2*(1-COS(($BH431+8*($BI431-$BH431)/12)))-$BF431)/$BG431)^2*SIN(($BH431+8*($BI431-$BH431)/12))^2</f>
        <v/>
      </c>
      <c r="BS431">
        <f>((cc_D/2*(1-COS(($BH431+9*($BI431-$BH431)/12)))-$BF431)/$BG431)^2*SIN(($BH431+9*($BI431-$BH431)/12))^2</f>
        <v/>
      </c>
      <c r="BT431">
        <f>((cc_D/2*(1-COS(($BH431+10*($BI431-$BH431)/12)))-$BF431)/$BG431)^2*SIN(($BH431+10*($BI431-$BH431)/12))^2</f>
        <v/>
      </c>
      <c r="BU431">
        <f>((cc_D/2*(1-COS(($BH431+11*($BI431-$BH431)/12)))-$BF431)/$BG431)^2*SIN(($BH431+11*($BI431-$BH431)/12))^2</f>
        <v/>
      </c>
      <c r="BV431">
        <f>((cc_D/2*(1-COS(($BH431+12*($BI431-$BH431)/12)))-$BF431)/$BG431)^2*SIN(($BH431+12*($BI431-$BH431)/12))^2</f>
        <v/>
      </c>
      <c r="BW431">
        <f>BJ431*COS(($BH431+0*($BI431-$BH431)/12))</f>
        <v/>
      </c>
      <c r="BX431">
        <f>BK431*COS(($BH431+1*($BI431-$BH431)/12))</f>
        <v/>
      </c>
      <c r="BY431">
        <f>BL431*COS(($BH431+2*($BI431-$BH431)/12))</f>
        <v/>
      </c>
      <c r="BZ431">
        <f>BM431*COS(($BH431+3*($BI431-$BH431)/12))</f>
        <v/>
      </c>
      <c r="CA431">
        <f>BN431*COS(($BH431+4*($BI431-$BH431)/12))</f>
        <v/>
      </c>
      <c r="CB431">
        <f>BO431*COS(($BH431+5*($BI431-$BH431)/12))</f>
        <v/>
      </c>
      <c r="CC431">
        <f>BP431*COS(($BH431+6*($BI431-$BH431)/12))</f>
        <v/>
      </c>
      <c r="CD431">
        <f>BQ431*COS(($BH431+7*($BI431-$BH431)/12))</f>
        <v/>
      </c>
      <c r="CE431">
        <f>BR431*COS(($BH431+8*($BI431-$BH431)/12))</f>
        <v/>
      </c>
      <c r="CF431">
        <f>BS431*COS(($BH431+9*($BI431-$BH431)/12))</f>
        <v/>
      </c>
      <c r="CG431">
        <f>BT431*COS(($BH431+10*($BI431-$BH431)/12))</f>
        <v/>
      </c>
      <c r="CH431">
        <f>BU431*COS(($BH431+11*($BI431-$BH431)/12))</f>
        <v/>
      </c>
      <c r="CI431">
        <f>BV431*COS(($BH431+12*($BI431-$BH431)/12))</f>
        <v/>
      </c>
    </row>
    <row r="432">
      <c r="B432" s="65" t="n">
        <v>28</v>
      </c>
      <c r="C432" s="66">
        <f>IF($G431&lt;cc_NEd-1E-9*ABS(cc_NEd),($C431+$D431)/2,$C431)</f>
        <v/>
      </c>
      <c r="D432" s="66">
        <f>IF($G431&lt;cc_NEd-1E-9*ABS(cc_NEd),$D431,($C431+$D431)/2)</f>
        <v/>
      </c>
      <c r="E432" s="67">
        <f>cc_D*(($C432+$D432)/2)/(1-(($C432+$D432)/2))</f>
        <v/>
      </c>
      <c r="F432" s="68">
        <f>IF($E432&lt;=cc_D,3.5,2*$E432/($E432-3*cc_D/7))</f>
        <v/>
      </c>
      <c r="G432" s="67">
        <f>(fcd_cc*((cc_D/2)^2*($BI432-COS($BI432)*SIN($BI432))-2*(cc_D/2)^2*($BI432-$BH432)/12/3*SUMPRODUCT($BJ$4:$BV$4,$BJ432:$BV432))+SUMPRODUCT($J$5:$AG$5,$J432:$AG432))/1000</f>
        <v/>
      </c>
      <c r="H432" s="67">
        <f>(fcd_cc*(2/3*(cc_D/2)^3*SIN($BI432)^3-2*(cc_D/2)^3*($BI432-$BH432)/12/3*SUMPRODUCT($BW$4:$CI$4,$BW432:$CI432))+SUMPRODUCT($J$5:$AG$5,$J432:$AG432,$J$22:$AG$22))/1E6</f>
        <v/>
      </c>
      <c r="I432" s="67">
        <f>SUMPRODUCT($J$5:$AG$5,$J432:$AG432,$J$23:$AG$23)/1E6</f>
        <v/>
      </c>
      <c r="J432">
        <f>MAX(-fyd_cc,MIN(fyd_cc,Es_cc*IF($E432&lt;=cc_D,0.0035*($E432-J$21)/$E432,0.002*($E432-J$21)/($E432-3*cc_D/7))))-fcd_cc*(1-(1-MAX(0,MIN(1,IF($E432&lt;=cc_D,0.0035*($E432-J$21)/$E432,0.002*($E432-J$21)/($E432-3*cc_D/7))/0.002)))^2)</f>
        <v/>
      </c>
      <c r="K432">
        <f>MAX(-fyd_cc,MIN(fyd_cc,Es_cc*IF($E432&lt;=cc_D,0.0035*($E432-K$21)/$E432,0.002*($E432-K$21)/($E432-3*cc_D/7))))-fcd_cc*(1-(1-MAX(0,MIN(1,IF($E432&lt;=cc_D,0.0035*($E432-K$21)/$E432,0.002*($E432-K$21)/($E432-3*cc_D/7))/0.002)))^2)</f>
        <v/>
      </c>
      <c r="L432">
        <f>MAX(-fyd_cc,MIN(fyd_cc,Es_cc*IF($E432&lt;=cc_D,0.0035*($E432-L$21)/$E432,0.002*($E432-L$21)/($E432-3*cc_D/7))))-fcd_cc*(1-(1-MAX(0,MIN(1,IF($E432&lt;=cc_D,0.0035*($E432-L$21)/$E432,0.002*($E432-L$21)/($E432-3*cc_D/7))/0.002)))^2)</f>
        <v/>
      </c>
      <c r="M432">
        <f>MAX(-fyd_cc,MIN(fyd_cc,Es_cc*IF($E432&lt;=cc_D,0.0035*($E432-M$21)/$E432,0.002*($E432-M$21)/($E432-3*cc_D/7))))-fcd_cc*(1-(1-MAX(0,MIN(1,IF($E432&lt;=cc_D,0.0035*($E432-M$21)/$E432,0.002*($E432-M$21)/($E432-3*cc_D/7))/0.002)))^2)</f>
        <v/>
      </c>
      <c r="N432">
        <f>MAX(-fyd_cc,MIN(fyd_cc,Es_cc*IF($E432&lt;=cc_D,0.0035*($E432-N$21)/$E432,0.002*($E432-N$21)/($E432-3*cc_D/7))))-fcd_cc*(1-(1-MAX(0,MIN(1,IF($E432&lt;=cc_D,0.0035*($E432-N$21)/$E432,0.002*($E432-N$21)/($E432-3*cc_D/7))/0.002)))^2)</f>
        <v/>
      </c>
      <c r="O432">
        <f>MAX(-fyd_cc,MIN(fyd_cc,Es_cc*IF($E432&lt;=cc_D,0.0035*($E432-O$21)/$E432,0.002*($E432-O$21)/($E432-3*cc_D/7))))-fcd_cc*(1-(1-MAX(0,MIN(1,IF($E432&lt;=cc_D,0.0035*($E432-O$21)/$E432,0.002*($E432-O$21)/($E432-3*cc_D/7))/0.002)))^2)</f>
        <v/>
      </c>
      <c r="P432">
        <f>MAX(-fyd_cc,MIN(fyd_cc,Es_cc*IF($E432&lt;=cc_D,0.0035*($E432-P$21)/$E432,0.002*($E432-P$21)/($E432-3*cc_D/7))))-fcd_cc*(1-(1-MAX(0,MIN(1,IF($E432&lt;=cc_D,0.0035*($E432-P$21)/$E432,0.002*($E432-P$21)/($E432-3*cc_D/7))/0.002)))^2)</f>
        <v/>
      </c>
      <c r="Q432">
        <f>MAX(-fyd_cc,MIN(fyd_cc,Es_cc*IF($E432&lt;=cc_D,0.0035*($E432-Q$21)/$E432,0.002*($E432-Q$21)/($E432-3*cc_D/7))))-fcd_cc*(1-(1-MAX(0,MIN(1,IF($E432&lt;=cc_D,0.0035*($E432-Q$21)/$E432,0.002*($E432-Q$21)/($E432-3*cc_D/7))/0.002)))^2)</f>
        <v/>
      </c>
      <c r="R432">
        <f>MAX(-fyd_cc,MIN(fyd_cc,Es_cc*IF($E432&lt;=cc_D,0.0035*($E432-R$21)/$E432,0.002*($E432-R$21)/($E432-3*cc_D/7))))-fcd_cc*(1-(1-MAX(0,MIN(1,IF($E432&lt;=cc_D,0.0035*($E432-R$21)/$E432,0.002*($E432-R$21)/($E432-3*cc_D/7))/0.002)))^2)</f>
        <v/>
      </c>
      <c r="S432">
        <f>MAX(-fyd_cc,MIN(fyd_cc,Es_cc*IF($E432&lt;=cc_D,0.0035*($E432-S$21)/$E432,0.002*($E432-S$21)/($E432-3*cc_D/7))))-fcd_cc*(1-(1-MAX(0,MIN(1,IF($E432&lt;=cc_D,0.0035*($E432-S$21)/$E432,0.002*($E432-S$21)/($E432-3*cc_D/7))/0.002)))^2)</f>
        <v/>
      </c>
      <c r="T432">
        <f>MAX(-fyd_cc,MIN(fyd_cc,Es_cc*IF($E432&lt;=cc_D,0.0035*($E432-T$21)/$E432,0.002*($E432-T$21)/($E432-3*cc_D/7))))-fcd_cc*(1-(1-MAX(0,MIN(1,IF($E432&lt;=cc_D,0.0035*($E432-T$21)/$E432,0.002*($E432-T$21)/($E432-3*cc_D/7))/0.002)))^2)</f>
        <v/>
      </c>
      <c r="U432">
        <f>MAX(-fyd_cc,MIN(fyd_cc,Es_cc*IF($E432&lt;=cc_D,0.0035*($E432-U$21)/$E432,0.002*($E432-U$21)/($E432-3*cc_D/7))))-fcd_cc*(1-(1-MAX(0,MIN(1,IF($E432&lt;=cc_D,0.0035*($E432-U$21)/$E432,0.002*($E432-U$21)/($E432-3*cc_D/7))/0.002)))^2)</f>
        <v/>
      </c>
      <c r="V432">
        <f>MAX(-fyd_cc,MIN(fyd_cc,Es_cc*IF($E432&lt;=cc_D,0.0035*($E432-V$21)/$E432,0.002*($E432-V$21)/($E432-3*cc_D/7))))-fcd_cc*(1-(1-MAX(0,MIN(1,IF($E432&lt;=cc_D,0.0035*($E432-V$21)/$E432,0.002*($E432-V$21)/($E432-3*cc_D/7))/0.002)))^2)</f>
        <v/>
      </c>
      <c r="W432">
        <f>MAX(-fyd_cc,MIN(fyd_cc,Es_cc*IF($E432&lt;=cc_D,0.0035*($E432-W$21)/$E432,0.002*($E432-W$21)/($E432-3*cc_D/7))))-fcd_cc*(1-(1-MAX(0,MIN(1,IF($E432&lt;=cc_D,0.0035*($E432-W$21)/$E432,0.002*($E432-W$21)/($E432-3*cc_D/7))/0.002)))^2)</f>
        <v/>
      </c>
      <c r="X432">
        <f>MAX(-fyd_cc,MIN(fyd_cc,Es_cc*IF($E432&lt;=cc_D,0.0035*($E432-X$21)/$E432,0.002*($E432-X$21)/($E432-3*cc_D/7))))-fcd_cc*(1-(1-MAX(0,MIN(1,IF($E432&lt;=cc_D,0.0035*($E432-X$21)/$E432,0.002*($E432-X$21)/($E432-3*cc_D/7))/0.002)))^2)</f>
        <v/>
      </c>
      <c r="Y432">
        <f>MAX(-fyd_cc,MIN(fyd_cc,Es_cc*IF($E432&lt;=cc_D,0.0035*($E432-Y$21)/$E432,0.002*($E432-Y$21)/($E432-3*cc_D/7))))-fcd_cc*(1-(1-MAX(0,MIN(1,IF($E432&lt;=cc_D,0.0035*($E432-Y$21)/$E432,0.002*($E432-Y$21)/($E432-3*cc_D/7))/0.002)))^2)</f>
        <v/>
      </c>
      <c r="Z432">
        <f>MAX(-fyd_cc,MIN(fyd_cc,Es_cc*IF($E432&lt;=cc_D,0.0035*($E432-Z$21)/$E432,0.002*($E432-Z$21)/($E432-3*cc_D/7))))-fcd_cc*(1-(1-MAX(0,MIN(1,IF($E432&lt;=cc_D,0.0035*($E432-Z$21)/$E432,0.002*($E432-Z$21)/($E432-3*cc_D/7))/0.002)))^2)</f>
        <v/>
      </c>
      <c r="AA432">
        <f>MAX(-fyd_cc,MIN(fyd_cc,Es_cc*IF($E432&lt;=cc_D,0.0035*($E432-AA$21)/$E432,0.002*($E432-AA$21)/($E432-3*cc_D/7))))-fcd_cc*(1-(1-MAX(0,MIN(1,IF($E432&lt;=cc_D,0.0035*($E432-AA$21)/$E432,0.002*($E432-AA$21)/($E432-3*cc_D/7))/0.002)))^2)</f>
        <v/>
      </c>
      <c r="AB432">
        <f>MAX(-fyd_cc,MIN(fyd_cc,Es_cc*IF($E432&lt;=cc_D,0.0035*($E432-AB$21)/$E432,0.002*($E432-AB$21)/($E432-3*cc_D/7))))-fcd_cc*(1-(1-MAX(0,MIN(1,IF($E432&lt;=cc_D,0.0035*($E432-AB$21)/$E432,0.002*($E432-AB$21)/($E432-3*cc_D/7))/0.002)))^2)</f>
        <v/>
      </c>
      <c r="AC432">
        <f>MAX(-fyd_cc,MIN(fyd_cc,Es_cc*IF($E432&lt;=cc_D,0.0035*($E432-AC$21)/$E432,0.002*($E432-AC$21)/($E432-3*cc_D/7))))-fcd_cc*(1-(1-MAX(0,MIN(1,IF($E432&lt;=cc_D,0.0035*($E432-AC$21)/$E432,0.002*($E432-AC$21)/($E432-3*cc_D/7))/0.002)))^2)</f>
        <v/>
      </c>
      <c r="AD432">
        <f>MAX(-fyd_cc,MIN(fyd_cc,Es_cc*IF($E432&lt;=cc_D,0.0035*($E432-AD$21)/$E432,0.002*($E432-AD$21)/($E432-3*cc_D/7))))-fcd_cc*(1-(1-MAX(0,MIN(1,IF($E432&lt;=cc_D,0.0035*($E432-AD$21)/$E432,0.002*($E432-AD$21)/($E432-3*cc_D/7))/0.002)))^2)</f>
        <v/>
      </c>
      <c r="AE432">
        <f>MAX(-fyd_cc,MIN(fyd_cc,Es_cc*IF($E432&lt;=cc_D,0.0035*($E432-AE$21)/$E432,0.002*($E432-AE$21)/($E432-3*cc_D/7))))-fcd_cc*(1-(1-MAX(0,MIN(1,IF($E432&lt;=cc_D,0.0035*($E432-AE$21)/$E432,0.002*($E432-AE$21)/($E432-3*cc_D/7))/0.002)))^2)</f>
        <v/>
      </c>
      <c r="AF432">
        <f>MAX(-fyd_cc,MIN(fyd_cc,Es_cc*IF($E432&lt;=cc_D,0.0035*($E432-AF$21)/$E432,0.002*($E432-AF$21)/($E432-3*cc_D/7))))-fcd_cc*(1-(1-MAX(0,MIN(1,IF($E432&lt;=cc_D,0.0035*($E432-AF$21)/$E432,0.002*($E432-AF$21)/($E432-3*cc_D/7))/0.002)))^2)</f>
        <v/>
      </c>
      <c r="AG432">
        <f>MAX(-fyd_cc,MIN(fyd_cc,Es_cc*IF($E432&lt;=cc_D,0.0035*($E432-AG$21)/$E432,0.002*($E432-AG$21)/($E432-3*cc_D/7))))-fcd_cc*(1-(1-MAX(0,MIN(1,IF($E432&lt;=cc_D,0.0035*($E432-AG$21)/$E432,0.002*($E432-AG$21)/($E432-3*cc_D/7))/0.002)))^2)</f>
        <v/>
      </c>
      <c r="BF432">
        <f>3*MIN($E432,cc_D)/7</f>
        <v/>
      </c>
      <c r="BG432">
        <f>$E432-$BF432</f>
        <v/>
      </c>
      <c r="BH432">
        <f>ACOS(MAX(-1,MIN(1,1-$BF432/(cc_D/2))))</f>
        <v/>
      </c>
      <c r="BI432">
        <f>ACOS(MAX(-1,MIN(1,1-MIN($E432,cc_D)/(cc_D/2))))</f>
        <v/>
      </c>
      <c r="BJ432">
        <f>((cc_D/2*(1-COS(($BH432+0*($BI432-$BH432)/12)))-$BF432)/$BG432)^2*SIN(($BH432+0*($BI432-$BH432)/12))^2</f>
        <v/>
      </c>
      <c r="BK432">
        <f>((cc_D/2*(1-COS(($BH432+1*($BI432-$BH432)/12)))-$BF432)/$BG432)^2*SIN(($BH432+1*($BI432-$BH432)/12))^2</f>
        <v/>
      </c>
      <c r="BL432">
        <f>((cc_D/2*(1-COS(($BH432+2*($BI432-$BH432)/12)))-$BF432)/$BG432)^2*SIN(($BH432+2*($BI432-$BH432)/12))^2</f>
        <v/>
      </c>
      <c r="BM432">
        <f>((cc_D/2*(1-COS(($BH432+3*($BI432-$BH432)/12)))-$BF432)/$BG432)^2*SIN(($BH432+3*($BI432-$BH432)/12))^2</f>
        <v/>
      </c>
      <c r="BN432">
        <f>((cc_D/2*(1-COS(($BH432+4*($BI432-$BH432)/12)))-$BF432)/$BG432)^2*SIN(($BH432+4*($BI432-$BH432)/12))^2</f>
        <v/>
      </c>
      <c r="BO432">
        <f>((cc_D/2*(1-COS(($BH432+5*($BI432-$BH432)/12)))-$BF432)/$BG432)^2*SIN(($BH432+5*($BI432-$BH432)/12))^2</f>
        <v/>
      </c>
      <c r="BP432">
        <f>((cc_D/2*(1-COS(($BH432+6*($BI432-$BH432)/12)))-$BF432)/$BG432)^2*SIN(($BH432+6*($BI432-$BH432)/12))^2</f>
        <v/>
      </c>
      <c r="BQ432">
        <f>((cc_D/2*(1-COS(($BH432+7*($BI432-$BH432)/12)))-$BF432)/$BG432)^2*SIN(($BH432+7*($BI432-$BH432)/12))^2</f>
        <v/>
      </c>
      <c r="BR432">
        <f>((cc_D/2*(1-COS(($BH432+8*($BI432-$BH432)/12)))-$BF432)/$BG432)^2*SIN(($BH432+8*($BI432-$BH432)/12))^2</f>
        <v/>
      </c>
      <c r="BS432">
        <f>((cc_D/2*(1-COS(($BH432+9*($BI432-$BH432)/12)))-$BF432)/$BG432)^2*SIN(($BH432+9*($BI432-$BH432)/12))^2</f>
        <v/>
      </c>
      <c r="BT432">
        <f>((cc_D/2*(1-COS(($BH432+10*($BI432-$BH432)/12)))-$BF432)/$BG432)^2*SIN(($BH432+10*($BI432-$BH432)/12))^2</f>
        <v/>
      </c>
      <c r="BU432">
        <f>((cc_D/2*(1-COS(($BH432+11*($BI432-$BH432)/12)))-$BF432)/$BG432)^2*SIN(($BH432+11*($BI432-$BH432)/12))^2</f>
        <v/>
      </c>
      <c r="BV432">
        <f>((cc_D/2*(1-COS(($BH432+12*($BI432-$BH432)/12)))-$BF432)/$BG432)^2*SIN(($BH432+12*($BI432-$BH432)/12))^2</f>
        <v/>
      </c>
      <c r="BW432">
        <f>BJ432*COS(($BH432+0*($BI432-$BH432)/12))</f>
        <v/>
      </c>
      <c r="BX432">
        <f>BK432*COS(($BH432+1*($BI432-$BH432)/12))</f>
        <v/>
      </c>
      <c r="BY432">
        <f>BL432*COS(($BH432+2*($BI432-$BH432)/12))</f>
        <v/>
      </c>
      <c r="BZ432">
        <f>BM432*COS(($BH432+3*($BI432-$BH432)/12))</f>
        <v/>
      </c>
      <c r="CA432">
        <f>BN432*COS(($BH432+4*($BI432-$BH432)/12))</f>
        <v/>
      </c>
      <c r="CB432">
        <f>BO432*COS(($BH432+5*($BI432-$BH432)/12))</f>
        <v/>
      </c>
      <c r="CC432">
        <f>BP432*COS(($BH432+6*($BI432-$BH432)/12))</f>
        <v/>
      </c>
      <c r="CD432">
        <f>BQ432*COS(($BH432+7*($BI432-$BH432)/12))</f>
        <v/>
      </c>
      <c r="CE432">
        <f>BR432*COS(($BH432+8*($BI432-$BH432)/12))</f>
        <v/>
      </c>
      <c r="CF432">
        <f>BS432*COS(($BH432+9*($BI432-$BH432)/12))</f>
        <v/>
      </c>
      <c r="CG432">
        <f>BT432*COS(($BH432+10*($BI432-$BH432)/12))</f>
        <v/>
      </c>
      <c r="CH432">
        <f>BU432*COS(($BH432+11*($BI432-$BH432)/12))</f>
        <v/>
      </c>
      <c r="CI432">
        <f>BV432*COS(($BH432+12*($BI432-$BH432)/12))</f>
        <v/>
      </c>
    </row>
    <row r="433">
      <c r="B433" s="65" t="n">
        <v>29</v>
      </c>
      <c r="C433" s="66">
        <f>IF($G432&lt;cc_NEd-1E-9*ABS(cc_NEd),($C432+$D432)/2,$C432)</f>
        <v/>
      </c>
      <c r="D433" s="66">
        <f>IF($G432&lt;cc_NEd-1E-9*ABS(cc_NEd),$D432,($C432+$D432)/2)</f>
        <v/>
      </c>
      <c r="E433" s="67">
        <f>cc_D*(($C433+$D433)/2)/(1-(($C433+$D433)/2))</f>
        <v/>
      </c>
      <c r="F433" s="68">
        <f>IF($E433&lt;=cc_D,3.5,2*$E433/($E433-3*cc_D/7))</f>
        <v/>
      </c>
      <c r="G433" s="67">
        <f>(fcd_cc*((cc_D/2)^2*($BI433-COS($BI433)*SIN($BI433))-2*(cc_D/2)^2*($BI433-$BH433)/12/3*SUMPRODUCT($BJ$4:$BV$4,$BJ433:$BV433))+SUMPRODUCT($J$5:$AG$5,$J433:$AG433))/1000</f>
        <v/>
      </c>
      <c r="H433" s="67">
        <f>(fcd_cc*(2/3*(cc_D/2)^3*SIN($BI433)^3-2*(cc_D/2)^3*($BI433-$BH433)/12/3*SUMPRODUCT($BW$4:$CI$4,$BW433:$CI433))+SUMPRODUCT($J$5:$AG$5,$J433:$AG433,$J$22:$AG$22))/1E6</f>
        <v/>
      </c>
      <c r="I433" s="67">
        <f>SUMPRODUCT($J$5:$AG$5,$J433:$AG433,$J$23:$AG$23)/1E6</f>
        <v/>
      </c>
      <c r="J433">
        <f>MAX(-fyd_cc,MIN(fyd_cc,Es_cc*IF($E433&lt;=cc_D,0.0035*($E433-J$21)/$E433,0.002*($E433-J$21)/($E433-3*cc_D/7))))-fcd_cc*(1-(1-MAX(0,MIN(1,IF($E433&lt;=cc_D,0.0035*($E433-J$21)/$E433,0.002*($E433-J$21)/($E433-3*cc_D/7))/0.002)))^2)</f>
        <v/>
      </c>
      <c r="K433">
        <f>MAX(-fyd_cc,MIN(fyd_cc,Es_cc*IF($E433&lt;=cc_D,0.0035*($E433-K$21)/$E433,0.002*($E433-K$21)/($E433-3*cc_D/7))))-fcd_cc*(1-(1-MAX(0,MIN(1,IF($E433&lt;=cc_D,0.0035*($E433-K$21)/$E433,0.002*($E433-K$21)/($E433-3*cc_D/7))/0.002)))^2)</f>
        <v/>
      </c>
      <c r="L433">
        <f>MAX(-fyd_cc,MIN(fyd_cc,Es_cc*IF($E433&lt;=cc_D,0.0035*($E433-L$21)/$E433,0.002*($E433-L$21)/($E433-3*cc_D/7))))-fcd_cc*(1-(1-MAX(0,MIN(1,IF($E433&lt;=cc_D,0.0035*($E433-L$21)/$E433,0.002*($E433-L$21)/($E433-3*cc_D/7))/0.002)))^2)</f>
        <v/>
      </c>
      <c r="M433">
        <f>MAX(-fyd_cc,MIN(fyd_cc,Es_cc*IF($E433&lt;=cc_D,0.0035*($E433-M$21)/$E433,0.002*($E433-M$21)/($E433-3*cc_D/7))))-fcd_cc*(1-(1-MAX(0,MIN(1,IF($E433&lt;=cc_D,0.0035*($E433-M$21)/$E433,0.002*($E433-M$21)/($E433-3*cc_D/7))/0.002)))^2)</f>
        <v/>
      </c>
      <c r="N433">
        <f>MAX(-fyd_cc,MIN(fyd_cc,Es_cc*IF($E433&lt;=cc_D,0.0035*($E433-N$21)/$E433,0.002*($E433-N$21)/($E433-3*cc_D/7))))-fcd_cc*(1-(1-MAX(0,MIN(1,IF($E433&lt;=cc_D,0.0035*($E433-N$21)/$E433,0.002*($E433-N$21)/($E433-3*cc_D/7))/0.002)))^2)</f>
        <v/>
      </c>
      <c r="O433">
        <f>MAX(-fyd_cc,MIN(fyd_cc,Es_cc*IF($E433&lt;=cc_D,0.0035*($E433-O$21)/$E433,0.002*($E433-O$21)/($E433-3*cc_D/7))))-fcd_cc*(1-(1-MAX(0,MIN(1,IF($E433&lt;=cc_D,0.0035*($E433-O$21)/$E433,0.002*($E433-O$21)/($E433-3*cc_D/7))/0.002)))^2)</f>
        <v/>
      </c>
      <c r="P433">
        <f>MAX(-fyd_cc,MIN(fyd_cc,Es_cc*IF($E433&lt;=cc_D,0.0035*($E433-P$21)/$E433,0.002*($E433-P$21)/($E433-3*cc_D/7))))-fcd_cc*(1-(1-MAX(0,MIN(1,IF($E433&lt;=cc_D,0.0035*($E433-P$21)/$E433,0.002*($E433-P$21)/($E433-3*cc_D/7))/0.002)))^2)</f>
        <v/>
      </c>
      <c r="Q433">
        <f>MAX(-fyd_cc,MIN(fyd_cc,Es_cc*IF($E433&lt;=cc_D,0.0035*($E433-Q$21)/$E433,0.002*($E433-Q$21)/($E433-3*cc_D/7))))-fcd_cc*(1-(1-MAX(0,MIN(1,IF($E433&lt;=cc_D,0.0035*($E433-Q$21)/$E433,0.002*($E433-Q$21)/($E433-3*cc_D/7))/0.002)))^2)</f>
        <v/>
      </c>
      <c r="R433">
        <f>MAX(-fyd_cc,MIN(fyd_cc,Es_cc*IF($E433&lt;=cc_D,0.0035*($E433-R$21)/$E433,0.002*($E433-R$21)/($E433-3*cc_D/7))))-fcd_cc*(1-(1-MAX(0,MIN(1,IF($E433&lt;=cc_D,0.0035*($E433-R$21)/$E433,0.002*($E433-R$21)/($E433-3*cc_D/7))/0.002)))^2)</f>
        <v/>
      </c>
      <c r="S433">
        <f>MAX(-fyd_cc,MIN(fyd_cc,Es_cc*IF($E433&lt;=cc_D,0.0035*($E433-S$21)/$E433,0.002*($E433-S$21)/($E433-3*cc_D/7))))-fcd_cc*(1-(1-MAX(0,MIN(1,IF($E433&lt;=cc_D,0.0035*($E433-S$21)/$E433,0.002*($E433-S$21)/($E433-3*cc_D/7))/0.002)))^2)</f>
        <v/>
      </c>
      <c r="T433">
        <f>MAX(-fyd_cc,MIN(fyd_cc,Es_cc*IF($E433&lt;=cc_D,0.0035*($E433-T$21)/$E433,0.002*($E433-T$21)/($E433-3*cc_D/7))))-fcd_cc*(1-(1-MAX(0,MIN(1,IF($E433&lt;=cc_D,0.0035*($E433-T$21)/$E433,0.002*($E433-T$21)/($E433-3*cc_D/7))/0.002)))^2)</f>
        <v/>
      </c>
      <c r="U433">
        <f>MAX(-fyd_cc,MIN(fyd_cc,Es_cc*IF($E433&lt;=cc_D,0.0035*($E433-U$21)/$E433,0.002*($E433-U$21)/($E433-3*cc_D/7))))-fcd_cc*(1-(1-MAX(0,MIN(1,IF($E433&lt;=cc_D,0.0035*($E433-U$21)/$E433,0.002*($E433-U$21)/($E433-3*cc_D/7))/0.002)))^2)</f>
        <v/>
      </c>
      <c r="V433">
        <f>MAX(-fyd_cc,MIN(fyd_cc,Es_cc*IF($E433&lt;=cc_D,0.0035*($E433-V$21)/$E433,0.002*($E433-V$21)/($E433-3*cc_D/7))))-fcd_cc*(1-(1-MAX(0,MIN(1,IF($E433&lt;=cc_D,0.0035*($E433-V$21)/$E433,0.002*($E433-V$21)/($E433-3*cc_D/7))/0.002)))^2)</f>
        <v/>
      </c>
      <c r="W433">
        <f>MAX(-fyd_cc,MIN(fyd_cc,Es_cc*IF($E433&lt;=cc_D,0.0035*($E433-W$21)/$E433,0.002*($E433-W$21)/($E433-3*cc_D/7))))-fcd_cc*(1-(1-MAX(0,MIN(1,IF($E433&lt;=cc_D,0.0035*($E433-W$21)/$E433,0.002*($E433-W$21)/($E433-3*cc_D/7))/0.002)))^2)</f>
        <v/>
      </c>
      <c r="X433">
        <f>MAX(-fyd_cc,MIN(fyd_cc,Es_cc*IF($E433&lt;=cc_D,0.0035*($E433-X$21)/$E433,0.002*($E433-X$21)/($E433-3*cc_D/7))))-fcd_cc*(1-(1-MAX(0,MIN(1,IF($E433&lt;=cc_D,0.0035*($E433-X$21)/$E433,0.002*($E433-X$21)/($E433-3*cc_D/7))/0.002)))^2)</f>
        <v/>
      </c>
      <c r="Y433">
        <f>MAX(-fyd_cc,MIN(fyd_cc,Es_cc*IF($E433&lt;=cc_D,0.0035*($E433-Y$21)/$E433,0.002*($E433-Y$21)/($E433-3*cc_D/7))))-fcd_cc*(1-(1-MAX(0,MIN(1,IF($E433&lt;=cc_D,0.0035*($E433-Y$21)/$E433,0.002*($E433-Y$21)/($E433-3*cc_D/7))/0.002)))^2)</f>
        <v/>
      </c>
      <c r="Z433">
        <f>MAX(-fyd_cc,MIN(fyd_cc,Es_cc*IF($E433&lt;=cc_D,0.0035*($E433-Z$21)/$E433,0.002*($E433-Z$21)/($E433-3*cc_D/7))))-fcd_cc*(1-(1-MAX(0,MIN(1,IF($E433&lt;=cc_D,0.0035*($E433-Z$21)/$E433,0.002*($E433-Z$21)/($E433-3*cc_D/7))/0.002)))^2)</f>
        <v/>
      </c>
      <c r="AA433">
        <f>MAX(-fyd_cc,MIN(fyd_cc,Es_cc*IF($E433&lt;=cc_D,0.0035*($E433-AA$21)/$E433,0.002*($E433-AA$21)/($E433-3*cc_D/7))))-fcd_cc*(1-(1-MAX(0,MIN(1,IF($E433&lt;=cc_D,0.0035*($E433-AA$21)/$E433,0.002*($E433-AA$21)/($E433-3*cc_D/7))/0.002)))^2)</f>
        <v/>
      </c>
      <c r="AB433">
        <f>MAX(-fyd_cc,MIN(fyd_cc,Es_cc*IF($E433&lt;=cc_D,0.0035*($E433-AB$21)/$E433,0.002*($E433-AB$21)/($E433-3*cc_D/7))))-fcd_cc*(1-(1-MAX(0,MIN(1,IF($E433&lt;=cc_D,0.0035*($E433-AB$21)/$E433,0.002*($E433-AB$21)/($E433-3*cc_D/7))/0.002)))^2)</f>
        <v/>
      </c>
      <c r="AC433">
        <f>MAX(-fyd_cc,MIN(fyd_cc,Es_cc*IF($E433&lt;=cc_D,0.0035*($E433-AC$21)/$E433,0.002*($E433-AC$21)/($E433-3*cc_D/7))))-fcd_cc*(1-(1-MAX(0,MIN(1,IF($E433&lt;=cc_D,0.0035*($E433-AC$21)/$E433,0.002*($E433-AC$21)/($E433-3*cc_D/7))/0.002)))^2)</f>
        <v/>
      </c>
      <c r="AD433">
        <f>MAX(-fyd_cc,MIN(fyd_cc,Es_cc*IF($E433&lt;=cc_D,0.0035*($E433-AD$21)/$E433,0.002*($E433-AD$21)/($E433-3*cc_D/7))))-fcd_cc*(1-(1-MAX(0,MIN(1,IF($E433&lt;=cc_D,0.0035*($E433-AD$21)/$E433,0.002*($E433-AD$21)/($E433-3*cc_D/7))/0.002)))^2)</f>
        <v/>
      </c>
      <c r="AE433">
        <f>MAX(-fyd_cc,MIN(fyd_cc,Es_cc*IF($E433&lt;=cc_D,0.0035*($E433-AE$21)/$E433,0.002*($E433-AE$21)/($E433-3*cc_D/7))))-fcd_cc*(1-(1-MAX(0,MIN(1,IF($E433&lt;=cc_D,0.0035*($E433-AE$21)/$E433,0.002*($E433-AE$21)/($E433-3*cc_D/7))/0.002)))^2)</f>
        <v/>
      </c>
      <c r="AF433">
        <f>MAX(-fyd_cc,MIN(fyd_cc,Es_cc*IF($E433&lt;=cc_D,0.0035*($E433-AF$21)/$E433,0.002*($E433-AF$21)/($E433-3*cc_D/7))))-fcd_cc*(1-(1-MAX(0,MIN(1,IF($E433&lt;=cc_D,0.0035*($E433-AF$21)/$E433,0.002*($E433-AF$21)/($E433-3*cc_D/7))/0.002)))^2)</f>
        <v/>
      </c>
      <c r="AG433">
        <f>MAX(-fyd_cc,MIN(fyd_cc,Es_cc*IF($E433&lt;=cc_D,0.0035*($E433-AG$21)/$E433,0.002*($E433-AG$21)/($E433-3*cc_D/7))))-fcd_cc*(1-(1-MAX(0,MIN(1,IF($E433&lt;=cc_D,0.0035*($E433-AG$21)/$E433,0.002*($E433-AG$21)/($E433-3*cc_D/7))/0.002)))^2)</f>
        <v/>
      </c>
      <c r="BF433">
        <f>3*MIN($E433,cc_D)/7</f>
        <v/>
      </c>
      <c r="BG433">
        <f>$E433-$BF433</f>
        <v/>
      </c>
      <c r="BH433">
        <f>ACOS(MAX(-1,MIN(1,1-$BF433/(cc_D/2))))</f>
        <v/>
      </c>
      <c r="BI433">
        <f>ACOS(MAX(-1,MIN(1,1-MIN($E433,cc_D)/(cc_D/2))))</f>
        <v/>
      </c>
      <c r="BJ433">
        <f>((cc_D/2*(1-COS(($BH433+0*($BI433-$BH433)/12)))-$BF433)/$BG433)^2*SIN(($BH433+0*($BI433-$BH433)/12))^2</f>
        <v/>
      </c>
      <c r="BK433">
        <f>((cc_D/2*(1-COS(($BH433+1*($BI433-$BH433)/12)))-$BF433)/$BG433)^2*SIN(($BH433+1*($BI433-$BH433)/12))^2</f>
        <v/>
      </c>
      <c r="BL433">
        <f>((cc_D/2*(1-COS(($BH433+2*($BI433-$BH433)/12)))-$BF433)/$BG433)^2*SIN(($BH433+2*($BI433-$BH433)/12))^2</f>
        <v/>
      </c>
      <c r="BM433">
        <f>((cc_D/2*(1-COS(($BH433+3*($BI433-$BH433)/12)))-$BF433)/$BG433)^2*SIN(($BH433+3*($BI433-$BH433)/12))^2</f>
        <v/>
      </c>
      <c r="BN433">
        <f>((cc_D/2*(1-COS(($BH433+4*($BI433-$BH433)/12)))-$BF433)/$BG433)^2*SIN(($BH433+4*($BI433-$BH433)/12))^2</f>
        <v/>
      </c>
      <c r="BO433">
        <f>((cc_D/2*(1-COS(($BH433+5*($BI433-$BH433)/12)))-$BF433)/$BG433)^2*SIN(($BH433+5*($BI433-$BH433)/12))^2</f>
        <v/>
      </c>
      <c r="BP433">
        <f>((cc_D/2*(1-COS(($BH433+6*($BI433-$BH433)/12)))-$BF433)/$BG433)^2*SIN(($BH433+6*($BI433-$BH433)/12))^2</f>
        <v/>
      </c>
      <c r="BQ433">
        <f>((cc_D/2*(1-COS(($BH433+7*($BI433-$BH433)/12)))-$BF433)/$BG433)^2*SIN(($BH433+7*($BI433-$BH433)/12))^2</f>
        <v/>
      </c>
      <c r="BR433">
        <f>((cc_D/2*(1-COS(($BH433+8*($BI433-$BH433)/12)))-$BF433)/$BG433)^2*SIN(($BH433+8*($BI433-$BH433)/12))^2</f>
        <v/>
      </c>
      <c r="BS433">
        <f>((cc_D/2*(1-COS(($BH433+9*($BI433-$BH433)/12)))-$BF433)/$BG433)^2*SIN(($BH433+9*($BI433-$BH433)/12))^2</f>
        <v/>
      </c>
      <c r="BT433">
        <f>((cc_D/2*(1-COS(($BH433+10*($BI433-$BH433)/12)))-$BF433)/$BG433)^2*SIN(($BH433+10*($BI433-$BH433)/12))^2</f>
        <v/>
      </c>
      <c r="BU433">
        <f>((cc_D/2*(1-COS(($BH433+11*($BI433-$BH433)/12)))-$BF433)/$BG433)^2*SIN(($BH433+11*($BI433-$BH433)/12))^2</f>
        <v/>
      </c>
      <c r="BV433">
        <f>((cc_D/2*(1-COS(($BH433+12*($BI433-$BH433)/12)))-$BF433)/$BG433)^2*SIN(($BH433+12*($BI433-$BH433)/12))^2</f>
        <v/>
      </c>
      <c r="BW433">
        <f>BJ433*COS(($BH433+0*($BI433-$BH433)/12))</f>
        <v/>
      </c>
      <c r="BX433">
        <f>BK433*COS(($BH433+1*($BI433-$BH433)/12))</f>
        <v/>
      </c>
      <c r="BY433">
        <f>BL433*COS(($BH433+2*($BI433-$BH433)/12))</f>
        <v/>
      </c>
      <c r="BZ433">
        <f>BM433*COS(($BH433+3*($BI433-$BH433)/12))</f>
        <v/>
      </c>
      <c r="CA433">
        <f>BN433*COS(($BH433+4*($BI433-$BH433)/12))</f>
        <v/>
      </c>
      <c r="CB433">
        <f>BO433*COS(($BH433+5*($BI433-$BH433)/12))</f>
        <v/>
      </c>
      <c r="CC433">
        <f>BP433*COS(($BH433+6*($BI433-$BH433)/12))</f>
        <v/>
      </c>
      <c r="CD433">
        <f>BQ433*COS(($BH433+7*($BI433-$BH433)/12))</f>
        <v/>
      </c>
      <c r="CE433">
        <f>BR433*COS(($BH433+8*($BI433-$BH433)/12))</f>
        <v/>
      </c>
      <c r="CF433">
        <f>BS433*COS(($BH433+9*($BI433-$BH433)/12))</f>
        <v/>
      </c>
      <c r="CG433">
        <f>BT433*COS(($BH433+10*($BI433-$BH433)/12))</f>
        <v/>
      </c>
      <c r="CH433">
        <f>BU433*COS(($BH433+11*($BI433-$BH433)/12))</f>
        <v/>
      </c>
      <c r="CI433">
        <f>BV433*COS(($BH433+12*($BI433-$BH433)/12))</f>
        <v/>
      </c>
    </row>
    <row r="434">
      <c r="B434" s="65" t="n">
        <v>30</v>
      </c>
      <c r="C434" s="66">
        <f>IF($G433&lt;cc_NEd-1E-9*ABS(cc_NEd),($C433+$D433)/2,$C433)</f>
        <v/>
      </c>
      <c r="D434" s="66">
        <f>IF($G433&lt;cc_NEd-1E-9*ABS(cc_NEd),$D433,($C433+$D433)/2)</f>
        <v/>
      </c>
      <c r="E434" s="67">
        <f>cc_D*(($C434+$D434)/2)/(1-(($C434+$D434)/2))</f>
        <v/>
      </c>
      <c r="F434" s="68">
        <f>IF($E434&lt;=cc_D,3.5,2*$E434/($E434-3*cc_D/7))</f>
        <v/>
      </c>
      <c r="G434" s="67">
        <f>(fcd_cc*((cc_D/2)^2*($BI434-COS($BI434)*SIN($BI434))-2*(cc_D/2)^2*($BI434-$BH434)/12/3*SUMPRODUCT($BJ$4:$BV$4,$BJ434:$BV434))+SUMPRODUCT($J$5:$AG$5,$J434:$AG434))/1000</f>
        <v/>
      </c>
      <c r="H434" s="67">
        <f>(fcd_cc*(2/3*(cc_D/2)^3*SIN($BI434)^3-2*(cc_D/2)^3*($BI434-$BH434)/12/3*SUMPRODUCT($BW$4:$CI$4,$BW434:$CI434))+SUMPRODUCT($J$5:$AG$5,$J434:$AG434,$J$22:$AG$22))/1E6</f>
        <v/>
      </c>
      <c r="I434" s="67">
        <f>SUMPRODUCT($J$5:$AG$5,$J434:$AG434,$J$23:$AG$23)/1E6</f>
        <v/>
      </c>
      <c r="J434">
        <f>MAX(-fyd_cc,MIN(fyd_cc,Es_cc*IF($E434&lt;=cc_D,0.0035*($E434-J$21)/$E434,0.002*($E434-J$21)/($E434-3*cc_D/7))))-fcd_cc*(1-(1-MAX(0,MIN(1,IF($E434&lt;=cc_D,0.0035*($E434-J$21)/$E434,0.002*($E434-J$21)/($E434-3*cc_D/7))/0.002)))^2)</f>
        <v/>
      </c>
      <c r="K434">
        <f>MAX(-fyd_cc,MIN(fyd_cc,Es_cc*IF($E434&lt;=cc_D,0.0035*($E434-K$21)/$E434,0.002*($E434-K$21)/($E434-3*cc_D/7))))-fcd_cc*(1-(1-MAX(0,MIN(1,IF($E434&lt;=cc_D,0.0035*($E434-K$21)/$E434,0.002*($E434-K$21)/($E434-3*cc_D/7))/0.002)))^2)</f>
        <v/>
      </c>
      <c r="L434">
        <f>MAX(-fyd_cc,MIN(fyd_cc,Es_cc*IF($E434&lt;=cc_D,0.0035*($E434-L$21)/$E434,0.002*($E434-L$21)/($E434-3*cc_D/7))))-fcd_cc*(1-(1-MAX(0,MIN(1,IF($E434&lt;=cc_D,0.0035*($E434-L$21)/$E434,0.002*($E434-L$21)/($E434-3*cc_D/7))/0.002)))^2)</f>
        <v/>
      </c>
      <c r="M434">
        <f>MAX(-fyd_cc,MIN(fyd_cc,Es_cc*IF($E434&lt;=cc_D,0.0035*($E434-M$21)/$E434,0.002*($E434-M$21)/($E434-3*cc_D/7))))-fcd_cc*(1-(1-MAX(0,MIN(1,IF($E434&lt;=cc_D,0.0035*($E434-M$21)/$E434,0.002*($E434-M$21)/($E434-3*cc_D/7))/0.002)))^2)</f>
        <v/>
      </c>
      <c r="N434">
        <f>MAX(-fyd_cc,MIN(fyd_cc,Es_cc*IF($E434&lt;=cc_D,0.0035*($E434-N$21)/$E434,0.002*($E434-N$21)/($E434-3*cc_D/7))))-fcd_cc*(1-(1-MAX(0,MIN(1,IF($E434&lt;=cc_D,0.0035*($E434-N$21)/$E434,0.002*($E434-N$21)/($E434-3*cc_D/7))/0.002)))^2)</f>
        <v/>
      </c>
      <c r="O434">
        <f>MAX(-fyd_cc,MIN(fyd_cc,Es_cc*IF($E434&lt;=cc_D,0.0035*($E434-O$21)/$E434,0.002*($E434-O$21)/($E434-3*cc_D/7))))-fcd_cc*(1-(1-MAX(0,MIN(1,IF($E434&lt;=cc_D,0.0035*($E434-O$21)/$E434,0.002*($E434-O$21)/($E434-3*cc_D/7))/0.002)))^2)</f>
        <v/>
      </c>
      <c r="P434">
        <f>MAX(-fyd_cc,MIN(fyd_cc,Es_cc*IF($E434&lt;=cc_D,0.0035*($E434-P$21)/$E434,0.002*($E434-P$21)/($E434-3*cc_D/7))))-fcd_cc*(1-(1-MAX(0,MIN(1,IF($E434&lt;=cc_D,0.0035*($E434-P$21)/$E434,0.002*($E434-P$21)/($E434-3*cc_D/7))/0.002)))^2)</f>
        <v/>
      </c>
      <c r="Q434">
        <f>MAX(-fyd_cc,MIN(fyd_cc,Es_cc*IF($E434&lt;=cc_D,0.0035*($E434-Q$21)/$E434,0.002*($E434-Q$21)/($E434-3*cc_D/7))))-fcd_cc*(1-(1-MAX(0,MIN(1,IF($E434&lt;=cc_D,0.0035*($E434-Q$21)/$E434,0.002*($E434-Q$21)/($E434-3*cc_D/7))/0.002)))^2)</f>
        <v/>
      </c>
      <c r="R434">
        <f>MAX(-fyd_cc,MIN(fyd_cc,Es_cc*IF($E434&lt;=cc_D,0.0035*($E434-R$21)/$E434,0.002*($E434-R$21)/($E434-3*cc_D/7))))-fcd_cc*(1-(1-MAX(0,MIN(1,IF($E434&lt;=cc_D,0.0035*($E434-R$21)/$E434,0.002*($E434-R$21)/($E434-3*cc_D/7))/0.002)))^2)</f>
        <v/>
      </c>
      <c r="S434">
        <f>MAX(-fyd_cc,MIN(fyd_cc,Es_cc*IF($E434&lt;=cc_D,0.0035*($E434-S$21)/$E434,0.002*($E434-S$21)/($E434-3*cc_D/7))))-fcd_cc*(1-(1-MAX(0,MIN(1,IF($E434&lt;=cc_D,0.0035*($E434-S$21)/$E434,0.002*($E434-S$21)/($E434-3*cc_D/7))/0.002)))^2)</f>
        <v/>
      </c>
      <c r="T434">
        <f>MAX(-fyd_cc,MIN(fyd_cc,Es_cc*IF($E434&lt;=cc_D,0.0035*($E434-T$21)/$E434,0.002*($E434-T$21)/($E434-3*cc_D/7))))-fcd_cc*(1-(1-MAX(0,MIN(1,IF($E434&lt;=cc_D,0.0035*($E434-T$21)/$E434,0.002*($E434-T$21)/($E434-3*cc_D/7))/0.002)))^2)</f>
        <v/>
      </c>
      <c r="U434">
        <f>MAX(-fyd_cc,MIN(fyd_cc,Es_cc*IF($E434&lt;=cc_D,0.0035*($E434-U$21)/$E434,0.002*($E434-U$21)/($E434-3*cc_D/7))))-fcd_cc*(1-(1-MAX(0,MIN(1,IF($E434&lt;=cc_D,0.0035*($E434-U$21)/$E434,0.002*($E434-U$21)/($E434-3*cc_D/7))/0.002)))^2)</f>
        <v/>
      </c>
      <c r="V434">
        <f>MAX(-fyd_cc,MIN(fyd_cc,Es_cc*IF($E434&lt;=cc_D,0.0035*($E434-V$21)/$E434,0.002*($E434-V$21)/($E434-3*cc_D/7))))-fcd_cc*(1-(1-MAX(0,MIN(1,IF($E434&lt;=cc_D,0.0035*($E434-V$21)/$E434,0.002*($E434-V$21)/($E434-3*cc_D/7))/0.002)))^2)</f>
        <v/>
      </c>
      <c r="W434">
        <f>MAX(-fyd_cc,MIN(fyd_cc,Es_cc*IF($E434&lt;=cc_D,0.0035*($E434-W$21)/$E434,0.002*($E434-W$21)/($E434-3*cc_D/7))))-fcd_cc*(1-(1-MAX(0,MIN(1,IF($E434&lt;=cc_D,0.0035*($E434-W$21)/$E434,0.002*($E434-W$21)/($E434-3*cc_D/7))/0.002)))^2)</f>
        <v/>
      </c>
      <c r="X434">
        <f>MAX(-fyd_cc,MIN(fyd_cc,Es_cc*IF($E434&lt;=cc_D,0.0035*($E434-X$21)/$E434,0.002*($E434-X$21)/($E434-3*cc_D/7))))-fcd_cc*(1-(1-MAX(0,MIN(1,IF($E434&lt;=cc_D,0.0035*($E434-X$21)/$E434,0.002*($E434-X$21)/($E434-3*cc_D/7))/0.002)))^2)</f>
        <v/>
      </c>
      <c r="Y434">
        <f>MAX(-fyd_cc,MIN(fyd_cc,Es_cc*IF($E434&lt;=cc_D,0.0035*($E434-Y$21)/$E434,0.002*($E434-Y$21)/($E434-3*cc_D/7))))-fcd_cc*(1-(1-MAX(0,MIN(1,IF($E434&lt;=cc_D,0.0035*($E434-Y$21)/$E434,0.002*($E434-Y$21)/($E434-3*cc_D/7))/0.002)))^2)</f>
        <v/>
      </c>
      <c r="Z434">
        <f>MAX(-fyd_cc,MIN(fyd_cc,Es_cc*IF($E434&lt;=cc_D,0.0035*($E434-Z$21)/$E434,0.002*($E434-Z$21)/($E434-3*cc_D/7))))-fcd_cc*(1-(1-MAX(0,MIN(1,IF($E434&lt;=cc_D,0.0035*($E434-Z$21)/$E434,0.002*($E434-Z$21)/($E434-3*cc_D/7))/0.002)))^2)</f>
        <v/>
      </c>
      <c r="AA434">
        <f>MAX(-fyd_cc,MIN(fyd_cc,Es_cc*IF($E434&lt;=cc_D,0.0035*($E434-AA$21)/$E434,0.002*($E434-AA$21)/($E434-3*cc_D/7))))-fcd_cc*(1-(1-MAX(0,MIN(1,IF($E434&lt;=cc_D,0.0035*($E434-AA$21)/$E434,0.002*($E434-AA$21)/($E434-3*cc_D/7))/0.002)))^2)</f>
        <v/>
      </c>
      <c r="AB434">
        <f>MAX(-fyd_cc,MIN(fyd_cc,Es_cc*IF($E434&lt;=cc_D,0.0035*($E434-AB$21)/$E434,0.002*($E434-AB$21)/($E434-3*cc_D/7))))-fcd_cc*(1-(1-MAX(0,MIN(1,IF($E434&lt;=cc_D,0.0035*($E434-AB$21)/$E434,0.002*($E434-AB$21)/($E434-3*cc_D/7))/0.002)))^2)</f>
        <v/>
      </c>
      <c r="AC434">
        <f>MAX(-fyd_cc,MIN(fyd_cc,Es_cc*IF($E434&lt;=cc_D,0.0035*($E434-AC$21)/$E434,0.002*($E434-AC$21)/($E434-3*cc_D/7))))-fcd_cc*(1-(1-MAX(0,MIN(1,IF($E434&lt;=cc_D,0.0035*($E434-AC$21)/$E434,0.002*($E434-AC$21)/($E434-3*cc_D/7))/0.002)))^2)</f>
        <v/>
      </c>
      <c r="AD434">
        <f>MAX(-fyd_cc,MIN(fyd_cc,Es_cc*IF($E434&lt;=cc_D,0.0035*($E434-AD$21)/$E434,0.002*($E434-AD$21)/($E434-3*cc_D/7))))-fcd_cc*(1-(1-MAX(0,MIN(1,IF($E434&lt;=cc_D,0.0035*($E434-AD$21)/$E434,0.002*($E434-AD$21)/($E434-3*cc_D/7))/0.002)))^2)</f>
        <v/>
      </c>
      <c r="AE434">
        <f>MAX(-fyd_cc,MIN(fyd_cc,Es_cc*IF($E434&lt;=cc_D,0.0035*($E434-AE$21)/$E434,0.002*($E434-AE$21)/($E434-3*cc_D/7))))-fcd_cc*(1-(1-MAX(0,MIN(1,IF($E434&lt;=cc_D,0.0035*($E434-AE$21)/$E434,0.002*($E434-AE$21)/($E434-3*cc_D/7))/0.002)))^2)</f>
        <v/>
      </c>
      <c r="AF434">
        <f>MAX(-fyd_cc,MIN(fyd_cc,Es_cc*IF($E434&lt;=cc_D,0.0035*($E434-AF$21)/$E434,0.002*($E434-AF$21)/($E434-3*cc_D/7))))-fcd_cc*(1-(1-MAX(0,MIN(1,IF($E434&lt;=cc_D,0.0035*($E434-AF$21)/$E434,0.002*($E434-AF$21)/($E434-3*cc_D/7))/0.002)))^2)</f>
        <v/>
      </c>
      <c r="AG434">
        <f>MAX(-fyd_cc,MIN(fyd_cc,Es_cc*IF($E434&lt;=cc_D,0.0035*($E434-AG$21)/$E434,0.002*($E434-AG$21)/($E434-3*cc_D/7))))-fcd_cc*(1-(1-MAX(0,MIN(1,IF($E434&lt;=cc_D,0.0035*($E434-AG$21)/$E434,0.002*($E434-AG$21)/($E434-3*cc_D/7))/0.002)))^2)</f>
        <v/>
      </c>
      <c r="BF434">
        <f>3*MIN($E434,cc_D)/7</f>
        <v/>
      </c>
      <c r="BG434">
        <f>$E434-$BF434</f>
        <v/>
      </c>
      <c r="BH434">
        <f>ACOS(MAX(-1,MIN(1,1-$BF434/(cc_D/2))))</f>
        <v/>
      </c>
      <c r="BI434">
        <f>ACOS(MAX(-1,MIN(1,1-MIN($E434,cc_D)/(cc_D/2))))</f>
        <v/>
      </c>
      <c r="BJ434">
        <f>((cc_D/2*(1-COS(($BH434+0*($BI434-$BH434)/12)))-$BF434)/$BG434)^2*SIN(($BH434+0*($BI434-$BH434)/12))^2</f>
        <v/>
      </c>
      <c r="BK434">
        <f>((cc_D/2*(1-COS(($BH434+1*($BI434-$BH434)/12)))-$BF434)/$BG434)^2*SIN(($BH434+1*($BI434-$BH434)/12))^2</f>
        <v/>
      </c>
      <c r="BL434">
        <f>((cc_D/2*(1-COS(($BH434+2*($BI434-$BH434)/12)))-$BF434)/$BG434)^2*SIN(($BH434+2*($BI434-$BH434)/12))^2</f>
        <v/>
      </c>
      <c r="BM434">
        <f>((cc_D/2*(1-COS(($BH434+3*($BI434-$BH434)/12)))-$BF434)/$BG434)^2*SIN(($BH434+3*($BI434-$BH434)/12))^2</f>
        <v/>
      </c>
      <c r="BN434">
        <f>((cc_D/2*(1-COS(($BH434+4*($BI434-$BH434)/12)))-$BF434)/$BG434)^2*SIN(($BH434+4*($BI434-$BH434)/12))^2</f>
        <v/>
      </c>
      <c r="BO434">
        <f>((cc_D/2*(1-COS(($BH434+5*($BI434-$BH434)/12)))-$BF434)/$BG434)^2*SIN(($BH434+5*($BI434-$BH434)/12))^2</f>
        <v/>
      </c>
      <c r="BP434">
        <f>((cc_D/2*(1-COS(($BH434+6*($BI434-$BH434)/12)))-$BF434)/$BG434)^2*SIN(($BH434+6*($BI434-$BH434)/12))^2</f>
        <v/>
      </c>
      <c r="BQ434">
        <f>((cc_D/2*(1-COS(($BH434+7*($BI434-$BH434)/12)))-$BF434)/$BG434)^2*SIN(($BH434+7*($BI434-$BH434)/12))^2</f>
        <v/>
      </c>
      <c r="BR434">
        <f>((cc_D/2*(1-COS(($BH434+8*($BI434-$BH434)/12)))-$BF434)/$BG434)^2*SIN(($BH434+8*($BI434-$BH434)/12))^2</f>
        <v/>
      </c>
      <c r="BS434">
        <f>((cc_D/2*(1-COS(($BH434+9*($BI434-$BH434)/12)))-$BF434)/$BG434)^2*SIN(($BH434+9*($BI434-$BH434)/12))^2</f>
        <v/>
      </c>
      <c r="BT434">
        <f>((cc_D/2*(1-COS(($BH434+10*($BI434-$BH434)/12)))-$BF434)/$BG434)^2*SIN(($BH434+10*($BI434-$BH434)/12))^2</f>
        <v/>
      </c>
      <c r="BU434">
        <f>((cc_D/2*(1-COS(($BH434+11*($BI434-$BH434)/12)))-$BF434)/$BG434)^2*SIN(($BH434+11*($BI434-$BH434)/12))^2</f>
        <v/>
      </c>
      <c r="BV434">
        <f>((cc_D/2*(1-COS(($BH434+12*($BI434-$BH434)/12)))-$BF434)/$BG434)^2*SIN(($BH434+12*($BI434-$BH434)/12))^2</f>
        <v/>
      </c>
      <c r="BW434">
        <f>BJ434*COS(($BH434+0*($BI434-$BH434)/12))</f>
        <v/>
      </c>
      <c r="BX434">
        <f>BK434*COS(($BH434+1*($BI434-$BH434)/12))</f>
        <v/>
      </c>
      <c r="BY434">
        <f>BL434*COS(($BH434+2*($BI434-$BH434)/12))</f>
        <v/>
      </c>
      <c r="BZ434">
        <f>BM434*COS(($BH434+3*($BI434-$BH434)/12))</f>
        <v/>
      </c>
      <c r="CA434">
        <f>BN434*COS(($BH434+4*($BI434-$BH434)/12))</f>
        <v/>
      </c>
      <c r="CB434">
        <f>BO434*COS(($BH434+5*($BI434-$BH434)/12))</f>
        <v/>
      </c>
      <c r="CC434">
        <f>BP434*COS(($BH434+6*($BI434-$BH434)/12))</f>
        <v/>
      </c>
      <c r="CD434">
        <f>BQ434*COS(($BH434+7*($BI434-$BH434)/12))</f>
        <v/>
      </c>
      <c r="CE434">
        <f>BR434*COS(($BH434+8*($BI434-$BH434)/12))</f>
        <v/>
      </c>
      <c r="CF434">
        <f>BS434*COS(($BH434+9*($BI434-$BH434)/12))</f>
        <v/>
      </c>
      <c r="CG434">
        <f>BT434*COS(($BH434+10*($BI434-$BH434)/12))</f>
        <v/>
      </c>
      <c r="CH434">
        <f>BU434*COS(($BH434+11*($BI434-$BH434)/12))</f>
        <v/>
      </c>
      <c r="CI434">
        <f>BV434*COS(($BH434+12*($BI434-$BH434)/12))</f>
        <v/>
      </c>
    </row>
    <row r="435">
      <c r="B435" s="65" t="n">
        <v>31</v>
      </c>
      <c r="C435" s="66">
        <f>IF($G434&lt;cc_NEd-1E-9*ABS(cc_NEd),($C434+$D434)/2,$C434)</f>
        <v/>
      </c>
      <c r="D435" s="66">
        <f>IF($G434&lt;cc_NEd-1E-9*ABS(cc_NEd),$D434,($C434+$D434)/2)</f>
        <v/>
      </c>
      <c r="E435" s="67">
        <f>cc_D*(($C435+$D435)/2)/(1-(($C435+$D435)/2))</f>
        <v/>
      </c>
      <c r="F435" s="68">
        <f>IF($E435&lt;=cc_D,3.5,2*$E435/($E435-3*cc_D/7))</f>
        <v/>
      </c>
      <c r="G435" s="67">
        <f>(fcd_cc*((cc_D/2)^2*($BI435-COS($BI435)*SIN($BI435))-2*(cc_D/2)^2*($BI435-$BH435)/12/3*SUMPRODUCT($BJ$4:$BV$4,$BJ435:$BV435))+SUMPRODUCT($J$5:$AG$5,$J435:$AG435))/1000</f>
        <v/>
      </c>
      <c r="H435" s="67">
        <f>(fcd_cc*(2/3*(cc_D/2)^3*SIN($BI435)^3-2*(cc_D/2)^3*($BI435-$BH435)/12/3*SUMPRODUCT($BW$4:$CI$4,$BW435:$CI435))+SUMPRODUCT($J$5:$AG$5,$J435:$AG435,$J$22:$AG$22))/1E6</f>
        <v/>
      </c>
      <c r="I435" s="67">
        <f>SUMPRODUCT($J$5:$AG$5,$J435:$AG435,$J$23:$AG$23)/1E6</f>
        <v/>
      </c>
      <c r="J435">
        <f>MAX(-fyd_cc,MIN(fyd_cc,Es_cc*IF($E435&lt;=cc_D,0.0035*($E435-J$21)/$E435,0.002*($E435-J$21)/($E435-3*cc_D/7))))-fcd_cc*(1-(1-MAX(0,MIN(1,IF($E435&lt;=cc_D,0.0035*($E435-J$21)/$E435,0.002*($E435-J$21)/($E435-3*cc_D/7))/0.002)))^2)</f>
        <v/>
      </c>
      <c r="K435">
        <f>MAX(-fyd_cc,MIN(fyd_cc,Es_cc*IF($E435&lt;=cc_D,0.0035*($E435-K$21)/$E435,0.002*($E435-K$21)/($E435-3*cc_D/7))))-fcd_cc*(1-(1-MAX(0,MIN(1,IF($E435&lt;=cc_D,0.0035*($E435-K$21)/$E435,0.002*($E435-K$21)/($E435-3*cc_D/7))/0.002)))^2)</f>
        <v/>
      </c>
      <c r="L435">
        <f>MAX(-fyd_cc,MIN(fyd_cc,Es_cc*IF($E435&lt;=cc_D,0.0035*($E435-L$21)/$E435,0.002*($E435-L$21)/($E435-3*cc_D/7))))-fcd_cc*(1-(1-MAX(0,MIN(1,IF($E435&lt;=cc_D,0.0035*($E435-L$21)/$E435,0.002*($E435-L$21)/($E435-3*cc_D/7))/0.002)))^2)</f>
        <v/>
      </c>
      <c r="M435">
        <f>MAX(-fyd_cc,MIN(fyd_cc,Es_cc*IF($E435&lt;=cc_D,0.0035*($E435-M$21)/$E435,0.002*($E435-M$21)/($E435-3*cc_D/7))))-fcd_cc*(1-(1-MAX(0,MIN(1,IF($E435&lt;=cc_D,0.0035*($E435-M$21)/$E435,0.002*($E435-M$21)/($E435-3*cc_D/7))/0.002)))^2)</f>
        <v/>
      </c>
      <c r="N435">
        <f>MAX(-fyd_cc,MIN(fyd_cc,Es_cc*IF($E435&lt;=cc_D,0.0035*($E435-N$21)/$E435,0.002*($E435-N$21)/($E435-3*cc_D/7))))-fcd_cc*(1-(1-MAX(0,MIN(1,IF($E435&lt;=cc_D,0.0035*($E435-N$21)/$E435,0.002*($E435-N$21)/($E435-3*cc_D/7))/0.002)))^2)</f>
        <v/>
      </c>
      <c r="O435">
        <f>MAX(-fyd_cc,MIN(fyd_cc,Es_cc*IF($E435&lt;=cc_D,0.0035*($E435-O$21)/$E435,0.002*($E435-O$21)/($E435-3*cc_D/7))))-fcd_cc*(1-(1-MAX(0,MIN(1,IF($E435&lt;=cc_D,0.0035*($E435-O$21)/$E435,0.002*($E435-O$21)/($E435-3*cc_D/7))/0.002)))^2)</f>
        <v/>
      </c>
      <c r="P435">
        <f>MAX(-fyd_cc,MIN(fyd_cc,Es_cc*IF($E435&lt;=cc_D,0.0035*($E435-P$21)/$E435,0.002*($E435-P$21)/($E435-3*cc_D/7))))-fcd_cc*(1-(1-MAX(0,MIN(1,IF($E435&lt;=cc_D,0.0035*($E435-P$21)/$E435,0.002*($E435-P$21)/($E435-3*cc_D/7))/0.002)))^2)</f>
        <v/>
      </c>
      <c r="Q435">
        <f>MAX(-fyd_cc,MIN(fyd_cc,Es_cc*IF($E435&lt;=cc_D,0.0035*($E435-Q$21)/$E435,0.002*($E435-Q$21)/($E435-3*cc_D/7))))-fcd_cc*(1-(1-MAX(0,MIN(1,IF($E435&lt;=cc_D,0.0035*($E435-Q$21)/$E435,0.002*($E435-Q$21)/($E435-3*cc_D/7))/0.002)))^2)</f>
        <v/>
      </c>
      <c r="R435">
        <f>MAX(-fyd_cc,MIN(fyd_cc,Es_cc*IF($E435&lt;=cc_D,0.0035*($E435-R$21)/$E435,0.002*($E435-R$21)/($E435-3*cc_D/7))))-fcd_cc*(1-(1-MAX(0,MIN(1,IF($E435&lt;=cc_D,0.0035*($E435-R$21)/$E435,0.002*($E435-R$21)/($E435-3*cc_D/7))/0.002)))^2)</f>
        <v/>
      </c>
      <c r="S435">
        <f>MAX(-fyd_cc,MIN(fyd_cc,Es_cc*IF($E435&lt;=cc_D,0.0035*($E435-S$21)/$E435,0.002*($E435-S$21)/($E435-3*cc_D/7))))-fcd_cc*(1-(1-MAX(0,MIN(1,IF($E435&lt;=cc_D,0.0035*($E435-S$21)/$E435,0.002*($E435-S$21)/($E435-3*cc_D/7))/0.002)))^2)</f>
        <v/>
      </c>
      <c r="T435">
        <f>MAX(-fyd_cc,MIN(fyd_cc,Es_cc*IF($E435&lt;=cc_D,0.0035*($E435-T$21)/$E435,0.002*($E435-T$21)/($E435-3*cc_D/7))))-fcd_cc*(1-(1-MAX(0,MIN(1,IF($E435&lt;=cc_D,0.0035*($E435-T$21)/$E435,0.002*($E435-T$21)/($E435-3*cc_D/7))/0.002)))^2)</f>
        <v/>
      </c>
      <c r="U435">
        <f>MAX(-fyd_cc,MIN(fyd_cc,Es_cc*IF($E435&lt;=cc_D,0.0035*($E435-U$21)/$E435,0.002*($E435-U$21)/($E435-3*cc_D/7))))-fcd_cc*(1-(1-MAX(0,MIN(1,IF($E435&lt;=cc_D,0.0035*($E435-U$21)/$E435,0.002*($E435-U$21)/($E435-3*cc_D/7))/0.002)))^2)</f>
        <v/>
      </c>
      <c r="V435">
        <f>MAX(-fyd_cc,MIN(fyd_cc,Es_cc*IF($E435&lt;=cc_D,0.0035*($E435-V$21)/$E435,0.002*($E435-V$21)/($E435-3*cc_D/7))))-fcd_cc*(1-(1-MAX(0,MIN(1,IF($E435&lt;=cc_D,0.0035*($E435-V$21)/$E435,0.002*($E435-V$21)/($E435-3*cc_D/7))/0.002)))^2)</f>
        <v/>
      </c>
      <c r="W435">
        <f>MAX(-fyd_cc,MIN(fyd_cc,Es_cc*IF($E435&lt;=cc_D,0.0035*($E435-W$21)/$E435,0.002*($E435-W$21)/($E435-3*cc_D/7))))-fcd_cc*(1-(1-MAX(0,MIN(1,IF($E435&lt;=cc_D,0.0035*($E435-W$21)/$E435,0.002*($E435-W$21)/($E435-3*cc_D/7))/0.002)))^2)</f>
        <v/>
      </c>
      <c r="X435">
        <f>MAX(-fyd_cc,MIN(fyd_cc,Es_cc*IF($E435&lt;=cc_D,0.0035*($E435-X$21)/$E435,0.002*($E435-X$21)/($E435-3*cc_D/7))))-fcd_cc*(1-(1-MAX(0,MIN(1,IF($E435&lt;=cc_D,0.0035*($E435-X$21)/$E435,0.002*($E435-X$21)/($E435-3*cc_D/7))/0.002)))^2)</f>
        <v/>
      </c>
      <c r="Y435">
        <f>MAX(-fyd_cc,MIN(fyd_cc,Es_cc*IF($E435&lt;=cc_D,0.0035*($E435-Y$21)/$E435,0.002*($E435-Y$21)/($E435-3*cc_D/7))))-fcd_cc*(1-(1-MAX(0,MIN(1,IF($E435&lt;=cc_D,0.0035*($E435-Y$21)/$E435,0.002*($E435-Y$21)/($E435-3*cc_D/7))/0.002)))^2)</f>
        <v/>
      </c>
      <c r="Z435">
        <f>MAX(-fyd_cc,MIN(fyd_cc,Es_cc*IF($E435&lt;=cc_D,0.0035*($E435-Z$21)/$E435,0.002*($E435-Z$21)/($E435-3*cc_D/7))))-fcd_cc*(1-(1-MAX(0,MIN(1,IF($E435&lt;=cc_D,0.0035*($E435-Z$21)/$E435,0.002*($E435-Z$21)/($E435-3*cc_D/7))/0.002)))^2)</f>
        <v/>
      </c>
      <c r="AA435">
        <f>MAX(-fyd_cc,MIN(fyd_cc,Es_cc*IF($E435&lt;=cc_D,0.0035*($E435-AA$21)/$E435,0.002*($E435-AA$21)/($E435-3*cc_D/7))))-fcd_cc*(1-(1-MAX(0,MIN(1,IF($E435&lt;=cc_D,0.0035*($E435-AA$21)/$E435,0.002*($E435-AA$21)/($E435-3*cc_D/7))/0.002)))^2)</f>
        <v/>
      </c>
      <c r="AB435">
        <f>MAX(-fyd_cc,MIN(fyd_cc,Es_cc*IF($E435&lt;=cc_D,0.0035*($E435-AB$21)/$E435,0.002*($E435-AB$21)/($E435-3*cc_D/7))))-fcd_cc*(1-(1-MAX(0,MIN(1,IF($E435&lt;=cc_D,0.0035*($E435-AB$21)/$E435,0.002*($E435-AB$21)/($E435-3*cc_D/7))/0.002)))^2)</f>
        <v/>
      </c>
      <c r="AC435">
        <f>MAX(-fyd_cc,MIN(fyd_cc,Es_cc*IF($E435&lt;=cc_D,0.0035*($E435-AC$21)/$E435,0.002*($E435-AC$21)/($E435-3*cc_D/7))))-fcd_cc*(1-(1-MAX(0,MIN(1,IF($E435&lt;=cc_D,0.0035*($E435-AC$21)/$E435,0.002*($E435-AC$21)/($E435-3*cc_D/7))/0.002)))^2)</f>
        <v/>
      </c>
      <c r="AD435">
        <f>MAX(-fyd_cc,MIN(fyd_cc,Es_cc*IF($E435&lt;=cc_D,0.0035*($E435-AD$21)/$E435,0.002*($E435-AD$21)/($E435-3*cc_D/7))))-fcd_cc*(1-(1-MAX(0,MIN(1,IF($E435&lt;=cc_D,0.0035*($E435-AD$21)/$E435,0.002*($E435-AD$21)/($E435-3*cc_D/7))/0.002)))^2)</f>
        <v/>
      </c>
      <c r="AE435">
        <f>MAX(-fyd_cc,MIN(fyd_cc,Es_cc*IF($E435&lt;=cc_D,0.0035*($E435-AE$21)/$E435,0.002*($E435-AE$21)/($E435-3*cc_D/7))))-fcd_cc*(1-(1-MAX(0,MIN(1,IF($E435&lt;=cc_D,0.0035*($E435-AE$21)/$E435,0.002*($E435-AE$21)/($E435-3*cc_D/7))/0.002)))^2)</f>
        <v/>
      </c>
      <c r="AF435">
        <f>MAX(-fyd_cc,MIN(fyd_cc,Es_cc*IF($E435&lt;=cc_D,0.0035*($E435-AF$21)/$E435,0.002*($E435-AF$21)/($E435-3*cc_D/7))))-fcd_cc*(1-(1-MAX(0,MIN(1,IF($E435&lt;=cc_D,0.0035*($E435-AF$21)/$E435,0.002*($E435-AF$21)/($E435-3*cc_D/7))/0.002)))^2)</f>
        <v/>
      </c>
      <c r="AG435">
        <f>MAX(-fyd_cc,MIN(fyd_cc,Es_cc*IF($E435&lt;=cc_D,0.0035*($E435-AG$21)/$E435,0.002*($E435-AG$21)/($E435-3*cc_D/7))))-fcd_cc*(1-(1-MAX(0,MIN(1,IF($E435&lt;=cc_D,0.0035*($E435-AG$21)/$E435,0.002*($E435-AG$21)/($E435-3*cc_D/7))/0.002)))^2)</f>
        <v/>
      </c>
      <c r="BF435">
        <f>3*MIN($E435,cc_D)/7</f>
        <v/>
      </c>
      <c r="BG435">
        <f>$E435-$BF435</f>
        <v/>
      </c>
      <c r="BH435">
        <f>ACOS(MAX(-1,MIN(1,1-$BF435/(cc_D/2))))</f>
        <v/>
      </c>
      <c r="BI435">
        <f>ACOS(MAX(-1,MIN(1,1-MIN($E435,cc_D)/(cc_D/2))))</f>
        <v/>
      </c>
      <c r="BJ435">
        <f>((cc_D/2*(1-COS(($BH435+0*($BI435-$BH435)/12)))-$BF435)/$BG435)^2*SIN(($BH435+0*($BI435-$BH435)/12))^2</f>
        <v/>
      </c>
      <c r="BK435">
        <f>((cc_D/2*(1-COS(($BH435+1*($BI435-$BH435)/12)))-$BF435)/$BG435)^2*SIN(($BH435+1*($BI435-$BH435)/12))^2</f>
        <v/>
      </c>
      <c r="BL435">
        <f>((cc_D/2*(1-COS(($BH435+2*($BI435-$BH435)/12)))-$BF435)/$BG435)^2*SIN(($BH435+2*($BI435-$BH435)/12))^2</f>
        <v/>
      </c>
      <c r="BM435">
        <f>((cc_D/2*(1-COS(($BH435+3*($BI435-$BH435)/12)))-$BF435)/$BG435)^2*SIN(($BH435+3*($BI435-$BH435)/12))^2</f>
        <v/>
      </c>
      <c r="BN435">
        <f>((cc_D/2*(1-COS(($BH435+4*($BI435-$BH435)/12)))-$BF435)/$BG435)^2*SIN(($BH435+4*($BI435-$BH435)/12))^2</f>
        <v/>
      </c>
      <c r="BO435">
        <f>((cc_D/2*(1-COS(($BH435+5*($BI435-$BH435)/12)))-$BF435)/$BG435)^2*SIN(($BH435+5*($BI435-$BH435)/12))^2</f>
        <v/>
      </c>
      <c r="BP435">
        <f>((cc_D/2*(1-COS(($BH435+6*($BI435-$BH435)/12)))-$BF435)/$BG435)^2*SIN(($BH435+6*($BI435-$BH435)/12))^2</f>
        <v/>
      </c>
      <c r="BQ435">
        <f>((cc_D/2*(1-COS(($BH435+7*($BI435-$BH435)/12)))-$BF435)/$BG435)^2*SIN(($BH435+7*($BI435-$BH435)/12))^2</f>
        <v/>
      </c>
      <c r="BR435">
        <f>((cc_D/2*(1-COS(($BH435+8*($BI435-$BH435)/12)))-$BF435)/$BG435)^2*SIN(($BH435+8*($BI435-$BH435)/12))^2</f>
        <v/>
      </c>
      <c r="BS435">
        <f>((cc_D/2*(1-COS(($BH435+9*($BI435-$BH435)/12)))-$BF435)/$BG435)^2*SIN(($BH435+9*($BI435-$BH435)/12))^2</f>
        <v/>
      </c>
      <c r="BT435">
        <f>((cc_D/2*(1-COS(($BH435+10*($BI435-$BH435)/12)))-$BF435)/$BG435)^2*SIN(($BH435+10*($BI435-$BH435)/12))^2</f>
        <v/>
      </c>
      <c r="BU435">
        <f>((cc_D/2*(1-COS(($BH435+11*($BI435-$BH435)/12)))-$BF435)/$BG435)^2*SIN(($BH435+11*($BI435-$BH435)/12))^2</f>
        <v/>
      </c>
      <c r="BV435">
        <f>((cc_D/2*(1-COS(($BH435+12*($BI435-$BH435)/12)))-$BF435)/$BG435)^2*SIN(($BH435+12*($BI435-$BH435)/12))^2</f>
        <v/>
      </c>
      <c r="BW435">
        <f>BJ435*COS(($BH435+0*($BI435-$BH435)/12))</f>
        <v/>
      </c>
      <c r="BX435">
        <f>BK435*COS(($BH435+1*($BI435-$BH435)/12))</f>
        <v/>
      </c>
      <c r="BY435">
        <f>BL435*COS(($BH435+2*($BI435-$BH435)/12))</f>
        <v/>
      </c>
      <c r="BZ435">
        <f>BM435*COS(($BH435+3*($BI435-$BH435)/12))</f>
        <v/>
      </c>
      <c r="CA435">
        <f>BN435*COS(($BH435+4*($BI435-$BH435)/12))</f>
        <v/>
      </c>
      <c r="CB435">
        <f>BO435*COS(($BH435+5*($BI435-$BH435)/12))</f>
        <v/>
      </c>
      <c r="CC435">
        <f>BP435*COS(($BH435+6*($BI435-$BH435)/12))</f>
        <v/>
      </c>
      <c r="CD435">
        <f>BQ435*COS(($BH435+7*($BI435-$BH435)/12))</f>
        <v/>
      </c>
      <c r="CE435">
        <f>BR435*COS(($BH435+8*($BI435-$BH435)/12))</f>
        <v/>
      </c>
      <c r="CF435">
        <f>BS435*COS(($BH435+9*($BI435-$BH435)/12))</f>
        <v/>
      </c>
      <c r="CG435">
        <f>BT435*COS(($BH435+10*($BI435-$BH435)/12))</f>
        <v/>
      </c>
      <c r="CH435">
        <f>BU435*COS(($BH435+11*($BI435-$BH435)/12))</f>
        <v/>
      </c>
      <c r="CI435">
        <f>BV435*COS(($BH435+12*($BI435-$BH435)/12))</f>
        <v/>
      </c>
    </row>
    <row r="436">
      <c r="B436" s="65" t="n">
        <v>32</v>
      </c>
      <c r="C436" s="66">
        <f>IF($G435&lt;cc_NEd-1E-9*ABS(cc_NEd),($C435+$D435)/2,$C435)</f>
        <v/>
      </c>
      <c r="D436" s="66">
        <f>IF($G435&lt;cc_NEd-1E-9*ABS(cc_NEd),$D435,($C435+$D435)/2)</f>
        <v/>
      </c>
      <c r="E436" s="67">
        <f>cc_D*(($C436+$D436)/2)/(1-(($C436+$D436)/2))</f>
        <v/>
      </c>
      <c r="F436" s="68">
        <f>IF($E436&lt;=cc_D,3.5,2*$E436/($E436-3*cc_D/7))</f>
        <v/>
      </c>
      <c r="G436" s="67">
        <f>(fcd_cc*((cc_D/2)^2*($BI436-COS($BI436)*SIN($BI436))-2*(cc_D/2)^2*($BI436-$BH436)/12/3*SUMPRODUCT($BJ$4:$BV$4,$BJ436:$BV436))+SUMPRODUCT($J$5:$AG$5,$J436:$AG436))/1000</f>
        <v/>
      </c>
      <c r="H436" s="67">
        <f>(fcd_cc*(2/3*(cc_D/2)^3*SIN($BI436)^3-2*(cc_D/2)^3*($BI436-$BH436)/12/3*SUMPRODUCT($BW$4:$CI$4,$BW436:$CI436))+SUMPRODUCT($J$5:$AG$5,$J436:$AG436,$J$22:$AG$22))/1E6</f>
        <v/>
      </c>
      <c r="I436" s="67">
        <f>SUMPRODUCT($J$5:$AG$5,$J436:$AG436,$J$23:$AG$23)/1E6</f>
        <v/>
      </c>
      <c r="J436">
        <f>MAX(-fyd_cc,MIN(fyd_cc,Es_cc*IF($E436&lt;=cc_D,0.0035*($E436-J$21)/$E436,0.002*($E436-J$21)/($E436-3*cc_D/7))))-fcd_cc*(1-(1-MAX(0,MIN(1,IF($E436&lt;=cc_D,0.0035*($E436-J$21)/$E436,0.002*($E436-J$21)/($E436-3*cc_D/7))/0.002)))^2)</f>
        <v/>
      </c>
      <c r="K436">
        <f>MAX(-fyd_cc,MIN(fyd_cc,Es_cc*IF($E436&lt;=cc_D,0.0035*($E436-K$21)/$E436,0.002*($E436-K$21)/($E436-3*cc_D/7))))-fcd_cc*(1-(1-MAX(0,MIN(1,IF($E436&lt;=cc_D,0.0035*($E436-K$21)/$E436,0.002*($E436-K$21)/($E436-3*cc_D/7))/0.002)))^2)</f>
        <v/>
      </c>
      <c r="L436">
        <f>MAX(-fyd_cc,MIN(fyd_cc,Es_cc*IF($E436&lt;=cc_D,0.0035*($E436-L$21)/$E436,0.002*($E436-L$21)/($E436-3*cc_D/7))))-fcd_cc*(1-(1-MAX(0,MIN(1,IF($E436&lt;=cc_D,0.0035*($E436-L$21)/$E436,0.002*($E436-L$21)/($E436-3*cc_D/7))/0.002)))^2)</f>
        <v/>
      </c>
      <c r="M436">
        <f>MAX(-fyd_cc,MIN(fyd_cc,Es_cc*IF($E436&lt;=cc_D,0.0035*($E436-M$21)/$E436,0.002*($E436-M$21)/($E436-3*cc_D/7))))-fcd_cc*(1-(1-MAX(0,MIN(1,IF($E436&lt;=cc_D,0.0035*($E436-M$21)/$E436,0.002*($E436-M$21)/($E436-3*cc_D/7))/0.002)))^2)</f>
        <v/>
      </c>
      <c r="N436">
        <f>MAX(-fyd_cc,MIN(fyd_cc,Es_cc*IF($E436&lt;=cc_D,0.0035*($E436-N$21)/$E436,0.002*($E436-N$21)/($E436-3*cc_D/7))))-fcd_cc*(1-(1-MAX(0,MIN(1,IF($E436&lt;=cc_D,0.0035*($E436-N$21)/$E436,0.002*($E436-N$21)/($E436-3*cc_D/7))/0.002)))^2)</f>
        <v/>
      </c>
      <c r="O436">
        <f>MAX(-fyd_cc,MIN(fyd_cc,Es_cc*IF($E436&lt;=cc_D,0.0035*($E436-O$21)/$E436,0.002*($E436-O$21)/($E436-3*cc_D/7))))-fcd_cc*(1-(1-MAX(0,MIN(1,IF($E436&lt;=cc_D,0.0035*($E436-O$21)/$E436,0.002*($E436-O$21)/($E436-3*cc_D/7))/0.002)))^2)</f>
        <v/>
      </c>
      <c r="P436">
        <f>MAX(-fyd_cc,MIN(fyd_cc,Es_cc*IF($E436&lt;=cc_D,0.0035*($E436-P$21)/$E436,0.002*($E436-P$21)/($E436-3*cc_D/7))))-fcd_cc*(1-(1-MAX(0,MIN(1,IF($E436&lt;=cc_D,0.0035*($E436-P$21)/$E436,0.002*($E436-P$21)/($E436-3*cc_D/7))/0.002)))^2)</f>
        <v/>
      </c>
      <c r="Q436">
        <f>MAX(-fyd_cc,MIN(fyd_cc,Es_cc*IF($E436&lt;=cc_D,0.0035*($E436-Q$21)/$E436,0.002*($E436-Q$21)/($E436-3*cc_D/7))))-fcd_cc*(1-(1-MAX(0,MIN(1,IF($E436&lt;=cc_D,0.0035*($E436-Q$21)/$E436,0.002*($E436-Q$21)/($E436-3*cc_D/7))/0.002)))^2)</f>
        <v/>
      </c>
      <c r="R436">
        <f>MAX(-fyd_cc,MIN(fyd_cc,Es_cc*IF($E436&lt;=cc_D,0.0035*($E436-R$21)/$E436,0.002*($E436-R$21)/($E436-3*cc_D/7))))-fcd_cc*(1-(1-MAX(0,MIN(1,IF($E436&lt;=cc_D,0.0035*($E436-R$21)/$E436,0.002*($E436-R$21)/($E436-3*cc_D/7))/0.002)))^2)</f>
        <v/>
      </c>
      <c r="S436">
        <f>MAX(-fyd_cc,MIN(fyd_cc,Es_cc*IF($E436&lt;=cc_D,0.0035*($E436-S$21)/$E436,0.002*($E436-S$21)/($E436-3*cc_D/7))))-fcd_cc*(1-(1-MAX(0,MIN(1,IF($E436&lt;=cc_D,0.0035*($E436-S$21)/$E436,0.002*($E436-S$21)/($E436-3*cc_D/7))/0.002)))^2)</f>
        <v/>
      </c>
      <c r="T436">
        <f>MAX(-fyd_cc,MIN(fyd_cc,Es_cc*IF($E436&lt;=cc_D,0.0035*($E436-T$21)/$E436,0.002*($E436-T$21)/($E436-3*cc_D/7))))-fcd_cc*(1-(1-MAX(0,MIN(1,IF($E436&lt;=cc_D,0.0035*($E436-T$21)/$E436,0.002*($E436-T$21)/($E436-3*cc_D/7))/0.002)))^2)</f>
        <v/>
      </c>
      <c r="U436">
        <f>MAX(-fyd_cc,MIN(fyd_cc,Es_cc*IF($E436&lt;=cc_D,0.0035*($E436-U$21)/$E436,0.002*($E436-U$21)/($E436-3*cc_D/7))))-fcd_cc*(1-(1-MAX(0,MIN(1,IF($E436&lt;=cc_D,0.0035*($E436-U$21)/$E436,0.002*($E436-U$21)/($E436-3*cc_D/7))/0.002)))^2)</f>
        <v/>
      </c>
      <c r="V436">
        <f>MAX(-fyd_cc,MIN(fyd_cc,Es_cc*IF($E436&lt;=cc_D,0.0035*($E436-V$21)/$E436,0.002*($E436-V$21)/($E436-3*cc_D/7))))-fcd_cc*(1-(1-MAX(0,MIN(1,IF($E436&lt;=cc_D,0.0035*($E436-V$21)/$E436,0.002*($E436-V$21)/($E436-3*cc_D/7))/0.002)))^2)</f>
        <v/>
      </c>
      <c r="W436">
        <f>MAX(-fyd_cc,MIN(fyd_cc,Es_cc*IF($E436&lt;=cc_D,0.0035*($E436-W$21)/$E436,0.002*($E436-W$21)/($E436-3*cc_D/7))))-fcd_cc*(1-(1-MAX(0,MIN(1,IF($E436&lt;=cc_D,0.0035*($E436-W$21)/$E436,0.002*($E436-W$21)/($E436-3*cc_D/7))/0.002)))^2)</f>
        <v/>
      </c>
      <c r="X436">
        <f>MAX(-fyd_cc,MIN(fyd_cc,Es_cc*IF($E436&lt;=cc_D,0.0035*($E436-X$21)/$E436,0.002*($E436-X$21)/($E436-3*cc_D/7))))-fcd_cc*(1-(1-MAX(0,MIN(1,IF($E436&lt;=cc_D,0.0035*($E436-X$21)/$E436,0.002*($E436-X$21)/($E436-3*cc_D/7))/0.002)))^2)</f>
        <v/>
      </c>
      <c r="Y436">
        <f>MAX(-fyd_cc,MIN(fyd_cc,Es_cc*IF($E436&lt;=cc_D,0.0035*($E436-Y$21)/$E436,0.002*($E436-Y$21)/($E436-3*cc_D/7))))-fcd_cc*(1-(1-MAX(0,MIN(1,IF($E436&lt;=cc_D,0.0035*($E436-Y$21)/$E436,0.002*($E436-Y$21)/($E436-3*cc_D/7))/0.002)))^2)</f>
        <v/>
      </c>
      <c r="Z436">
        <f>MAX(-fyd_cc,MIN(fyd_cc,Es_cc*IF($E436&lt;=cc_D,0.0035*($E436-Z$21)/$E436,0.002*($E436-Z$21)/($E436-3*cc_D/7))))-fcd_cc*(1-(1-MAX(0,MIN(1,IF($E436&lt;=cc_D,0.0035*($E436-Z$21)/$E436,0.002*($E436-Z$21)/($E436-3*cc_D/7))/0.002)))^2)</f>
        <v/>
      </c>
      <c r="AA436">
        <f>MAX(-fyd_cc,MIN(fyd_cc,Es_cc*IF($E436&lt;=cc_D,0.0035*($E436-AA$21)/$E436,0.002*($E436-AA$21)/($E436-3*cc_D/7))))-fcd_cc*(1-(1-MAX(0,MIN(1,IF($E436&lt;=cc_D,0.0035*($E436-AA$21)/$E436,0.002*($E436-AA$21)/($E436-3*cc_D/7))/0.002)))^2)</f>
        <v/>
      </c>
      <c r="AB436">
        <f>MAX(-fyd_cc,MIN(fyd_cc,Es_cc*IF($E436&lt;=cc_D,0.0035*($E436-AB$21)/$E436,0.002*($E436-AB$21)/($E436-3*cc_D/7))))-fcd_cc*(1-(1-MAX(0,MIN(1,IF($E436&lt;=cc_D,0.0035*($E436-AB$21)/$E436,0.002*($E436-AB$21)/($E436-3*cc_D/7))/0.002)))^2)</f>
        <v/>
      </c>
      <c r="AC436">
        <f>MAX(-fyd_cc,MIN(fyd_cc,Es_cc*IF($E436&lt;=cc_D,0.0035*($E436-AC$21)/$E436,0.002*($E436-AC$21)/($E436-3*cc_D/7))))-fcd_cc*(1-(1-MAX(0,MIN(1,IF($E436&lt;=cc_D,0.0035*($E436-AC$21)/$E436,0.002*($E436-AC$21)/($E436-3*cc_D/7))/0.002)))^2)</f>
        <v/>
      </c>
      <c r="AD436">
        <f>MAX(-fyd_cc,MIN(fyd_cc,Es_cc*IF($E436&lt;=cc_D,0.0035*($E436-AD$21)/$E436,0.002*($E436-AD$21)/($E436-3*cc_D/7))))-fcd_cc*(1-(1-MAX(0,MIN(1,IF($E436&lt;=cc_D,0.0035*($E436-AD$21)/$E436,0.002*($E436-AD$21)/($E436-3*cc_D/7))/0.002)))^2)</f>
        <v/>
      </c>
      <c r="AE436">
        <f>MAX(-fyd_cc,MIN(fyd_cc,Es_cc*IF($E436&lt;=cc_D,0.0035*($E436-AE$21)/$E436,0.002*($E436-AE$21)/($E436-3*cc_D/7))))-fcd_cc*(1-(1-MAX(0,MIN(1,IF($E436&lt;=cc_D,0.0035*($E436-AE$21)/$E436,0.002*($E436-AE$21)/($E436-3*cc_D/7))/0.002)))^2)</f>
        <v/>
      </c>
      <c r="AF436">
        <f>MAX(-fyd_cc,MIN(fyd_cc,Es_cc*IF($E436&lt;=cc_D,0.0035*($E436-AF$21)/$E436,0.002*($E436-AF$21)/($E436-3*cc_D/7))))-fcd_cc*(1-(1-MAX(0,MIN(1,IF($E436&lt;=cc_D,0.0035*($E436-AF$21)/$E436,0.002*($E436-AF$21)/($E436-3*cc_D/7))/0.002)))^2)</f>
        <v/>
      </c>
      <c r="AG436">
        <f>MAX(-fyd_cc,MIN(fyd_cc,Es_cc*IF($E436&lt;=cc_D,0.0035*($E436-AG$21)/$E436,0.002*($E436-AG$21)/($E436-3*cc_D/7))))-fcd_cc*(1-(1-MAX(0,MIN(1,IF($E436&lt;=cc_D,0.0035*($E436-AG$21)/$E436,0.002*($E436-AG$21)/($E436-3*cc_D/7))/0.002)))^2)</f>
        <v/>
      </c>
      <c r="BF436">
        <f>3*MIN($E436,cc_D)/7</f>
        <v/>
      </c>
      <c r="BG436">
        <f>$E436-$BF436</f>
        <v/>
      </c>
      <c r="BH436">
        <f>ACOS(MAX(-1,MIN(1,1-$BF436/(cc_D/2))))</f>
        <v/>
      </c>
      <c r="BI436">
        <f>ACOS(MAX(-1,MIN(1,1-MIN($E436,cc_D)/(cc_D/2))))</f>
        <v/>
      </c>
      <c r="BJ436">
        <f>((cc_D/2*(1-COS(($BH436+0*($BI436-$BH436)/12)))-$BF436)/$BG436)^2*SIN(($BH436+0*($BI436-$BH436)/12))^2</f>
        <v/>
      </c>
      <c r="BK436">
        <f>((cc_D/2*(1-COS(($BH436+1*($BI436-$BH436)/12)))-$BF436)/$BG436)^2*SIN(($BH436+1*($BI436-$BH436)/12))^2</f>
        <v/>
      </c>
      <c r="BL436">
        <f>((cc_D/2*(1-COS(($BH436+2*($BI436-$BH436)/12)))-$BF436)/$BG436)^2*SIN(($BH436+2*($BI436-$BH436)/12))^2</f>
        <v/>
      </c>
      <c r="BM436">
        <f>((cc_D/2*(1-COS(($BH436+3*($BI436-$BH436)/12)))-$BF436)/$BG436)^2*SIN(($BH436+3*($BI436-$BH436)/12))^2</f>
        <v/>
      </c>
      <c r="BN436">
        <f>((cc_D/2*(1-COS(($BH436+4*($BI436-$BH436)/12)))-$BF436)/$BG436)^2*SIN(($BH436+4*($BI436-$BH436)/12))^2</f>
        <v/>
      </c>
      <c r="BO436">
        <f>((cc_D/2*(1-COS(($BH436+5*($BI436-$BH436)/12)))-$BF436)/$BG436)^2*SIN(($BH436+5*($BI436-$BH436)/12))^2</f>
        <v/>
      </c>
      <c r="BP436">
        <f>((cc_D/2*(1-COS(($BH436+6*($BI436-$BH436)/12)))-$BF436)/$BG436)^2*SIN(($BH436+6*($BI436-$BH436)/12))^2</f>
        <v/>
      </c>
      <c r="BQ436">
        <f>((cc_D/2*(1-COS(($BH436+7*($BI436-$BH436)/12)))-$BF436)/$BG436)^2*SIN(($BH436+7*($BI436-$BH436)/12))^2</f>
        <v/>
      </c>
      <c r="BR436">
        <f>((cc_D/2*(1-COS(($BH436+8*($BI436-$BH436)/12)))-$BF436)/$BG436)^2*SIN(($BH436+8*($BI436-$BH436)/12))^2</f>
        <v/>
      </c>
      <c r="BS436">
        <f>((cc_D/2*(1-COS(($BH436+9*($BI436-$BH436)/12)))-$BF436)/$BG436)^2*SIN(($BH436+9*($BI436-$BH436)/12))^2</f>
        <v/>
      </c>
      <c r="BT436">
        <f>((cc_D/2*(1-COS(($BH436+10*($BI436-$BH436)/12)))-$BF436)/$BG436)^2*SIN(($BH436+10*($BI436-$BH436)/12))^2</f>
        <v/>
      </c>
      <c r="BU436">
        <f>((cc_D/2*(1-COS(($BH436+11*($BI436-$BH436)/12)))-$BF436)/$BG436)^2*SIN(($BH436+11*($BI436-$BH436)/12))^2</f>
        <v/>
      </c>
      <c r="BV436">
        <f>((cc_D/2*(1-COS(($BH436+12*($BI436-$BH436)/12)))-$BF436)/$BG436)^2*SIN(($BH436+12*($BI436-$BH436)/12))^2</f>
        <v/>
      </c>
      <c r="BW436">
        <f>BJ436*COS(($BH436+0*($BI436-$BH436)/12))</f>
        <v/>
      </c>
      <c r="BX436">
        <f>BK436*COS(($BH436+1*($BI436-$BH436)/12))</f>
        <v/>
      </c>
      <c r="BY436">
        <f>BL436*COS(($BH436+2*($BI436-$BH436)/12))</f>
        <v/>
      </c>
      <c r="BZ436">
        <f>BM436*COS(($BH436+3*($BI436-$BH436)/12))</f>
        <v/>
      </c>
      <c r="CA436">
        <f>BN436*COS(($BH436+4*($BI436-$BH436)/12))</f>
        <v/>
      </c>
      <c r="CB436">
        <f>BO436*COS(($BH436+5*($BI436-$BH436)/12))</f>
        <v/>
      </c>
      <c r="CC436">
        <f>BP436*COS(($BH436+6*($BI436-$BH436)/12))</f>
        <v/>
      </c>
      <c r="CD436">
        <f>BQ436*COS(($BH436+7*($BI436-$BH436)/12))</f>
        <v/>
      </c>
      <c r="CE436">
        <f>BR436*COS(($BH436+8*($BI436-$BH436)/12))</f>
        <v/>
      </c>
      <c r="CF436">
        <f>BS436*COS(($BH436+9*($BI436-$BH436)/12))</f>
        <v/>
      </c>
      <c r="CG436">
        <f>BT436*COS(($BH436+10*($BI436-$BH436)/12))</f>
        <v/>
      </c>
      <c r="CH436">
        <f>BU436*COS(($BH436+11*($BI436-$BH436)/12))</f>
        <v/>
      </c>
      <c r="CI436">
        <f>BV436*COS(($BH436+12*($BI436-$BH436)/12))</f>
        <v/>
      </c>
    </row>
    <row r="437">
      <c r="B437" s="65" t="n">
        <v>33</v>
      </c>
      <c r="C437" s="66">
        <f>IF($G436&lt;cc_NEd-1E-9*ABS(cc_NEd),($C436+$D436)/2,$C436)</f>
        <v/>
      </c>
      <c r="D437" s="66">
        <f>IF($G436&lt;cc_NEd-1E-9*ABS(cc_NEd),$D436,($C436+$D436)/2)</f>
        <v/>
      </c>
      <c r="E437" s="67">
        <f>cc_D*(($C437+$D437)/2)/(1-(($C437+$D437)/2))</f>
        <v/>
      </c>
      <c r="F437" s="68">
        <f>IF($E437&lt;=cc_D,3.5,2*$E437/($E437-3*cc_D/7))</f>
        <v/>
      </c>
      <c r="G437" s="67">
        <f>(fcd_cc*((cc_D/2)^2*($BI437-COS($BI437)*SIN($BI437))-2*(cc_D/2)^2*($BI437-$BH437)/12/3*SUMPRODUCT($BJ$4:$BV$4,$BJ437:$BV437))+SUMPRODUCT($J$5:$AG$5,$J437:$AG437))/1000</f>
        <v/>
      </c>
      <c r="H437" s="67">
        <f>(fcd_cc*(2/3*(cc_D/2)^3*SIN($BI437)^3-2*(cc_D/2)^3*($BI437-$BH437)/12/3*SUMPRODUCT($BW$4:$CI$4,$BW437:$CI437))+SUMPRODUCT($J$5:$AG$5,$J437:$AG437,$J$22:$AG$22))/1E6</f>
        <v/>
      </c>
      <c r="I437" s="67">
        <f>SUMPRODUCT($J$5:$AG$5,$J437:$AG437,$J$23:$AG$23)/1E6</f>
        <v/>
      </c>
      <c r="J437">
        <f>MAX(-fyd_cc,MIN(fyd_cc,Es_cc*IF($E437&lt;=cc_D,0.0035*($E437-J$21)/$E437,0.002*($E437-J$21)/($E437-3*cc_D/7))))-fcd_cc*(1-(1-MAX(0,MIN(1,IF($E437&lt;=cc_D,0.0035*($E437-J$21)/$E437,0.002*($E437-J$21)/($E437-3*cc_D/7))/0.002)))^2)</f>
        <v/>
      </c>
      <c r="K437">
        <f>MAX(-fyd_cc,MIN(fyd_cc,Es_cc*IF($E437&lt;=cc_D,0.0035*($E437-K$21)/$E437,0.002*($E437-K$21)/($E437-3*cc_D/7))))-fcd_cc*(1-(1-MAX(0,MIN(1,IF($E437&lt;=cc_D,0.0035*($E437-K$21)/$E437,0.002*($E437-K$21)/($E437-3*cc_D/7))/0.002)))^2)</f>
        <v/>
      </c>
      <c r="L437">
        <f>MAX(-fyd_cc,MIN(fyd_cc,Es_cc*IF($E437&lt;=cc_D,0.0035*($E437-L$21)/$E437,0.002*($E437-L$21)/($E437-3*cc_D/7))))-fcd_cc*(1-(1-MAX(0,MIN(1,IF($E437&lt;=cc_D,0.0035*($E437-L$21)/$E437,0.002*($E437-L$21)/($E437-3*cc_D/7))/0.002)))^2)</f>
        <v/>
      </c>
      <c r="M437">
        <f>MAX(-fyd_cc,MIN(fyd_cc,Es_cc*IF($E437&lt;=cc_D,0.0035*($E437-M$21)/$E437,0.002*($E437-M$21)/($E437-3*cc_D/7))))-fcd_cc*(1-(1-MAX(0,MIN(1,IF($E437&lt;=cc_D,0.0035*($E437-M$21)/$E437,0.002*($E437-M$21)/($E437-3*cc_D/7))/0.002)))^2)</f>
        <v/>
      </c>
      <c r="N437">
        <f>MAX(-fyd_cc,MIN(fyd_cc,Es_cc*IF($E437&lt;=cc_D,0.0035*($E437-N$21)/$E437,0.002*($E437-N$21)/($E437-3*cc_D/7))))-fcd_cc*(1-(1-MAX(0,MIN(1,IF($E437&lt;=cc_D,0.0035*($E437-N$21)/$E437,0.002*($E437-N$21)/($E437-3*cc_D/7))/0.002)))^2)</f>
        <v/>
      </c>
      <c r="O437">
        <f>MAX(-fyd_cc,MIN(fyd_cc,Es_cc*IF($E437&lt;=cc_D,0.0035*($E437-O$21)/$E437,0.002*($E437-O$21)/($E437-3*cc_D/7))))-fcd_cc*(1-(1-MAX(0,MIN(1,IF($E437&lt;=cc_D,0.0035*($E437-O$21)/$E437,0.002*($E437-O$21)/($E437-3*cc_D/7))/0.002)))^2)</f>
        <v/>
      </c>
      <c r="P437">
        <f>MAX(-fyd_cc,MIN(fyd_cc,Es_cc*IF($E437&lt;=cc_D,0.0035*($E437-P$21)/$E437,0.002*($E437-P$21)/($E437-3*cc_D/7))))-fcd_cc*(1-(1-MAX(0,MIN(1,IF($E437&lt;=cc_D,0.0035*($E437-P$21)/$E437,0.002*($E437-P$21)/($E437-3*cc_D/7))/0.002)))^2)</f>
        <v/>
      </c>
      <c r="Q437">
        <f>MAX(-fyd_cc,MIN(fyd_cc,Es_cc*IF($E437&lt;=cc_D,0.0035*($E437-Q$21)/$E437,0.002*($E437-Q$21)/($E437-3*cc_D/7))))-fcd_cc*(1-(1-MAX(0,MIN(1,IF($E437&lt;=cc_D,0.0035*($E437-Q$21)/$E437,0.002*($E437-Q$21)/($E437-3*cc_D/7))/0.002)))^2)</f>
        <v/>
      </c>
      <c r="R437">
        <f>MAX(-fyd_cc,MIN(fyd_cc,Es_cc*IF($E437&lt;=cc_D,0.0035*($E437-R$21)/$E437,0.002*($E437-R$21)/($E437-3*cc_D/7))))-fcd_cc*(1-(1-MAX(0,MIN(1,IF($E437&lt;=cc_D,0.0035*($E437-R$21)/$E437,0.002*($E437-R$21)/($E437-3*cc_D/7))/0.002)))^2)</f>
        <v/>
      </c>
      <c r="S437">
        <f>MAX(-fyd_cc,MIN(fyd_cc,Es_cc*IF($E437&lt;=cc_D,0.0035*($E437-S$21)/$E437,0.002*($E437-S$21)/($E437-3*cc_D/7))))-fcd_cc*(1-(1-MAX(0,MIN(1,IF($E437&lt;=cc_D,0.0035*($E437-S$21)/$E437,0.002*($E437-S$21)/($E437-3*cc_D/7))/0.002)))^2)</f>
        <v/>
      </c>
      <c r="T437">
        <f>MAX(-fyd_cc,MIN(fyd_cc,Es_cc*IF($E437&lt;=cc_D,0.0035*($E437-T$21)/$E437,0.002*($E437-T$21)/($E437-3*cc_D/7))))-fcd_cc*(1-(1-MAX(0,MIN(1,IF($E437&lt;=cc_D,0.0035*($E437-T$21)/$E437,0.002*($E437-T$21)/($E437-3*cc_D/7))/0.002)))^2)</f>
        <v/>
      </c>
      <c r="U437">
        <f>MAX(-fyd_cc,MIN(fyd_cc,Es_cc*IF($E437&lt;=cc_D,0.0035*($E437-U$21)/$E437,0.002*($E437-U$21)/($E437-3*cc_D/7))))-fcd_cc*(1-(1-MAX(0,MIN(1,IF($E437&lt;=cc_D,0.0035*($E437-U$21)/$E437,0.002*($E437-U$21)/($E437-3*cc_D/7))/0.002)))^2)</f>
        <v/>
      </c>
      <c r="V437">
        <f>MAX(-fyd_cc,MIN(fyd_cc,Es_cc*IF($E437&lt;=cc_D,0.0035*($E437-V$21)/$E437,0.002*($E437-V$21)/($E437-3*cc_D/7))))-fcd_cc*(1-(1-MAX(0,MIN(1,IF($E437&lt;=cc_D,0.0035*($E437-V$21)/$E437,0.002*($E437-V$21)/($E437-3*cc_D/7))/0.002)))^2)</f>
        <v/>
      </c>
      <c r="W437">
        <f>MAX(-fyd_cc,MIN(fyd_cc,Es_cc*IF($E437&lt;=cc_D,0.0035*($E437-W$21)/$E437,0.002*($E437-W$21)/($E437-3*cc_D/7))))-fcd_cc*(1-(1-MAX(0,MIN(1,IF($E437&lt;=cc_D,0.0035*($E437-W$21)/$E437,0.002*($E437-W$21)/($E437-3*cc_D/7))/0.002)))^2)</f>
        <v/>
      </c>
      <c r="X437">
        <f>MAX(-fyd_cc,MIN(fyd_cc,Es_cc*IF($E437&lt;=cc_D,0.0035*($E437-X$21)/$E437,0.002*($E437-X$21)/($E437-3*cc_D/7))))-fcd_cc*(1-(1-MAX(0,MIN(1,IF($E437&lt;=cc_D,0.0035*($E437-X$21)/$E437,0.002*($E437-X$21)/($E437-3*cc_D/7))/0.002)))^2)</f>
        <v/>
      </c>
      <c r="Y437">
        <f>MAX(-fyd_cc,MIN(fyd_cc,Es_cc*IF($E437&lt;=cc_D,0.0035*($E437-Y$21)/$E437,0.002*($E437-Y$21)/($E437-3*cc_D/7))))-fcd_cc*(1-(1-MAX(0,MIN(1,IF($E437&lt;=cc_D,0.0035*($E437-Y$21)/$E437,0.002*($E437-Y$21)/($E437-3*cc_D/7))/0.002)))^2)</f>
        <v/>
      </c>
      <c r="Z437">
        <f>MAX(-fyd_cc,MIN(fyd_cc,Es_cc*IF($E437&lt;=cc_D,0.0035*($E437-Z$21)/$E437,0.002*($E437-Z$21)/($E437-3*cc_D/7))))-fcd_cc*(1-(1-MAX(0,MIN(1,IF($E437&lt;=cc_D,0.0035*($E437-Z$21)/$E437,0.002*($E437-Z$21)/($E437-3*cc_D/7))/0.002)))^2)</f>
        <v/>
      </c>
      <c r="AA437">
        <f>MAX(-fyd_cc,MIN(fyd_cc,Es_cc*IF($E437&lt;=cc_D,0.0035*($E437-AA$21)/$E437,0.002*($E437-AA$21)/($E437-3*cc_D/7))))-fcd_cc*(1-(1-MAX(0,MIN(1,IF($E437&lt;=cc_D,0.0035*($E437-AA$21)/$E437,0.002*($E437-AA$21)/($E437-3*cc_D/7))/0.002)))^2)</f>
        <v/>
      </c>
      <c r="AB437">
        <f>MAX(-fyd_cc,MIN(fyd_cc,Es_cc*IF($E437&lt;=cc_D,0.0035*($E437-AB$21)/$E437,0.002*($E437-AB$21)/($E437-3*cc_D/7))))-fcd_cc*(1-(1-MAX(0,MIN(1,IF($E437&lt;=cc_D,0.0035*($E437-AB$21)/$E437,0.002*($E437-AB$21)/($E437-3*cc_D/7))/0.002)))^2)</f>
        <v/>
      </c>
      <c r="AC437">
        <f>MAX(-fyd_cc,MIN(fyd_cc,Es_cc*IF($E437&lt;=cc_D,0.0035*($E437-AC$21)/$E437,0.002*($E437-AC$21)/($E437-3*cc_D/7))))-fcd_cc*(1-(1-MAX(0,MIN(1,IF($E437&lt;=cc_D,0.0035*($E437-AC$21)/$E437,0.002*($E437-AC$21)/($E437-3*cc_D/7))/0.002)))^2)</f>
        <v/>
      </c>
      <c r="AD437">
        <f>MAX(-fyd_cc,MIN(fyd_cc,Es_cc*IF($E437&lt;=cc_D,0.0035*($E437-AD$21)/$E437,0.002*($E437-AD$21)/($E437-3*cc_D/7))))-fcd_cc*(1-(1-MAX(0,MIN(1,IF($E437&lt;=cc_D,0.0035*($E437-AD$21)/$E437,0.002*($E437-AD$21)/($E437-3*cc_D/7))/0.002)))^2)</f>
        <v/>
      </c>
      <c r="AE437">
        <f>MAX(-fyd_cc,MIN(fyd_cc,Es_cc*IF($E437&lt;=cc_D,0.0035*($E437-AE$21)/$E437,0.002*($E437-AE$21)/($E437-3*cc_D/7))))-fcd_cc*(1-(1-MAX(0,MIN(1,IF($E437&lt;=cc_D,0.0035*($E437-AE$21)/$E437,0.002*($E437-AE$21)/($E437-3*cc_D/7))/0.002)))^2)</f>
        <v/>
      </c>
      <c r="AF437">
        <f>MAX(-fyd_cc,MIN(fyd_cc,Es_cc*IF($E437&lt;=cc_D,0.0035*($E437-AF$21)/$E437,0.002*($E437-AF$21)/($E437-3*cc_D/7))))-fcd_cc*(1-(1-MAX(0,MIN(1,IF($E437&lt;=cc_D,0.0035*($E437-AF$21)/$E437,0.002*($E437-AF$21)/($E437-3*cc_D/7))/0.002)))^2)</f>
        <v/>
      </c>
      <c r="AG437">
        <f>MAX(-fyd_cc,MIN(fyd_cc,Es_cc*IF($E437&lt;=cc_D,0.0035*($E437-AG$21)/$E437,0.002*($E437-AG$21)/($E437-3*cc_D/7))))-fcd_cc*(1-(1-MAX(0,MIN(1,IF($E437&lt;=cc_D,0.0035*($E437-AG$21)/$E437,0.002*($E437-AG$21)/($E437-3*cc_D/7))/0.002)))^2)</f>
        <v/>
      </c>
      <c r="BF437">
        <f>3*MIN($E437,cc_D)/7</f>
        <v/>
      </c>
      <c r="BG437">
        <f>$E437-$BF437</f>
        <v/>
      </c>
      <c r="BH437">
        <f>ACOS(MAX(-1,MIN(1,1-$BF437/(cc_D/2))))</f>
        <v/>
      </c>
      <c r="BI437">
        <f>ACOS(MAX(-1,MIN(1,1-MIN($E437,cc_D)/(cc_D/2))))</f>
        <v/>
      </c>
      <c r="BJ437">
        <f>((cc_D/2*(1-COS(($BH437+0*($BI437-$BH437)/12)))-$BF437)/$BG437)^2*SIN(($BH437+0*($BI437-$BH437)/12))^2</f>
        <v/>
      </c>
      <c r="BK437">
        <f>((cc_D/2*(1-COS(($BH437+1*($BI437-$BH437)/12)))-$BF437)/$BG437)^2*SIN(($BH437+1*($BI437-$BH437)/12))^2</f>
        <v/>
      </c>
      <c r="BL437">
        <f>((cc_D/2*(1-COS(($BH437+2*($BI437-$BH437)/12)))-$BF437)/$BG437)^2*SIN(($BH437+2*($BI437-$BH437)/12))^2</f>
        <v/>
      </c>
      <c r="BM437">
        <f>((cc_D/2*(1-COS(($BH437+3*($BI437-$BH437)/12)))-$BF437)/$BG437)^2*SIN(($BH437+3*($BI437-$BH437)/12))^2</f>
        <v/>
      </c>
      <c r="BN437">
        <f>((cc_D/2*(1-COS(($BH437+4*($BI437-$BH437)/12)))-$BF437)/$BG437)^2*SIN(($BH437+4*($BI437-$BH437)/12))^2</f>
        <v/>
      </c>
      <c r="BO437">
        <f>((cc_D/2*(1-COS(($BH437+5*($BI437-$BH437)/12)))-$BF437)/$BG437)^2*SIN(($BH437+5*($BI437-$BH437)/12))^2</f>
        <v/>
      </c>
      <c r="BP437">
        <f>((cc_D/2*(1-COS(($BH437+6*($BI437-$BH437)/12)))-$BF437)/$BG437)^2*SIN(($BH437+6*($BI437-$BH437)/12))^2</f>
        <v/>
      </c>
      <c r="BQ437">
        <f>((cc_D/2*(1-COS(($BH437+7*($BI437-$BH437)/12)))-$BF437)/$BG437)^2*SIN(($BH437+7*($BI437-$BH437)/12))^2</f>
        <v/>
      </c>
      <c r="BR437">
        <f>((cc_D/2*(1-COS(($BH437+8*($BI437-$BH437)/12)))-$BF437)/$BG437)^2*SIN(($BH437+8*($BI437-$BH437)/12))^2</f>
        <v/>
      </c>
      <c r="BS437">
        <f>((cc_D/2*(1-COS(($BH437+9*($BI437-$BH437)/12)))-$BF437)/$BG437)^2*SIN(($BH437+9*($BI437-$BH437)/12))^2</f>
        <v/>
      </c>
      <c r="BT437">
        <f>((cc_D/2*(1-COS(($BH437+10*($BI437-$BH437)/12)))-$BF437)/$BG437)^2*SIN(($BH437+10*($BI437-$BH437)/12))^2</f>
        <v/>
      </c>
      <c r="BU437">
        <f>((cc_D/2*(1-COS(($BH437+11*($BI437-$BH437)/12)))-$BF437)/$BG437)^2*SIN(($BH437+11*($BI437-$BH437)/12))^2</f>
        <v/>
      </c>
      <c r="BV437">
        <f>((cc_D/2*(1-COS(($BH437+12*($BI437-$BH437)/12)))-$BF437)/$BG437)^2*SIN(($BH437+12*($BI437-$BH437)/12))^2</f>
        <v/>
      </c>
      <c r="BW437">
        <f>BJ437*COS(($BH437+0*($BI437-$BH437)/12))</f>
        <v/>
      </c>
      <c r="BX437">
        <f>BK437*COS(($BH437+1*($BI437-$BH437)/12))</f>
        <v/>
      </c>
      <c r="BY437">
        <f>BL437*COS(($BH437+2*($BI437-$BH437)/12))</f>
        <v/>
      </c>
      <c r="BZ437">
        <f>BM437*COS(($BH437+3*($BI437-$BH437)/12))</f>
        <v/>
      </c>
      <c r="CA437">
        <f>BN437*COS(($BH437+4*($BI437-$BH437)/12))</f>
        <v/>
      </c>
      <c r="CB437">
        <f>BO437*COS(($BH437+5*($BI437-$BH437)/12))</f>
        <v/>
      </c>
      <c r="CC437">
        <f>BP437*COS(($BH437+6*($BI437-$BH437)/12))</f>
        <v/>
      </c>
      <c r="CD437">
        <f>BQ437*COS(($BH437+7*($BI437-$BH437)/12))</f>
        <v/>
      </c>
      <c r="CE437">
        <f>BR437*COS(($BH437+8*($BI437-$BH437)/12))</f>
        <v/>
      </c>
      <c r="CF437">
        <f>BS437*COS(($BH437+9*($BI437-$BH437)/12))</f>
        <v/>
      </c>
      <c r="CG437">
        <f>BT437*COS(($BH437+10*($BI437-$BH437)/12))</f>
        <v/>
      </c>
      <c r="CH437">
        <f>BU437*COS(($BH437+11*($BI437-$BH437)/12))</f>
        <v/>
      </c>
      <c r="CI437">
        <f>BV437*COS(($BH437+12*($BI437-$BH437)/12))</f>
        <v/>
      </c>
    </row>
    <row r="438">
      <c r="B438" s="65" t="n">
        <v>34</v>
      </c>
      <c r="C438" s="66">
        <f>IF($G437&lt;cc_NEd-1E-9*ABS(cc_NEd),($C437+$D437)/2,$C437)</f>
        <v/>
      </c>
      <c r="D438" s="66">
        <f>IF($G437&lt;cc_NEd-1E-9*ABS(cc_NEd),$D437,($C437+$D437)/2)</f>
        <v/>
      </c>
      <c r="E438" s="67">
        <f>cc_D*(($C438+$D438)/2)/(1-(($C438+$D438)/2))</f>
        <v/>
      </c>
      <c r="F438" s="68">
        <f>IF($E438&lt;=cc_D,3.5,2*$E438/($E438-3*cc_D/7))</f>
        <v/>
      </c>
      <c r="G438" s="67">
        <f>(fcd_cc*((cc_D/2)^2*($BI438-COS($BI438)*SIN($BI438))-2*(cc_D/2)^2*($BI438-$BH438)/12/3*SUMPRODUCT($BJ$4:$BV$4,$BJ438:$BV438))+SUMPRODUCT($J$5:$AG$5,$J438:$AG438))/1000</f>
        <v/>
      </c>
      <c r="H438" s="67">
        <f>(fcd_cc*(2/3*(cc_D/2)^3*SIN($BI438)^3-2*(cc_D/2)^3*($BI438-$BH438)/12/3*SUMPRODUCT($BW$4:$CI$4,$BW438:$CI438))+SUMPRODUCT($J$5:$AG$5,$J438:$AG438,$J$22:$AG$22))/1E6</f>
        <v/>
      </c>
      <c r="I438" s="67">
        <f>SUMPRODUCT($J$5:$AG$5,$J438:$AG438,$J$23:$AG$23)/1E6</f>
        <v/>
      </c>
      <c r="J438">
        <f>MAX(-fyd_cc,MIN(fyd_cc,Es_cc*IF($E438&lt;=cc_D,0.0035*($E438-J$21)/$E438,0.002*($E438-J$21)/($E438-3*cc_D/7))))-fcd_cc*(1-(1-MAX(0,MIN(1,IF($E438&lt;=cc_D,0.0035*($E438-J$21)/$E438,0.002*($E438-J$21)/($E438-3*cc_D/7))/0.002)))^2)</f>
        <v/>
      </c>
      <c r="K438">
        <f>MAX(-fyd_cc,MIN(fyd_cc,Es_cc*IF($E438&lt;=cc_D,0.0035*($E438-K$21)/$E438,0.002*($E438-K$21)/($E438-3*cc_D/7))))-fcd_cc*(1-(1-MAX(0,MIN(1,IF($E438&lt;=cc_D,0.0035*($E438-K$21)/$E438,0.002*($E438-K$21)/($E438-3*cc_D/7))/0.002)))^2)</f>
        <v/>
      </c>
      <c r="L438">
        <f>MAX(-fyd_cc,MIN(fyd_cc,Es_cc*IF($E438&lt;=cc_D,0.0035*($E438-L$21)/$E438,0.002*($E438-L$21)/($E438-3*cc_D/7))))-fcd_cc*(1-(1-MAX(0,MIN(1,IF($E438&lt;=cc_D,0.0035*($E438-L$21)/$E438,0.002*($E438-L$21)/($E438-3*cc_D/7))/0.002)))^2)</f>
        <v/>
      </c>
      <c r="M438">
        <f>MAX(-fyd_cc,MIN(fyd_cc,Es_cc*IF($E438&lt;=cc_D,0.0035*($E438-M$21)/$E438,0.002*($E438-M$21)/($E438-3*cc_D/7))))-fcd_cc*(1-(1-MAX(0,MIN(1,IF($E438&lt;=cc_D,0.0035*($E438-M$21)/$E438,0.002*($E438-M$21)/($E438-3*cc_D/7))/0.002)))^2)</f>
        <v/>
      </c>
      <c r="N438">
        <f>MAX(-fyd_cc,MIN(fyd_cc,Es_cc*IF($E438&lt;=cc_D,0.0035*($E438-N$21)/$E438,0.002*($E438-N$21)/($E438-3*cc_D/7))))-fcd_cc*(1-(1-MAX(0,MIN(1,IF($E438&lt;=cc_D,0.0035*($E438-N$21)/$E438,0.002*($E438-N$21)/($E438-3*cc_D/7))/0.002)))^2)</f>
        <v/>
      </c>
      <c r="O438">
        <f>MAX(-fyd_cc,MIN(fyd_cc,Es_cc*IF($E438&lt;=cc_D,0.0035*($E438-O$21)/$E438,0.002*($E438-O$21)/($E438-3*cc_D/7))))-fcd_cc*(1-(1-MAX(0,MIN(1,IF($E438&lt;=cc_D,0.0035*($E438-O$21)/$E438,0.002*($E438-O$21)/($E438-3*cc_D/7))/0.002)))^2)</f>
        <v/>
      </c>
      <c r="P438">
        <f>MAX(-fyd_cc,MIN(fyd_cc,Es_cc*IF($E438&lt;=cc_D,0.0035*($E438-P$21)/$E438,0.002*($E438-P$21)/($E438-3*cc_D/7))))-fcd_cc*(1-(1-MAX(0,MIN(1,IF($E438&lt;=cc_D,0.0035*($E438-P$21)/$E438,0.002*($E438-P$21)/($E438-3*cc_D/7))/0.002)))^2)</f>
        <v/>
      </c>
      <c r="Q438">
        <f>MAX(-fyd_cc,MIN(fyd_cc,Es_cc*IF($E438&lt;=cc_D,0.0035*($E438-Q$21)/$E438,0.002*($E438-Q$21)/($E438-3*cc_D/7))))-fcd_cc*(1-(1-MAX(0,MIN(1,IF($E438&lt;=cc_D,0.0035*($E438-Q$21)/$E438,0.002*($E438-Q$21)/($E438-3*cc_D/7))/0.002)))^2)</f>
        <v/>
      </c>
      <c r="R438">
        <f>MAX(-fyd_cc,MIN(fyd_cc,Es_cc*IF($E438&lt;=cc_D,0.0035*($E438-R$21)/$E438,0.002*($E438-R$21)/($E438-3*cc_D/7))))-fcd_cc*(1-(1-MAX(0,MIN(1,IF($E438&lt;=cc_D,0.0035*($E438-R$21)/$E438,0.002*($E438-R$21)/($E438-3*cc_D/7))/0.002)))^2)</f>
        <v/>
      </c>
      <c r="S438">
        <f>MAX(-fyd_cc,MIN(fyd_cc,Es_cc*IF($E438&lt;=cc_D,0.0035*($E438-S$21)/$E438,0.002*($E438-S$21)/($E438-3*cc_D/7))))-fcd_cc*(1-(1-MAX(0,MIN(1,IF($E438&lt;=cc_D,0.0035*($E438-S$21)/$E438,0.002*($E438-S$21)/($E438-3*cc_D/7))/0.002)))^2)</f>
        <v/>
      </c>
      <c r="T438">
        <f>MAX(-fyd_cc,MIN(fyd_cc,Es_cc*IF($E438&lt;=cc_D,0.0035*($E438-T$21)/$E438,0.002*($E438-T$21)/($E438-3*cc_D/7))))-fcd_cc*(1-(1-MAX(0,MIN(1,IF($E438&lt;=cc_D,0.0035*($E438-T$21)/$E438,0.002*($E438-T$21)/($E438-3*cc_D/7))/0.002)))^2)</f>
        <v/>
      </c>
      <c r="U438">
        <f>MAX(-fyd_cc,MIN(fyd_cc,Es_cc*IF($E438&lt;=cc_D,0.0035*($E438-U$21)/$E438,0.002*($E438-U$21)/($E438-3*cc_D/7))))-fcd_cc*(1-(1-MAX(0,MIN(1,IF($E438&lt;=cc_D,0.0035*($E438-U$21)/$E438,0.002*($E438-U$21)/($E438-3*cc_D/7))/0.002)))^2)</f>
        <v/>
      </c>
      <c r="V438">
        <f>MAX(-fyd_cc,MIN(fyd_cc,Es_cc*IF($E438&lt;=cc_D,0.0035*($E438-V$21)/$E438,0.002*($E438-V$21)/($E438-3*cc_D/7))))-fcd_cc*(1-(1-MAX(0,MIN(1,IF($E438&lt;=cc_D,0.0035*($E438-V$21)/$E438,0.002*($E438-V$21)/($E438-3*cc_D/7))/0.002)))^2)</f>
        <v/>
      </c>
      <c r="W438">
        <f>MAX(-fyd_cc,MIN(fyd_cc,Es_cc*IF($E438&lt;=cc_D,0.0035*($E438-W$21)/$E438,0.002*($E438-W$21)/($E438-3*cc_D/7))))-fcd_cc*(1-(1-MAX(0,MIN(1,IF($E438&lt;=cc_D,0.0035*($E438-W$21)/$E438,0.002*($E438-W$21)/($E438-3*cc_D/7))/0.002)))^2)</f>
        <v/>
      </c>
      <c r="X438">
        <f>MAX(-fyd_cc,MIN(fyd_cc,Es_cc*IF($E438&lt;=cc_D,0.0035*($E438-X$21)/$E438,0.002*($E438-X$21)/($E438-3*cc_D/7))))-fcd_cc*(1-(1-MAX(0,MIN(1,IF($E438&lt;=cc_D,0.0035*($E438-X$21)/$E438,0.002*($E438-X$21)/($E438-3*cc_D/7))/0.002)))^2)</f>
        <v/>
      </c>
      <c r="Y438">
        <f>MAX(-fyd_cc,MIN(fyd_cc,Es_cc*IF($E438&lt;=cc_D,0.0035*($E438-Y$21)/$E438,0.002*($E438-Y$21)/($E438-3*cc_D/7))))-fcd_cc*(1-(1-MAX(0,MIN(1,IF($E438&lt;=cc_D,0.0035*($E438-Y$21)/$E438,0.002*($E438-Y$21)/($E438-3*cc_D/7))/0.002)))^2)</f>
        <v/>
      </c>
      <c r="Z438">
        <f>MAX(-fyd_cc,MIN(fyd_cc,Es_cc*IF($E438&lt;=cc_D,0.0035*($E438-Z$21)/$E438,0.002*($E438-Z$21)/($E438-3*cc_D/7))))-fcd_cc*(1-(1-MAX(0,MIN(1,IF($E438&lt;=cc_D,0.0035*($E438-Z$21)/$E438,0.002*($E438-Z$21)/($E438-3*cc_D/7))/0.002)))^2)</f>
        <v/>
      </c>
      <c r="AA438">
        <f>MAX(-fyd_cc,MIN(fyd_cc,Es_cc*IF($E438&lt;=cc_D,0.0035*($E438-AA$21)/$E438,0.002*($E438-AA$21)/($E438-3*cc_D/7))))-fcd_cc*(1-(1-MAX(0,MIN(1,IF($E438&lt;=cc_D,0.0035*($E438-AA$21)/$E438,0.002*($E438-AA$21)/($E438-3*cc_D/7))/0.002)))^2)</f>
        <v/>
      </c>
      <c r="AB438">
        <f>MAX(-fyd_cc,MIN(fyd_cc,Es_cc*IF($E438&lt;=cc_D,0.0035*($E438-AB$21)/$E438,0.002*($E438-AB$21)/($E438-3*cc_D/7))))-fcd_cc*(1-(1-MAX(0,MIN(1,IF($E438&lt;=cc_D,0.0035*($E438-AB$21)/$E438,0.002*($E438-AB$21)/($E438-3*cc_D/7))/0.002)))^2)</f>
        <v/>
      </c>
      <c r="AC438">
        <f>MAX(-fyd_cc,MIN(fyd_cc,Es_cc*IF($E438&lt;=cc_D,0.0035*($E438-AC$21)/$E438,0.002*($E438-AC$21)/($E438-3*cc_D/7))))-fcd_cc*(1-(1-MAX(0,MIN(1,IF($E438&lt;=cc_D,0.0035*($E438-AC$21)/$E438,0.002*($E438-AC$21)/($E438-3*cc_D/7))/0.002)))^2)</f>
        <v/>
      </c>
      <c r="AD438">
        <f>MAX(-fyd_cc,MIN(fyd_cc,Es_cc*IF($E438&lt;=cc_D,0.0035*($E438-AD$21)/$E438,0.002*($E438-AD$21)/($E438-3*cc_D/7))))-fcd_cc*(1-(1-MAX(0,MIN(1,IF($E438&lt;=cc_D,0.0035*($E438-AD$21)/$E438,0.002*($E438-AD$21)/($E438-3*cc_D/7))/0.002)))^2)</f>
        <v/>
      </c>
      <c r="AE438">
        <f>MAX(-fyd_cc,MIN(fyd_cc,Es_cc*IF($E438&lt;=cc_D,0.0035*($E438-AE$21)/$E438,0.002*($E438-AE$21)/($E438-3*cc_D/7))))-fcd_cc*(1-(1-MAX(0,MIN(1,IF($E438&lt;=cc_D,0.0035*($E438-AE$21)/$E438,0.002*($E438-AE$21)/($E438-3*cc_D/7))/0.002)))^2)</f>
        <v/>
      </c>
      <c r="AF438">
        <f>MAX(-fyd_cc,MIN(fyd_cc,Es_cc*IF($E438&lt;=cc_D,0.0035*($E438-AF$21)/$E438,0.002*($E438-AF$21)/($E438-3*cc_D/7))))-fcd_cc*(1-(1-MAX(0,MIN(1,IF($E438&lt;=cc_D,0.0035*($E438-AF$21)/$E438,0.002*($E438-AF$21)/($E438-3*cc_D/7))/0.002)))^2)</f>
        <v/>
      </c>
      <c r="AG438">
        <f>MAX(-fyd_cc,MIN(fyd_cc,Es_cc*IF($E438&lt;=cc_D,0.0035*($E438-AG$21)/$E438,0.002*($E438-AG$21)/($E438-3*cc_D/7))))-fcd_cc*(1-(1-MAX(0,MIN(1,IF($E438&lt;=cc_D,0.0035*($E438-AG$21)/$E438,0.002*($E438-AG$21)/($E438-3*cc_D/7))/0.002)))^2)</f>
        <v/>
      </c>
      <c r="BF438">
        <f>3*MIN($E438,cc_D)/7</f>
        <v/>
      </c>
      <c r="BG438">
        <f>$E438-$BF438</f>
        <v/>
      </c>
      <c r="BH438">
        <f>ACOS(MAX(-1,MIN(1,1-$BF438/(cc_D/2))))</f>
        <v/>
      </c>
      <c r="BI438">
        <f>ACOS(MAX(-1,MIN(1,1-MIN($E438,cc_D)/(cc_D/2))))</f>
        <v/>
      </c>
      <c r="BJ438">
        <f>((cc_D/2*(1-COS(($BH438+0*($BI438-$BH438)/12)))-$BF438)/$BG438)^2*SIN(($BH438+0*($BI438-$BH438)/12))^2</f>
        <v/>
      </c>
      <c r="BK438">
        <f>((cc_D/2*(1-COS(($BH438+1*($BI438-$BH438)/12)))-$BF438)/$BG438)^2*SIN(($BH438+1*($BI438-$BH438)/12))^2</f>
        <v/>
      </c>
      <c r="BL438">
        <f>((cc_D/2*(1-COS(($BH438+2*($BI438-$BH438)/12)))-$BF438)/$BG438)^2*SIN(($BH438+2*($BI438-$BH438)/12))^2</f>
        <v/>
      </c>
      <c r="BM438">
        <f>((cc_D/2*(1-COS(($BH438+3*($BI438-$BH438)/12)))-$BF438)/$BG438)^2*SIN(($BH438+3*($BI438-$BH438)/12))^2</f>
        <v/>
      </c>
      <c r="BN438">
        <f>((cc_D/2*(1-COS(($BH438+4*($BI438-$BH438)/12)))-$BF438)/$BG438)^2*SIN(($BH438+4*($BI438-$BH438)/12))^2</f>
        <v/>
      </c>
      <c r="BO438">
        <f>((cc_D/2*(1-COS(($BH438+5*($BI438-$BH438)/12)))-$BF438)/$BG438)^2*SIN(($BH438+5*($BI438-$BH438)/12))^2</f>
        <v/>
      </c>
      <c r="BP438">
        <f>((cc_D/2*(1-COS(($BH438+6*($BI438-$BH438)/12)))-$BF438)/$BG438)^2*SIN(($BH438+6*($BI438-$BH438)/12))^2</f>
        <v/>
      </c>
      <c r="BQ438">
        <f>((cc_D/2*(1-COS(($BH438+7*($BI438-$BH438)/12)))-$BF438)/$BG438)^2*SIN(($BH438+7*($BI438-$BH438)/12))^2</f>
        <v/>
      </c>
      <c r="BR438">
        <f>((cc_D/2*(1-COS(($BH438+8*($BI438-$BH438)/12)))-$BF438)/$BG438)^2*SIN(($BH438+8*($BI438-$BH438)/12))^2</f>
        <v/>
      </c>
      <c r="BS438">
        <f>((cc_D/2*(1-COS(($BH438+9*($BI438-$BH438)/12)))-$BF438)/$BG438)^2*SIN(($BH438+9*($BI438-$BH438)/12))^2</f>
        <v/>
      </c>
      <c r="BT438">
        <f>((cc_D/2*(1-COS(($BH438+10*($BI438-$BH438)/12)))-$BF438)/$BG438)^2*SIN(($BH438+10*($BI438-$BH438)/12))^2</f>
        <v/>
      </c>
      <c r="BU438">
        <f>((cc_D/2*(1-COS(($BH438+11*($BI438-$BH438)/12)))-$BF438)/$BG438)^2*SIN(($BH438+11*($BI438-$BH438)/12))^2</f>
        <v/>
      </c>
      <c r="BV438">
        <f>((cc_D/2*(1-COS(($BH438+12*($BI438-$BH438)/12)))-$BF438)/$BG438)^2*SIN(($BH438+12*($BI438-$BH438)/12))^2</f>
        <v/>
      </c>
      <c r="BW438">
        <f>BJ438*COS(($BH438+0*($BI438-$BH438)/12))</f>
        <v/>
      </c>
      <c r="BX438">
        <f>BK438*COS(($BH438+1*($BI438-$BH438)/12))</f>
        <v/>
      </c>
      <c r="BY438">
        <f>BL438*COS(($BH438+2*($BI438-$BH438)/12))</f>
        <v/>
      </c>
      <c r="BZ438">
        <f>BM438*COS(($BH438+3*($BI438-$BH438)/12))</f>
        <v/>
      </c>
      <c r="CA438">
        <f>BN438*COS(($BH438+4*($BI438-$BH438)/12))</f>
        <v/>
      </c>
      <c r="CB438">
        <f>BO438*COS(($BH438+5*($BI438-$BH438)/12))</f>
        <v/>
      </c>
      <c r="CC438">
        <f>BP438*COS(($BH438+6*($BI438-$BH438)/12))</f>
        <v/>
      </c>
      <c r="CD438">
        <f>BQ438*COS(($BH438+7*($BI438-$BH438)/12))</f>
        <v/>
      </c>
      <c r="CE438">
        <f>BR438*COS(($BH438+8*($BI438-$BH438)/12))</f>
        <v/>
      </c>
      <c r="CF438">
        <f>BS438*COS(($BH438+9*($BI438-$BH438)/12))</f>
        <v/>
      </c>
      <c r="CG438">
        <f>BT438*COS(($BH438+10*($BI438-$BH438)/12))</f>
        <v/>
      </c>
      <c r="CH438">
        <f>BU438*COS(($BH438+11*($BI438-$BH438)/12))</f>
        <v/>
      </c>
      <c r="CI438">
        <f>BV438*COS(($BH438+12*($BI438-$BH438)/12))</f>
        <v/>
      </c>
    </row>
    <row r="439">
      <c r="B439" s="65" t="n">
        <v>35</v>
      </c>
      <c r="C439" s="66">
        <f>IF($G438&lt;cc_NEd-1E-9*ABS(cc_NEd),($C438+$D438)/2,$C438)</f>
        <v/>
      </c>
      <c r="D439" s="66">
        <f>IF($G438&lt;cc_NEd-1E-9*ABS(cc_NEd),$D438,($C438+$D438)/2)</f>
        <v/>
      </c>
      <c r="E439" s="67">
        <f>cc_D*(($C439+$D439)/2)/(1-(($C439+$D439)/2))</f>
        <v/>
      </c>
      <c r="F439" s="68">
        <f>IF($E439&lt;=cc_D,3.5,2*$E439/($E439-3*cc_D/7))</f>
        <v/>
      </c>
      <c r="G439" s="67">
        <f>(fcd_cc*((cc_D/2)^2*($BI439-COS($BI439)*SIN($BI439))-2*(cc_D/2)^2*($BI439-$BH439)/12/3*SUMPRODUCT($BJ$4:$BV$4,$BJ439:$BV439))+SUMPRODUCT($J$5:$AG$5,$J439:$AG439))/1000</f>
        <v/>
      </c>
      <c r="H439" s="67">
        <f>(fcd_cc*(2/3*(cc_D/2)^3*SIN($BI439)^3-2*(cc_D/2)^3*($BI439-$BH439)/12/3*SUMPRODUCT($BW$4:$CI$4,$BW439:$CI439))+SUMPRODUCT($J$5:$AG$5,$J439:$AG439,$J$22:$AG$22))/1E6</f>
        <v/>
      </c>
      <c r="I439" s="67">
        <f>SUMPRODUCT($J$5:$AG$5,$J439:$AG439,$J$23:$AG$23)/1E6</f>
        <v/>
      </c>
      <c r="J439">
        <f>MAX(-fyd_cc,MIN(fyd_cc,Es_cc*IF($E439&lt;=cc_D,0.0035*($E439-J$21)/$E439,0.002*($E439-J$21)/($E439-3*cc_D/7))))-fcd_cc*(1-(1-MAX(0,MIN(1,IF($E439&lt;=cc_D,0.0035*($E439-J$21)/$E439,0.002*($E439-J$21)/($E439-3*cc_D/7))/0.002)))^2)</f>
        <v/>
      </c>
      <c r="K439">
        <f>MAX(-fyd_cc,MIN(fyd_cc,Es_cc*IF($E439&lt;=cc_D,0.0035*($E439-K$21)/$E439,0.002*($E439-K$21)/($E439-3*cc_D/7))))-fcd_cc*(1-(1-MAX(0,MIN(1,IF($E439&lt;=cc_D,0.0035*($E439-K$21)/$E439,0.002*($E439-K$21)/($E439-3*cc_D/7))/0.002)))^2)</f>
        <v/>
      </c>
      <c r="L439">
        <f>MAX(-fyd_cc,MIN(fyd_cc,Es_cc*IF($E439&lt;=cc_D,0.0035*($E439-L$21)/$E439,0.002*($E439-L$21)/($E439-3*cc_D/7))))-fcd_cc*(1-(1-MAX(0,MIN(1,IF($E439&lt;=cc_D,0.0035*($E439-L$21)/$E439,0.002*($E439-L$21)/($E439-3*cc_D/7))/0.002)))^2)</f>
        <v/>
      </c>
      <c r="M439">
        <f>MAX(-fyd_cc,MIN(fyd_cc,Es_cc*IF($E439&lt;=cc_D,0.0035*($E439-M$21)/$E439,0.002*($E439-M$21)/($E439-3*cc_D/7))))-fcd_cc*(1-(1-MAX(0,MIN(1,IF($E439&lt;=cc_D,0.0035*($E439-M$21)/$E439,0.002*($E439-M$21)/($E439-3*cc_D/7))/0.002)))^2)</f>
        <v/>
      </c>
      <c r="N439">
        <f>MAX(-fyd_cc,MIN(fyd_cc,Es_cc*IF($E439&lt;=cc_D,0.0035*($E439-N$21)/$E439,0.002*($E439-N$21)/($E439-3*cc_D/7))))-fcd_cc*(1-(1-MAX(0,MIN(1,IF($E439&lt;=cc_D,0.0035*($E439-N$21)/$E439,0.002*($E439-N$21)/($E439-3*cc_D/7))/0.002)))^2)</f>
        <v/>
      </c>
      <c r="O439">
        <f>MAX(-fyd_cc,MIN(fyd_cc,Es_cc*IF($E439&lt;=cc_D,0.0035*($E439-O$21)/$E439,0.002*($E439-O$21)/($E439-3*cc_D/7))))-fcd_cc*(1-(1-MAX(0,MIN(1,IF($E439&lt;=cc_D,0.0035*($E439-O$21)/$E439,0.002*($E439-O$21)/($E439-3*cc_D/7))/0.002)))^2)</f>
        <v/>
      </c>
      <c r="P439">
        <f>MAX(-fyd_cc,MIN(fyd_cc,Es_cc*IF($E439&lt;=cc_D,0.0035*($E439-P$21)/$E439,0.002*($E439-P$21)/($E439-3*cc_D/7))))-fcd_cc*(1-(1-MAX(0,MIN(1,IF($E439&lt;=cc_D,0.0035*($E439-P$21)/$E439,0.002*($E439-P$21)/($E439-3*cc_D/7))/0.002)))^2)</f>
        <v/>
      </c>
      <c r="Q439">
        <f>MAX(-fyd_cc,MIN(fyd_cc,Es_cc*IF($E439&lt;=cc_D,0.0035*($E439-Q$21)/$E439,0.002*($E439-Q$21)/($E439-3*cc_D/7))))-fcd_cc*(1-(1-MAX(0,MIN(1,IF($E439&lt;=cc_D,0.0035*($E439-Q$21)/$E439,0.002*($E439-Q$21)/($E439-3*cc_D/7))/0.002)))^2)</f>
        <v/>
      </c>
      <c r="R439">
        <f>MAX(-fyd_cc,MIN(fyd_cc,Es_cc*IF($E439&lt;=cc_D,0.0035*($E439-R$21)/$E439,0.002*($E439-R$21)/($E439-3*cc_D/7))))-fcd_cc*(1-(1-MAX(0,MIN(1,IF($E439&lt;=cc_D,0.0035*($E439-R$21)/$E439,0.002*($E439-R$21)/($E439-3*cc_D/7))/0.002)))^2)</f>
        <v/>
      </c>
      <c r="S439">
        <f>MAX(-fyd_cc,MIN(fyd_cc,Es_cc*IF($E439&lt;=cc_D,0.0035*($E439-S$21)/$E439,0.002*($E439-S$21)/($E439-3*cc_D/7))))-fcd_cc*(1-(1-MAX(0,MIN(1,IF($E439&lt;=cc_D,0.0035*($E439-S$21)/$E439,0.002*($E439-S$21)/($E439-3*cc_D/7))/0.002)))^2)</f>
        <v/>
      </c>
      <c r="T439">
        <f>MAX(-fyd_cc,MIN(fyd_cc,Es_cc*IF($E439&lt;=cc_D,0.0035*($E439-T$21)/$E439,0.002*($E439-T$21)/($E439-3*cc_D/7))))-fcd_cc*(1-(1-MAX(0,MIN(1,IF($E439&lt;=cc_D,0.0035*($E439-T$21)/$E439,0.002*($E439-T$21)/($E439-3*cc_D/7))/0.002)))^2)</f>
        <v/>
      </c>
      <c r="U439">
        <f>MAX(-fyd_cc,MIN(fyd_cc,Es_cc*IF($E439&lt;=cc_D,0.0035*($E439-U$21)/$E439,0.002*($E439-U$21)/($E439-3*cc_D/7))))-fcd_cc*(1-(1-MAX(0,MIN(1,IF($E439&lt;=cc_D,0.0035*($E439-U$21)/$E439,0.002*($E439-U$21)/($E439-3*cc_D/7))/0.002)))^2)</f>
        <v/>
      </c>
      <c r="V439">
        <f>MAX(-fyd_cc,MIN(fyd_cc,Es_cc*IF($E439&lt;=cc_D,0.0035*($E439-V$21)/$E439,0.002*($E439-V$21)/($E439-3*cc_D/7))))-fcd_cc*(1-(1-MAX(0,MIN(1,IF($E439&lt;=cc_D,0.0035*($E439-V$21)/$E439,0.002*($E439-V$21)/($E439-3*cc_D/7))/0.002)))^2)</f>
        <v/>
      </c>
      <c r="W439">
        <f>MAX(-fyd_cc,MIN(fyd_cc,Es_cc*IF($E439&lt;=cc_D,0.0035*($E439-W$21)/$E439,0.002*($E439-W$21)/($E439-3*cc_D/7))))-fcd_cc*(1-(1-MAX(0,MIN(1,IF($E439&lt;=cc_D,0.0035*($E439-W$21)/$E439,0.002*($E439-W$21)/($E439-3*cc_D/7))/0.002)))^2)</f>
        <v/>
      </c>
      <c r="X439">
        <f>MAX(-fyd_cc,MIN(fyd_cc,Es_cc*IF($E439&lt;=cc_D,0.0035*($E439-X$21)/$E439,0.002*($E439-X$21)/($E439-3*cc_D/7))))-fcd_cc*(1-(1-MAX(0,MIN(1,IF($E439&lt;=cc_D,0.0035*($E439-X$21)/$E439,0.002*($E439-X$21)/($E439-3*cc_D/7))/0.002)))^2)</f>
        <v/>
      </c>
      <c r="Y439">
        <f>MAX(-fyd_cc,MIN(fyd_cc,Es_cc*IF($E439&lt;=cc_D,0.0035*($E439-Y$21)/$E439,0.002*($E439-Y$21)/($E439-3*cc_D/7))))-fcd_cc*(1-(1-MAX(0,MIN(1,IF($E439&lt;=cc_D,0.0035*($E439-Y$21)/$E439,0.002*($E439-Y$21)/($E439-3*cc_D/7))/0.002)))^2)</f>
        <v/>
      </c>
      <c r="Z439">
        <f>MAX(-fyd_cc,MIN(fyd_cc,Es_cc*IF($E439&lt;=cc_D,0.0035*($E439-Z$21)/$E439,0.002*($E439-Z$21)/($E439-3*cc_D/7))))-fcd_cc*(1-(1-MAX(0,MIN(1,IF($E439&lt;=cc_D,0.0035*($E439-Z$21)/$E439,0.002*($E439-Z$21)/($E439-3*cc_D/7))/0.002)))^2)</f>
        <v/>
      </c>
      <c r="AA439">
        <f>MAX(-fyd_cc,MIN(fyd_cc,Es_cc*IF($E439&lt;=cc_D,0.0035*($E439-AA$21)/$E439,0.002*($E439-AA$21)/($E439-3*cc_D/7))))-fcd_cc*(1-(1-MAX(0,MIN(1,IF($E439&lt;=cc_D,0.0035*($E439-AA$21)/$E439,0.002*($E439-AA$21)/($E439-3*cc_D/7))/0.002)))^2)</f>
        <v/>
      </c>
      <c r="AB439">
        <f>MAX(-fyd_cc,MIN(fyd_cc,Es_cc*IF($E439&lt;=cc_D,0.0035*($E439-AB$21)/$E439,0.002*($E439-AB$21)/($E439-3*cc_D/7))))-fcd_cc*(1-(1-MAX(0,MIN(1,IF($E439&lt;=cc_D,0.0035*($E439-AB$21)/$E439,0.002*($E439-AB$21)/($E439-3*cc_D/7))/0.002)))^2)</f>
        <v/>
      </c>
      <c r="AC439">
        <f>MAX(-fyd_cc,MIN(fyd_cc,Es_cc*IF($E439&lt;=cc_D,0.0035*($E439-AC$21)/$E439,0.002*($E439-AC$21)/($E439-3*cc_D/7))))-fcd_cc*(1-(1-MAX(0,MIN(1,IF($E439&lt;=cc_D,0.0035*($E439-AC$21)/$E439,0.002*($E439-AC$21)/($E439-3*cc_D/7))/0.002)))^2)</f>
        <v/>
      </c>
      <c r="AD439">
        <f>MAX(-fyd_cc,MIN(fyd_cc,Es_cc*IF($E439&lt;=cc_D,0.0035*($E439-AD$21)/$E439,0.002*($E439-AD$21)/($E439-3*cc_D/7))))-fcd_cc*(1-(1-MAX(0,MIN(1,IF($E439&lt;=cc_D,0.0035*($E439-AD$21)/$E439,0.002*($E439-AD$21)/($E439-3*cc_D/7))/0.002)))^2)</f>
        <v/>
      </c>
      <c r="AE439">
        <f>MAX(-fyd_cc,MIN(fyd_cc,Es_cc*IF($E439&lt;=cc_D,0.0035*($E439-AE$21)/$E439,0.002*($E439-AE$21)/($E439-3*cc_D/7))))-fcd_cc*(1-(1-MAX(0,MIN(1,IF($E439&lt;=cc_D,0.0035*($E439-AE$21)/$E439,0.002*($E439-AE$21)/($E439-3*cc_D/7))/0.002)))^2)</f>
        <v/>
      </c>
      <c r="AF439">
        <f>MAX(-fyd_cc,MIN(fyd_cc,Es_cc*IF($E439&lt;=cc_D,0.0035*($E439-AF$21)/$E439,0.002*($E439-AF$21)/($E439-3*cc_D/7))))-fcd_cc*(1-(1-MAX(0,MIN(1,IF($E439&lt;=cc_D,0.0035*($E439-AF$21)/$E439,0.002*($E439-AF$21)/($E439-3*cc_D/7))/0.002)))^2)</f>
        <v/>
      </c>
      <c r="AG439">
        <f>MAX(-fyd_cc,MIN(fyd_cc,Es_cc*IF($E439&lt;=cc_D,0.0035*($E439-AG$21)/$E439,0.002*($E439-AG$21)/($E439-3*cc_D/7))))-fcd_cc*(1-(1-MAX(0,MIN(1,IF($E439&lt;=cc_D,0.0035*($E439-AG$21)/$E439,0.002*($E439-AG$21)/($E439-3*cc_D/7))/0.002)))^2)</f>
        <v/>
      </c>
      <c r="BF439">
        <f>3*MIN($E439,cc_D)/7</f>
        <v/>
      </c>
      <c r="BG439">
        <f>$E439-$BF439</f>
        <v/>
      </c>
      <c r="BH439">
        <f>ACOS(MAX(-1,MIN(1,1-$BF439/(cc_D/2))))</f>
        <v/>
      </c>
      <c r="BI439">
        <f>ACOS(MAX(-1,MIN(1,1-MIN($E439,cc_D)/(cc_D/2))))</f>
        <v/>
      </c>
      <c r="BJ439">
        <f>((cc_D/2*(1-COS(($BH439+0*($BI439-$BH439)/12)))-$BF439)/$BG439)^2*SIN(($BH439+0*($BI439-$BH439)/12))^2</f>
        <v/>
      </c>
      <c r="BK439">
        <f>((cc_D/2*(1-COS(($BH439+1*($BI439-$BH439)/12)))-$BF439)/$BG439)^2*SIN(($BH439+1*($BI439-$BH439)/12))^2</f>
        <v/>
      </c>
      <c r="BL439">
        <f>((cc_D/2*(1-COS(($BH439+2*($BI439-$BH439)/12)))-$BF439)/$BG439)^2*SIN(($BH439+2*($BI439-$BH439)/12))^2</f>
        <v/>
      </c>
      <c r="BM439">
        <f>((cc_D/2*(1-COS(($BH439+3*($BI439-$BH439)/12)))-$BF439)/$BG439)^2*SIN(($BH439+3*($BI439-$BH439)/12))^2</f>
        <v/>
      </c>
      <c r="BN439">
        <f>((cc_D/2*(1-COS(($BH439+4*($BI439-$BH439)/12)))-$BF439)/$BG439)^2*SIN(($BH439+4*($BI439-$BH439)/12))^2</f>
        <v/>
      </c>
      <c r="BO439">
        <f>((cc_D/2*(1-COS(($BH439+5*($BI439-$BH439)/12)))-$BF439)/$BG439)^2*SIN(($BH439+5*($BI439-$BH439)/12))^2</f>
        <v/>
      </c>
      <c r="BP439">
        <f>((cc_D/2*(1-COS(($BH439+6*($BI439-$BH439)/12)))-$BF439)/$BG439)^2*SIN(($BH439+6*($BI439-$BH439)/12))^2</f>
        <v/>
      </c>
      <c r="BQ439">
        <f>((cc_D/2*(1-COS(($BH439+7*($BI439-$BH439)/12)))-$BF439)/$BG439)^2*SIN(($BH439+7*($BI439-$BH439)/12))^2</f>
        <v/>
      </c>
      <c r="BR439">
        <f>((cc_D/2*(1-COS(($BH439+8*($BI439-$BH439)/12)))-$BF439)/$BG439)^2*SIN(($BH439+8*($BI439-$BH439)/12))^2</f>
        <v/>
      </c>
      <c r="BS439">
        <f>((cc_D/2*(1-COS(($BH439+9*($BI439-$BH439)/12)))-$BF439)/$BG439)^2*SIN(($BH439+9*($BI439-$BH439)/12))^2</f>
        <v/>
      </c>
      <c r="BT439">
        <f>((cc_D/2*(1-COS(($BH439+10*($BI439-$BH439)/12)))-$BF439)/$BG439)^2*SIN(($BH439+10*($BI439-$BH439)/12))^2</f>
        <v/>
      </c>
      <c r="BU439">
        <f>((cc_D/2*(1-COS(($BH439+11*($BI439-$BH439)/12)))-$BF439)/$BG439)^2*SIN(($BH439+11*($BI439-$BH439)/12))^2</f>
        <v/>
      </c>
      <c r="BV439">
        <f>((cc_D/2*(1-COS(($BH439+12*($BI439-$BH439)/12)))-$BF439)/$BG439)^2*SIN(($BH439+12*($BI439-$BH439)/12))^2</f>
        <v/>
      </c>
      <c r="BW439">
        <f>BJ439*COS(($BH439+0*($BI439-$BH439)/12))</f>
        <v/>
      </c>
      <c r="BX439">
        <f>BK439*COS(($BH439+1*($BI439-$BH439)/12))</f>
        <v/>
      </c>
      <c r="BY439">
        <f>BL439*COS(($BH439+2*($BI439-$BH439)/12))</f>
        <v/>
      </c>
      <c r="BZ439">
        <f>BM439*COS(($BH439+3*($BI439-$BH439)/12))</f>
        <v/>
      </c>
      <c r="CA439">
        <f>BN439*COS(($BH439+4*($BI439-$BH439)/12))</f>
        <v/>
      </c>
      <c r="CB439">
        <f>BO439*COS(($BH439+5*($BI439-$BH439)/12))</f>
        <v/>
      </c>
      <c r="CC439">
        <f>BP439*COS(($BH439+6*($BI439-$BH439)/12))</f>
        <v/>
      </c>
      <c r="CD439">
        <f>BQ439*COS(($BH439+7*($BI439-$BH439)/12))</f>
        <v/>
      </c>
      <c r="CE439">
        <f>BR439*COS(($BH439+8*($BI439-$BH439)/12))</f>
        <v/>
      </c>
      <c r="CF439">
        <f>BS439*COS(($BH439+9*($BI439-$BH439)/12))</f>
        <v/>
      </c>
      <c r="CG439">
        <f>BT439*COS(($BH439+10*($BI439-$BH439)/12))</f>
        <v/>
      </c>
      <c r="CH439">
        <f>BU439*COS(($BH439+11*($BI439-$BH439)/12))</f>
        <v/>
      </c>
      <c r="CI439">
        <f>BV439*COS(($BH439+12*($BI439-$BH439)/12))</f>
        <v/>
      </c>
    </row>
    <row r="440">
      <c r="B440" s="65" t="n">
        <v>36</v>
      </c>
      <c r="C440" s="66">
        <f>IF($G439&lt;cc_NEd-1E-9*ABS(cc_NEd),($C439+$D439)/2,$C439)</f>
        <v/>
      </c>
      <c r="D440" s="66">
        <f>IF($G439&lt;cc_NEd-1E-9*ABS(cc_NEd),$D439,($C439+$D439)/2)</f>
        <v/>
      </c>
      <c r="E440" s="67">
        <f>cc_D*(($C440+$D440)/2)/(1-(($C440+$D440)/2))</f>
        <v/>
      </c>
      <c r="F440" s="68">
        <f>IF($E440&lt;=cc_D,3.5,2*$E440/($E440-3*cc_D/7))</f>
        <v/>
      </c>
      <c r="G440" s="67">
        <f>(fcd_cc*((cc_D/2)^2*($BI440-COS($BI440)*SIN($BI440))-2*(cc_D/2)^2*($BI440-$BH440)/12/3*SUMPRODUCT($BJ$4:$BV$4,$BJ440:$BV440))+SUMPRODUCT($J$5:$AG$5,$J440:$AG440))/1000</f>
        <v/>
      </c>
      <c r="H440" s="67">
        <f>(fcd_cc*(2/3*(cc_D/2)^3*SIN($BI440)^3-2*(cc_D/2)^3*($BI440-$BH440)/12/3*SUMPRODUCT($BW$4:$CI$4,$BW440:$CI440))+SUMPRODUCT($J$5:$AG$5,$J440:$AG440,$J$22:$AG$22))/1E6</f>
        <v/>
      </c>
      <c r="I440" s="67">
        <f>SUMPRODUCT($J$5:$AG$5,$J440:$AG440,$J$23:$AG$23)/1E6</f>
        <v/>
      </c>
      <c r="J440">
        <f>MAX(-fyd_cc,MIN(fyd_cc,Es_cc*IF($E440&lt;=cc_D,0.0035*($E440-J$21)/$E440,0.002*($E440-J$21)/($E440-3*cc_D/7))))-fcd_cc*(1-(1-MAX(0,MIN(1,IF($E440&lt;=cc_D,0.0035*($E440-J$21)/$E440,0.002*($E440-J$21)/($E440-3*cc_D/7))/0.002)))^2)</f>
        <v/>
      </c>
      <c r="K440">
        <f>MAX(-fyd_cc,MIN(fyd_cc,Es_cc*IF($E440&lt;=cc_D,0.0035*($E440-K$21)/$E440,0.002*($E440-K$21)/($E440-3*cc_D/7))))-fcd_cc*(1-(1-MAX(0,MIN(1,IF($E440&lt;=cc_D,0.0035*($E440-K$21)/$E440,0.002*($E440-K$21)/($E440-3*cc_D/7))/0.002)))^2)</f>
        <v/>
      </c>
      <c r="L440">
        <f>MAX(-fyd_cc,MIN(fyd_cc,Es_cc*IF($E440&lt;=cc_D,0.0035*($E440-L$21)/$E440,0.002*($E440-L$21)/($E440-3*cc_D/7))))-fcd_cc*(1-(1-MAX(0,MIN(1,IF($E440&lt;=cc_D,0.0035*($E440-L$21)/$E440,0.002*($E440-L$21)/($E440-3*cc_D/7))/0.002)))^2)</f>
        <v/>
      </c>
      <c r="M440">
        <f>MAX(-fyd_cc,MIN(fyd_cc,Es_cc*IF($E440&lt;=cc_D,0.0035*($E440-M$21)/$E440,0.002*($E440-M$21)/($E440-3*cc_D/7))))-fcd_cc*(1-(1-MAX(0,MIN(1,IF($E440&lt;=cc_D,0.0035*($E440-M$21)/$E440,0.002*($E440-M$21)/($E440-3*cc_D/7))/0.002)))^2)</f>
        <v/>
      </c>
      <c r="N440">
        <f>MAX(-fyd_cc,MIN(fyd_cc,Es_cc*IF($E440&lt;=cc_D,0.0035*($E440-N$21)/$E440,0.002*($E440-N$21)/($E440-3*cc_D/7))))-fcd_cc*(1-(1-MAX(0,MIN(1,IF($E440&lt;=cc_D,0.0035*($E440-N$21)/$E440,0.002*($E440-N$21)/($E440-3*cc_D/7))/0.002)))^2)</f>
        <v/>
      </c>
      <c r="O440">
        <f>MAX(-fyd_cc,MIN(fyd_cc,Es_cc*IF($E440&lt;=cc_D,0.0035*($E440-O$21)/$E440,0.002*($E440-O$21)/($E440-3*cc_D/7))))-fcd_cc*(1-(1-MAX(0,MIN(1,IF($E440&lt;=cc_D,0.0035*($E440-O$21)/$E440,0.002*($E440-O$21)/($E440-3*cc_D/7))/0.002)))^2)</f>
        <v/>
      </c>
      <c r="P440">
        <f>MAX(-fyd_cc,MIN(fyd_cc,Es_cc*IF($E440&lt;=cc_D,0.0035*($E440-P$21)/$E440,0.002*($E440-P$21)/($E440-3*cc_D/7))))-fcd_cc*(1-(1-MAX(0,MIN(1,IF($E440&lt;=cc_D,0.0035*($E440-P$21)/$E440,0.002*($E440-P$21)/($E440-3*cc_D/7))/0.002)))^2)</f>
        <v/>
      </c>
      <c r="Q440">
        <f>MAX(-fyd_cc,MIN(fyd_cc,Es_cc*IF($E440&lt;=cc_D,0.0035*($E440-Q$21)/$E440,0.002*($E440-Q$21)/($E440-3*cc_D/7))))-fcd_cc*(1-(1-MAX(0,MIN(1,IF($E440&lt;=cc_D,0.0035*($E440-Q$21)/$E440,0.002*($E440-Q$21)/($E440-3*cc_D/7))/0.002)))^2)</f>
        <v/>
      </c>
      <c r="R440">
        <f>MAX(-fyd_cc,MIN(fyd_cc,Es_cc*IF($E440&lt;=cc_D,0.0035*($E440-R$21)/$E440,0.002*($E440-R$21)/($E440-3*cc_D/7))))-fcd_cc*(1-(1-MAX(0,MIN(1,IF($E440&lt;=cc_D,0.0035*($E440-R$21)/$E440,0.002*($E440-R$21)/($E440-3*cc_D/7))/0.002)))^2)</f>
        <v/>
      </c>
      <c r="S440">
        <f>MAX(-fyd_cc,MIN(fyd_cc,Es_cc*IF($E440&lt;=cc_D,0.0035*($E440-S$21)/$E440,0.002*($E440-S$21)/($E440-3*cc_D/7))))-fcd_cc*(1-(1-MAX(0,MIN(1,IF($E440&lt;=cc_D,0.0035*($E440-S$21)/$E440,0.002*($E440-S$21)/($E440-3*cc_D/7))/0.002)))^2)</f>
        <v/>
      </c>
      <c r="T440">
        <f>MAX(-fyd_cc,MIN(fyd_cc,Es_cc*IF($E440&lt;=cc_D,0.0035*($E440-T$21)/$E440,0.002*($E440-T$21)/($E440-3*cc_D/7))))-fcd_cc*(1-(1-MAX(0,MIN(1,IF($E440&lt;=cc_D,0.0035*($E440-T$21)/$E440,0.002*($E440-T$21)/($E440-3*cc_D/7))/0.002)))^2)</f>
        <v/>
      </c>
      <c r="U440">
        <f>MAX(-fyd_cc,MIN(fyd_cc,Es_cc*IF($E440&lt;=cc_D,0.0035*($E440-U$21)/$E440,0.002*($E440-U$21)/($E440-3*cc_D/7))))-fcd_cc*(1-(1-MAX(0,MIN(1,IF($E440&lt;=cc_D,0.0035*($E440-U$21)/$E440,0.002*($E440-U$21)/($E440-3*cc_D/7))/0.002)))^2)</f>
        <v/>
      </c>
      <c r="V440">
        <f>MAX(-fyd_cc,MIN(fyd_cc,Es_cc*IF($E440&lt;=cc_D,0.0035*($E440-V$21)/$E440,0.002*($E440-V$21)/($E440-3*cc_D/7))))-fcd_cc*(1-(1-MAX(0,MIN(1,IF($E440&lt;=cc_D,0.0035*($E440-V$21)/$E440,0.002*($E440-V$21)/($E440-3*cc_D/7))/0.002)))^2)</f>
        <v/>
      </c>
      <c r="W440">
        <f>MAX(-fyd_cc,MIN(fyd_cc,Es_cc*IF($E440&lt;=cc_D,0.0035*($E440-W$21)/$E440,0.002*($E440-W$21)/($E440-3*cc_D/7))))-fcd_cc*(1-(1-MAX(0,MIN(1,IF($E440&lt;=cc_D,0.0035*($E440-W$21)/$E440,0.002*($E440-W$21)/($E440-3*cc_D/7))/0.002)))^2)</f>
        <v/>
      </c>
      <c r="X440">
        <f>MAX(-fyd_cc,MIN(fyd_cc,Es_cc*IF($E440&lt;=cc_D,0.0035*($E440-X$21)/$E440,0.002*($E440-X$21)/($E440-3*cc_D/7))))-fcd_cc*(1-(1-MAX(0,MIN(1,IF($E440&lt;=cc_D,0.0035*($E440-X$21)/$E440,0.002*($E440-X$21)/($E440-3*cc_D/7))/0.002)))^2)</f>
        <v/>
      </c>
      <c r="Y440">
        <f>MAX(-fyd_cc,MIN(fyd_cc,Es_cc*IF($E440&lt;=cc_D,0.0035*($E440-Y$21)/$E440,0.002*($E440-Y$21)/($E440-3*cc_D/7))))-fcd_cc*(1-(1-MAX(0,MIN(1,IF($E440&lt;=cc_D,0.0035*($E440-Y$21)/$E440,0.002*($E440-Y$21)/($E440-3*cc_D/7))/0.002)))^2)</f>
        <v/>
      </c>
      <c r="Z440">
        <f>MAX(-fyd_cc,MIN(fyd_cc,Es_cc*IF($E440&lt;=cc_D,0.0035*($E440-Z$21)/$E440,0.002*($E440-Z$21)/($E440-3*cc_D/7))))-fcd_cc*(1-(1-MAX(0,MIN(1,IF($E440&lt;=cc_D,0.0035*($E440-Z$21)/$E440,0.002*($E440-Z$21)/($E440-3*cc_D/7))/0.002)))^2)</f>
        <v/>
      </c>
      <c r="AA440">
        <f>MAX(-fyd_cc,MIN(fyd_cc,Es_cc*IF($E440&lt;=cc_D,0.0035*($E440-AA$21)/$E440,0.002*($E440-AA$21)/($E440-3*cc_D/7))))-fcd_cc*(1-(1-MAX(0,MIN(1,IF($E440&lt;=cc_D,0.0035*($E440-AA$21)/$E440,0.002*($E440-AA$21)/($E440-3*cc_D/7))/0.002)))^2)</f>
        <v/>
      </c>
      <c r="AB440">
        <f>MAX(-fyd_cc,MIN(fyd_cc,Es_cc*IF($E440&lt;=cc_D,0.0035*($E440-AB$21)/$E440,0.002*($E440-AB$21)/($E440-3*cc_D/7))))-fcd_cc*(1-(1-MAX(0,MIN(1,IF($E440&lt;=cc_D,0.0035*($E440-AB$21)/$E440,0.002*($E440-AB$21)/($E440-3*cc_D/7))/0.002)))^2)</f>
        <v/>
      </c>
      <c r="AC440">
        <f>MAX(-fyd_cc,MIN(fyd_cc,Es_cc*IF($E440&lt;=cc_D,0.0035*($E440-AC$21)/$E440,0.002*($E440-AC$21)/($E440-3*cc_D/7))))-fcd_cc*(1-(1-MAX(0,MIN(1,IF($E440&lt;=cc_D,0.0035*($E440-AC$21)/$E440,0.002*($E440-AC$21)/($E440-3*cc_D/7))/0.002)))^2)</f>
        <v/>
      </c>
      <c r="AD440">
        <f>MAX(-fyd_cc,MIN(fyd_cc,Es_cc*IF($E440&lt;=cc_D,0.0035*($E440-AD$21)/$E440,0.002*($E440-AD$21)/($E440-3*cc_D/7))))-fcd_cc*(1-(1-MAX(0,MIN(1,IF($E440&lt;=cc_D,0.0035*($E440-AD$21)/$E440,0.002*($E440-AD$21)/($E440-3*cc_D/7))/0.002)))^2)</f>
        <v/>
      </c>
      <c r="AE440">
        <f>MAX(-fyd_cc,MIN(fyd_cc,Es_cc*IF($E440&lt;=cc_D,0.0035*($E440-AE$21)/$E440,0.002*($E440-AE$21)/($E440-3*cc_D/7))))-fcd_cc*(1-(1-MAX(0,MIN(1,IF($E440&lt;=cc_D,0.0035*($E440-AE$21)/$E440,0.002*($E440-AE$21)/($E440-3*cc_D/7))/0.002)))^2)</f>
        <v/>
      </c>
      <c r="AF440">
        <f>MAX(-fyd_cc,MIN(fyd_cc,Es_cc*IF($E440&lt;=cc_D,0.0035*($E440-AF$21)/$E440,0.002*($E440-AF$21)/($E440-3*cc_D/7))))-fcd_cc*(1-(1-MAX(0,MIN(1,IF($E440&lt;=cc_D,0.0035*($E440-AF$21)/$E440,0.002*($E440-AF$21)/($E440-3*cc_D/7))/0.002)))^2)</f>
        <v/>
      </c>
      <c r="AG440">
        <f>MAX(-fyd_cc,MIN(fyd_cc,Es_cc*IF($E440&lt;=cc_D,0.0035*($E440-AG$21)/$E440,0.002*($E440-AG$21)/($E440-3*cc_D/7))))-fcd_cc*(1-(1-MAX(0,MIN(1,IF($E440&lt;=cc_D,0.0035*($E440-AG$21)/$E440,0.002*($E440-AG$21)/($E440-3*cc_D/7))/0.002)))^2)</f>
        <v/>
      </c>
      <c r="BF440">
        <f>3*MIN($E440,cc_D)/7</f>
        <v/>
      </c>
      <c r="BG440">
        <f>$E440-$BF440</f>
        <v/>
      </c>
      <c r="BH440">
        <f>ACOS(MAX(-1,MIN(1,1-$BF440/(cc_D/2))))</f>
        <v/>
      </c>
      <c r="BI440">
        <f>ACOS(MAX(-1,MIN(1,1-MIN($E440,cc_D)/(cc_D/2))))</f>
        <v/>
      </c>
      <c r="BJ440">
        <f>((cc_D/2*(1-COS(($BH440+0*($BI440-$BH440)/12)))-$BF440)/$BG440)^2*SIN(($BH440+0*($BI440-$BH440)/12))^2</f>
        <v/>
      </c>
      <c r="BK440">
        <f>((cc_D/2*(1-COS(($BH440+1*($BI440-$BH440)/12)))-$BF440)/$BG440)^2*SIN(($BH440+1*($BI440-$BH440)/12))^2</f>
        <v/>
      </c>
      <c r="BL440">
        <f>((cc_D/2*(1-COS(($BH440+2*($BI440-$BH440)/12)))-$BF440)/$BG440)^2*SIN(($BH440+2*($BI440-$BH440)/12))^2</f>
        <v/>
      </c>
      <c r="BM440">
        <f>((cc_D/2*(1-COS(($BH440+3*($BI440-$BH440)/12)))-$BF440)/$BG440)^2*SIN(($BH440+3*($BI440-$BH440)/12))^2</f>
        <v/>
      </c>
      <c r="BN440">
        <f>((cc_D/2*(1-COS(($BH440+4*($BI440-$BH440)/12)))-$BF440)/$BG440)^2*SIN(($BH440+4*($BI440-$BH440)/12))^2</f>
        <v/>
      </c>
      <c r="BO440">
        <f>((cc_D/2*(1-COS(($BH440+5*($BI440-$BH440)/12)))-$BF440)/$BG440)^2*SIN(($BH440+5*($BI440-$BH440)/12))^2</f>
        <v/>
      </c>
      <c r="BP440">
        <f>((cc_D/2*(1-COS(($BH440+6*($BI440-$BH440)/12)))-$BF440)/$BG440)^2*SIN(($BH440+6*($BI440-$BH440)/12))^2</f>
        <v/>
      </c>
      <c r="BQ440">
        <f>((cc_D/2*(1-COS(($BH440+7*($BI440-$BH440)/12)))-$BF440)/$BG440)^2*SIN(($BH440+7*($BI440-$BH440)/12))^2</f>
        <v/>
      </c>
      <c r="BR440">
        <f>((cc_D/2*(1-COS(($BH440+8*($BI440-$BH440)/12)))-$BF440)/$BG440)^2*SIN(($BH440+8*($BI440-$BH440)/12))^2</f>
        <v/>
      </c>
      <c r="BS440">
        <f>((cc_D/2*(1-COS(($BH440+9*($BI440-$BH440)/12)))-$BF440)/$BG440)^2*SIN(($BH440+9*($BI440-$BH440)/12))^2</f>
        <v/>
      </c>
      <c r="BT440">
        <f>((cc_D/2*(1-COS(($BH440+10*($BI440-$BH440)/12)))-$BF440)/$BG440)^2*SIN(($BH440+10*($BI440-$BH440)/12))^2</f>
        <v/>
      </c>
      <c r="BU440">
        <f>((cc_D/2*(1-COS(($BH440+11*($BI440-$BH440)/12)))-$BF440)/$BG440)^2*SIN(($BH440+11*($BI440-$BH440)/12))^2</f>
        <v/>
      </c>
      <c r="BV440">
        <f>((cc_D/2*(1-COS(($BH440+12*($BI440-$BH440)/12)))-$BF440)/$BG440)^2*SIN(($BH440+12*($BI440-$BH440)/12))^2</f>
        <v/>
      </c>
      <c r="BW440">
        <f>BJ440*COS(($BH440+0*($BI440-$BH440)/12))</f>
        <v/>
      </c>
      <c r="BX440">
        <f>BK440*COS(($BH440+1*($BI440-$BH440)/12))</f>
        <v/>
      </c>
      <c r="BY440">
        <f>BL440*COS(($BH440+2*($BI440-$BH440)/12))</f>
        <v/>
      </c>
      <c r="BZ440">
        <f>BM440*COS(($BH440+3*($BI440-$BH440)/12))</f>
        <v/>
      </c>
      <c r="CA440">
        <f>BN440*COS(($BH440+4*($BI440-$BH440)/12))</f>
        <v/>
      </c>
      <c r="CB440">
        <f>BO440*COS(($BH440+5*($BI440-$BH440)/12))</f>
        <v/>
      </c>
      <c r="CC440">
        <f>BP440*COS(($BH440+6*($BI440-$BH440)/12))</f>
        <v/>
      </c>
      <c r="CD440">
        <f>BQ440*COS(($BH440+7*($BI440-$BH440)/12))</f>
        <v/>
      </c>
      <c r="CE440">
        <f>BR440*COS(($BH440+8*($BI440-$BH440)/12))</f>
        <v/>
      </c>
      <c r="CF440">
        <f>BS440*COS(($BH440+9*($BI440-$BH440)/12))</f>
        <v/>
      </c>
      <c r="CG440">
        <f>BT440*COS(($BH440+10*($BI440-$BH440)/12))</f>
        <v/>
      </c>
      <c r="CH440">
        <f>BU440*COS(($BH440+11*($BI440-$BH440)/12))</f>
        <v/>
      </c>
      <c r="CI440">
        <f>BV440*COS(($BH440+12*($BI440-$BH440)/12))</f>
        <v/>
      </c>
    </row>
    <row r="441">
      <c r="B441" s="65" t="n">
        <v>37</v>
      </c>
      <c r="C441" s="66">
        <f>IF($G440&lt;cc_NEd-1E-9*ABS(cc_NEd),($C440+$D440)/2,$C440)</f>
        <v/>
      </c>
      <c r="D441" s="66">
        <f>IF($G440&lt;cc_NEd-1E-9*ABS(cc_NEd),$D440,($C440+$D440)/2)</f>
        <v/>
      </c>
      <c r="E441" s="67">
        <f>cc_D*(($C441+$D441)/2)/(1-(($C441+$D441)/2))</f>
        <v/>
      </c>
      <c r="F441" s="68">
        <f>IF($E441&lt;=cc_D,3.5,2*$E441/($E441-3*cc_D/7))</f>
        <v/>
      </c>
      <c r="G441" s="67">
        <f>(fcd_cc*((cc_D/2)^2*($BI441-COS($BI441)*SIN($BI441))-2*(cc_D/2)^2*($BI441-$BH441)/12/3*SUMPRODUCT($BJ$4:$BV$4,$BJ441:$BV441))+SUMPRODUCT($J$5:$AG$5,$J441:$AG441))/1000</f>
        <v/>
      </c>
      <c r="H441" s="67">
        <f>(fcd_cc*(2/3*(cc_D/2)^3*SIN($BI441)^3-2*(cc_D/2)^3*($BI441-$BH441)/12/3*SUMPRODUCT($BW$4:$CI$4,$BW441:$CI441))+SUMPRODUCT($J$5:$AG$5,$J441:$AG441,$J$22:$AG$22))/1E6</f>
        <v/>
      </c>
      <c r="I441" s="67">
        <f>SUMPRODUCT($J$5:$AG$5,$J441:$AG441,$J$23:$AG$23)/1E6</f>
        <v/>
      </c>
      <c r="J441">
        <f>MAX(-fyd_cc,MIN(fyd_cc,Es_cc*IF($E441&lt;=cc_D,0.0035*($E441-J$21)/$E441,0.002*($E441-J$21)/($E441-3*cc_D/7))))-fcd_cc*(1-(1-MAX(0,MIN(1,IF($E441&lt;=cc_D,0.0035*($E441-J$21)/$E441,0.002*($E441-J$21)/($E441-3*cc_D/7))/0.002)))^2)</f>
        <v/>
      </c>
      <c r="K441">
        <f>MAX(-fyd_cc,MIN(fyd_cc,Es_cc*IF($E441&lt;=cc_D,0.0035*($E441-K$21)/$E441,0.002*($E441-K$21)/($E441-3*cc_D/7))))-fcd_cc*(1-(1-MAX(0,MIN(1,IF($E441&lt;=cc_D,0.0035*($E441-K$21)/$E441,0.002*($E441-K$21)/($E441-3*cc_D/7))/0.002)))^2)</f>
        <v/>
      </c>
      <c r="L441">
        <f>MAX(-fyd_cc,MIN(fyd_cc,Es_cc*IF($E441&lt;=cc_D,0.0035*($E441-L$21)/$E441,0.002*($E441-L$21)/($E441-3*cc_D/7))))-fcd_cc*(1-(1-MAX(0,MIN(1,IF($E441&lt;=cc_D,0.0035*($E441-L$21)/$E441,0.002*($E441-L$21)/($E441-3*cc_D/7))/0.002)))^2)</f>
        <v/>
      </c>
      <c r="M441">
        <f>MAX(-fyd_cc,MIN(fyd_cc,Es_cc*IF($E441&lt;=cc_D,0.0035*($E441-M$21)/$E441,0.002*($E441-M$21)/($E441-3*cc_D/7))))-fcd_cc*(1-(1-MAX(0,MIN(1,IF($E441&lt;=cc_D,0.0035*($E441-M$21)/$E441,0.002*($E441-M$21)/($E441-3*cc_D/7))/0.002)))^2)</f>
        <v/>
      </c>
      <c r="N441">
        <f>MAX(-fyd_cc,MIN(fyd_cc,Es_cc*IF($E441&lt;=cc_D,0.0035*($E441-N$21)/$E441,0.002*($E441-N$21)/($E441-3*cc_D/7))))-fcd_cc*(1-(1-MAX(0,MIN(1,IF($E441&lt;=cc_D,0.0035*($E441-N$21)/$E441,0.002*($E441-N$21)/($E441-3*cc_D/7))/0.002)))^2)</f>
        <v/>
      </c>
      <c r="O441">
        <f>MAX(-fyd_cc,MIN(fyd_cc,Es_cc*IF($E441&lt;=cc_D,0.0035*($E441-O$21)/$E441,0.002*($E441-O$21)/($E441-3*cc_D/7))))-fcd_cc*(1-(1-MAX(0,MIN(1,IF($E441&lt;=cc_D,0.0035*($E441-O$21)/$E441,0.002*($E441-O$21)/($E441-3*cc_D/7))/0.002)))^2)</f>
        <v/>
      </c>
      <c r="P441">
        <f>MAX(-fyd_cc,MIN(fyd_cc,Es_cc*IF($E441&lt;=cc_D,0.0035*($E441-P$21)/$E441,0.002*($E441-P$21)/($E441-3*cc_D/7))))-fcd_cc*(1-(1-MAX(0,MIN(1,IF($E441&lt;=cc_D,0.0035*($E441-P$21)/$E441,0.002*($E441-P$21)/($E441-3*cc_D/7))/0.002)))^2)</f>
        <v/>
      </c>
      <c r="Q441">
        <f>MAX(-fyd_cc,MIN(fyd_cc,Es_cc*IF($E441&lt;=cc_D,0.0035*($E441-Q$21)/$E441,0.002*($E441-Q$21)/($E441-3*cc_D/7))))-fcd_cc*(1-(1-MAX(0,MIN(1,IF($E441&lt;=cc_D,0.0035*($E441-Q$21)/$E441,0.002*($E441-Q$21)/($E441-3*cc_D/7))/0.002)))^2)</f>
        <v/>
      </c>
      <c r="R441">
        <f>MAX(-fyd_cc,MIN(fyd_cc,Es_cc*IF($E441&lt;=cc_D,0.0035*($E441-R$21)/$E441,0.002*($E441-R$21)/($E441-3*cc_D/7))))-fcd_cc*(1-(1-MAX(0,MIN(1,IF($E441&lt;=cc_D,0.0035*($E441-R$21)/$E441,0.002*($E441-R$21)/($E441-3*cc_D/7))/0.002)))^2)</f>
        <v/>
      </c>
      <c r="S441">
        <f>MAX(-fyd_cc,MIN(fyd_cc,Es_cc*IF($E441&lt;=cc_D,0.0035*($E441-S$21)/$E441,0.002*($E441-S$21)/($E441-3*cc_D/7))))-fcd_cc*(1-(1-MAX(0,MIN(1,IF($E441&lt;=cc_D,0.0035*($E441-S$21)/$E441,0.002*($E441-S$21)/($E441-3*cc_D/7))/0.002)))^2)</f>
        <v/>
      </c>
      <c r="T441">
        <f>MAX(-fyd_cc,MIN(fyd_cc,Es_cc*IF($E441&lt;=cc_D,0.0035*($E441-T$21)/$E441,0.002*($E441-T$21)/($E441-3*cc_D/7))))-fcd_cc*(1-(1-MAX(0,MIN(1,IF($E441&lt;=cc_D,0.0035*($E441-T$21)/$E441,0.002*($E441-T$21)/($E441-3*cc_D/7))/0.002)))^2)</f>
        <v/>
      </c>
      <c r="U441">
        <f>MAX(-fyd_cc,MIN(fyd_cc,Es_cc*IF($E441&lt;=cc_D,0.0035*($E441-U$21)/$E441,0.002*($E441-U$21)/($E441-3*cc_D/7))))-fcd_cc*(1-(1-MAX(0,MIN(1,IF($E441&lt;=cc_D,0.0035*($E441-U$21)/$E441,0.002*($E441-U$21)/($E441-3*cc_D/7))/0.002)))^2)</f>
        <v/>
      </c>
      <c r="V441">
        <f>MAX(-fyd_cc,MIN(fyd_cc,Es_cc*IF($E441&lt;=cc_D,0.0035*($E441-V$21)/$E441,0.002*($E441-V$21)/($E441-3*cc_D/7))))-fcd_cc*(1-(1-MAX(0,MIN(1,IF($E441&lt;=cc_D,0.0035*($E441-V$21)/$E441,0.002*($E441-V$21)/($E441-3*cc_D/7))/0.002)))^2)</f>
        <v/>
      </c>
      <c r="W441">
        <f>MAX(-fyd_cc,MIN(fyd_cc,Es_cc*IF($E441&lt;=cc_D,0.0035*($E441-W$21)/$E441,0.002*($E441-W$21)/($E441-3*cc_D/7))))-fcd_cc*(1-(1-MAX(0,MIN(1,IF($E441&lt;=cc_D,0.0035*($E441-W$21)/$E441,0.002*($E441-W$21)/($E441-3*cc_D/7))/0.002)))^2)</f>
        <v/>
      </c>
      <c r="X441">
        <f>MAX(-fyd_cc,MIN(fyd_cc,Es_cc*IF($E441&lt;=cc_D,0.0035*($E441-X$21)/$E441,0.002*($E441-X$21)/($E441-3*cc_D/7))))-fcd_cc*(1-(1-MAX(0,MIN(1,IF($E441&lt;=cc_D,0.0035*($E441-X$21)/$E441,0.002*($E441-X$21)/($E441-3*cc_D/7))/0.002)))^2)</f>
        <v/>
      </c>
      <c r="Y441">
        <f>MAX(-fyd_cc,MIN(fyd_cc,Es_cc*IF($E441&lt;=cc_D,0.0035*($E441-Y$21)/$E441,0.002*($E441-Y$21)/($E441-3*cc_D/7))))-fcd_cc*(1-(1-MAX(0,MIN(1,IF($E441&lt;=cc_D,0.0035*($E441-Y$21)/$E441,0.002*($E441-Y$21)/($E441-3*cc_D/7))/0.002)))^2)</f>
        <v/>
      </c>
      <c r="Z441">
        <f>MAX(-fyd_cc,MIN(fyd_cc,Es_cc*IF($E441&lt;=cc_D,0.0035*($E441-Z$21)/$E441,0.002*($E441-Z$21)/($E441-3*cc_D/7))))-fcd_cc*(1-(1-MAX(0,MIN(1,IF($E441&lt;=cc_D,0.0035*($E441-Z$21)/$E441,0.002*($E441-Z$21)/($E441-3*cc_D/7))/0.002)))^2)</f>
        <v/>
      </c>
      <c r="AA441">
        <f>MAX(-fyd_cc,MIN(fyd_cc,Es_cc*IF($E441&lt;=cc_D,0.0035*($E441-AA$21)/$E441,0.002*($E441-AA$21)/($E441-3*cc_D/7))))-fcd_cc*(1-(1-MAX(0,MIN(1,IF($E441&lt;=cc_D,0.0035*($E441-AA$21)/$E441,0.002*($E441-AA$21)/($E441-3*cc_D/7))/0.002)))^2)</f>
        <v/>
      </c>
      <c r="AB441">
        <f>MAX(-fyd_cc,MIN(fyd_cc,Es_cc*IF($E441&lt;=cc_D,0.0035*($E441-AB$21)/$E441,0.002*($E441-AB$21)/($E441-3*cc_D/7))))-fcd_cc*(1-(1-MAX(0,MIN(1,IF($E441&lt;=cc_D,0.0035*($E441-AB$21)/$E441,0.002*($E441-AB$21)/($E441-3*cc_D/7))/0.002)))^2)</f>
        <v/>
      </c>
      <c r="AC441">
        <f>MAX(-fyd_cc,MIN(fyd_cc,Es_cc*IF($E441&lt;=cc_D,0.0035*($E441-AC$21)/$E441,0.002*($E441-AC$21)/($E441-3*cc_D/7))))-fcd_cc*(1-(1-MAX(0,MIN(1,IF($E441&lt;=cc_D,0.0035*($E441-AC$21)/$E441,0.002*($E441-AC$21)/($E441-3*cc_D/7))/0.002)))^2)</f>
        <v/>
      </c>
      <c r="AD441">
        <f>MAX(-fyd_cc,MIN(fyd_cc,Es_cc*IF($E441&lt;=cc_D,0.0035*($E441-AD$21)/$E441,0.002*($E441-AD$21)/($E441-3*cc_D/7))))-fcd_cc*(1-(1-MAX(0,MIN(1,IF($E441&lt;=cc_D,0.0035*($E441-AD$21)/$E441,0.002*($E441-AD$21)/($E441-3*cc_D/7))/0.002)))^2)</f>
        <v/>
      </c>
      <c r="AE441">
        <f>MAX(-fyd_cc,MIN(fyd_cc,Es_cc*IF($E441&lt;=cc_D,0.0035*($E441-AE$21)/$E441,0.002*($E441-AE$21)/($E441-3*cc_D/7))))-fcd_cc*(1-(1-MAX(0,MIN(1,IF($E441&lt;=cc_D,0.0035*($E441-AE$21)/$E441,0.002*($E441-AE$21)/($E441-3*cc_D/7))/0.002)))^2)</f>
        <v/>
      </c>
      <c r="AF441">
        <f>MAX(-fyd_cc,MIN(fyd_cc,Es_cc*IF($E441&lt;=cc_D,0.0035*($E441-AF$21)/$E441,0.002*($E441-AF$21)/($E441-3*cc_D/7))))-fcd_cc*(1-(1-MAX(0,MIN(1,IF($E441&lt;=cc_D,0.0035*($E441-AF$21)/$E441,0.002*($E441-AF$21)/($E441-3*cc_D/7))/0.002)))^2)</f>
        <v/>
      </c>
      <c r="AG441">
        <f>MAX(-fyd_cc,MIN(fyd_cc,Es_cc*IF($E441&lt;=cc_D,0.0035*($E441-AG$21)/$E441,0.002*($E441-AG$21)/($E441-3*cc_D/7))))-fcd_cc*(1-(1-MAX(0,MIN(1,IF($E441&lt;=cc_D,0.0035*($E441-AG$21)/$E441,0.002*($E441-AG$21)/($E441-3*cc_D/7))/0.002)))^2)</f>
        <v/>
      </c>
      <c r="BF441">
        <f>3*MIN($E441,cc_D)/7</f>
        <v/>
      </c>
      <c r="BG441">
        <f>$E441-$BF441</f>
        <v/>
      </c>
      <c r="BH441">
        <f>ACOS(MAX(-1,MIN(1,1-$BF441/(cc_D/2))))</f>
        <v/>
      </c>
      <c r="BI441">
        <f>ACOS(MAX(-1,MIN(1,1-MIN($E441,cc_D)/(cc_D/2))))</f>
        <v/>
      </c>
      <c r="BJ441">
        <f>((cc_D/2*(1-COS(($BH441+0*($BI441-$BH441)/12)))-$BF441)/$BG441)^2*SIN(($BH441+0*($BI441-$BH441)/12))^2</f>
        <v/>
      </c>
      <c r="BK441">
        <f>((cc_D/2*(1-COS(($BH441+1*($BI441-$BH441)/12)))-$BF441)/$BG441)^2*SIN(($BH441+1*($BI441-$BH441)/12))^2</f>
        <v/>
      </c>
      <c r="BL441">
        <f>((cc_D/2*(1-COS(($BH441+2*($BI441-$BH441)/12)))-$BF441)/$BG441)^2*SIN(($BH441+2*($BI441-$BH441)/12))^2</f>
        <v/>
      </c>
      <c r="BM441">
        <f>((cc_D/2*(1-COS(($BH441+3*($BI441-$BH441)/12)))-$BF441)/$BG441)^2*SIN(($BH441+3*($BI441-$BH441)/12))^2</f>
        <v/>
      </c>
      <c r="BN441">
        <f>((cc_D/2*(1-COS(($BH441+4*($BI441-$BH441)/12)))-$BF441)/$BG441)^2*SIN(($BH441+4*($BI441-$BH441)/12))^2</f>
        <v/>
      </c>
      <c r="BO441">
        <f>((cc_D/2*(1-COS(($BH441+5*($BI441-$BH441)/12)))-$BF441)/$BG441)^2*SIN(($BH441+5*($BI441-$BH441)/12))^2</f>
        <v/>
      </c>
      <c r="BP441">
        <f>((cc_D/2*(1-COS(($BH441+6*($BI441-$BH441)/12)))-$BF441)/$BG441)^2*SIN(($BH441+6*($BI441-$BH441)/12))^2</f>
        <v/>
      </c>
      <c r="BQ441">
        <f>((cc_D/2*(1-COS(($BH441+7*($BI441-$BH441)/12)))-$BF441)/$BG441)^2*SIN(($BH441+7*($BI441-$BH441)/12))^2</f>
        <v/>
      </c>
      <c r="BR441">
        <f>((cc_D/2*(1-COS(($BH441+8*($BI441-$BH441)/12)))-$BF441)/$BG441)^2*SIN(($BH441+8*($BI441-$BH441)/12))^2</f>
        <v/>
      </c>
      <c r="BS441">
        <f>((cc_D/2*(1-COS(($BH441+9*($BI441-$BH441)/12)))-$BF441)/$BG441)^2*SIN(($BH441+9*($BI441-$BH441)/12))^2</f>
        <v/>
      </c>
      <c r="BT441">
        <f>((cc_D/2*(1-COS(($BH441+10*($BI441-$BH441)/12)))-$BF441)/$BG441)^2*SIN(($BH441+10*($BI441-$BH441)/12))^2</f>
        <v/>
      </c>
      <c r="BU441">
        <f>((cc_D/2*(1-COS(($BH441+11*($BI441-$BH441)/12)))-$BF441)/$BG441)^2*SIN(($BH441+11*($BI441-$BH441)/12))^2</f>
        <v/>
      </c>
      <c r="BV441">
        <f>((cc_D/2*(1-COS(($BH441+12*($BI441-$BH441)/12)))-$BF441)/$BG441)^2*SIN(($BH441+12*($BI441-$BH441)/12))^2</f>
        <v/>
      </c>
      <c r="BW441">
        <f>BJ441*COS(($BH441+0*($BI441-$BH441)/12))</f>
        <v/>
      </c>
      <c r="BX441">
        <f>BK441*COS(($BH441+1*($BI441-$BH441)/12))</f>
        <v/>
      </c>
      <c r="BY441">
        <f>BL441*COS(($BH441+2*($BI441-$BH441)/12))</f>
        <v/>
      </c>
      <c r="BZ441">
        <f>BM441*COS(($BH441+3*($BI441-$BH441)/12))</f>
        <v/>
      </c>
      <c r="CA441">
        <f>BN441*COS(($BH441+4*($BI441-$BH441)/12))</f>
        <v/>
      </c>
      <c r="CB441">
        <f>BO441*COS(($BH441+5*($BI441-$BH441)/12))</f>
        <v/>
      </c>
      <c r="CC441">
        <f>BP441*COS(($BH441+6*($BI441-$BH441)/12))</f>
        <v/>
      </c>
      <c r="CD441">
        <f>BQ441*COS(($BH441+7*($BI441-$BH441)/12))</f>
        <v/>
      </c>
      <c r="CE441">
        <f>BR441*COS(($BH441+8*($BI441-$BH441)/12))</f>
        <v/>
      </c>
      <c r="CF441">
        <f>BS441*COS(($BH441+9*($BI441-$BH441)/12))</f>
        <v/>
      </c>
      <c r="CG441">
        <f>BT441*COS(($BH441+10*($BI441-$BH441)/12))</f>
        <v/>
      </c>
      <c r="CH441">
        <f>BU441*COS(($BH441+11*($BI441-$BH441)/12))</f>
        <v/>
      </c>
      <c r="CI441">
        <f>BV441*COS(($BH441+12*($BI441-$BH441)/12))</f>
        <v/>
      </c>
    </row>
    <row r="442">
      <c r="B442" s="65" t="n">
        <v>38</v>
      </c>
      <c r="C442" s="66">
        <f>IF($G441&lt;cc_NEd-1E-9*ABS(cc_NEd),($C441+$D441)/2,$C441)</f>
        <v/>
      </c>
      <c r="D442" s="66">
        <f>IF($G441&lt;cc_NEd-1E-9*ABS(cc_NEd),$D441,($C441+$D441)/2)</f>
        <v/>
      </c>
      <c r="E442" s="67">
        <f>cc_D*(($C442+$D442)/2)/(1-(($C442+$D442)/2))</f>
        <v/>
      </c>
      <c r="F442" s="68">
        <f>IF($E442&lt;=cc_D,3.5,2*$E442/($E442-3*cc_D/7))</f>
        <v/>
      </c>
      <c r="G442" s="67">
        <f>(fcd_cc*((cc_D/2)^2*($BI442-COS($BI442)*SIN($BI442))-2*(cc_D/2)^2*($BI442-$BH442)/12/3*SUMPRODUCT($BJ$4:$BV$4,$BJ442:$BV442))+SUMPRODUCT($J$5:$AG$5,$J442:$AG442))/1000</f>
        <v/>
      </c>
      <c r="H442" s="67">
        <f>(fcd_cc*(2/3*(cc_D/2)^3*SIN($BI442)^3-2*(cc_D/2)^3*($BI442-$BH442)/12/3*SUMPRODUCT($BW$4:$CI$4,$BW442:$CI442))+SUMPRODUCT($J$5:$AG$5,$J442:$AG442,$J$22:$AG$22))/1E6</f>
        <v/>
      </c>
      <c r="I442" s="67">
        <f>SUMPRODUCT($J$5:$AG$5,$J442:$AG442,$J$23:$AG$23)/1E6</f>
        <v/>
      </c>
      <c r="J442">
        <f>MAX(-fyd_cc,MIN(fyd_cc,Es_cc*IF($E442&lt;=cc_D,0.0035*($E442-J$21)/$E442,0.002*($E442-J$21)/($E442-3*cc_D/7))))-fcd_cc*(1-(1-MAX(0,MIN(1,IF($E442&lt;=cc_D,0.0035*($E442-J$21)/$E442,0.002*($E442-J$21)/($E442-3*cc_D/7))/0.002)))^2)</f>
        <v/>
      </c>
      <c r="K442">
        <f>MAX(-fyd_cc,MIN(fyd_cc,Es_cc*IF($E442&lt;=cc_D,0.0035*($E442-K$21)/$E442,0.002*($E442-K$21)/($E442-3*cc_D/7))))-fcd_cc*(1-(1-MAX(0,MIN(1,IF($E442&lt;=cc_D,0.0035*($E442-K$21)/$E442,0.002*($E442-K$21)/($E442-3*cc_D/7))/0.002)))^2)</f>
        <v/>
      </c>
      <c r="L442">
        <f>MAX(-fyd_cc,MIN(fyd_cc,Es_cc*IF($E442&lt;=cc_D,0.0035*($E442-L$21)/$E442,0.002*($E442-L$21)/($E442-3*cc_D/7))))-fcd_cc*(1-(1-MAX(0,MIN(1,IF($E442&lt;=cc_D,0.0035*($E442-L$21)/$E442,0.002*($E442-L$21)/($E442-3*cc_D/7))/0.002)))^2)</f>
        <v/>
      </c>
      <c r="M442">
        <f>MAX(-fyd_cc,MIN(fyd_cc,Es_cc*IF($E442&lt;=cc_D,0.0035*($E442-M$21)/$E442,0.002*($E442-M$21)/($E442-3*cc_D/7))))-fcd_cc*(1-(1-MAX(0,MIN(1,IF($E442&lt;=cc_D,0.0035*($E442-M$21)/$E442,0.002*($E442-M$21)/($E442-3*cc_D/7))/0.002)))^2)</f>
        <v/>
      </c>
      <c r="N442">
        <f>MAX(-fyd_cc,MIN(fyd_cc,Es_cc*IF($E442&lt;=cc_D,0.0035*($E442-N$21)/$E442,0.002*($E442-N$21)/($E442-3*cc_D/7))))-fcd_cc*(1-(1-MAX(0,MIN(1,IF($E442&lt;=cc_D,0.0035*($E442-N$21)/$E442,0.002*($E442-N$21)/($E442-3*cc_D/7))/0.002)))^2)</f>
        <v/>
      </c>
      <c r="O442">
        <f>MAX(-fyd_cc,MIN(fyd_cc,Es_cc*IF($E442&lt;=cc_D,0.0035*($E442-O$21)/$E442,0.002*($E442-O$21)/($E442-3*cc_D/7))))-fcd_cc*(1-(1-MAX(0,MIN(1,IF($E442&lt;=cc_D,0.0035*($E442-O$21)/$E442,0.002*($E442-O$21)/($E442-3*cc_D/7))/0.002)))^2)</f>
        <v/>
      </c>
      <c r="P442">
        <f>MAX(-fyd_cc,MIN(fyd_cc,Es_cc*IF($E442&lt;=cc_D,0.0035*($E442-P$21)/$E442,0.002*($E442-P$21)/($E442-3*cc_D/7))))-fcd_cc*(1-(1-MAX(0,MIN(1,IF($E442&lt;=cc_D,0.0035*($E442-P$21)/$E442,0.002*($E442-P$21)/($E442-3*cc_D/7))/0.002)))^2)</f>
        <v/>
      </c>
      <c r="Q442">
        <f>MAX(-fyd_cc,MIN(fyd_cc,Es_cc*IF($E442&lt;=cc_D,0.0035*($E442-Q$21)/$E442,0.002*($E442-Q$21)/($E442-3*cc_D/7))))-fcd_cc*(1-(1-MAX(0,MIN(1,IF($E442&lt;=cc_D,0.0035*($E442-Q$21)/$E442,0.002*($E442-Q$21)/($E442-3*cc_D/7))/0.002)))^2)</f>
        <v/>
      </c>
      <c r="R442">
        <f>MAX(-fyd_cc,MIN(fyd_cc,Es_cc*IF($E442&lt;=cc_D,0.0035*($E442-R$21)/$E442,0.002*($E442-R$21)/($E442-3*cc_D/7))))-fcd_cc*(1-(1-MAX(0,MIN(1,IF($E442&lt;=cc_D,0.0035*($E442-R$21)/$E442,0.002*($E442-R$21)/($E442-3*cc_D/7))/0.002)))^2)</f>
        <v/>
      </c>
      <c r="S442">
        <f>MAX(-fyd_cc,MIN(fyd_cc,Es_cc*IF($E442&lt;=cc_D,0.0035*($E442-S$21)/$E442,0.002*($E442-S$21)/($E442-3*cc_D/7))))-fcd_cc*(1-(1-MAX(0,MIN(1,IF($E442&lt;=cc_D,0.0035*($E442-S$21)/$E442,0.002*($E442-S$21)/($E442-3*cc_D/7))/0.002)))^2)</f>
        <v/>
      </c>
      <c r="T442">
        <f>MAX(-fyd_cc,MIN(fyd_cc,Es_cc*IF($E442&lt;=cc_D,0.0035*($E442-T$21)/$E442,0.002*($E442-T$21)/($E442-3*cc_D/7))))-fcd_cc*(1-(1-MAX(0,MIN(1,IF($E442&lt;=cc_D,0.0035*($E442-T$21)/$E442,0.002*($E442-T$21)/($E442-3*cc_D/7))/0.002)))^2)</f>
        <v/>
      </c>
      <c r="U442">
        <f>MAX(-fyd_cc,MIN(fyd_cc,Es_cc*IF($E442&lt;=cc_D,0.0035*($E442-U$21)/$E442,0.002*($E442-U$21)/($E442-3*cc_D/7))))-fcd_cc*(1-(1-MAX(0,MIN(1,IF($E442&lt;=cc_D,0.0035*($E442-U$21)/$E442,0.002*($E442-U$21)/($E442-3*cc_D/7))/0.002)))^2)</f>
        <v/>
      </c>
      <c r="V442">
        <f>MAX(-fyd_cc,MIN(fyd_cc,Es_cc*IF($E442&lt;=cc_D,0.0035*($E442-V$21)/$E442,0.002*($E442-V$21)/($E442-3*cc_D/7))))-fcd_cc*(1-(1-MAX(0,MIN(1,IF($E442&lt;=cc_D,0.0035*($E442-V$21)/$E442,0.002*($E442-V$21)/($E442-3*cc_D/7))/0.002)))^2)</f>
        <v/>
      </c>
      <c r="W442">
        <f>MAX(-fyd_cc,MIN(fyd_cc,Es_cc*IF($E442&lt;=cc_D,0.0035*($E442-W$21)/$E442,0.002*($E442-W$21)/($E442-3*cc_D/7))))-fcd_cc*(1-(1-MAX(0,MIN(1,IF($E442&lt;=cc_D,0.0035*($E442-W$21)/$E442,0.002*($E442-W$21)/($E442-3*cc_D/7))/0.002)))^2)</f>
        <v/>
      </c>
      <c r="X442">
        <f>MAX(-fyd_cc,MIN(fyd_cc,Es_cc*IF($E442&lt;=cc_D,0.0035*($E442-X$21)/$E442,0.002*($E442-X$21)/($E442-3*cc_D/7))))-fcd_cc*(1-(1-MAX(0,MIN(1,IF($E442&lt;=cc_D,0.0035*($E442-X$21)/$E442,0.002*($E442-X$21)/($E442-3*cc_D/7))/0.002)))^2)</f>
        <v/>
      </c>
      <c r="Y442">
        <f>MAX(-fyd_cc,MIN(fyd_cc,Es_cc*IF($E442&lt;=cc_D,0.0035*($E442-Y$21)/$E442,0.002*($E442-Y$21)/($E442-3*cc_D/7))))-fcd_cc*(1-(1-MAX(0,MIN(1,IF($E442&lt;=cc_D,0.0035*($E442-Y$21)/$E442,0.002*($E442-Y$21)/($E442-3*cc_D/7))/0.002)))^2)</f>
        <v/>
      </c>
      <c r="Z442">
        <f>MAX(-fyd_cc,MIN(fyd_cc,Es_cc*IF($E442&lt;=cc_D,0.0035*($E442-Z$21)/$E442,0.002*($E442-Z$21)/($E442-3*cc_D/7))))-fcd_cc*(1-(1-MAX(0,MIN(1,IF($E442&lt;=cc_D,0.0035*($E442-Z$21)/$E442,0.002*($E442-Z$21)/($E442-3*cc_D/7))/0.002)))^2)</f>
        <v/>
      </c>
      <c r="AA442">
        <f>MAX(-fyd_cc,MIN(fyd_cc,Es_cc*IF($E442&lt;=cc_D,0.0035*($E442-AA$21)/$E442,0.002*($E442-AA$21)/($E442-3*cc_D/7))))-fcd_cc*(1-(1-MAX(0,MIN(1,IF($E442&lt;=cc_D,0.0035*($E442-AA$21)/$E442,0.002*($E442-AA$21)/($E442-3*cc_D/7))/0.002)))^2)</f>
        <v/>
      </c>
      <c r="AB442">
        <f>MAX(-fyd_cc,MIN(fyd_cc,Es_cc*IF($E442&lt;=cc_D,0.0035*($E442-AB$21)/$E442,0.002*($E442-AB$21)/($E442-3*cc_D/7))))-fcd_cc*(1-(1-MAX(0,MIN(1,IF($E442&lt;=cc_D,0.0035*($E442-AB$21)/$E442,0.002*($E442-AB$21)/($E442-3*cc_D/7))/0.002)))^2)</f>
        <v/>
      </c>
      <c r="AC442">
        <f>MAX(-fyd_cc,MIN(fyd_cc,Es_cc*IF($E442&lt;=cc_D,0.0035*($E442-AC$21)/$E442,0.002*($E442-AC$21)/($E442-3*cc_D/7))))-fcd_cc*(1-(1-MAX(0,MIN(1,IF($E442&lt;=cc_D,0.0035*($E442-AC$21)/$E442,0.002*($E442-AC$21)/($E442-3*cc_D/7))/0.002)))^2)</f>
        <v/>
      </c>
      <c r="AD442">
        <f>MAX(-fyd_cc,MIN(fyd_cc,Es_cc*IF($E442&lt;=cc_D,0.0035*($E442-AD$21)/$E442,0.002*($E442-AD$21)/($E442-3*cc_D/7))))-fcd_cc*(1-(1-MAX(0,MIN(1,IF($E442&lt;=cc_D,0.0035*($E442-AD$21)/$E442,0.002*($E442-AD$21)/($E442-3*cc_D/7))/0.002)))^2)</f>
        <v/>
      </c>
      <c r="AE442">
        <f>MAX(-fyd_cc,MIN(fyd_cc,Es_cc*IF($E442&lt;=cc_D,0.0035*($E442-AE$21)/$E442,0.002*($E442-AE$21)/($E442-3*cc_D/7))))-fcd_cc*(1-(1-MAX(0,MIN(1,IF($E442&lt;=cc_D,0.0035*($E442-AE$21)/$E442,0.002*($E442-AE$21)/($E442-3*cc_D/7))/0.002)))^2)</f>
        <v/>
      </c>
      <c r="AF442">
        <f>MAX(-fyd_cc,MIN(fyd_cc,Es_cc*IF($E442&lt;=cc_D,0.0035*($E442-AF$21)/$E442,0.002*($E442-AF$21)/($E442-3*cc_D/7))))-fcd_cc*(1-(1-MAX(0,MIN(1,IF($E442&lt;=cc_D,0.0035*($E442-AF$21)/$E442,0.002*($E442-AF$21)/($E442-3*cc_D/7))/0.002)))^2)</f>
        <v/>
      </c>
      <c r="AG442">
        <f>MAX(-fyd_cc,MIN(fyd_cc,Es_cc*IF($E442&lt;=cc_D,0.0035*($E442-AG$21)/$E442,0.002*($E442-AG$21)/($E442-3*cc_D/7))))-fcd_cc*(1-(1-MAX(0,MIN(1,IF($E442&lt;=cc_D,0.0035*($E442-AG$21)/$E442,0.002*($E442-AG$21)/($E442-3*cc_D/7))/0.002)))^2)</f>
        <v/>
      </c>
      <c r="BF442">
        <f>3*MIN($E442,cc_D)/7</f>
        <v/>
      </c>
      <c r="BG442">
        <f>$E442-$BF442</f>
        <v/>
      </c>
      <c r="BH442">
        <f>ACOS(MAX(-1,MIN(1,1-$BF442/(cc_D/2))))</f>
        <v/>
      </c>
      <c r="BI442">
        <f>ACOS(MAX(-1,MIN(1,1-MIN($E442,cc_D)/(cc_D/2))))</f>
        <v/>
      </c>
      <c r="BJ442">
        <f>((cc_D/2*(1-COS(($BH442+0*($BI442-$BH442)/12)))-$BF442)/$BG442)^2*SIN(($BH442+0*($BI442-$BH442)/12))^2</f>
        <v/>
      </c>
      <c r="BK442">
        <f>((cc_D/2*(1-COS(($BH442+1*($BI442-$BH442)/12)))-$BF442)/$BG442)^2*SIN(($BH442+1*($BI442-$BH442)/12))^2</f>
        <v/>
      </c>
      <c r="BL442">
        <f>((cc_D/2*(1-COS(($BH442+2*($BI442-$BH442)/12)))-$BF442)/$BG442)^2*SIN(($BH442+2*($BI442-$BH442)/12))^2</f>
        <v/>
      </c>
      <c r="BM442">
        <f>((cc_D/2*(1-COS(($BH442+3*($BI442-$BH442)/12)))-$BF442)/$BG442)^2*SIN(($BH442+3*($BI442-$BH442)/12))^2</f>
        <v/>
      </c>
      <c r="BN442">
        <f>((cc_D/2*(1-COS(($BH442+4*($BI442-$BH442)/12)))-$BF442)/$BG442)^2*SIN(($BH442+4*($BI442-$BH442)/12))^2</f>
        <v/>
      </c>
      <c r="BO442">
        <f>((cc_D/2*(1-COS(($BH442+5*($BI442-$BH442)/12)))-$BF442)/$BG442)^2*SIN(($BH442+5*($BI442-$BH442)/12))^2</f>
        <v/>
      </c>
      <c r="BP442">
        <f>((cc_D/2*(1-COS(($BH442+6*($BI442-$BH442)/12)))-$BF442)/$BG442)^2*SIN(($BH442+6*($BI442-$BH442)/12))^2</f>
        <v/>
      </c>
      <c r="BQ442">
        <f>((cc_D/2*(1-COS(($BH442+7*($BI442-$BH442)/12)))-$BF442)/$BG442)^2*SIN(($BH442+7*($BI442-$BH442)/12))^2</f>
        <v/>
      </c>
      <c r="BR442">
        <f>((cc_D/2*(1-COS(($BH442+8*($BI442-$BH442)/12)))-$BF442)/$BG442)^2*SIN(($BH442+8*($BI442-$BH442)/12))^2</f>
        <v/>
      </c>
      <c r="BS442">
        <f>((cc_D/2*(1-COS(($BH442+9*($BI442-$BH442)/12)))-$BF442)/$BG442)^2*SIN(($BH442+9*($BI442-$BH442)/12))^2</f>
        <v/>
      </c>
      <c r="BT442">
        <f>((cc_D/2*(1-COS(($BH442+10*($BI442-$BH442)/12)))-$BF442)/$BG442)^2*SIN(($BH442+10*($BI442-$BH442)/12))^2</f>
        <v/>
      </c>
      <c r="BU442">
        <f>((cc_D/2*(1-COS(($BH442+11*($BI442-$BH442)/12)))-$BF442)/$BG442)^2*SIN(($BH442+11*($BI442-$BH442)/12))^2</f>
        <v/>
      </c>
      <c r="BV442">
        <f>((cc_D/2*(1-COS(($BH442+12*($BI442-$BH442)/12)))-$BF442)/$BG442)^2*SIN(($BH442+12*($BI442-$BH442)/12))^2</f>
        <v/>
      </c>
      <c r="BW442">
        <f>BJ442*COS(($BH442+0*($BI442-$BH442)/12))</f>
        <v/>
      </c>
      <c r="BX442">
        <f>BK442*COS(($BH442+1*($BI442-$BH442)/12))</f>
        <v/>
      </c>
      <c r="BY442">
        <f>BL442*COS(($BH442+2*($BI442-$BH442)/12))</f>
        <v/>
      </c>
      <c r="BZ442">
        <f>BM442*COS(($BH442+3*($BI442-$BH442)/12))</f>
        <v/>
      </c>
      <c r="CA442">
        <f>BN442*COS(($BH442+4*($BI442-$BH442)/12))</f>
        <v/>
      </c>
      <c r="CB442">
        <f>BO442*COS(($BH442+5*($BI442-$BH442)/12))</f>
        <v/>
      </c>
      <c r="CC442">
        <f>BP442*COS(($BH442+6*($BI442-$BH442)/12))</f>
        <v/>
      </c>
      <c r="CD442">
        <f>BQ442*COS(($BH442+7*($BI442-$BH442)/12))</f>
        <v/>
      </c>
      <c r="CE442">
        <f>BR442*COS(($BH442+8*($BI442-$BH442)/12))</f>
        <v/>
      </c>
      <c r="CF442">
        <f>BS442*COS(($BH442+9*($BI442-$BH442)/12))</f>
        <v/>
      </c>
      <c r="CG442">
        <f>BT442*COS(($BH442+10*($BI442-$BH442)/12))</f>
        <v/>
      </c>
      <c r="CH442">
        <f>BU442*COS(($BH442+11*($BI442-$BH442)/12))</f>
        <v/>
      </c>
      <c r="CI442">
        <f>BV442*COS(($BH442+12*($BI442-$BH442)/12))</f>
        <v/>
      </c>
    </row>
    <row r="443">
      <c r="B443" s="65" t="n">
        <v>39</v>
      </c>
      <c r="C443" s="66">
        <f>IF($G442&lt;cc_NEd-1E-9*ABS(cc_NEd),($C442+$D442)/2,$C442)</f>
        <v/>
      </c>
      <c r="D443" s="66">
        <f>IF($G442&lt;cc_NEd-1E-9*ABS(cc_NEd),$D442,($C442+$D442)/2)</f>
        <v/>
      </c>
      <c r="E443" s="67">
        <f>cc_D*(($C443+$D443)/2)/(1-(($C443+$D443)/2))</f>
        <v/>
      </c>
      <c r="F443" s="68">
        <f>IF($E443&lt;=cc_D,3.5,2*$E443/($E443-3*cc_D/7))</f>
        <v/>
      </c>
      <c r="G443" s="67">
        <f>(fcd_cc*((cc_D/2)^2*($BI443-COS($BI443)*SIN($BI443))-2*(cc_D/2)^2*($BI443-$BH443)/12/3*SUMPRODUCT($BJ$4:$BV$4,$BJ443:$BV443))+SUMPRODUCT($J$5:$AG$5,$J443:$AG443))/1000</f>
        <v/>
      </c>
      <c r="H443" s="67">
        <f>(fcd_cc*(2/3*(cc_D/2)^3*SIN($BI443)^3-2*(cc_D/2)^3*($BI443-$BH443)/12/3*SUMPRODUCT($BW$4:$CI$4,$BW443:$CI443))+SUMPRODUCT($J$5:$AG$5,$J443:$AG443,$J$22:$AG$22))/1E6</f>
        <v/>
      </c>
      <c r="I443" s="67">
        <f>SUMPRODUCT($J$5:$AG$5,$J443:$AG443,$J$23:$AG$23)/1E6</f>
        <v/>
      </c>
      <c r="J443">
        <f>MAX(-fyd_cc,MIN(fyd_cc,Es_cc*IF($E443&lt;=cc_D,0.0035*($E443-J$21)/$E443,0.002*($E443-J$21)/($E443-3*cc_D/7))))-fcd_cc*(1-(1-MAX(0,MIN(1,IF($E443&lt;=cc_D,0.0035*($E443-J$21)/$E443,0.002*($E443-J$21)/($E443-3*cc_D/7))/0.002)))^2)</f>
        <v/>
      </c>
      <c r="K443">
        <f>MAX(-fyd_cc,MIN(fyd_cc,Es_cc*IF($E443&lt;=cc_D,0.0035*($E443-K$21)/$E443,0.002*($E443-K$21)/($E443-3*cc_D/7))))-fcd_cc*(1-(1-MAX(0,MIN(1,IF($E443&lt;=cc_D,0.0035*($E443-K$21)/$E443,0.002*($E443-K$21)/($E443-3*cc_D/7))/0.002)))^2)</f>
        <v/>
      </c>
      <c r="L443">
        <f>MAX(-fyd_cc,MIN(fyd_cc,Es_cc*IF($E443&lt;=cc_D,0.0035*($E443-L$21)/$E443,0.002*($E443-L$21)/($E443-3*cc_D/7))))-fcd_cc*(1-(1-MAX(0,MIN(1,IF($E443&lt;=cc_D,0.0035*($E443-L$21)/$E443,0.002*($E443-L$21)/($E443-3*cc_D/7))/0.002)))^2)</f>
        <v/>
      </c>
      <c r="M443">
        <f>MAX(-fyd_cc,MIN(fyd_cc,Es_cc*IF($E443&lt;=cc_D,0.0035*($E443-M$21)/$E443,0.002*($E443-M$21)/($E443-3*cc_D/7))))-fcd_cc*(1-(1-MAX(0,MIN(1,IF($E443&lt;=cc_D,0.0035*($E443-M$21)/$E443,0.002*($E443-M$21)/($E443-3*cc_D/7))/0.002)))^2)</f>
        <v/>
      </c>
      <c r="N443">
        <f>MAX(-fyd_cc,MIN(fyd_cc,Es_cc*IF($E443&lt;=cc_D,0.0035*($E443-N$21)/$E443,0.002*($E443-N$21)/($E443-3*cc_D/7))))-fcd_cc*(1-(1-MAX(0,MIN(1,IF($E443&lt;=cc_D,0.0035*($E443-N$21)/$E443,0.002*($E443-N$21)/($E443-3*cc_D/7))/0.002)))^2)</f>
        <v/>
      </c>
      <c r="O443">
        <f>MAX(-fyd_cc,MIN(fyd_cc,Es_cc*IF($E443&lt;=cc_D,0.0035*($E443-O$21)/$E443,0.002*($E443-O$21)/($E443-3*cc_D/7))))-fcd_cc*(1-(1-MAX(0,MIN(1,IF($E443&lt;=cc_D,0.0035*($E443-O$21)/$E443,0.002*($E443-O$21)/($E443-3*cc_D/7))/0.002)))^2)</f>
        <v/>
      </c>
      <c r="P443">
        <f>MAX(-fyd_cc,MIN(fyd_cc,Es_cc*IF($E443&lt;=cc_D,0.0035*($E443-P$21)/$E443,0.002*($E443-P$21)/($E443-3*cc_D/7))))-fcd_cc*(1-(1-MAX(0,MIN(1,IF($E443&lt;=cc_D,0.0035*($E443-P$21)/$E443,0.002*($E443-P$21)/($E443-3*cc_D/7))/0.002)))^2)</f>
        <v/>
      </c>
      <c r="Q443">
        <f>MAX(-fyd_cc,MIN(fyd_cc,Es_cc*IF($E443&lt;=cc_D,0.0035*($E443-Q$21)/$E443,0.002*($E443-Q$21)/($E443-3*cc_D/7))))-fcd_cc*(1-(1-MAX(0,MIN(1,IF($E443&lt;=cc_D,0.0035*($E443-Q$21)/$E443,0.002*($E443-Q$21)/($E443-3*cc_D/7))/0.002)))^2)</f>
        <v/>
      </c>
      <c r="R443">
        <f>MAX(-fyd_cc,MIN(fyd_cc,Es_cc*IF($E443&lt;=cc_D,0.0035*($E443-R$21)/$E443,0.002*($E443-R$21)/($E443-3*cc_D/7))))-fcd_cc*(1-(1-MAX(0,MIN(1,IF($E443&lt;=cc_D,0.0035*($E443-R$21)/$E443,0.002*($E443-R$21)/($E443-3*cc_D/7))/0.002)))^2)</f>
        <v/>
      </c>
      <c r="S443">
        <f>MAX(-fyd_cc,MIN(fyd_cc,Es_cc*IF($E443&lt;=cc_D,0.0035*($E443-S$21)/$E443,0.002*($E443-S$21)/($E443-3*cc_D/7))))-fcd_cc*(1-(1-MAX(0,MIN(1,IF($E443&lt;=cc_D,0.0035*($E443-S$21)/$E443,0.002*($E443-S$21)/($E443-3*cc_D/7))/0.002)))^2)</f>
        <v/>
      </c>
      <c r="T443">
        <f>MAX(-fyd_cc,MIN(fyd_cc,Es_cc*IF($E443&lt;=cc_D,0.0035*($E443-T$21)/$E443,0.002*($E443-T$21)/($E443-3*cc_D/7))))-fcd_cc*(1-(1-MAX(0,MIN(1,IF($E443&lt;=cc_D,0.0035*($E443-T$21)/$E443,0.002*($E443-T$21)/($E443-3*cc_D/7))/0.002)))^2)</f>
        <v/>
      </c>
      <c r="U443">
        <f>MAX(-fyd_cc,MIN(fyd_cc,Es_cc*IF($E443&lt;=cc_D,0.0035*($E443-U$21)/$E443,0.002*($E443-U$21)/($E443-3*cc_D/7))))-fcd_cc*(1-(1-MAX(0,MIN(1,IF($E443&lt;=cc_D,0.0035*($E443-U$21)/$E443,0.002*($E443-U$21)/($E443-3*cc_D/7))/0.002)))^2)</f>
        <v/>
      </c>
      <c r="V443">
        <f>MAX(-fyd_cc,MIN(fyd_cc,Es_cc*IF($E443&lt;=cc_D,0.0035*($E443-V$21)/$E443,0.002*($E443-V$21)/($E443-3*cc_D/7))))-fcd_cc*(1-(1-MAX(0,MIN(1,IF($E443&lt;=cc_D,0.0035*($E443-V$21)/$E443,0.002*($E443-V$21)/($E443-3*cc_D/7))/0.002)))^2)</f>
        <v/>
      </c>
      <c r="W443">
        <f>MAX(-fyd_cc,MIN(fyd_cc,Es_cc*IF($E443&lt;=cc_D,0.0035*($E443-W$21)/$E443,0.002*($E443-W$21)/($E443-3*cc_D/7))))-fcd_cc*(1-(1-MAX(0,MIN(1,IF($E443&lt;=cc_D,0.0035*($E443-W$21)/$E443,0.002*($E443-W$21)/($E443-3*cc_D/7))/0.002)))^2)</f>
        <v/>
      </c>
      <c r="X443">
        <f>MAX(-fyd_cc,MIN(fyd_cc,Es_cc*IF($E443&lt;=cc_D,0.0035*($E443-X$21)/$E443,0.002*($E443-X$21)/($E443-3*cc_D/7))))-fcd_cc*(1-(1-MAX(0,MIN(1,IF($E443&lt;=cc_D,0.0035*($E443-X$21)/$E443,0.002*($E443-X$21)/($E443-3*cc_D/7))/0.002)))^2)</f>
        <v/>
      </c>
      <c r="Y443">
        <f>MAX(-fyd_cc,MIN(fyd_cc,Es_cc*IF($E443&lt;=cc_D,0.0035*($E443-Y$21)/$E443,0.002*($E443-Y$21)/($E443-3*cc_D/7))))-fcd_cc*(1-(1-MAX(0,MIN(1,IF($E443&lt;=cc_D,0.0035*($E443-Y$21)/$E443,0.002*($E443-Y$21)/($E443-3*cc_D/7))/0.002)))^2)</f>
        <v/>
      </c>
      <c r="Z443">
        <f>MAX(-fyd_cc,MIN(fyd_cc,Es_cc*IF($E443&lt;=cc_D,0.0035*($E443-Z$21)/$E443,0.002*($E443-Z$21)/($E443-3*cc_D/7))))-fcd_cc*(1-(1-MAX(0,MIN(1,IF($E443&lt;=cc_D,0.0035*($E443-Z$21)/$E443,0.002*($E443-Z$21)/($E443-3*cc_D/7))/0.002)))^2)</f>
        <v/>
      </c>
      <c r="AA443">
        <f>MAX(-fyd_cc,MIN(fyd_cc,Es_cc*IF($E443&lt;=cc_D,0.0035*($E443-AA$21)/$E443,0.002*($E443-AA$21)/($E443-3*cc_D/7))))-fcd_cc*(1-(1-MAX(0,MIN(1,IF($E443&lt;=cc_D,0.0035*($E443-AA$21)/$E443,0.002*($E443-AA$21)/($E443-3*cc_D/7))/0.002)))^2)</f>
        <v/>
      </c>
      <c r="AB443">
        <f>MAX(-fyd_cc,MIN(fyd_cc,Es_cc*IF($E443&lt;=cc_D,0.0035*($E443-AB$21)/$E443,0.002*($E443-AB$21)/($E443-3*cc_D/7))))-fcd_cc*(1-(1-MAX(0,MIN(1,IF($E443&lt;=cc_D,0.0035*($E443-AB$21)/$E443,0.002*($E443-AB$21)/($E443-3*cc_D/7))/0.002)))^2)</f>
        <v/>
      </c>
      <c r="AC443">
        <f>MAX(-fyd_cc,MIN(fyd_cc,Es_cc*IF($E443&lt;=cc_D,0.0035*($E443-AC$21)/$E443,0.002*($E443-AC$21)/($E443-3*cc_D/7))))-fcd_cc*(1-(1-MAX(0,MIN(1,IF($E443&lt;=cc_D,0.0035*($E443-AC$21)/$E443,0.002*($E443-AC$21)/($E443-3*cc_D/7))/0.002)))^2)</f>
        <v/>
      </c>
      <c r="AD443">
        <f>MAX(-fyd_cc,MIN(fyd_cc,Es_cc*IF($E443&lt;=cc_D,0.0035*($E443-AD$21)/$E443,0.002*($E443-AD$21)/($E443-3*cc_D/7))))-fcd_cc*(1-(1-MAX(0,MIN(1,IF($E443&lt;=cc_D,0.0035*($E443-AD$21)/$E443,0.002*($E443-AD$21)/($E443-3*cc_D/7))/0.002)))^2)</f>
        <v/>
      </c>
      <c r="AE443">
        <f>MAX(-fyd_cc,MIN(fyd_cc,Es_cc*IF($E443&lt;=cc_D,0.0035*($E443-AE$21)/$E443,0.002*($E443-AE$21)/($E443-3*cc_D/7))))-fcd_cc*(1-(1-MAX(0,MIN(1,IF($E443&lt;=cc_D,0.0035*($E443-AE$21)/$E443,0.002*($E443-AE$21)/($E443-3*cc_D/7))/0.002)))^2)</f>
        <v/>
      </c>
      <c r="AF443">
        <f>MAX(-fyd_cc,MIN(fyd_cc,Es_cc*IF($E443&lt;=cc_D,0.0035*($E443-AF$21)/$E443,0.002*($E443-AF$21)/($E443-3*cc_D/7))))-fcd_cc*(1-(1-MAX(0,MIN(1,IF($E443&lt;=cc_D,0.0035*($E443-AF$21)/$E443,0.002*($E443-AF$21)/($E443-3*cc_D/7))/0.002)))^2)</f>
        <v/>
      </c>
      <c r="AG443">
        <f>MAX(-fyd_cc,MIN(fyd_cc,Es_cc*IF($E443&lt;=cc_D,0.0035*($E443-AG$21)/$E443,0.002*($E443-AG$21)/($E443-3*cc_D/7))))-fcd_cc*(1-(1-MAX(0,MIN(1,IF($E443&lt;=cc_D,0.0035*($E443-AG$21)/$E443,0.002*($E443-AG$21)/($E443-3*cc_D/7))/0.002)))^2)</f>
        <v/>
      </c>
      <c r="BF443">
        <f>3*MIN($E443,cc_D)/7</f>
        <v/>
      </c>
      <c r="BG443">
        <f>$E443-$BF443</f>
        <v/>
      </c>
      <c r="BH443">
        <f>ACOS(MAX(-1,MIN(1,1-$BF443/(cc_D/2))))</f>
        <v/>
      </c>
      <c r="BI443">
        <f>ACOS(MAX(-1,MIN(1,1-MIN($E443,cc_D)/(cc_D/2))))</f>
        <v/>
      </c>
      <c r="BJ443">
        <f>((cc_D/2*(1-COS(($BH443+0*($BI443-$BH443)/12)))-$BF443)/$BG443)^2*SIN(($BH443+0*($BI443-$BH443)/12))^2</f>
        <v/>
      </c>
      <c r="BK443">
        <f>((cc_D/2*(1-COS(($BH443+1*($BI443-$BH443)/12)))-$BF443)/$BG443)^2*SIN(($BH443+1*($BI443-$BH443)/12))^2</f>
        <v/>
      </c>
      <c r="BL443">
        <f>((cc_D/2*(1-COS(($BH443+2*($BI443-$BH443)/12)))-$BF443)/$BG443)^2*SIN(($BH443+2*($BI443-$BH443)/12))^2</f>
        <v/>
      </c>
      <c r="BM443">
        <f>((cc_D/2*(1-COS(($BH443+3*($BI443-$BH443)/12)))-$BF443)/$BG443)^2*SIN(($BH443+3*($BI443-$BH443)/12))^2</f>
        <v/>
      </c>
      <c r="BN443">
        <f>((cc_D/2*(1-COS(($BH443+4*($BI443-$BH443)/12)))-$BF443)/$BG443)^2*SIN(($BH443+4*($BI443-$BH443)/12))^2</f>
        <v/>
      </c>
      <c r="BO443">
        <f>((cc_D/2*(1-COS(($BH443+5*($BI443-$BH443)/12)))-$BF443)/$BG443)^2*SIN(($BH443+5*($BI443-$BH443)/12))^2</f>
        <v/>
      </c>
      <c r="BP443">
        <f>((cc_D/2*(1-COS(($BH443+6*($BI443-$BH443)/12)))-$BF443)/$BG443)^2*SIN(($BH443+6*($BI443-$BH443)/12))^2</f>
        <v/>
      </c>
      <c r="BQ443">
        <f>((cc_D/2*(1-COS(($BH443+7*($BI443-$BH443)/12)))-$BF443)/$BG443)^2*SIN(($BH443+7*($BI443-$BH443)/12))^2</f>
        <v/>
      </c>
      <c r="BR443">
        <f>((cc_D/2*(1-COS(($BH443+8*($BI443-$BH443)/12)))-$BF443)/$BG443)^2*SIN(($BH443+8*($BI443-$BH443)/12))^2</f>
        <v/>
      </c>
      <c r="BS443">
        <f>((cc_D/2*(1-COS(($BH443+9*($BI443-$BH443)/12)))-$BF443)/$BG443)^2*SIN(($BH443+9*($BI443-$BH443)/12))^2</f>
        <v/>
      </c>
      <c r="BT443">
        <f>((cc_D/2*(1-COS(($BH443+10*($BI443-$BH443)/12)))-$BF443)/$BG443)^2*SIN(($BH443+10*($BI443-$BH443)/12))^2</f>
        <v/>
      </c>
      <c r="BU443">
        <f>((cc_D/2*(1-COS(($BH443+11*($BI443-$BH443)/12)))-$BF443)/$BG443)^2*SIN(($BH443+11*($BI443-$BH443)/12))^2</f>
        <v/>
      </c>
      <c r="BV443">
        <f>((cc_D/2*(1-COS(($BH443+12*($BI443-$BH443)/12)))-$BF443)/$BG443)^2*SIN(($BH443+12*($BI443-$BH443)/12))^2</f>
        <v/>
      </c>
      <c r="BW443">
        <f>BJ443*COS(($BH443+0*($BI443-$BH443)/12))</f>
        <v/>
      </c>
      <c r="BX443">
        <f>BK443*COS(($BH443+1*($BI443-$BH443)/12))</f>
        <v/>
      </c>
      <c r="BY443">
        <f>BL443*COS(($BH443+2*($BI443-$BH443)/12))</f>
        <v/>
      </c>
      <c r="BZ443">
        <f>BM443*COS(($BH443+3*($BI443-$BH443)/12))</f>
        <v/>
      </c>
      <c r="CA443">
        <f>BN443*COS(($BH443+4*($BI443-$BH443)/12))</f>
        <v/>
      </c>
      <c r="CB443">
        <f>BO443*COS(($BH443+5*($BI443-$BH443)/12))</f>
        <v/>
      </c>
      <c r="CC443">
        <f>BP443*COS(($BH443+6*($BI443-$BH443)/12))</f>
        <v/>
      </c>
      <c r="CD443">
        <f>BQ443*COS(($BH443+7*($BI443-$BH443)/12))</f>
        <v/>
      </c>
      <c r="CE443">
        <f>BR443*COS(($BH443+8*($BI443-$BH443)/12))</f>
        <v/>
      </c>
      <c r="CF443">
        <f>BS443*COS(($BH443+9*($BI443-$BH443)/12))</f>
        <v/>
      </c>
      <c r="CG443">
        <f>BT443*COS(($BH443+10*($BI443-$BH443)/12))</f>
        <v/>
      </c>
      <c r="CH443">
        <f>BU443*COS(($BH443+11*($BI443-$BH443)/12))</f>
        <v/>
      </c>
      <c r="CI443">
        <f>BV443*COS(($BH443+12*($BI443-$BH443)/12))</f>
        <v/>
      </c>
    </row>
    <row r="444">
      <c r="B444" s="65" t="n">
        <v>40</v>
      </c>
      <c r="C444" s="66">
        <f>IF($G443&lt;cc_NEd-1E-9*ABS(cc_NEd),($C443+$D443)/2,$C443)</f>
        <v/>
      </c>
      <c r="D444" s="66">
        <f>IF($G443&lt;cc_NEd-1E-9*ABS(cc_NEd),$D443,($C443+$D443)/2)</f>
        <v/>
      </c>
      <c r="E444" s="67">
        <f>cc_D*(($C444+$D444)/2)/(1-(($C444+$D444)/2))</f>
        <v/>
      </c>
      <c r="F444" s="68">
        <f>IF($E444&lt;=cc_D,3.5,2*$E444/($E444-3*cc_D/7))</f>
        <v/>
      </c>
      <c r="G444" s="67">
        <f>(fcd_cc*((cc_D/2)^2*($BI444-COS($BI444)*SIN($BI444))-2*(cc_D/2)^2*($BI444-$BH444)/12/3*SUMPRODUCT($BJ$4:$BV$4,$BJ444:$BV444))+SUMPRODUCT($J$5:$AG$5,$J444:$AG444))/1000</f>
        <v/>
      </c>
      <c r="H444" s="67">
        <f>(fcd_cc*(2/3*(cc_D/2)^3*SIN($BI444)^3-2*(cc_D/2)^3*($BI444-$BH444)/12/3*SUMPRODUCT($BW$4:$CI$4,$BW444:$CI444))+SUMPRODUCT($J$5:$AG$5,$J444:$AG444,$J$22:$AG$22))/1E6</f>
        <v/>
      </c>
      <c r="I444" s="67">
        <f>SUMPRODUCT($J$5:$AG$5,$J444:$AG444,$J$23:$AG$23)/1E6</f>
        <v/>
      </c>
      <c r="J444">
        <f>MAX(-fyd_cc,MIN(fyd_cc,Es_cc*IF($E444&lt;=cc_D,0.0035*($E444-J$21)/$E444,0.002*($E444-J$21)/($E444-3*cc_D/7))))-fcd_cc*(1-(1-MAX(0,MIN(1,IF($E444&lt;=cc_D,0.0035*($E444-J$21)/$E444,0.002*($E444-J$21)/($E444-3*cc_D/7))/0.002)))^2)</f>
        <v/>
      </c>
      <c r="K444">
        <f>MAX(-fyd_cc,MIN(fyd_cc,Es_cc*IF($E444&lt;=cc_D,0.0035*($E444-K$21)/$E444,0.002*($E444-K$21)/($E444-3*cc_D/7))))-fcd_cc*(1-(1-MAX(0,MIN(1,IF($E444&lt;=cc_D,0.0035*($E444-K$21)/$E444,0.002*($E444-K$21)/($E444-3*cc_D/7))/0.002)))^2)</f>
        <v/>
      </c>
      <c r="L444">
        <f>MAX(-fyd_cc,MIN(fyd_cc,Es_cc*IF($E444&lt;=cc_D,0.0035*($E444-L$21)/$E444,0.002*($E444-L$21)/($E444-3*cc_D/7))))-fcd_cc*(1-(1-MAX(0,MIN(1,IF($E444&lt;=cc_D,0.0035*($E444-L$21)/$E444,0.002*($E444-L$21)/($E444-3*cc_D/7))/0.002)))^2)</f>
        <v/>
      </c>
      <c r="M444">
        <f>MAX(-fyd_cc,MIN(fyd_cc,Es_cc*IF($E444&lt;=cc_D,0.0035*($E444-M$21)/$E444,0.002*($E444-M$21)/($E444-3*cc_D/7))))-fcd_cc*(1-(1-MAX(0,MIN(1,IF($E444&lt;=cc_D,0.0035*($E444-M$21)/$E444,0.002*($E444-M$21)/($E444-3*cc_D/7))/0.002)))^2)</f>
        <v/>
      </c>
      <c r="N444">
        <f>MAX(-fyd_cc,MIN(fyd_cc,Es_cc*IF($E444&lt;=cc_D,0.0035*($E444-N$21)/$E444,0.002*($E444-N$21)/($E444-3*cc_D/7))))-fcd_cc*(1-(1-MAX(0,MIN(1,IF($E444&lt;=cc_D,0.0035*($E444-N$21)/$E444,0.002*($E444-N$21)/($E444-3*cc_D/7))/0.002)))^2)</f>
        <v/>
      </c>
      <c r="O444">
        <f>MAX(-fyd_cc,MIN(fyd_cc,Es_cc*IF($E444&lt;=cc_D,0.0035*($E444-O$21)/$E444,0.002*($E444-O$21)/($E444-3*cc_D/7))))-fcd_cc*(1-(1-MAX(0,MIN(1,IF($E444&lt;=cc_D,0.0035*($E444-O$21)/$E444,0.002*($E444-O$21)/($E444-3*cc_D/7))/0.002)))^2)</f>
        <v/>
      </c>
      <c r="P444">
        <f>MAX(-fyd_cc,MIN(fyd_cc,Es_cc*IF($E444&lt;=cc_D,0.0035*($E444-P$21)/$E444,0.002*($E444-P$21)/($E444-3*cc_D/7))))-fcd_cc*(1-(1-MAX(0,MIN(1,IF($E444&lt;=cc_D,0.0035*($E444-P$21)/$E444,0.002*($E444-P$21)/($E444-3*cc_D/7))/0.002)))^2)</f>
        <v/>
      </c>
      <c r="Q444">
        <f>MAX(-fyd_cc,MIN(fyd_cc,Es_cc*IF($E444&lt;=cc_D,0.0035*($E444-Q$21)/$E444,0.002*($E444-Q$21)/($E444-3*cc_D/7))))-fcd_cc*(1-(1-MAX(0,MIN(1,IF($E444&lt;=cc_D,0.0035*($E444-Q$21)/$E444,0.002*($E444-Q$21)/($E444-3*cc_D/7))/0.002)))^2)</f>
        <v/>
      </c>
      <c r="R444">
        <f>MAX(-fyd_cc,MIN(fyd_cc,Es_cc*IF($E444&lt;=cc_D,0.0035*($E444-R$21)/$E444,0.002*($E444-R$21)/($E444-3*cc_D/7))))-fcd_cc*(1-(1-MAX(0,MIN(1,IF($E444&lt;=cc_D,0.0035*($E444-R$21)/$E444,0.002*($E444-R$21)/($E444-3*cc_D/7))/0.002)))^2)</f>
        <v/>
      </c>
      <c r="S444">
        <f>MAX(-fyd_cc,MIN(fyd_cc,Es_cc*IF($E444&lt;=cc_D,0.0035*($E444-S$21)/$E444,0.002*($E444-S$21)/($E444-3*cc_D/7))))-fcd_cc*(1-(1-MAX(0,MIN(1,IF($E444&lt;=cc_D,0.0035*($E444-S$21)/$E444,0.002*($E444-S$21)/($E444-3*cc_D/7))/0.002)))^2)</f>
        <v/>
      </c>
      <c r="T444">
        <f>MAX(-fyd_cc,MIN(fyd_cc,Es_cc*IF($E444&lt;=cc_D,0.0035*($E444-T$21)/$E444,0.002*($E444-T$21)/($E444-3*cc_D/7))))-fcd_cc*(1-(1-MAX(0,MIN(1,IF($E444&lt;=cc_D,0.0035*($E444-T$21)/$E444,0.002*($E444-T$21)/($E444-3*cc_D/7))/0.002)))^2)</f>
        <v/>
      </c>
      <c r="U444">
        <f>MAX(-fyd_cc,MIN(fyd_cc,Es_cc*IF($E444&lt;=cc_D,0.0035*($E444-U$21)/$E444,0.002*($E444-U$21)/($E444-3*cc_D/7))))-fcd_cc*(1-(1-MAX(0,MIN(1,IF($E444&lt;=cc_D,0.0035*($E444-U$21)/$E444,0.002*($E444-U$21)/($E444-3*cc_D/7))/0.002)))^2)</f>
        <v/>
      </c>
      <c r="V444">
        <f>MAX(-fyd_cc,MIN(fyd_cc,Es_cc*IF($E444&lt;=cc_D,0.0035*($E444-V$21)/$E444,0.002*($E444-V$21)/($E444-3*cc_D/7))))-fcd_cc*(1-(1-MAX(0,MIN(1,IF($E444&lt;=cc_D,0.0035*($E444-V$21)/$E444,0.002*($E444-V$21)/($E444-3*cc_D/7))/0.002)))^2)</f>
        <v/>
      </c>
      <c r="W444">
        <f>MAX(-fyd_cc,MIN(fyd_cc,Es_cc*IF($E444&lt;=cc_D,0.0035*($E444-W$21)/$E444,0.002*($E444-W$21)/($E444-3*cc_D/7))))-fcd_cc*(1-(1-MAX(0,MIN(1,IF($E444&lt;=cc_D,0.0035*($E444-W$21)/$E444,0.002*($E444-W$21)/($E444-3*cc_D/7))/0.002)))^2)</f>
        <v/>
      </c>
      <c r="X444">
        <f>MAX(-fyd_cc,MIN(fyd_cc,Es_cc*IF($E444&lt;=cc_D,0.0035*($E444-X$21)/$E444,0.002*($E444-X$21)/($E444-3*cc_D/7))))-fcd_cc*(1-(1-MAX(0,MIN(1,IF($E444&lt;=cc_D,0.0035*($E444-X$21)/$E444,0.002*($E444-X$21)/($E444-3*cc_D/7))/0.002)))^2)</f>
        <v/>
      </c>
      <c r="Y444">
        <f>MAX(-fyd_cc,MIN(fyd_cc,Es_cc*IF($E444&lt;=cc_D,0.0035*($E444-Y$21)/$E444,0.002*($E444-Y$21)/($E444-3*cc_D/7))))-fcd_cc*(1-(1-MAX(0,MIN(1,IF($E444&lt;=cc_D,0.0035*($E444-Y$21)/$E444,0.002*($E444-Y$21)/($E444-3*cc_D/7))/0.002)))^2)</f>
        <v/>
      </c>
      <c r="Z444">
        <f>MAX(-fyd_cc,MIN(fyd_cc,Es_cc*IF($E444&lt;=cc_D,0.0035*($E444-Z$21)/$E444,0.002*($E444-Z$21)/($E444-3*cc_D/7))))-fcd_cc*(1-(1-MAX(0,MIN(1,IF($E444&lt;=cc_D,0.0035*($E444-Z$21)/$E444,0.002*($E444-Z$21)/($E444-3*cc_D/7))/0.002)))^2)</f>
        <v/>
      </c>
      <c r="AA444">
        <f>MAX(-fyd_cc,MIN(fyd_cc,Es_cc*IF($E444&lt;=cc_D,0.0035*($E444-AA$21)/$E444,0.002*($E444-AA$21)/($E444-3*cc_D/7))))-fcd_cc*(1-(1-MAX(0,MIN(1,IF($E444&lt;=cc_D,0.0035*($E444-AA$21)/$E444,0.002*($E444-AA$21)/($E444-3*cc_D/7))/0.002)))^2)</f>
        <v/>
      </c>
      <c r="AB444">
        <f>MAX(-fyd_cc,MIN(fyd_cc,Es_cc*IF($E444&lt;=cc_D,0.0035*($E444-AB$21)/$E444,0.002*($E444-AB$21)/($E444-3*cc_D/7))))-fcd_cc*(1-(1-MAX(0,MIN(1,IF($E444&lt;=cc_D,0.0035*($E444-AB$21)/$E444,0.002*($E444-AB$21)/($E444-3*cc_D/7))/0.002)))^2)</f>
        <v/>
      </c>
      <c r="AC444">
        <f>MAX(-fyd_cc,MIN(fyd_cc,Es_cc*IF($E444&lt;=cc_D,0.0035*($E444-AC$21)/$E444,0.002*($E444-AC$21)/($E444-3*cc_D/7))))-fcd_cc*(1-(1-MAX(0,MIN(1,IF($E444&lt;=cc_D,0.0035*($E444-AC$21)/$E444,0.002*($E444-AC$21)/($E444-3*cc_D/7))/0.002)))^2)</f>
        <v/>
      </c>
      <c r="AD444">
        <f>MAX(-fyd_cc,MIN(fyd_cc,Es_cc*IF($E444&lt;=cc_D,0.0035*($E444-AD$21)/$E444,0.002*($E444-AD$21)/($E444-3*cc_D/7))))-fcd_cc*(1-(1-MAX(0,MIN(1,IF($E444&lt;=cc_D,0.0035*($E444-AD$21)/$E444,0.002*($E444-AD$21)/($E444-3*cc_D/7))/0.002)))^2)</f>
        <v/>
      </c>
      <c r="AE444">
        <f>MAX(-fyd_cc,MIN(fyd_cc,Es_cc*IF($E444&lt;=cc_D,0.0035*($E444-AE$21)/$E444,0.002*($E444-AE$21)/($E444-3*cc_D/7))))-fcd_cc*(1-(1-MAX(0,MIN(1,IF($E444&lt;=cc_D,0.0035*($E444-AE$21)/$E444,0.002*($E444-AE$21)/($E444-3*cc_D/7))/0.002)))^2)</f>
        <v/>
      </c>
      <c r="AF444">
        <f>MAX(-fyd_cc,MIN(fyd_cc,Es_cc*IF($E444&lt;=cc_D,0.0035*($E444-AF$21)/$E444,0.002*($E444-AF$21)/($E444-3*cc_D/7))))-fcd_cc*(1-(1-MAX(0,MIN(1,IF($E444&lt;=cc_D,0.0035*($E444-AF$21)/$E444,0.002*($E444-AF$21)/($E444-3*cc_D/7))/0.002)))^2)</f>
        <v/>
      </c>
      <c r="AG444">
        <f>MAX(-fyd_cc,MIN(fyd_cc,Es_cc*IF($E444&lt;=cc_D,0.0035*($E444-AG$21)/$E444,0.002*($E444-AG$21)/($E444-3*cc_D/7))))-fcd_cc*(1-(1-MAX(0,MIN(1,IF($E444&lt;=cc_D,0.0035*($E444-AG$21)/$E444,0.002*($E444-AG$21)/($E444-3*cc_D/7))/0.002)))^2)</f>
        <v/>
      </c>
      <c r="BF444">
        <f>3*MIN($E444,cc_D)/7</f>
        <v/>
      </c>
      <c r="BG444">
        <f>$E444-$BF444</f>
        <v/>
      </c>
      <c r="BH444">
        <f>ACOS(MAX(-1,MIN(1,1-$BF444/(cc_D/2))))</f>
        <v/>
      </c>
      <c r="BI444">
        <f>ACOS(MAX(-1,MIN(1,1-MIN($E444,cc_D)/(cc_D/2))))</f>
        <v/>
      </c>
      <c r="BJ444">
        <f>((cc_D/2*(1-COS(($BH444+0*($BI444-$BH444)/12)))-$BF444)/$BG444)^2*SIN(($BH444+0*($BI444-$BH444)/12))^2</f>
        <v/>
      </c>
      <c r="BK444">
        <f>((cc_D/2*(1-COS(($BH444+1*($BI444-$BH444)/12)))-$BF444)/$BG444)^2*SIN(($BH444+1*($BI444-$BH444)/12))^2</f>
        <v/>
      </c>
      <c r="BL444">
        <f>((cc_D/2*(1-COS(($BH444+2*($BI444-$BH444)/12)))-$BF444)/$BG444)^2*SIN(($BH444+2*($BI444-$BH444)/12))^2</f>
        <v/>
      </c>
      <c r="BM444">
        <f>((cc_D/2*(1-COS(($BH444+3*($BI444-$BH444)/12)))-$BF444)/$BG444)^2*SIN(($BH444+3*($BI444-$BH444)/12))^2</f>
        <v/>
      </c>
      <c r="BN444">
        <f>((cc_D/2*(1-COS(($BH444+4*($BI444-$BH444)/12)))-$BF444)/$BG444)^2*SIN(($BH444+4*($BI444-$BH444)/12))^2</f>
        <v/>
      </c>
      <c r="BO444">
        <f>((cc_D/2*(1-COS(($BH444+5*($BI444-$BH444)/12)))-$BF444)/$BG444)^2*SIN(($BH444+5*($BI444-$BH444)/12))^2</f>
        <v/>
      </c>
      <c r="BP444">
        <f>((cc_D/2*(1-COS(($BH444+6*($BI444-$BH444)/12)))-$BF444)/$BG444)^2*SIN(($BH444+6*($BI444-$BH444)/12))^2</f>
        <v/>
      </c>
      <c r="BQ444">
        <f>((cc_D/2*(1-COS(($BH444+7*($BI444-$BH444)/12)))-$BF444)/$BG444)^2*SIN(($BH444+7*($BI444-$BH444)/12))^2</f>
        <v/>
      </c>
      <c r="BR444">
        <f>((cc_D/2*(1-COS(($BH444+8*($BI444-$BH444)/12)))-$BF444)/$BG444)^2*SIN(($BH444+8*($BI444-$BH444)/12))^2</f>
        <v/>
      </c>
      <c r="BS444">
        <f>((cc_D/2*(1-COS(($BH444+9*($BI444-$BH444)/12)))-$BF444)/$BG444)^2*SIN(($BH444+9*($BI444-$BH444)/12))^2</f>
        <v/>
      </c>
      <c r="BT444">
        <f>((cc_D/2*(1-COS(($BH444+10*($BI444-$BH444)/12)))-$BF444)/$BG444)^2*SIN(($BH444+10*($BI444-$BH444)/12))^2</f>
        <v/>
      </c>
      <c r="BU444">
        <f>((cc_D/2*(1-COS(($BH444+11*($BI444-$BH444)/12)))-$BF444)/$BG444)^2*SIN(($BH444+11*($BI444-$BH444)/12))^2</f>
        <v/>
      </c>
      <c r="BV444">
        <f>((cc_D/2*(1-COS(($BH444+12*($BI444-$BH444)/12)))-$BF444)/$BG444)^2*SIN(($BH444+12*($BI444-$BH444)/12))^2</f>
        <v/>
      </c>
      <c r="BW444">
        <f>BJ444*COS(($BH444+0*($BI444-$BH444)/12))</f>
        <v/>
      </c>
      <c r="BX444">
        <f>BK444*COS(($BH444+1*($BI444-$BH444)/12))</f>
        <v/>
      </c>
      <c r="BY444">
        <f>BL444*COS(($BH444+2*($BI444-$BH444)/12))</f>
        <v/>
      </c>
      <c r="BZ444">
        <f>BM444*COS(($BH444+3*($BI444-$BH444)/12))</f>
        <v/>
      </c>
      <c r="CA444">
        <f>BN444*COS(($BH444+4*($BI444-$BH444)/12))</f>
        <v/>
      </c>
      <c r="CB444">
        <f>BO444*COS(($BH444+5*($BI444-$BH444)/12))</f>
        <v/>
      </c>
      <c r="CC444">
        <f>BP444*COS(($BH444+6*($BI444-$BH444)/12))</f>
        <v/>
      </c>
      <c r="CD444">
        <f>BQ444*COS(($BH444+7*($BI444-$BH444)/12))</f>
        <v/>
      </c>
      <c r="CE444">
        <f>BR444*COS(($BH444+8*($BI444-$BH444)/12))</f>
        <v/>
      </c>
      <c r="CF444">
        <f>BS444*COS(($BH444+9*($BI444-$BH444)/12))</f>
        <v/>
      </c>
      <c r="CG444">
        <f>BT444*COS(($BH444+10*($BI444-$BH444)/12))</f>
        <v/>
      </c>
      <c r="CH444">
        <f>BU444*COS(($BH444+11*($BI444-$BH444)/12))</f>
        <v/>
      </c>
      <c r="CI444">
        <f>BV444*COS(($BH444+12*($BI444-$BH444)/12))</f>
        <v/>
      </c>
    </row>
    <row r="445">
      <c r="B445" s="65" t="n">
        <v>41</v>
      </c>
      <c r="C445" s="66">
        <f>IF($G444&lt;cc_NEd-1E-9*ABS(cc_NEd),($C444+$D444)/2,$C444)</f>
        <v/>
      </c>
      <c r="D445" s="66">
        <f>IF($G444&lt;cc_NEd-1E-9*ABS(cc_NEd),$D444,($C444+$D444)/2)</f>
        <v/>
      </c>
      <c r="E445" s="67">
        <f>cc_D*(($C445+$D445)/2)/(1-(($C445+$D445)/2))</f>
        <v/>
      </c>
      <c r="F445" s="68">
        <f>IF($E445&lt;=cc_D,3.5,2*$E445/($E445-3*cc_D/7))</f>
        <v/>
      </c>
      <c r="G445" s="67">
        <f>(fcd_cc*((cc_D/2)^2*($BI445-COS($BI445)*SIN($BI445))-2*(cc_D/2)^2*($BI445-$BH445)/12/3*SUMPRODUCT($BJ$4:$BV$4,$BJ445:$BV445))+SUMPRODUCT($J$5:$AG$5,$J445:$AG445))/1000</f>
        <v/>
      </c>
      <c r="H445" s="67">
        <f>(fcd_cc*(2/3*(cc_D/2)^3*SIN($BI445)^3-2*(cc_D/2)^3*($BI445-$BH445)/12/3*SUMPRODUCT($BW$4:$CI$4,$BW445:$CI445))+SUMPRODUCT($J$5:$AG$5,$J445:$AG445,$J$22:$AG$22))/1E6</f>
        <v/>
      </c>
      <c r="I445" s="67">
        <f>SUMPRODUCT($J$5:$AG$5,$J445:$AG445,$J$23:$AG$23)/1E6</f>
        <v/>
      </c>
      <c r="J445">
        <f>MAX(-fyd_cc,MIN(fyd_cc,Es_cc*IF($E445&lt;=cc_D,0.0035*($E445-J$21)/$E445,0.002*($E445-J$21)/($E445-3*cc_D/7))))-fcd_cc*(1-(1-MAX(0,MIN(1,IF($E445&lt;=cc_D,0.0035*($E445-J$21)/$E445,0.002*($E445-J$21)/($E445-3*cc_D/7))/0.002)))^2)</f>
        <v/>
      </c>
      <c r="K445">
        <f>MAX(-fyd_cc,MIN(fyd_cc,Es_cc*IF($E445&lt;=cc_D,0.0035*($E445-K$21)/$E445,0.002*($E445-K$21)/($E445-3*cc_D/7))))-fcd_cc*(1-(1-MAX(0,MIN(1,IF($E445&lt;=cc_D,0.0035*($E445-K$21)/$E445,0.002*($E445-K$21)/($E445-3*cc_D/7))/0.002)))^2)</f>
        <v/>
      </c>
      <c r="L445">
        <f>MAX(-fyd_cc,MIN(fyd_cc,Es_cc*IF($E445&lt;=cc_D,0.0035*($E445-L$21)/$E445,0.002*($E445-L$21)/($E445-3*cc_D/7))))-fcd_cc*(1-(1-MAX(0,MIN(1,IF($E445&lt;=cc_D,0.0035*($E445-L$21)/$E445,0.002*($E445-L$21)/($E445-3*cc_D/7))/0.002)))^2)</f>
        <v/>
      </c>
      <c r="M445">
        <f>MAX(-fyd_cc,MIN(fyd_cc,Es_cc*IF($E445&lt;=cc_D,0.0035*($E445-M$21)/$E445,0.002*($E445-M$21)/($E445-3*cc_D/7))))-fcd_cc*(1-(1-MAX(0,MIN(1,IF($E445&lt;=cc_D,0.0035*($E445-M$21)/$E445,0.002*($E445-M$21)/($E445-3*cc_D/7))/0.002)))^2)</f>
        <v/>
      </c>
      <c r="N445">
        <f>MAX(-fyd_cc,MIN(fyd_cc,Es_cc*IF($E445&lt;=cc_D,0.0035*($E445-N$21)/$E445,0.002*($E445-N$21)/($E445-3*cc_D/7))))-fcd_cc*(1-(1-MAX(0,MIN(1,IF($E445&lt;=cc_D,0.0035*($E445-N$21)/$E445,0.002*($E445-N$21)/($E445-3*cc_D/7))/0.002)))^2)</f>
        <v/>
      </c>
      <c r="O445">
        <f>MAX(-fyd_cc,MIN(fyd_cc,Es_cc*IF($E445&lt;=cc_D,0.0035*($E445-O$21)/$E445,0.002*($E445-O$21)/($E445-3*cc_D/7))))-fcd_cc*(1-(1-MAX(0,MIN(1,IF($E445&lt;=cc_D,0.0035*($E445-O$21)/$E445,0.002*($E445-O$21)/($E445-3*cc_D/7))/0.002)))^2)</f>
        <v/>
      </c>
      <c r="P445">
        <f>MAX(-fyd_cc,MIN(fyd_cc,Es_cc*IF($E445&lt;=cc_D,0.0035*($E445-P$21)/$E445,0.002*($E445-P$21)/($E445-3*cc_D/7))))-fcd_cc*(1-(1-MAX(0,MIN(1,IF($E445&lt;=cc_D,0.0035*($E445-P$21)/$E445,0.002*($E445-P$21)/($E445-3*cc_D/7))/0.002)))^2)</f>
        <v/>
      </c>
      <c r="Q445">
        <f>MAX(-fyd_cc,MIN(fyd_cc,Es_cc*IF($E445&lt;=cc_D,0.0035*($E445-Q$21)/$E445,0.002*($E445-Q$21)/($E445-3*cc_D/7))))-fcd_cc*(1-(1-MAX(0,MIN(1,IF($E445&lt;=cc_D,0.0035*($E445-Q$21)/$E445,0.002*($E445-Q$21)/($E445-3*cc_D/7))/0.002)))^2)</f>
        <v/>
      </c>
      <c r="R445">
        <f>MAX(-fyd_cc,MIN(fyd_cc,Es_cc*IF($E445&lt;=cc_D,0.0035*($E445-R$21)/$E445,0.002*($E445-R$21)/($E445-3*cc_D/7))))-fcd_cc*(1-(1-MAX(0,MIN(1,IF($E445&lt;=cc_D,0.0035*($E445-R$21)/$E445,0.002*($E445-R$21)/($E445-3*cc_D/7))/0.002)))^2)</f>
        <v/>
      </c>
      <c r="S445">
        <f>MAX(-fyd_cc,MIN(fyd_cc,Es_cc*IF($E445&lt;=cc_D,0.0035*($E445-S$21)/$E445,0.002*($E445-S$21)/($E445-3*cc_D/7))))-fcd_cc*(1-(1-MAX(0,MIN(1,IF($E445&lt;=cc_D,0.0035*($E445-S$21)/$E445,0.002*($E445-S$21)/($E445-3*cc_D/7))/0.002)))^2)</f>
        <v/>
      </c>
      <c r="T445">
        <f>MAX(-fyd_cc,MIN(fyd_cc,Es_cc*IF($E445&lt;=cc_D,0.0035*($E445-T$21)/$E445,0.002*($E445-T$21)/($E445-3*cc_D/7))))-fcd_cc*(1-(1-MAX(0,MIN(1,IF($E445&lt;=cc_D,0.0035*($E445-T$21)/$E445,0.002*($E445-T$21)/($E445-3*cc_D/7))/0.002)))^2)</f>
        <v/>
      </c>
      <c r="U445">
        <f>MAX(-fyd_cc,MIN(fyd_cc,Es_cc*IF($E445&lt;=cc_D,0.0035*($E445-U$21)/$E445,0.002*($E445-U$21)/($E445-3*cc_D/7))))-fcd_cc*(1-(1-MAX(0,MIN(1,IF($E445&lt;=cc_D,0.0035*($E445-U$21)/$E445,0.002*($E445-U$21)/($E445-3*cc_D/7))/0.002)))^2)</f>
        <v/>
      </c>
      <c r="V445">
        <f>MAX(-fyd_cc,MIN(fyd_cc,Es_cc*IF($E445&lt;=cc_D,0.0035*($E445-V$21)/$E445,0.002*($E445-V$21)/($E445-3*cc_D/7))))-fcd_cc*(1-(1-MAX(0,MIN(1,IF($E445&lt;=cc_D,0.0035*($E445-V$21)/$E445,0.002*($E445-V$21)/($E445-3*cc_D/7))/0.002)))^2)</f>
        <v/>
      </c>
      <c r="W445">
        <f>MAX(-fyd_cc,MIN(fyd_cc,Es_cc*IF($E445&lt;=cc_D,0.0035*($E445-W$21)/$E445,0.002*($E445-W$21)/($E445-3*cc_D/7))))-fcd_cc*(1-(1-MAX(0,MIN(1,IF($E445&lt;=cc_D,0.0035*($E445-W$21)/$E445,0.002*($E445-W$21)/($E445-3*cc_D/7))/0.002)))^2)</f>
        <v/>
      </c>
      <c r="X445">
        <f>MAX(-fyd_cc,MIN(fyd_cc,Es_cc*IF($E445&lt;=cc_D,0.0035*($E445-X$21)/$E445,0.002*($E445-X$21)/($E445-3*cc_D/7))))-fcd_cc*(1-(1-MAX(0,MIN(1,IF($E445&lt;=cc_D,0.0035*($E445-X$21)/$E445,0.002*($E445-X$21)/($E445-3*cc_D/7))/0.002)))^2)</f>
        <v/>
      </c>
      <c r="Y445">
        <f>MAX(-fyd_cc,MIN(fyd_cc,Es_cc*IF($E445&lt;=cc_D,0.0035*($E445-Y$21)/$E445,0.002*($E445-Y$21)/($E445-3*cc_D/7))))-fcd_cc*(1-(1-MAX(0,MIN(1,IF($E445&lt;=cc_D,0.0035*($E445-Y$21)/$E445,0.002*($E445-Y$21)/($E445-3*cc_D/7))/0.002)))^2)</f>
        <v/>
      </c>
      <c r="Z445">
        <f>MAX(-fyd_cc,MIN(fyd_cc,Es_cc*IF($E445&lt;=cc_D,0.0035*($E445-Z$21)/$E445,0.002*($E445-Z$21)/($E445-3*cc_D/7))))-fcd_cc*(1-(1-MAX(0,MIN(1,IF($E445&lt;=cc_D,0.0035*($E445-Z$21)/$E445,0.002*($E445-Z$21)/($E445-3*cc_D/7))/0.002)))^2)</f>
        <v/>
      </c>
      <c r="AA445">
        <f>MAX(-fyd_cc,MIN(fyd_cc,Es_cc*IF($E445&lt;=cc_D,0.0035*($E445-AA$21)/$E445,0.002*($E445-AA$21)/($E445-3*cc_D/7))))-fcd_cc*(1-(1-MAX(0,MIN(1,IF($E445&lt;=cc_D,0.0035*($E445-AA$21)/$E445,0.002*($E445-AA$21)/($E445-3*cc_D/7))/0.002)))^2)</f>
        <v/>
      </c>
      <c r="AB445">
        <f>MAX(-fyd_cc,MIN(fyd_cc,Es_cc*IF($E445&lt;=cc_D,0.0035*($E445-AB$21)/$E445,0.002*($E445-AB$21)/($E445-3*cc_D/7))))-fcd_cc*(1-(1-MAX(0,MIN(1,IF($E445&lt;=cc_D,0.0035*($E445-AB$21)/$E445,0.002*($E445-AB$21)/($E445-3*cc_D/7))/0.002)))^2)</f>
        <v/>
      </c>
      <c r="AC445">
        <f>MAX(-fyd_cc,MIN(fyd_cc,Es_cc*IF($E445&lt;=cc_D,0.0035*($E445-AC$21)/$E445,0.002*($E445-AC$21)/($E445-3*cc_D/7))))-fcd_cc*(1-(1-MAX(0,MIN(1,IF($E445&lt;=cc_D,0.0035*($E445-AC$21)/$E445,0.002*($E445-AC$21)/($E445-3*cc_D/7))/0.002)))^2)</f>
        <v/>
      </c>
      <c r="AD445">
        <f>MAX(-fyd_cc,MIN(fyd_cc,Es_cc*IF($E445&lt;=cc_D,0.0035*($E445-AD$21)/$E445,0.002*($E445-AD$21)/($E445-3*cc_D/7))))-fcd_cc*(1-(1-MAX(0,MIN(1,IF($E445&lt;=cc_D,0.0035*($E445-AD$21)/$E445,0.002*($E445-AD$21)/($E445-3*cc_D/7))/0.002)))^2)</f>
        <v/>
      </c>
      <c r="AE445">
        <f>MAX(-fyd_cc,MIN(fyd_cc,Es_cc*IF($E445&lt;=cc_D,0.0035*($E445-AE$21)/$E445,0.002*($E445-AE$21)/($E445-3*cc_D/7))))-fcd_cc*(1-(1-MAX(0,MIN(1,IF($E445&lt;=cc_D,0.0035*($E445-AE$21)/$E445,0.002*($E445-AE$21)/($E445-3*cc_D/7))/0.002)))^2)</f>
        <v/>
      </c>
      <c r="AF445">
        <f>MAX(-fyd_cc,MIN(fyd_cc,Es_cc*IF($E445&lt;=cc_D,0.0035*($E445-AF$21)/$E445,0.002*($E445-AF$21)/($E445-3*cc_D/7))))-fcd_cc*(1-(1-MAX(0,MIN(1,IF($E445&lt;=cc_D,0.0035*($E445-AF$21)/$E445,0.002*($E445-AF$21)/($E445-3*cc_D/7))/0.002)))^2)</f>
        <v/>
      </c>
      <c r="AG445">
        <f>MAX(-fyd_cc,MIN(fyd_cc,Es_cc*IF($E445&lt;=cc_D,0.0035*($E445-AG$21)/$E445,0.002*($E445-AG$21)/($E445-3*cc_D/7))))-fcd_cc*(1-(1-MAX(0,MIN(1,IF($E445&lt;=cc_D,0.0035*($E445-AG$21)/$E445,0.002*($E445-AG$21)/($E445-3*cc_D/7))/0.002)))^2)</f>
        <v/>
      </c>
      <c r="BF445">
        <f>3*MIN($E445,cc_D)/7</f>
        <v/>
      </c>
      <c r="BG445">
        <f>$E445-$BF445</f>
        <v/>
      </c>
      <c r="BH445">
        <f>ACOS(MAX(-1,MIN(1,1-$BF445/(cc_D/2))))</f>
        <v/>
      </c>
      <c r="BI445">
        <f>ACOS(MAX(-1,MIN(1,1-MIN($E445,cc_D)/(cc_D/2))))</f>
        <v/>
      </c>
      <c r="BJ445">
        <f>((cc_D/2*(1-COS(($BH445+0*($BI445-$BH445)/12)))-$BF445)/$BG445)^2*SIN(($BH445+0*($BI445-$BH445)/12))^2</f>
        <v/>
      </c>
      <c r="BK445">
        <f>((cc_D/2*(1-COS(($BH445+1*($BI445-$BH445)/12)))-$BF445)/$BG445)^2*SIN(($BH445+1*($BI445-$BH445)/12))^2</f>
        <v/>
      </c>
      <c r="BL445">
        <f>((cc_D/2*(1-COS(($BH445+2*($BI445-$BH445)/12)))-$BF445)/$BG445)^2*SIN(($BH445+2*($BI445-$BH445)/12))^2</f>
        <v/>
      </c>
      <c r="BM445">
        <f>((cc_D/2*(1-COS(($BH445+3*($BI445-$BH445)/12)))-$BF445)/$BG445)^2*SIN(($BH445+3*($BI445-$BH445)/12))^2</f>
        <v/>
      </c>
      <c r="BN445">
        <f>((cc_D/2*(1-COS(($BH445+4*($BI445-$BH445)/12)))-$BF445)/$BG445)^2*SIN(($BH445+4*($BI445-$BH445)/12))^2</f>
        <v/>
      </c>
      <c r="BO445">
        <f>((cc_D/2*(1-COS(($BH445+5*($BI445-$BH445)/12)))-$BF445)/$BG445)^2*SIN(($BH445+5*($BI445-$BH445)/12))^2</f>
        <v/>
      </c>
      <c r="BP445">
        <f>((cc_D/2*(1-COS(($BH445+6*($BI445-$BH445)/12)))-$BF445)/$BG445)^2*SIN(($BH445+6*($BI445-$BH445)/12))^2</f>
        <v/>
      </c>
      <c r="BQ445">
        <f>((cc_D/2*(1-COS(($BH445+7*($BI445-$BH445)/12)))-$BF445)/$BG445)^2*SIN(($BH445+7*($BI445-$BH445)/12))^2</f>
        <v/>
      </c>
      <c r="BR445">
        <f>((cc_D/2*(1-COS(($BH445+8*($BI445-$BH445)/12)))-$BF445)/$BG445)^2*SIN(($BH445+8*($BI445-$BH445)/12))^2</f>
        <v/>
      </c>
      <c r="BS445">
        <f>((cc_D/2*(1-COS(($BH445+9*($BI445-$BH445)/12)))-$BF445)/$BG445)^2*SIN(($BH445+9*($BI445-$BH445)/12))^2</f>
        <v/>
      </c>
      <c r="BT445">
        <f>((cc_D/2*(1-COS(($BH445+10*($BI445-$BH445)/12)))-$BF445)/$BG445)^2*SIN(($BH445+10*($BI445-$BH445)/12))^2</f>
        <v/>
      </c>
      <c r="BU445">
        <f>((cc_D/2*(1-COS(($BH445+11*($BI445-$BH445)/12)))-$BF445)/$BG445)^2*SIN(($BH445+11*($BI445-$BH445)/12))^2</f>
        <v/>
      </c>
      <c r="BV445">
        <f>((cc_D/2*(1-COS(($BH445+12*($BI445-$BH445)/12)))-$BF445)/$BG445)^2*SIN(($BH445+12*($BI445-$BH445)/12))^2</f>
        <v/>
      </c>
      <c r="BW445">
        <f>BJ445*COS(($BH445+0*($BI445-$BH445)/12))</f>
        <v/>
      </c>
      <c r="BX445">
        <f>BK445*COS(($BH445+1*($BI445-$BH445)/12))</f>
        <v/>
      </c>
      <c r="BY445">
        <f>BL445*COS(($BH445+2*($BI445-$BH445)/12))</f>
        <v/>
      </c>
      <c r="BZ445">
        <f>BM445*COS(($BH445+3*($BI445-$BH445)/12))</f>
        <v/>
      </c>
      <c r="CA445">
        <f>BN445*COS(($BH445+4*($BI445-$BH445)/12))</f>
        <v/>
      </c>
      <c r="CB445">
        <f>BO445*COS(($BH445+5*($BI445-$BH445)/12))</f>
        <v/>
      </c>
      <c r="CC445">
        <f>BP445*COS(($BH445+6*($BI445-$BH445)/12))</f>
        <v/>
      </c>
      <c r="CD445">
        <f>BQ445*COS(($BH445+7*($BI445-$BH445)/12))</f>
        <v/>
      </c>
      <c r="CE445">
        <f>BR445*COS(($BH445+8*($BI445-$BH445)/12))</f>
        <v/>
      </c>
      <c r="CF445">
        <f>BS445*COS(($BH445+9*($BI445-$BH445)/12))</f>
        <v/>
      </c>
      <c r="CG445">
        <f>BT445*COS(($BH445+10*($BI445-$BH445)/12))</f>
        <v/>
      </c>
      <c r="CH445">
        <f>BU445*COS(($BH445+11*($BI445-$BH445)/12))</f>
        <v/>
      </c>
      <c r="CI445">
        <f>BV445*COS(($BH445+12*($BI445-$BH445)/12))</f>
        <v/>
      </c>
    </row>
    <row r="446">
      <c r="B446" s="65" t="n">
        <v>42</v>
      </c>
      <c r="C446" s="66">
        <f>IF($G445&lt;cc_NEd-1E-9*ABS(cc_NEd),($C445+$D445)/2,$C445)</f>
        <v/>
      </c>
      <c r="D446" s="66">
        <f>IF($G445&lt;cc_NEd-1E-9*ABS(cc_NEd),$D445,($C445+$D445)/2)</f>
        <v/>
      </c>
      <c r="E446" s="67">
        <f>cc_D*(($C446+$D446)/2)/(1-(($C446+$D446)/2))</f>
        <v/>
      </c>
      <c r="F446" s="68">
        <f>IF($E446&lt;=cc_D,3.5,2*$E446/($E446-3*cc_D/7))</f>
        <v/>
      </c>
      <c r="G446" s="67">
        <f>(fcd_cc*((cc_D/2)^2*($BI446-COS($BI446)*SIN($BI446))-2*(cc_D/2)^2*($BI446-$BH446)/12/3*SUMPRODUCT($BJ$4:$BV$4,$BJ446:$BV446))+SUMPRODUCT($J$5:$AG$5,$J446:$AG446))/1000</f>
        <v/>
      </c>
      <c r="H446" s="67">
        <f>(fcd_cc*(2/3*(cc_D/2)^3*SIN($BI446)^3-2*(cc_D/2)^3*($BI446-$BH446)/12/3*SUMPRODUCT($BW$4:$CI$4,$BW446:$CI446))+SUMPRODUCT($J$5:$AG$5,$J446:$AG446,$J$22:$AG$22))/1E6</f>
        <v/>
      </c>
      <c r="I446" s="67">
        <f>SUMPRODUCT($J$5:$AG$5,$J446:$AG446,$J$23:$AG$23)/1E6</f>
        <v/>
      </c>
      <c r="J446">
        <f>MAX(-fyd_cc,MIN(fyd_cc,Es_cc*IF($E446&lt;=cc_D,0.0035*($E446-J$21)/$E446,0.002*($E446-J$21)/($E446-3*cc_D/7))))-fcd_cc*(1-(1-MAX(0,MIN(1,IF($E446&lt;=cc_D,0.0035*($E446-J$21)/$E446,0.002*($E446-J$21)/($E446-3*cc_D/7))/0.002)))^2)</f>
        <v/>
      </c>
      <c r="K446">
        <f>MAX(-fyd_cc,MIN(fyd_cc,Es_cc*IF($E446&lt;=cc_D,0.0035*($E446-K$21)/$E446,0.002*($E446-K$21)/($E446-3*cc_D/7))))-fcd_cc*(1-(1-MAX(0,MIN(1,IF($E446&lt;=cc_D,0.0035*($E446-K$21)/$E446,0.002*($E446-K$21)/($E446-3*cc_D/7))/0.002)))^2)</f>
        <v/>
      </c>
      <c r="L446">
        <f>MAX(-fyd_cc,MIN(fyd_cc,Es_cc*IF($E446&lt;=cc_D,0.0035*($E446-L$21)/$E446,0.002*($E446-L$21)/($E446-3*cc_D/7))))-fcd_cc*(1-(1-MAX(0,MIN(1,IF($E446&lt;=cc_D,0.0035*($E446-L$21)/$E446,0.002*($E446-L$21)/($E446-3*cc_D/7))/0.002)))^2)</f>
        <v/>
      </c>
      <c r="M446">
        <f>MAX(-fyd_cc,MIN(fyd_cc,Es_cc*IF($E446&lt;=cc_D,0.0035*($E446-M$21)/$E446,0.002*($E446-M$21)/($E446-3*cc_D/7))))-fcd_cc*(1-(1-MAX(0,MIN(1,IF($E446&lt;=cc_D,0.0035*($E446-M$21)/$E446,0.002*($E446-M$21)/($E446-3*cc_D/7))/0.002)))^2)</f>
        <v/>
      </c>
      <c r="N446">
        <f>MAX(-fyd_cc,MIN(fyd_cc,Es_cc*IF($E446&lt;=cc_D,0.0035*($E446-N$21)/$E446,0.002*($E446-N$21)/($E446-3*cc_D/7))))-fcd_cc*(1-(1-MAX(0,MIN(1,IF($E446&lt;=cc_D,0.0035*($E446-N$21)/$E446,0.002*($E446-N$21)/($E446-3*cc_D/7))/0.002)))^2)</f>
        <v/>
      </c>
      <c r="O446">
        <f>MAX(-fyd_cc,MIN(fyd_cc,Es_cc*IF($E446&lt;=cc_D,0.0035*($E446-O$21)/$E446,0.002*($E446-O$21)/($E446-3*cc_D/7))))-fcd_cc*(1-(1-MAX(0,MIN(1,IF($E446&lt;=cc_D,0.0035*($E446-O$21)/$E446,0.002*($E446-O$21)/($E446-3*cc_D/7))/0.002)))^2)</f>
        <v/>
      </c>
      <c r="P446">
        <f>MAX(-fyd_cc,MIN(fyd_cc,Es_cc*IF($E446&lt;=cc_D,0.0035*($E446-P$21)/$E446,0.002*($E446-P$21)/($E446-3*cc_D/7))))-fcd_cc*(1-(1-MAX(0,MIN(1,IF($E446&lt;=cc_D,0.0035*($E446-P$21)/$E446,0.002*($E446-P$21)/($E446-3*cc_D/7))/0.002)))^2)</f>
        <v/>
      </c>
      <c r="Q446">
        <f>MAX(-fyd_cc,MIN(fyd_cc,Es_cc*IF($E446&lt;=cc_D,0.0035*($E446-Q$21)/$E446,0.002*($E446-Q$21)/($E446-3*cc_D/7))))-fcd_cc*(1-(1-MAX(0,MIN(1,IF($E446&lt;=cc_D,0.0035*($E446-Q$21)/$E446,0.002*($E446-Q$21)/($E446-3*cc_D/7))/0.002)))^2)</f>
        <v/>
      </c>
      <c r="R446">
        <f>MAX(-fyd_cc,MIN(fyd_cc,Es_cc*IF($E446&lt;=cc_D,0.0035*($E446-R$21)/$E446,0.002*($E446-R$21)/($E446-3*cc_D/7))))-fcd_cc*(1-(1-MAX(0,MIN(1,IF($E446&lt;=cc_D,0.0035*($E446-R$21)/$E446,0.002*($E446-R$21)/($E446-3*cc_D/7))/0.002)))^2)</f>
        <v/>
      </c>
      <c r="S446">
        <f>MAX(-fyd_cc,MIN(fyd_cc,Es_cc*IF($E446&lt;=cc_D,0.0035*($E446-S$21)/$E446,0.002*($E446-S$21)/($E446-3*cc_D/7))))-fcd_cc*(1-(1-MAX(0,MIN(1,IF($E446&lt;=cc_D,0.0035*($E446-S$21)/$E446,0.002*($E446-S$21)/($E446-3*cc_D/7))/0.002)))^2)</f>
        <v/>
      </c>
      <c r="T446">
        <f>MAX(-fyd_cc,MIN(fyd_cc,Es_cc*IF($E446&lt;=cc_D,0.0035*($E446-T$21)/$E446,0.002*($E446-T$21)/($E446-3*cc_D/7))))-fcd_cc*(1-(1-MAX(0,MIN(1,IF($E446&lt;=cc_D,0.0035*($E446-T$21)/$E446,0.002*($E446-T$21)/($E446-3*cc_D/7))/0.002)))^2)</f>
        <v/>
      </c>
      <c r="U446">
        <f>MAX(-fyd_cc,MIN(fyd_cc,Es_cc*IF($E446&lt;=cc_D,0.0035*($E446-U$21)/$E446,0.002*($E446-U$21)/($E446-3*cc_D/7))))-fcd_cc*(1-(1-MAX(0,MIN(1,IF($E446&lt;=cc_D,0.0035*($E446-U$21)/$E446,0.002*($E446-U$21)/($E446-3*cc_D/7))/0.002)))^2)</f>
        <v/>
      </c>
      <c r="V446">
        <f>MAX(-fyd_cc,MIN(fyd_cc,Es_cc*IF($E446&lt;=cc_D,0.0035*($E446-V$21)/$E446,0.002*($E446-V$21)/($E446-3*cc_D/7))))-fcd_cc*(1-(1-MAX(0,MIN(1,IF($E446&lt;=cc_D,0.0035*($E446-V$21)/$E446,0.002*($E446-V$21)/($E446-3*cc_D/7))/0.002)))^2)</f>
        <v/>
      </c>
      <c r="W446">
        <f>MAX(-fyd_cc,MIN(fyd_cc,Es_cc*IF($E446&lt;=cc_D,0.0035*($E446-W$21)/$E446,0.002*($E446-W$21)/($E446-3*cc_D/7))))-fcd_cc*(1-(1-MAX(0,MIN(1,IF($E446&lt;=cc_D,0.0035*($E446-W$21)/$E446,0.002*($E446-W$21)/($E446-3*cc_D/7))/0.002)))^2)</f>
        <v/>
      </c>
      <c r="X446">
        <f>MAX(-fyd_cc,MIN(fyd_cc,Es_cc*IF($E446&lt;=cc_D,0.0035*($E446-X$21)/$E446,0.002*($E446-X$21)/($E446-3*cc_D/7))))-fcd_cc*(1-(1-MAX(0,MIN(1,IF($E446&lt;=cc_D,0.0035*($E446-X$21)/$E446,0.002*($E446-X$21)/($E446-3*cc_D/7))/0.002)))^2)</f>
        <v/>
      </c>
      <c r="Y446">
        <f>MAX(-fyd_cc,MIN(fyd_cc,Es_cc*IF($E446&lt;=cc_D,0.0035*($E446-Y$21)/$E446,0.002*($E446-Y$21)/($E446-3*cc_D/7))))-fcd_cc*(1-(1-MAX(0,MIN(1,IF($E446&lt;=cc_D,0.0035*($E446-Y$21)/$E446,0.002*($E446-Y$21)/($E446-3*cc_D/7))/0.002)))^2)</f>
        <v/>
      </c>
      <c r="Z446">
        <f>MAX(-fyd_cc,MIN(fyd_cc,Es_cc*IF($E446&lt;=cc_D,0.0035*($E446-Z$21)/$E446,0.002*($E446-Z$21)/($E446-3*cc_D/7))))-fcd_cc*(1-(1-MAX(0,MIN(1,IF($E446&lt;=cc_D,0.0035*($E446-Z$21)/$E446,0.002*($E446-Z$21)/($E446-3*cc_D/7))/0.002)))^2)</f>
        <v/>
      </c>
      <c r="AA446">
        <f>MAX(-fyd_cc,MIN(fyd_cc,Es_cc*IF($E446&lt;=cc_D,0.0035*($E446-AA$21)/$E446,0.002*($E446-AA$21)/($E446-3*cc_D/7))))-fcd_cc*(1-(1-MAX(0,MIN(1,IF($E446&lt;=cc_D,0.0035*($E446-AA$21)/$E446,0.002*($E446-AA$21)/($E446-3*cc_D/7))/0.002)))^2)</f>
        <v/>
      </c>
      <c r="AB446">
        <f>MAX(-fyd_cc,MIN(fyd_cc,Es_cc*IF($E446&lt;=cc_D,0.0035*($E446-AB$21)/$E446,0.002*($E446-AB$21)/($E446-3*cc_D/7))))-fcd_cc*(1-(1-MAX(0,MIN(1,IF($E446&lt;=cc_D,0.0035*($E446-AB$21)/$E446,0.002*($E446-AB$21)/($E446-3*cc_D/7))/0.002)))^2)</f>
        <v/>
      </c>
      <c r="AC446">
        <f>MAX(-fyd_cc,MIN(fyd_cc,Es_cc*IF($E446&lt;=cc_D,0.0035*($E446-AC$21)/$E446,0.002*($E446-AC$21)/($E446-3*cc_D/7))))-fcd_cc*(1-(1-MAX(0,MIN(1,IF($E446&lt;=cc_D,0.0035*($E446-AC$21)/$E446,0.002*($E446-AC$21)/($E446-3*cc_D/7))/0.002)))^2)</f>
        <v/>
      </c>
      <c r="AD446">
        <f>MAX(-fyd_cc,MIN(fyd_cc,Es_cc*IF($E446&lt;=cc_D,0.0035*($E446-AD$21)/$E446,0.002*($E446-AD$21)/($E446-3*cc_D/7))))-fcd_cc*(1-(1-MAX(0,MIN(1,IF($E446&lt;=cc_D,0.0035*($E446-AD$21)/$E446,0.002*($E446-AD$21)/($E446-3*cc_D/7))/0.002)))^2)</f>
        <v/>
      </c>
      <c r="AE446">
        <f>MAX(-fyd_cc,MIN(fyd_cc,Es_cc*IF($E446&lt;=cc_D,0.0035*($E446-AE$21)/$E446,0.002*($E446-AE$21)/($E446-3*cc_D/7))))-fcd_cc*(1-(1-MAX(0,MIN(1,IF($E446&lt;=cc_D,0.0035*($E446-AE$21)/$E446,0.002*($E446-AE$21)/($E446-3*cc_D/7))/0.002)))^2)</f>
        <v/>
      </c>
      <c r="AF446">
        <f>MAX(-fyd_cc,MIN(fyd_cc,Es_cc*IF($E446&lt;=cc_D,0.0035*($E446-AF$21)/$E446,0.002*($E446-AF$21)/($E446-3*cc_D/7))))-fcd_cc*(1-(1-MAX(0,MIN(1,IF($E446&lt;=cc_D,0.0035*($E446-AF$21)/$E446,0.002*($E446-AF$21)/($E446-3*cc_D/7))/0.002)))^2)</f>
        <v/>
      </c>
      <c r="AG446">
        <f>MAX(-fyd_cc,MIN(fyd_cc,Es_cc*IF($E446&lt;=cc_D,0.0035*($E446-AG$21)/$E446,0.002*($E446-AG$21)/($E446-3*cc_D/7))))-fcd_cc*(1-(1-MAX(0,MIN(1,IF($E446&lt;=cc_D,0.0035*($E446-AG$21)/$E446,0.002*($E446-AG$21)/($E446-3*cc_D/7))/0.002)))^2)</f>
        <v/>
      </c>
      <c r="BF446">
        <f>3*MIN($E446,cc_D)/7</f>
        <v/>
      </c>
      <c r="BG446">
        <f>$E446-$BF446</f>
        <v/>
      </c>
      <c r="BH446">
        <f>ACOS(MAX(-1,MIN(1,1-$BF446/(cc_D/2))))</f>
        <v/>
      </c>
      <c r="BI446">
        <f>ACOS(MAX(-1,MIN(1,1-MIN($E446,cc_D)/(cc_D/2))))</f>
        <v/>
      </c>
      <c r="BJ446">
        <f>((cc_D/2*(1-COS(($BH446+0*($BI446-$BH446)/12)))-$BF446)/$BG446)^2*SIN(($BH446+0*($BI446-$BH446)/12))^2</f>
        <v/>
      </c>
      <c r="BK446">
        <f>((cc_D/2*(1-COS(($BH446+1*($BI446-$BH446)/12)))-$BF446)/$BG446)^2*SIN(($BH446+1*($BI446-$BH446)/12))^2</f>
        <v/>
      </c>
      <c r="BL446">
        <f>((cc_D/2*(1-COS(($BH446+2*($BI446-$BH446)/12)))-$BF446)/$BG446)^2*SIN(($BH446+2*($BI446-$BH446)/12))^2</f>
        <v/>
      </c>
      <c r="BM446">
        <f>((cc_D/2*(1-COS(($BH446+3*($BI446-$BH446)/12)))-$BF446)/$BG446)^2*SIN(($BH446+3*($BI446-$BH446)/12))^2</f>
        <v/>
      </c>
      <c r="BN446">
        <f>((cc_D/2*(1-COS(($BH446+4*($BI446-$BH446)/12)))-$BF446)/$BG446)^2*SIN(($BH446+4*($BI446-$BH446)/12))^2</f>
        <v/>
      </c>
      <c r="BO446">
        <f>((cc_D/2*(1-COS(($BH446+5*($BI446-$BH446)/12)))-$BF446)/$BG446)^2*SIN(($BH446+5*($BI446-$BH446)/12))^2</f>
        <v/>
      </c>
      <c r="BP446">
        <f>((cc_D/2*(1-COS(($BH446+6*($BI446-$BH446)/12)))-$BF446)/$BG446)^2*SIN(($BH446+6*($BI446-$BH446)/12))^2</f>
        <v/>
      </c>
      <c r="BQ446">
        <f>((cc_D/2*(1-COS(($BH446+7*($BI446-$BH446)/12)))-$BF446)/$BG446)^2*SIN(($BH446+7*($BI446-$BH446)/12))^2</f>
        <v/>
      </c>
      <c r="BR446">
        <f>((cc_D/2*(1-COS(($BH446+8*($BI446-$BH446)/12)))-$BF446)/$BG446)^2*SIN(($BH446+8*($BI446-$BH446)/12))^2</f>
        <v/>
      </c>
      <c r="BS446">
        <f>((cc_D/2*(1-COS(($BH446+9*($BI446-$BH446)/12)))-$BF446)/$BG446)^2*SIN(($BH446+9*($BI446-$BH446)/12))^2</f>
        <v/>
      </c>
      <c r="BT446">
        <f>((cc_D/2*(1-COS(($BH446+10*($BI446-$BH446)/12)))-$BF446)/$BG446)^2*SIN(($BH446+10*($BI446-$BH446)/12))^2</f>
        <v/>
      </c>
      <c r="BU446">
        <f>((cc_D/2*(1-COS(($BH446+11*($BI446-$BH446)/12)))-$BF446)/$BG446)^2*SIN(($BH446+11*($BI446-$BH446)/12))^2</f>
        <v/>
      </c>
      <c r="BV446">
        <f>((cc_D/2*(1-COS(($BH446+12*($BI446-$BH446)/12)))-$BF446)/$BG446)^2*SIN(($BH446+12*($BI446-$BH446)/12))^2</f>
        <v/>
      </c>
      <c r="BW446">
        <f>BJ446*COS(($BH446+0*($BI446-$BH446)/12))</f>
        <v/>
      </c>
      <c r="BX446">
        <f>BK446*COS(($BH446+1*($BI446-$BH446)/12))</f>
        <v/>
      </c>
      <c r="BY446">
        <f>BL446*COS(($BH446+2*($BI446-$BH446)/12))</f>
        <v/>
      </c>
      <c r="BZ446">
        <f>BM446*COS(($BH446+3*($BI446-$BH446)/12))</f>
        <v/>
      </c>
      <c r="CA446">
        <f>BN446*COS(($BH446+4*($BI446-$BH446)/12))</f>
        <v/>
      </c>
      <c r="CB446">
        <f>BO446*COS(($BH446+5*($BI446-$BH446)/12))</f>
        <v/>
      </c>
      <c r="CC446">
        <f>BP446*COS(($BH446+6*($BI446-$BH446)/12))</f>
        <v/>
      </c>
      <c r="CD446">
        <f>BQ446*COS(($BH446+7*($BI446-$BH446)/12))</f>
        <v/>
      </c>
      <c r="CE446">
        <f>BR446*COS(($BH446+8*($BI446-$BH446)/12))</f>
        <v/>
      </c>
      <c r="CF446">
        <f>BS446*COS(($BH446+9*($BI446-$BH446)/12))</f>
        <v/>
      </c>
      <c r="CG446">
        <f>BT446*COS(($BH446+10*($BI446-$BH446)/12))</f>
        <v/>
      </c>
      <c r="CH446">
        <f>BU446*COS(($BH446+11*($BI446-$BH446)/12))</f>
        <v/>
      </c>
      <c r="CI446">
        <f>BV446*COS(($BH446+12*($BI446-$BH446)/12))</f>
        <v/>
      </c>
    </row>
    <row r="447">
      <c r="B447" s="65" t="n">
        <v>43</v>
      </c>
      <c r="C447" s="66">
        <f>IF($G446&lt;cc_NEd-1E-9*ABS(cc_NEd),($C446+$D446)/2,$C446)</f>
        <v/>
      </c>
      <c r="D447" s="66">
        <f>IF($G446&lt;cc_NEd-1E-9*ABS(cc_NEd),$D446,($C446+$D446)/2)</f>
        <v/>
      </c>
      <c r="E447" s="67">
        <f>cc_D*(($C447+$D447)/2)/(1-(($C447+$D447)/2))</f>
        <v/>
      </c>
      <c r="F447" s="68">
        <f>IF($E447&lt;=cc_D,3.5,2*$E447/($E447-3*cc_D/7))</f>
        <v/>
      </c>
      <c r="G447" s="67">
        <f>(fcd_cc*((cc_D/2)^2*($BI447-COS($BI447)*SIN($BI447))-2*(cc_D/2)^2*($BI447-$BH447)/12/3*SUMPRODUCT($BJ$4:$BV$4,$BJ447:$BV447))+SUMPRODUCT($J$5:$AG$5,$J447:$AG447))/1000</f>
        <v/>
      </c>
      <c r="H447" s="67">
        <f>(fcd_cc*(2/3*(cc_D/2)^3*SIN($BI447)^3-2*(cc_D/2)^3*($BI447-$BH447)/12/3*SUMPRODUCT($BW$4:$CI$4,$BW447:$CI447))+SUMPRODUCT($J$5:$AG$5,$J447:$AG447,$J$22:$AG$22))/1E6</f>
        <v/>
      </c>
      <c r="I447" s="67">
        <f>SUMPRODUCT($J$5:$AG$5,$J447:$AG447,$J$23:$AG$23)/1E6</f>
        <v/>
      </c>
      <c r="J447">
        <f>MAX(-fyd_cc,MIN(fyd_cc,Es_cc*IF($E447&lt;=cc_D,0.0035*($E447-J$21)/$E447,0.002*($E447-J$21)/($E447-3*cc_D/7))))-fcd_cc*(1-(1-MAX(0,MIN(1,IF($E447&lt;=cc_D,0.0035*($E447-J$21)/$E447,0.002*($E447-J$21)/($E447-3*cc_D/7))/0.002)))^2)</f>
        <v/>
      </c>
      <c r="K447">
        <f>MAX(-fyd_cc,MIN(fyd_cc,Es_cc*IF($E447&lt;=cc_D,0.0035*($E447-K$21)/$E447,0.002*($E447-K$21)/($E447-3*cc_D/7))))-fcd_cc*(1-(1-MAX(0,MIN(1,IF($E447&lt;=cc_D,0.0035*($E447-K$21)/$E447,0.002*($E447-K$21)/($E447-3*cc_D/7))/0.002)))^2)</f>
        <v/>
      </c>
      <c r="L447">
        <f>MAX(-fyd_cc,MIN(fyd_cc,Es_cc*IF($E447&lt;=cc_D,0.0035*($E447-L$21)/$E447,0.002*($E447-L$21)/($E447-3*cc_D/7))))-fcd_cc*(1-(1-MAX(0,MIN(1,IF($E447&lt;=cc_D,0.0035*($E447-L$21)/$E447,0.002*($E447-L$21)/($E447-3*cc_D/7))/0.002)))^2)</f>
        <v/>
      </c>
      <c r="M447">
        <f>MAX(-fyd_cc,MIN(fyd_cc,Es_cc*IF($E447&lt;=cc_D,0.0035*($E447-M$21)/$E447,0.002*($E447-M$21)/($E447-3*cc_D/7))))-fcd_cc*(1-(1-MAX(0,MIN(1,IF($E447&lt;=cc_D,0.0035*($E447-M$21)/$E447,0.002*($E447-M$21)/($E447-3*cc_D/7))/0.002)))^2)</f>
        <v/>
      </c>
      <c r="N447">
        <f>MAX(-fyd_cc,MIN(fyd_cc,Es_cc*IF($E447&lt;=cc_D,0.0035*($E447-N$21)/$E447,0.002*($E447-N$21)/($E447-3*cc_D/7))))-fcd_cc*(1-(1-MAX(0,MIN(1,IF($E447&lt;=cc_D,0.0035*($E447-N$21)/$E447,0.002*($E447-N$21)/($E447-3*cc_D/7))/0.002)))^2)</f>
        <v/>
      </c>
      <c r="O447">
        <f>MAX(-fyd_cc,MIN(fyd_cc,Es_cc*IF($E447&lt;=cc_D,0.0035*($E447-O$21)/$E447,0.002*($E447-O$21)/($E447-3*cc_D/7))))-fcd_cc*(1-(1-MAX(0,MIN(1,IF($E447&lt;=cc_D,0.0035*($E447-O$21)/$E447,0.002*($E447-O$21)/($E447-3*cc_D/7))/0.002)))^2)</f>
        <v/>
      </c>
      <c r="P447">
        <f>MAX(-fyd_cc,MIN(fyd_cc,Es_cc*IF($E447&lt;=cc_D,0.0035*($E447-P$21)/$E447,0.002*($E447-P$21)/($E447-3*cc_D/7))))-fcd_cc*(1-(1-MAX(0,MIN(1,IF($E447&lt;=cc_D,0.0035*($E447-P$21)/$E447,0.002*($E447-P$21)/($E447-3*cc_D/7))/0.002)))^2)</f>
        <v/>
      </c>
      <c r="Q447">
        <f>MAX(-fyd_cc,MIN(fyd_cc,Es_cc*IF($E447&lt;=cc_D,0.0035*($E447-Q$21)/$E447,0.002*($E447-Q$21)/($E447-3*cc_D/7))))-fcd_cc*(1-(1-MAX(0,MIN(1,IF($E447&lt;=cc_D,0.0035*($E447-Q$21)/$E447,0.002*($E447-Q$21)/($E447-3*cc_D/7))/0.002)))^2)</f>
        <v/>
      </c>
      <c r="R447">
        <f>MAX(-fyd_cc,MIN(fyd_cc,Es_cc*IF($E447&lt;=cc_D,0.0035*($E447-R$21)/$E447,0.002*($E447-R$21)/($E447-3*cc_D/7))))-fcd_cc*(1-(1-MAX(0,MIN(1,IF($E447&lt;=cc_D,0.0035*($E447-R$21)/$E447,0.002*($E447-R$21)/($E447-3*cc_D/7))/0.002)))^2)</f>
        <v/>
      </c>
      <c r="S447">
        <f>MAX(-fyd_cc,MIN(fyd_cc,Es_cc*IF($E447&lt;=cc_D,0.0035*($E447-S$21)/$E447,0.002*($E447-S$21)/($E447-3*cc_D/7))))-fcd_cc*(1-(1-MAX(0,MIN(1,IF($E447&lt;=cc_D,0.0035*($E447-S$21)/$E447,0.002*($E447-S$21)/($E447-3*cc_D/7))/0.002)))^2)</f>
        <v/>
      </c>
      <c r="T447">
        <f>MAX(-fyd_cc,MIN(fyd_cc,Es_cc*IF($E447&lt;=cc_D,0.0035*($E447-T$21)/$E447,0.002*($E447-T$21)/($E447-3*cc_D/7))))-fcd_cc*(1-(1-MAX(0,MIN(1,IF($E447&lt;=cc_D,0.0035*($E447-T$21)/$E447,0.002*($E447-T$21)/($E447-3*cc_D/7))/0.002)))^2)</f>
        <v/>
      </c>
      <c r="U447">
        <f>MAX(-fyd_cc,MIN(fyd_cc,Es_cc*IF($E447&lt;=cc_D,0.0035*($E447-U$21)/$E447,0.002*($E447-U$21)/($E447-3*cc_D/7))))-fcd_cc*(1-(1-MAX(0,MIN(1,IF($E447&lt;=cc_D,0.0035*($E447-U$21)/$E447,0.002*($E447-U$21)/($E447-3*cc_D/7))/0.002)))^2)</f>
        <v/>
      </c>
      <c r="V447">
        <f>MAX(-fyd_cc,MIN(fyd_cc,Es_cc*IF($E447&lt;=cc_D,0.0035*($E447-V$21)/$E447,0.002*($E447-V$21)/($E447-3*cc_D/7))))-fcd_cc*(1-(1-MAX(0,MIN(1,IF($E447&lt;=cc_D,0.0035*($E447-V$21)/$E447,0.002*($E447-V$21)/($E447-3*cc_D/7))/0.002)))^2)</f>
        <v/>
      </c>
      <c r="W447">
        <f>MAX(-fyd_cc,MIN(fyd_cc,Es_cc*IF($E447&lt;=cc_D,0.0035*($E447-W$21)/$E447,0.002*($E447-W$21)/($E447-3*cc_D/7))))-fcd_cc*(1-(1-MAX(0,MIN(1,IF($E447&lt;=cc_D,0.0035*($E447-W$21)/$E447,0.002*($E447-W$21)/($E447-3*cc_D/7))/0.002)))^2)</f>
        <v/>
      </c>
      <c r="X447">
        <f>MAX(-fyd_cc,MIN(fyd_cc,Es_cc*IF($E447&lt;=cc_D,0.0035*($E447-X$21)/$E447,0.002*($E447-X$21)/($E447-3*cc_D/7))))-fcd_cc*(1-(1-MAX(0,MIN(1,IF($E447&lt;=cc_D,0.0035*($E447-X$21)/$E447,0.002*($E447-X$21)/($E447-3*cc_D/7))/0.002)))^2)</f>
        <v/>
      </c>
      <c r="Y447">
        <f>MAX(-fyd_cc,MIN(fyd_cc,Es_cc*IF($E447&lt;=cc_D,0.0035*($E447-Y$21)/$E447,0.002*($E447-Y$21)/($E447-3*cc_D/7))))-fcd_cc*(1-(1-MAX(0,MIN(1,IF($E447&lt;=cc_D,0.0035*($E447-Y$21)/$E447,0.002*($E447-Y$21)/($E447-3*cc_D/7))/0.002)))^2)</f>
        <v/>
      </c>
      <c r="Z447">
        <f>MAX(-fyd_cc,MIN(fyd_cc,Es_cc*IF($E447&lt;=cc_D,0.0035*($E447-Z$21)/$E447,0.002*($E447-Z$21)/($E447-3*cc_D/7))))-fcd_cc*(1-(1-MAX(0,MIN(1,IF($E447&lt;=cc_D,0.0035*($E447-Z$21)/$E447,0.002*($E447-Z$21)/($E447-3*cc_D/7))/0.002)))^2)</f>
        <v/>
      </c>
      <c r="AA447">
        <f>MAX(-fyd_cc,MIN(fyd_cc,Es_cc*IF($E447&lt;=cc_D,0.0035*($E447-AA$21)/$E447,0.002*($E447-AA$21)/($E447-3*cc_D/7))))-fcd_cc*(1-(1-MAX(0,MIN(1,IF($E447&lt;=cc_D,0.0035*($E447-AA$21)/$E447,0.002*($E447-AA$21)/($E447-3*cc_D/7))/0.002)))^2)</f>
        <v/>
      </c>
      <c r="AB447">
        <f>MAX(-fyd_cc,MIN(fyd_cc,Es_cc*IF($E447&lt;=cc_D,0.0035*($E447-AB$21)/$E447,0.002*($E447-AB$21)/($E447-3*cc_D/7))))-fcd_cc*(1-(1-MAX(0,MIN(1,IF($E447&lt;=cc_D,0.0035*($E447-AB$21)/$E447,0.002*($E447-AB$21)/($E447-3*cc_D/7))/0.002)))^2)</f>
        <v/>
      </c>
      <c r="AC447">
        <f>MAX(-fyd_cc,MIN(fyd_cc,Es_cc*IF($E447&lt;=cc_D,0.0035*($E447-AC$21)/$E447,0.002*($E447-AC$21)/($E447-3*cc_D/7))))-fcd_cc*(1-(1-MAX(0,MIN(1,IF($E447&lt;=cc_D,0.0035*($E447-AC$21)/$E447,0.002*($E447-AC$21)/($E447-3*cc_D/7))/0.002)))^2)</f>
        <v/>
      </c>
      <c r="AD447">
        <f>MAX(-fyd_cc,MIN(fyd_cc,Es_cc*IF($E447&lt;=cc_D,0.0035*($E447-AD$21)/$E447,0.002*($E447-AD$21)/($E447-3*cc_D/7))))-fcd_cc*(1-(1-MAX(0,MIN(1,IF($E447&lt;=cc_D,0.0035*($E447-AD$21)/$E447,0.002*($E447-AD$21)/($E447-3*cc_D/7))/0.002)))^2)</f>
        <v/>
      </c>
      <c r="AE447">
        <f>MAX(-fyd_cc,MIN(fyd_cc,Es_cc*IF($E447&lt;=cc_D,0.0035*($E447-AE$21)/$E447,0.002*($E447-AE$21)/($E447-3*cc_D/7))))-fcd_cc*(1-(1-MAX(0,MIN(1,IF($E447&lt;=cc_D,0.0035*($E447-AE$21)/$E447,0.002*($E447-AE$21)/($E447-3*cc_D/7))/0.002)))^2)</f>
        <v/>
      </c>
      <c r="AF447">
        <f>MAX(-fyd_cc,MIN(fyd_cc,Es_cc*IF($E447&lt;=cc_D,0.0035*($E447-AF$21)/$E447,0.002*($E447-AF$21)/($E447-3*cc_D/7))))-fcd_cc*(1-(1-MAX(0,MIN(1,IF($E447&lt;=cc_D,0.0035*($E447-AF$21)/$E447,0.002*($E447-AF$21)/($E447-3*cc_D/7))/0.002)))^2)</f>
        <v/>
      </c>
      <c r="AG447">
        <f>MAX(-fyd_cc,MIN(fyd_cc,Es_cc*IF($E447&lt;=cc_D,0.0035*($E447-AG$21)/$E447,0.002*($E447-AG$21)/($E447-3*cc_D/7))))-fcd_cc*(1-(1-MAX(0,MIN(1,IF($E447&lt;=cc_D,0.0035*($E447-AG$21)/$E447,0.002*($E447-AG$21)/($E447-3*cc_D/7))/0.002)))^2)</f>
        <v/>
      </c>
      <c r="BF447">
        <f>3*MIN($E447,cc_D)/7</f>
        <v/>
      </c>
      <c r="BG447">
        <f>$E447-$BF447</f>
        <v/>
      </c>
      <c r="BH447">
        <f>ACOS(MAX(-1,MIN(1,1-$BF447/(cc_D/2))))</f>
        <v/>
      </c>
      <c r="BI447">
        <f>ACOS(MAX(-1,MIN(1,1-MIN($E447,cc_D)/(cc_D/2))))</f>
        <v/>
      </c>
      <c r="BJ447">
        <f>((cc_D/2*(1-COS(($BH447+0*($BI447-$BH447)/12)))-$BF447)/$BG447)^2*SIN(($BH447+0*($BI447-$BH447)/12))^2</f>
        <v/>
      </c>
      <c r="BK447">
        <f>((cc_D/2*(1-COS(($BH447+1*($BI447-$BH447)/12)))-$BF447)/$BG447)^2*SIN(($BH447+1*($BI447-$BH447)/12))^2</f>
        <v/>
      </c>
      <c r="BL447">
        <f>((cc_D/2*(1-COS(($BH447+2*($BI447-$BH447)/12)))-$BF447)/$BG447)^2*SIN(($BH447+2*($BI447-$BH447)/12))^2</f>
        <v/>
      </c>
      <c r="BM447">
        <f>((cc_D/2*(1-COS(($BH447+3*($BI447-$BH447)/12)))-$BF447)/$BG447)^2*SIN(($BH447+3*($BI447-$BH447)/12))^2</f>
        <v/>
      </c>
      <c r="BN447">
        <f>((cc_D/2*(1-COS(($BH447+4*($BI447-$BH447)/12)))-$BF447)/$BG447)^2*SIN(($BH447+4*($BI447-$BH447)/12))^2</f>
        <v/>
      </c>
      <c r="BO447">
        <f>((cc_D/2*(1-COS(($BH447+5*($BI447-$BH447)/12)))-$BF447)/$BG447)^2*SIN(($BH447+5*($BI447-$BH447)/12))^2</f>
        <v/>
      </c>
      <c r="BP447">
        <f>((cc_D/2*(1-COS(($BH447+6*($BI447-$BH447)/12)))-$BF447)/$BG447)^2*SIN(($BH447+6*($BI447-$BH447)/12))^2</f>
        <v/>
      </c>
      <c r="BQ447">
        <f>((cc_D/2*(1-COS(($BH447+7*($BI447-$BH447)/12)))-$BF447)/$BG447)^2*SIN(($BH447+7*($BI447-$BH447)/12))^2</f>
        <v/>
      </c>
      <c r="BR447">
        <f>((cc_D/2*(1-COS(($BH447+8*($BI447-$BH447)/12)))-$BF447)/$BG447)^2*SIN(($BH447+8*($BI447-$BH447)/12))^2</f>
        <v/>
      </c>
      <c r="BS447">
        <f>((cc_D/2*(1-COS(($BH447+9*($BI447-$BH447)/12)))-$BF447)/$BG447)^2*SIN(($BH447+9*($BI447-$BH447)/12))^2</f>
        <v/>
      </c>
      <c r="BT447">
        <f>((cc_D/2*(1-COS(($BH447+10*($BI447-$BH447)/12)))-$BF447)/$BG447)^2*SIN(($BH447+10*($BI447-$BH447)/12))^2</f>
        <v/>
      </c>
      <c r="BU447">
        <f>((cc_D/2*(1-COS(($BH447+11*($BI447-$BH447)/12)))-$BF447)/$BG447)^2*SIN(($BH447+11*($BI447-$BH447)/12))^2</f>
        <v/>
      </c>
      <c r="BV447">
        <f>((cc_D/2*(1-COS(($BH447+12*($BI447-$BH447)/12)))-$BF447)/$BG447)^2*SIN(($BH447+12*($BI447-$BH447)/12))^2</f>
        <v/>
      </c>
      <c r="BW447">
        <f>BJ447*COS(($BH447+0*($BI447-$BH447)/12))</f>
        <v/>
      </c>
      <c r="BX447">
        <f>BK447*COS(($BH447+1*($BI447-$BH447)/12))</f>
        <v/>
      </c>
      <c r="BY447">
        <f>BL447*COS(($BH447+2*($BI447-$BH447)/12))</f>
        <v/>
      </c>
      <c r="BZ447">
        <f>BM447*COS(($BH447+3*($BI447-$BH447)/12))</f>
        <v/>
      </c>
      <c r="CA447">
        <f>BN447*COS(($BH447+4*($BI447-$BH447)/12))</f>
        <v/>
      </c>
      <c r="CB447">
        <f>BO447*COS(($BH447+5*($BI447-$BH447)/12))</f>
        <v/>
      </c>
      <c r="CC447">
        <f>BP447*COS(($BH447+6*($BI447-$BH447)/12))</f>
        <v/>
      </c>
      <c r="CD447">
        <f>BQ447*COS(($BH447+7*($BI447-$BH447)/12))</f>
        <v/>
      </c>
      <c r="CE447">
        <f>BR447*COS(($BH447+8*($BI447-$BH447)/12))</f>
        <v/>
      </c>
      <c r="CF447">
        <f>BS447*COS(($BH447+9*($BI447-$BH447)/12))</f>
        <v/>
      </c>
      <c r="CG447">
        <f>BT447*COS(($BH447+10*($BI447-$BH447)/12))</f>
        <v/>
      </c>
      <c r="CH447">
        <f>BU447*COS(($BH447+11*($BI447-$BH447)/12))</f>
        <v/>
      </c>
      <c r="CI447">
        <f>BV447*COS(($BH447+12*($BI447-$BH447)/12))</f>
        <v/>
      </c>
    </row>
    <row r="448">
      <c r="B448" s="65" t="n">
        <v>44</v>
      </c>
      <c r="C448" s="66">
        <f>IF($G447&lt;cc_NEd-1E-9*ABS(cc_NEd),($C447+$D447)/2,$C447)</f>
        <v/>
      </c>
      <c r="D448" s="66">
        <f>IF($G447&lt;cc_NEd-1E-9*ABS(cc_NEd),$D447,($C447+$D447)/2)</f>
        <v/>
      </c>
      <c r="E448" s="67">
        <f>cc_D*(($C448+$D448)/2)/(1-(($C448+$D448)/2))</f>
        <v/>
      </c>
      <c r="F448" s="68">
        <f>IF($E448&lt;=cc_D,3.5,2*$E448/($E448-3*cc_D/7))</f>
        <v/>
      </c>
      <c r="G448" s="67">
        <f>(fcd_cc*((cc_D/2)^2*($BI448-COS($BI448)*SIN($BI448))-2*(cc_D/2)^2*($BI448-$BH448)/12/3*SUMPRODUCT($BJ$4:$BV$4,$BJ448:$BV448))+SUMPRODUCT($J$5:$AG$5,$J448:$AG448))/1000</f>
        <v/>
      </c>
      <c r="H448" s="67">
        <f>(fcd_cc*(2/3*(cc_D/2)^3*SIN($BI448)^3-2*(cc_D/2)^3*($BI448-$BH448)/12/3*SUMPRODUCT($BW$4:$CI$4,$BW448:$CI448))+SUMPRODUCT($J$5:$AG$5,$J448:$AG448,$J$22:$AG$22))/1E6</f>
        <v/>
      </c>
      <c r="I448" s="67">
        <f>SUMPRODUCT($J$5:$AG$5,$J448:$AG448,$J$23:$AG$23)/1E6</f>
        <v/>
      </c>
      <c r="J448">
        <f>MAX(-fyd_cc,MIN(fyd_cc,Es_cc*IF($E448&lt;=cc_D,0.0035*($E448-J$21)/$E448,0.002*($E448-J$21)/($E448-3*cc_D/7))))-fcd_cc*(1-(1-MAX(0,MIN(1,IF($E448&lt;=cc_D,0.0035*($E448-J$21)/$E448,0.002*($E448-J$21)/($E448-3*cc_D/7))/0.002)))^2)</f>
        <v/>
      </c>
      <c r="K448">
        <f>MAX(-fyd_cc,MIN(fyd_cc,Es_cc*IF($E448&lt;=cc_D,0.0035*($E448-K$21)/$E448,0.002*($E448-K$21)/($E448-3*cc_D/7))))-fcd_cc*(1-(1-MAX(0,MIN(1,IF($E448&lt;=cc_D,0.0035*($E448-K$21)/$E448,0.002*($E448-K$21)/($E448-3*cc_D/7))/0.002)))^2)</f>
        <v/>
      </c>
      <c r="L448">
        <f>MAX(-fyd_cc,MIN(fyd_cc,Es_cc*IF($E448&lt;=cc_D,0.0035*($E448-L$21)/$E448,0.002*($E448-L$21)/($E448-3*cc_D/7))))-fcd_cc*(1-(1-MAX(0,MIN(1,IF($E448&lt;=cc_D,0.0035*($E448-L$21)/$E448,0.002*($E448-L$21)/($E448-3*cc_D/7))/0.002)))^2)</f>
        <v/>
      </c>
      <c r="M448">
        <f>MAX(-fyd_cc,MIN(fyd_cc,Es_cc*IF($E448&lt;=cc_D,0.0035*($E448-M$21)/$E448,0.002*($E448-M$21)/($E448-3*cc_D/7))))-fcd_cc*(1-(1-MAX(0,MIN(1,IF($E448&lt;=cc_D,0.0035*($E448-M$21)/$E448,0.002*($E448-M$21)/($E448-3*cc_D/7))/0.002)))^2)</f>
        <v/>
      </c>
      <c r="N448">
        <f>MAX(-fyd_cc,MIN(fyd_cc,Es_cc*IF($E448&lt;=cc_D,0.0035*($E448-N$21)/$E448,0.002*($E448-N$21)/($E448-3*cc_D/7))))-fcd_cc*(1-(1-MAX(0,MIN(1,IF($E448&lt;=cc_D,0.0035*($E448-N$21)/$E448,0.002*($E448-N$21)/($E448-3*cc_D/7))/0.002)))^2)</f>
        <v/>
      </c>
      <c r="O448">
        <f>MAX(-fyd_cc,MIN(fyd_cc,Es_cc*IF($E448&lt;=cc_D,0.0035*($E448-O$21)/$E448,0.002*($E448-O$21)/($E448-3*cc_D/7))))-fcd_cc*(1-(1-MAX(0,MIN(1,IF($E448&lt;=cc_D,0.0035*($E448-O$21)/$E448,0.002*($E448-O$21)/($E448-3*cc_D/7))/0.002)))^2)</f>
        <v/>
      </c>
      <c r="P448">
        <f>MAX(-fyd_cc,MIN(fyd_cc,Es_cc*IF($E448&lt;=cc_D,0.0035*($E448-P$21)/$E448,0.002*($E448-P$21)/($E448-3*cc_D/7))))-fcd_cc*(1-(1-MAX(0,MIN(1,IF($E448&lt;=cc_D,0.0035*($E448-P$21)/$E448,0.002*($E448-P$21)/($E448-3*cc_D/7))/0.002)))^2)</f>
        <v/>
      </c>
      <c r="Q448">
        <f>MAX(-fyd_cc,MIN(fyd_cc,Es_cc*IF($E448&lt;=cc_D,0.0035*($E448-Q$21)/$E448,0.002*($E448-Q$21)/($E448-3*cc_D/7))))-fcd_cc*(1-(1-MAX(0,MIN(1,IF($E448&lt;=cc_D,0.0035*($E448-Q$21)/$E448,0.002*($E448-Q$21)/($E448-3*cc_D/7))/0.002)))^2)</f>
        <v/>
      </c>
      <c r="R448">
        <f>MAX(-fyd_cc,MIN(fyd_cc,Es_cc*IF($E448&lt;=cc_D,0.0035*($E448-R$21)/$E448,0.002*($E448-R$21)/($E448-3*cc_D/7))))-fcd_cc*(1-(1-MAX(0,MIN(1,IF($E448&lt;=cc_D,0.0035*($E448-R$21)/$E448,0.002*($E448-R$21)/($E448-3*cc_D/7))/0.002)))^2)</f>
        <v/>
      </c>
      <c r="S448">
        <f>MAX(-fyd_cc,MIN(fyd_cc,Es_cc*IF($E448&lt;=cc_D,0.0035*($E448-S$21)/$E448,0.002*($E448-S$21)/($E448-3*cc_D/7))))-fcd_cc*(1-(1-MAX(0,MIN(1,IF($E448&lt;=cc_D,0.0035*($E448-S$21)/$E448,0.002*($E448-S$21)/($E448-3*cc_D/7))/0.002)))^2)</f>
        <v/>
      </c>
      <c r="T448">
        <f>MAX(-fyd_cc,MIN(fyd_cc,Es_cc*IF($E448&lt;=cc_D,0.0035*($E448-T$21)/$E448,0.002*($E448-T$21)/($E448-3*cc_D/7))))-fcd_cc*(1-(1-MAX(0,MIN(1,IF($E448&lt;=cc_D,0.0035*($E448-T$21)/$E448,0.002*($E448-T$21)/($E448-3*cc_D/7))/0.002)))^2)</f>
        <v/>
      </c>
      <c r="U448">
        <f>MAX(-fyd_cc,MIN(fyd_cc,Es_cc*IF($E448&lt;=cc_D,0.0035*($E448-U$21)/$E448,0.002*($E448-U$21)/($E448-3*cc_D/7))))-fcd_cc*(1-(1-MAX(0,MIN(1,IF($E448&lt;=cc_D,0.0035*($E448-U$21)/$E448,0.002*($E448-U$21)/($E448-3*cc_D/7))/0.002)))^2)</f>
        <v/>
      </c>
      <c r="V448">
        <f>MAX(-fyd_cc,MIN(fyd_cc,Es_cc*IF($E448&lt;=cc_D,0.0035*($E448-V$21)/$E448,0.002*($E448-V$21)/($E448-3*cc_D/7))))-fcd_cc*(1-(1-MAX(0,MIN(1,IF($E448&lt;=cc_D,0.0035*($E448-V$21)/$E448,0.002*($E448-V$21)/($E448-3*cc_D/7))/0.002)))^2)</f>
        <v/>
      </c>
      <c r="W448">
        <f>MAX(-fyd_cc,MIN(fyd_cc,Es_cc*IF($E448&lt;=cc_D,0.0035*($E448-W$21)/$E448,0.002*($E448-W$21)/($E448-3*cc_D/7))))-fcd_cc*(1-(1-MAX(0,MIN(1,IF($E448&lt;=cc_D,0.0035*($E448-W$21)/$E448,0.002*($E448-W$21)/($E448-3*cc_D/7))/0.002)))^2)</f>
        <v/>
      </c>
      <c r="X448">
        <f>MAX(-fyd_cc,MIN(fyd_cc,Es_cc*IF($E448&lt;=cc_D,0.0035*($E448-X$21)/$E448,0.002*($E448-X$21)/($E448-3*cc_D/7))))-fcd_cc*(1-(1-MAX(0,MIN(1,IF($E448&lt;=cc_D,0.0035*($E448-X$21)/$E448,0.002*($E448-X$21)/($E448-3*cc_D/7))/0.002)))^2)</f>
        <v/>
      </c>
      <c r="Y448">
        <f>MAX(-fyd_cc,MIN(fyd_cc,Es_cc*IF($E448&lt;=cc_D,0.0035*($E448-Y$21)/$E448,0.002*($E448-Y$21)/($E448-3*cc_D/7))))-fcd_cc*(1-(1-MAX(0,MIN(1,IF($E448&lt;=cc_D,0.0035*($E448-Y$21)/$E448,0.002*($E448-Y$21)/($E448-3*cc_D/7))/0.002)))^2)</f>
        <v/>
      </c>
      <c r="Z448">
        <f>MAX(-fyd_cc,MIN(fyd_cc,Es_cc*IF($E448&lt;=cc_D,0.0035*($E448-Z$21)/$E448,0.002*($E448-Z$21)/($E448-3*cc_D/7))))-fcd_cc*(1-(1-MAX(0,MIN(1,IF($E448&lt;=cc_D,0.0035*($E448-Z$21)/$E448,0.002*($E448-Z$21)/($E448-3*cc_D/7))/0.002)))^2)</f>
        <v/>
      </c>
      <c r="AA448">
        <f>MAX(-fyd_cc,MIN(fyd_cc,Es_cc*IF($E448&lt;=cc_D,0.0035*($E448-AA$21)/$E448,0.002*($E448-AA$21)/($E448-3*cc_D/7))))-fcd_cc*(1-(1-MAX(0,MIN(1,IF($E448&lt;=cc_D,0.0035*($E448-AA$21)/$E448,0.002*($E448-AA$21)/($E448-3*cc_D/7))/0.002)))^2)</f>
        <v/>
      </c>
      <c r="AB448">
        <f>MAX(-fyd_cc,MIN(fyd_cc,Es_cc*IF($E448&lt;=cc_D,0.0035*($E448-AB$21)/$E448,0.002*($E448-AB$21)/($E448-3*cc_D/7))))-fcd_cc*(1-(1-MAX(0,MIN(1,IF($E448&lt;=cc_D,0.0035*($E448-AB$21)/$E448,0.002*($E448-AB$21)/($E448-3*cc_D/7))/0.002)))^2)</f>
        <v/>
      </c>
      <c r="AC448">
        <f>MAX(-fyd_cc,MIN(fyd_cc,Es_cc*IF($E448&lt;=cc_D,0.0035*($E448-AC$21)/$E448,0.002*($E448-AC$21)/($E448-3*cc_D/7))))-fcd_cc*(1-(1-MAX(0,MIN(1,IF($E448&lt;=cc_D,0.0035*($E448-AC$21)/$E448,0.002*($E448-AC$21)/($E448-3*cc_D/7))/0.002)))^2)</f>
        <v/>
      </c>
      <c r="AD448">
        <f>MAX(-fyd_cc,MIN(fyd_cc,Es_cc*IF($E448&lt;=cc_D,0.0035*($E448-AD$21)/$E448,0.002*($E448-AD$21)/($E448-3*cc_D/7))))-fcd_cc*(1-(1-MAX(0,MIN(1,IF($E448&lt;=cc_D,0.0035*($E448-AD$21)/$E448,0.002*($E448-AD$21)/($E448-3*cc_D/7))/0.002)))^2)</f>
        <v/>
      </c>
      <c r="AE448">
        <f>MAX(-fyd_cc,MIN(fyd_cc,Es_cc*IF($E448&lt;=cc_D,0.0035*($E448-AE$21)/$E448,0.002*($E448-AE$21)/($E448-3*cc_D/7))))-fcd_cc*(1-(1-MAX(0,MIN(1,IF($E448&lt;=cc_D,0.0035*($E448-AE$21)/$E448,0.002*($E448-AE$21)/($E448-3*cc_D/7))/0.002)))^2)</f>
        <v/>
      </c>
      <c r="AF448">
        <f>MAX(-fyd_cc,MIN(fyd_cc,Es_cc*IF($E448&lt;=cc_D,0.0035*($E448-AF$21)/$E448,0.002*($E448-AF$21)/($E448-3*cc_D/7))))-fcd_cc*(1-(1-MAX(0,MIN(1,IF($E448&lt;=cc_D,0.0035*($E448-AF$21)/$E448,0.002*($E448-AF$21)/($E448-3*cc_D/7))/0.002)))^2)</f>
        <v/>
      </c>
      <c r="AG448">
        <f>MAX(-fyd_cc,MIN(fyd_cc,Es_cc*IF($E448&lt;=cc_D,0.0035*($E448-AG$21)/$E448,0.002*($E448-AG$21)/($E448-3*cc_D/7))))-fcd_cc*(1-(1-MAX(0,MIN(1,IF($E448&lt;=cc_D,0.0035*($E448-AG$21)/$E448,0.002*($E448-AG$21)/($E448-3*cc_D/7))/0.002)))^2)</f>
        <v/>
      </c>
      <c r="BF448">
        <f>3*MIN($E448,cc_D)/7</f>
        <v/>
      </c>
      <c r="BG448">
        <f>$E448-$BF448</f>
        <v/>
      </c>
      <c r="BH448">
        <f>ACOS(MAX(-1,MIN(1,1-$BF448/(cc_D/2))))</f>
        <v/>
      </c>
      <c r="BI448">
        <f>ACOS(MAX(-1,MIN(1,1-MIN($E448,cc_D)/(cc_D/2))))</f>
        <v/>
      </c>
      <c r="BJ448">
        <f>((cc_D/2*(1-COS(($BH448+0*($BI448-$BH448)/12)))-$BF448)/$BG448)^2*SIN(($BH448+0*($BI448-$BH448)/12))^2</f>
        <v/>
      </c>
      <c r="BK448">
        <f>((cc_D/2*(1-COS(($BH448+1*($BI448-$BH448)/12)))-$BF448)/$BG448)^2*SIN(($BH448+1*($BI448-$BH448)/12))^2</f>
        <v/>
      </c>
      <c r="BL448">
        <f>((cc_D/2*(1-COS(($BH448+2*($BI448-$BH448)/12)))-$BF448)/$BG448)^2*SIN(($BH448+2*($BI448-$BH448)/12))^2</f>
        <v/>
      </c>
      <c r="BM448">
        <f>((cc_D/2*(1-COS(($BH448+3*($BI448-$BH448)/12)))-$BF448)/$BG448)^2*SIN(($BH448+3*($BI448-$BH448)/12))^2</f>
        <v/>
      </c>
      <c r="BN448">
        <f>((cc_D/2*(1-COS(($BH448+4*($BI448-$BH448)/12)))-$BF448)/$BG448)^2*SIN(($BH448+4*($BI448-$BH448)/12))^2</f>
        <v/>
      </c>
      <c r="BO448">
        <f>((cc_D/2*(1-COS(($BH448+5*($BI448-$BH448)/12)))-$BF448)/$BG448)^2*SIN(($BH448+5*($BI448-$BH448)/12))^2</f>
        <v/>
      </c>
      <c r="BP448">
        <f>((cc_D/2*(1-COS(($BH448+6*($BI448-$BH448)/12)))-$BF448)/$BG448)^2*SIN(($BH448+6*($BI448-$BH448)/12))^2</f>
        <v/>
      </c>
      <c r="BQ448">
        <f>((cc_D/2*(1-COS(($BH448+7*($BI448-$BH448)/12)))-$BF448)/$BG448)^2*SIN(($BH448+7*($BI448-$BH448)/12))^2</f>
        <v/>
      </c>
      <c r="BR448">
        <f>((cc_D/2*(1-COS(($BH448+8*($BI448-$BH448)/12)))-$BF448)/$BG448)^2*SIN(($BH448+8*($BI448-$BH448)/12))^2</f>
        <v/>
      </c>
      <c r="BS448">
        <f>((cc_D/2*(1-COS(($BH448+9*($BI448-$BH448)/12)))-$BF448)/$BG448)^2*SIN(($BH448+9*($BI448-$BH448)/12))^2</f>
        <v/>
      </c>
      <c r="BT448">
        <f>((cc_D/2*(1-COS(($BH448+10*($BI448-$BH448)/12)))-$BF448)/$BG448)^2*SIN(($BH448+10*($BI448-$BH448)/12))^2</f>
        <v/>
      </c>
      <c r="BU448">
        <f>((cc_D/2*(1-COS(($BH448+11*($BI448-$BH448)/12)))-$BF448)/$BG448)^2*SIN(($BH448+11*($BI448-$BH448)/12))^2</f>
        <v/>
      </c>
      <c r="BV448">
        <f>((cc_D/2*(1-COS(($BH448+12*($BI448-$BH448)/12)))-$BF448)/$BG448)^2*SIN(($BH448+12*($BI448-$BH448)/12))^2</f>
        <v/>
      </c>
      <c r="BW448">
        <f>BJ448*COS(($BH448+0*($BI448-$BH448)/12))</f>
        <v/>
      </c>
      <c r="BX448">
        <f>BK448*COS(($BH448+1*($BI448-$BH448)/12))</f>
        <v/>
      </c>
      <c r="BY448">
        <f>BL448*COS(($BH448+2*($BI448-$BH448)/12))</f>
        <v/>
      </c>
      <c r="BZ448">
        <f>BM448*COS(($BH448+3*($BI448-$BH448)/12))</f>
        <v/>
      </c>
      <c r="CA448">
        <f>BN448*COS(($BH448+4*($BI448-$BH448)/12))</f>
        <v/>
      </c>
      <c r="CB448">
        <f>BO448*COS(($BH448+5*($BI448-$BH448)/12))</f>
        <v/>
      </c>
      <c r="CC448">
        <f>BP448*COS(($BH448+6*($BI448-$BH448)/12))</f>
        <v/>
      </c>
      <c r="CD448">
        <f>BQ448*COS(($BH448+7*($BI448-$BH448)/12))</f>
        <v/>
      </c>
      <c r="CE448">
        <f>BR448*COS(($BH448+8*($BI448-$BH448)/12))</f>
        <v/>
      </c>
      <c r="CF448">
        <f>BS448*COS(($BH448+9*($BI448-$BH448)/12))</f>
        <v/>
      </c>
      <c r="CG448">
        <f>BT448*COS(($BH448+10*($BI448-$BH448)/12))</f>
        <v/>
      </c>
      <c r="CH448">
        <f>BU448*COS(($BH448+11*($BI448-$BH448)/12))</f>
        <v/>
      </c>
      <c r="CI448">
        <f>BV448*COS(($BH448+12*($BI448-$BH448)/12))</f>
        <v/>
      </c>
    </row>
    <row r="449">
      <c r="B449" s="65" t="n">
        <v>45</v>
      </c>
      <c r="C449" s="66">
        <f>IF($G448&lt;cc_NEd-1E-9*ABS(cc_NEd),($C448+$D448)/2,$C448)</f>
        <v/>
      </c>
      <c r="D449" s="66">
        <f>IF($G448&lt;cc_NEd-1E-9*ABS(cc_NEd),$D448,($C448+$D448)/2)</f>
        <v/>
      </c>
      <c r="E449" s="67">
        <f>cc_D*(($C449+$D449)/2)/(1-(($C449+$D449)/2))</f>
        <v/>
      </c>
      <c r="F449" s="68">
        <f>IF($E449&lt;=cc_D,3.5,2*$E449/($E449-3*cc_D/7))</f>
        <v/>
      </c>
      <c r="G449" s="67">
        <f>(fcd_cc*((cc_D/2)^2*($BI449-COS($BI449)*SIN($BI449))-2*(cc_D/2)^2*($BI449-$BH449)/12/3*SUMPRODUCT($BJ$4:$BV$4,$BJ449:$BV449))+SUMPRODUCT($J$5:$AG$5,$J449:$AG449))/1000</f>
        <v/>
      </c>
      <c r="H449" s="67">
        <f>(fcd_cc*(2/3*(cc_D/2)^3*SIN($BI449)^3-2*(cc_D/2)^3*($BI449-$BH449)/12/3*SUMPRODUCT($BW$4:$CI$4,$BW449:$CI449))+SUMPRODUCT($J$5:$AG$5,$J449:$AG449,$J$22:$AG$22))/1E6</f>
        <v/>
      </c>
      <c r="I449" s="67">
        <f>SUMPRODUCT($J$5:$AG$5,$J449:$AG449,$J$23:$AG$23)/1E6</f>
        <v/>
      </c>
      <c r="J449">
        <f>MAX(-fyd_cc,MIN(fyd_cc,Es_cc*IF($E449&lt;=cc_D,0.0035*($E449-J$21)/$E449,0.002*($E449-J$21)/($E449-3*cc_D/7))))-fcd_cc*(1-(1-MAX(0,MIN(1,IF($E449&lt;=cc_D,0.0035*($E449-J$21)/$E449,0.002*($E449-J$21)/($E449-3*cc_D/7))/0.002)))^2)</f>
        <v/>
      </c>
      <c r="K449">
        <f>MAX(-fyd_cc,MIN(fyd_cc,Es_cc*IF($E449&lt;=cc_D,0.0035*($E449-K$21)/$E449,0.002*($E449-K$21)/($E449-3*cc_D/7))))-fcd_cc*(1-(1-MAX(0,MIN(1,IF($E449&lt;=cc_D,0.0035*($E449-K$21)/$E449,0.002*($E449-K$21)/($E449-3*cc_D/7))/0.002)))^2)</f>
        <v/>
      </c>
      <c r="L449">
        <f>MAX(-fyd_cc,MIN(fyd_cc,Es_cc*IF($E449&lt;=cc_D,0.0035*($E449-L$21)/$E449,0.002*($E449-L$21)/($E449-3*cc_D/7))))-fcd_cc*(1-(1-MAX(0,MIN(1,IF($E449&lt;=cc_D,0.0035*($E449-L$21)/$E449,0.002*($E449-L$21)/($E449-3*cc_D/7))/0.002)))^2)</f>
        <v/>
      </c>
      <c r="M449">
        <f>MAX(-fyd_cc,MIN(fyd_cc,Es_cc*IF($E449&lt;=cc_D,0.0035*($E449-M$21)/$E449,0.002*($E449-M$21)/($E449-3*cc_D/7))))-fcd_cc*(1-(1-MAX(0,MIN(1,IF($E449&lt;=cc_D,0.0035*($E449-M$21)/$E449,0.002*($E449-M$21)/($E449-3*cc_D/7))/0.002)))^2)</f>
        <v/>
      </c>
      <c r="N449">
        <f>MAX(-fyd_cc,MIN(fyd_cc,Es_cc*IF($E449&lt;=cc_D,0.0035*($E449-N$21)/$E449,0.002*($E449-N$21)/($E449-3*cc_D/7))))-fcd_cc*(1-(1-MAX(0,MIN(1,IF($E449&lt;=cc_D,0.0035*($E449-N$21)/$E449,0.002*($E449-N$21)/($E449-3*cc_D/7))/0.002)))^2)</f>
        <v/>
      </c>
      <c r="O449">
        <f>MAX(-fyd_cc,MIN(fyd_cc,Es_cc*IF($E449&lt;=cc_D,0.0035*($E449-O$21)/$E449,0.002*($E449-O$21)/($E449-3*cc_D/7))))-fcd_cc*(1-(1-MAX(0,MIN(1,IF($E449&lt;=cc_D,0.0035*($E449-O$21)/$E449,0.002*($E449-O$21)/($E449-3*cc_D/7))/0.002)))^2)</f>
        <v/>
      </c>
      <c r="P449">
        <f>MAX(-fyd_cc,MIN(fyd_cc,Es_cc*IF($E449&lt;=cc_D,0.0035*($E449-P$21)/$E449,0.002*($E449-P$21)/($E449-3*cc_D/7))))-fcd_cc*(1-(1-MAX(0,MIN(1,IF($E449&lt;=cc_D,0.0035*($E449-P$21)/$E449,0.002*($E449-P$21)/($E449-3*cc_D/7))/0.002)))^2)</f>
        <v/>
      </c>
      <c r="Q449">
        <f>MAX(-fyd_cc,MIN(fyd_cc,Es_cc*IF($E449&lt;=cc_D,0.0035*($E449-Q$21)/$E449,0.002*($E449-Q$21)/($E449-3*cc_D/7))))-fcd_cc*(1-(1-MAX(0,MIN(1,IF($E449&lt;=cc_D,0.0035*($E449-Q$21)/$E449,0.002*($E449-Q$21)/($E449-3*cc_D/7))/0.002)))^2)</f>
        <v/>
      </c>
      <c r="R449">
        <f>MAX(-fyd_cc,MIN(fyd_cc,Es_cc*IF($E449&lt;=cc_D,0.0035*($E449-R$21)/$E449,0.002*($E449-R$21)/($E449-3*cc_D/7))))-fcd_cc*(1-(1-MAX(0,MIN(1,IF($E449&lt;=cc_D,0.0035*($E449-R$21)/$E449,0.002*($E449-R$21)/($E449-3*cc_D/7))/0.002)))^2)</f>
        <v/>
      </c>
      <c r="S449">
        <f>MAX(-fyd_cc,MIN(fyd_cc,Es_cc*IF($E449&lt;=cc_D,0.0035*($E449-S$21)/$E449,0.002*($E449-S$21)/($E449-3*cc_D/7))))-fcd_cc*(1-(1-MAX(0,MIN(1,IF($E449&lt;=cc_D,0.0035*($E449-S$21)/$E449,0.002*($E449-S$21)/($E449-3*cc_D/7))/0.002)))^2)</f>
        <v/>
      </c>
      <c r="T449">
        <f>MAX(-fyd_cc,MIN(fyd_cc,Es_cc*IF($E449&lt;=cc_D,0.0035*($E449-T$21)/$E449,0.002*($E449-T$21)/($E449-3*cc_D/7))))-fcd_cc*(1-(1-MAX(0,MIN(1,IF($E449&lt;=cc_D,0.0035*($E449-T$21)/$E449,0.002*($E449-T$21)/($E449-3*cc_D/7))/0.002)))^2)</f>
        <v/>
      </c>
      <c r="U449">
        <f>MAX(-fyd_cc,MIN(fyd_cc,Es_cc*IF($E449&lt;=cc_D,0.0035*($E449-U$21)/$E449,0.002*($E449-U$21)/($E449-3*cc_D/7))))-fcd_cc*(1-(1-MAX(0,MIN(1,IF($E449&lt;=cc_D,0.0035*($E449-U$21)/$E449,0.002*($E449-U$21)/($E449-3*cc_D/7))/0.002)))^2)</f>
        <v/>
      </c>
      <c r="V449">
        <f>MAX(-fyd_cc,MIN(fyd_cc,Es_cc*IF($E449&lt;=cc_D,0.0035*($E449-V$21)/$E449,0.002*($E449-V$21)/($E449-3*cc_D/7))))-fcd_cc*(1-(1-MAX(0,MIN(1,IF($E449&lt;=cc_D,0.0035*($E449-V$21)/$E449,0.002*($E449-V$21)/($E449-3*cc_D/7))/0.002)))^2)</f>
        <v/>
      </c>
      <c r="W449">
        <f>MAX(-fyd_cc,MIN(fyd_cc,Es_cc*IF($E449&lt;=cc_D,0.0035*($E449-W$21)/$E449,0.002*($E449-W$21)/($E449-3*cc_D/7))))-fcd_cc*(1-(1-MAX(0,MIN(1,IF($E449&lt;=cc_D,0.0035*($E449-W$21)/$E449,0.002*($E449-W$21)/($E449-3*cc_D/7))/0.002)))^2)</f>
        <v/>
      </c>
      <c r="X449">
        <f>MAX(-fyd_cc,MIN(fyd_cc,Es_cc*IF($E449&lt;=cc_D,0.0035*($E449-X$21)/$E449,0.002*($E449-X$21)/($E449-3*cc_D/7))))-fcd_cc*(1-(1-MAX(0,MIN(1,IF($E449&lt;=cc_D,0.0035*($E449-X$21)/$E449,0.002*($E449-X$21)/($E449-3*cc_D/7))/0.002)))^2)</f>
        <v/>
      </c>
      <c r="Y449">
        <f>MAX(-fyd_cc,MIN(fyd_cc,Es_cc*IF($E449&lt;=cc_D,0.0035*($E449-Y$21)/$E449,0.002*($E449-Y$21)/($E449-3*cc_D/7))))-fcd_cc*(1-(1-MAX(0,MIN(1,IF($E449&lt;=cc_D,0.0035*($E449-Y$21)/$E449,0.002*($E449-Y$21)/($E449-3*cc_D/7))/0.002)))^2)</f>
        <v/>
      </c>
      <c r="Z449">
        <f>MAX(-fyd_cc,MIN(fyd_cc,Es_cc*IF($E449&lt;=cc_D,0.0035*($E449-Z$21)/$E449,0.002*($E449-Z$21)/($E449-3*cc_D/7))))-fcd_cc*(1-(1-MAX(0,MIN(1,IF($E449&lt;=cc_D,0.0035*($E449-Z$21)/$E449,0.002*($E449-Z$21)/($E449-3*cc_D/7))/0.002)))^2)</f>
        <v/>
      </c>
      <c r="AA449">
        <f>MAX(-fyd_cc,MIN(fyd_cc,Es_cc*IF($E449&lt;=cc_D,0.0035*($E449-AA$21)/$E449,0.002*($E449-AA$21)/($E449-3*cc_D/7))))-fcd_cc*(1-(1-MAX(0,MIN(1,IF($E449&lt;=cc_D,0.0035*($E449-AA$21)/$E449,0.002*($E449-AA$21)/($E449-3*cc_D/7))/0.002)))^2)</f>
        <v/>
      </c>
      <c r="AB449">
        <f>MAX(-fyd_cc,MIN(fyd_cc,Es_cc*IF($E449&lt;=cc_D,0.0035*($E449-AB$21)/$E449,0.002*($E449-AB$21)/($E449-3*cc_D/7))))-fcd_cc*(1-(1-MAX(0,MIN(1,IF($E449&lt;=cc_D,0.0035*($E449-AB$21)/$E449,0.002*($E449-AB$21)/($E449-3*cc_D/7))/0.002)))^2)</f>
        <v/>
      </c>
      <c r="AC449">
        <f>MAX(-fyd_cc,MIN(fyd_cc,Es_cc*IF($E449&lt;=cc_D,0.0035*($E449-AC$21)/$E449,0.002*($E449-AC$21)/($E449-3*cc_D/7))))-fcd_cc*(1-(1-MAX(0,MIN(1,IF($E449&lt;=cc_D,0.0035*($E449-AC$21)/$E449,0.002*($E449-AC$21)/($E449-3*cc_D/7))/0.002)))^2)</f>
        <v/>
      </c>
      <c r="AD449">
        <f>MAX(-fyd_cc,MIN(fyd_cc,Es_cc*IF($E449&lt;=cc_D,0.0035*($E449-AD$21)/$E449,0.002*($E449-AD$21)/($E449-3*cc_D/7))))-fcd_cc*(1-(1-MAX(0,MIN(1,IF($E449&lt;=cc_D,0.0035*($E449-AD$21)/$E449,0.002*($E449-AD$21)/($E449-3*cc_D/7))/0.002)))^2)</f>
        <v/>
      </c>
      <c r="AE449">
        <f>MAX(-fyd_cc,MIN(fyd_cc,Es_cc*IF($E449&lt;=cc_D,0.0035*($E449-AE$21)/$E449,0.002*($E449-AE$21)/($E449-3*cc_D/7))))-fcd_cc*(1-(1-MAX(0,MIN(1,IF($E449&lt;=cc_D,0.0035*($E449-AE$21)/$E449,0.002*($E449-AE$21)/($E449-3*cc_D/7))/0.002)))^2)</f>
        <v/>
      </c>
      <c r="AF449">
        <f>MAX(-fyd_cc,MIN(fyd_cc,Es_cc*IF($E449&lt;=cc_D,0.0035*($E449-AF$21)/$E449,0.002*($E449-AF$21)/($E449-3*cc_D/7))))-fcd_cc*(1-(1-MAX(0,MIN(1,IF($E449&lt;=cc_D,0.0035*($E449-AF$21)/$E449,0.002*($E449-AF$21)/($E449-3*cc_D/7))/0.002)))^2)</f>
        <v/>
      </c>
      <c r="AG449">
        <f>MAX(-fyd_cc,MIN(fyd_cc,Es_cc*IF($E449&lt;=cc_D,0.0035*($E449-AG$21)/$E449,0.002*($E449-AG$21)/($E449-3*cc_D/7))))-fcd_cc*(1-(1-MAX(0,MIN(1,IF($E449&lt;=cc_D,0.0035*($E449-AG$21)/$E449,0.002*($E449-AG$21)/($E449-3*cc_D/7))/0.002)))^2)</f>
        <v/>
      </c>
      <c r="BF449">
        <f>3*MIN($E449,cc_D)/7</f>
        <v/>
      </c>
      <c r="BG449">
        <f>$E449-$BF449</f>
        <v/>
      </c>
      <c r="BH449">
        <f>ACOS(MAX(-1,MIN(1,1-$BF449/(cc_D/2))))</f>
        <v/>
      </c>
      <c r="BI449">
        <f>ACOS(MAX(-1,MIN(1,1-MIN($E449,cc_D)/(cc_D/2))))</f>
        <v/>
      </c>
      <c r="BJ449">
        <f>((cc_D/2*(1-COS(($BH449+0*($BI449-$BH449)/12)))-$BF449)/$BG449)^2*SIN(($BH449+0*($BI449-$BH449)/12))^2</f>
        <v/>
      </c>
      <c r="BK449">
        <f>((cc_D/2*(1-COS(($BH449+1*($BI449-$BH449)/12)))-$BF449)/$BG449)^2*SIN(($BH449+1*($BI449-$BH449)/12))^2</f>
        <v/>
      </c>
      <c r="BL449">
        <f>((cc_D/2*(1-COS(($BH449+2*($BI449-$BH449)/12)))-$BF449)/$BG449)^2*SIN(($BH449+2*($BI449-$BH449)/12))^2</f>
        <v/>
      </c>
      <c r="BM449">
        <f>((cc_D/2*(1-COS(($BH449+3*($BI449-$BH449)/12)))-$BF449)/$BG449)^2*SIN(($BH449+3*($BI449-$BH449)/12))^2</f>
        <v/>
      </c>
      <c r="BN449">
        <f>((cc_D/2*(1-COS(($BH449+4*($BI449-$BH449)/12)))-$BF449)/$BG449)^2*SIN(($BH449+4*($BI449-$BH449)/12))^2</f>
        <v/>
      </c>
      <c r="BO449">
        <f>((cc_D/2*(1-COS(($BH449+5*($BI449-$BH449)/12)))-$BF449)/$BG449)^2*SIN(($BH449+5*($BI449-$BH449)/12))^2</f>
        <v/>
      </c>
      <c r="BP449">
        <f>((cc_D/2*(1-COS(($BH449+6*($BI449-$BH449)/12)))-$BF449)/$BG449)^2*SIN(($BH449+6*($BI449-$BH449)/12))^2</f>
        <v/>
      </c>
      <c r="BQ449">
        <f>((cc_D/2*(1-COS(($BH449+7*($BI449-$BH449)/12)))-$BF449)/$BG449)^2*SIN(($BH449+7*($BI449-$BH449)/12))^2</f>
        <v/>
      </c>
      <c r="BR449">
        <f>((cc_D/2*(1-COS(($BH449+8*($BI449-$BH449)/12)))-$BF449)/$BG449)^2*SIN(($BH449+8*($BI449-$BH449)/12))^2</f>
        <v/>
      </c>
      <c r="BS449">
        <f>((cc_D/2*(1-COS(($BH449+9*($BI449-$BH449)/12)))-$BF449)/$BG449)^2*SIN(($BH449+9*($BI449-$BH449)/12))^2</f>
        <v/>
      </c>
      <c r="BT449">
        <f>((cc_D/2*(1-COS(($BH449+10*($BI449-$BH449)/12)))-$BF449)/$BG449)^2*SIN(($BH449+10*($BI449-$BH449)/12))^2</f>
        <v/>
      </c>
      <c r="BU449">
        <f>((cc_D/2*(1-COS(($BH449+11*($BI449-$BH449)/12)))-$BF449)/$BG449)^2*SIN(($BH449+11*($BI449-$BH449)/12))^2</f>
        <v/>
      </c>
      <c r="BV449">
        <f>((cc_D/2*(1-COS(($BH449+12*($BI449-$BH449)/12)))-$BF449)/$BG449)^2*SIN(($BH449+12*($BI449-$BH449)/12))^2</f>
        <v/>
      </c>
      <c r="BW449">
        <f>BJ449*COS(($BH449+0*($BI449-$BH449)/12))</f>
        <v/>
      </c>
      <c r="BX449">
        <f>BK449*COS(($BH449+1*($BI449-$BH449)/12))</f>
        <v/>
      </c>
      <c r="BY449">
        <f>BL449*COS(($BH449+2*($BI449-$BH449)/12))</f>
        <v/>
      </c>
      <c r="BZ449">
        <f>BM449*COS(($BH449+3*($BI449-$BH449)/12))</f>
        <v/>
      </c>
      <c r="CA449">
        <f>BN449*COS(($BH449+4*($BI449-$BH449)/12))</f>
        <v/>
      </c>
      <c r="CB449">
        <f>BO449*COS(($BH449+5*($BI449-$BH449)/12))</f>
        <v/>
      </c>
      <c r="CC449">
        <f>BP449*COS(($BH449+6*($BI449-$BH449)/12))</f>
        <v/>
      </c>
      <c r="CD449">
        <f>BQ449*COS(($BH449+7*($BI449-$BH449)/12))</f>
        <v/>
      </c>
      <c r="CE449">
        <f>BR449*COS(($BH449+8*($BI449-$BH449)/12))</f>
        <v/>
      </c>
      <c r="CF449">
        <f>BS449*COS(($BH449+9*($BI449-$BH449)/12))</f>
        <v/>
      </c>
      <c r="CG449">
        <f>BT449*COS(($BH449+10*($BI449-$BH449)/12))</f>
        <v/>
      </c>
      <c r="CH449">
        <f>BU449*COS(($BH449+11*($BI449-$BH449)/12))</f>
        <v/>
      </c>
      <c r="CI449">
        <f>BV449*COS(($BH449+12*($BI449-$BH449)/12))</f>
        <v/>
      </c>
    </row>
    <row r="450">
      <c r="B450" s="65" t="n">
        <v>46</v>
      </c>
      <c r="C450" s="66">
        <f>IF($G449&lt;cc_NEd-1E-9*ABS(cc_NEd),($C449+$D449)/2,$C449)</f>
        <v/>
      </c>
      <c r="D450" s="66">
        <f>IF($G449&lt;cc_NEd-1E-9*ABS(cc_NEd),$D449,($C449+$D449)/2)</f>
        <v/>
      </c>
      <c r="E450" s="67">
        <f>cc_D*(($C450+$D450)/2)/(1-(($C450+$D450)/2))</f>
        <v/>
      </c>
      <c r="F450" s="68">
        <f>IF($E450&lt;=cc_D,3.5,2*$E450/($E450-3*cc_D/7))</f>
        <v/>
      </c>
      <c r="G450" s="67">
        <f>(fcd_cc*((cc_D/2)^2*($BI450-COS($BI450)*SIN($BI450))-2*(cc_D/2)^2*($BI450-$BH450)/12/3*SUMPRODUCT($BJ$4:$BV$4,$BJ450:$BV450))+SUMPRODUCT($J$5:$AG$5,$J450:$AG450))/1000</f>
        <v/>
      </c>
      <c r="H450" s="67">
        <f>(fcd_cc*(2/3*(cc_D/2)^3*SIN($BI450)^3-2*(cc_D/2)^3*($BI450-$BH450)/12/3*SUMPRODUCT($BW$4:$CI$4,$BW450:$CI450))+SUMPRODUCT($J$5:$AG$5,$J450:$AG450,$J$22:$AG$22))/1E6</f>
        <v/>
      </c>
      <c r="I450" s="67">
        <f>SUMPRODUCT($J$5:$AG$5,$J450:$AG450,$J$23:$AG$23)/1E6</f>
        <v/>
      </c>
      <c r="J450">
        <f>MAX(-fyd_cc,MIN(fyd_cc,Es_cc*IF($E450&lt;=cc_D,0.0035*($E450-J$21)/$E450,0.002*($E450-J$21)/($E450-3*cc_D/7))))-fcd_cc*(1-(1-MAX(0,MIN(1,IF($E450&lt;=cc_D,0.0035*($E450-J$21)/$E450,0.002*($E450-J$21)/($E450-3*cc_D/7))/0.002)))^2)</f>
        <v/>
      </c>
      <c r="K450">
        <f>MAX(-fyd_cc,MIN(fyd_cc,Es_cc*IF($E450&lt;=cc_D,0.0035*($E450-K$21)/$E450,0.002*($E450-K$21)/($E450-3*cc_D/7))))-fcd_cc*(1-(1-MAX(0,MIN(1,IF($E450&lt;=cc_D,0.0035*($E450-K$21)/$E450,0.002*($E450-K$21)/($E450-3*cc_D/7))/0.002)))^2)</f>
        <v/>
      </c>
      <c r="L450">
        <f>MAX(-fyd_cc,MIN(fyd_cc,Es_cc*IF($E450&lt;=cc_D,0.0035*($E450-L$21)/$E450,0.002*($E450-L$21)/($E450-3*cc_D/7))))-fcd_cc*(1-(1-MAX(0,MIN(1,IF($E450&lt;=cc_D,0.0035*($E450-L$21)/$E450,0.002*($E450-L$21)/($E450-3*cc_D/7))/0.002)))^2)</f>
        <v/>
      </c>
      <c r="M450">
        <f>MAX(-fyd_cc,MIN(fyd_cc,Es_cc*IF($E450&lt;=cc_D,0.0035*($E450-M$21)/$E450,0.002*($E450-M$21)/($E450-3*cc_D/7))))-fcd_cc*(1-(1-MAX(0,MIN(1,IF($E450&lt;=cc_D,0.0035*($E450-M$21)/$E450,0.002*($E450-M$21)/($E450-3*cc_D/7))/0.002)))^2)</f>
        <v/>
      </c>
      <c r="N450">
        <f>MAX(-fyd_cc,MIN(fyd_cc,Es_cc*IF($E450&lt;=cc_D,0.0035*($E450-N$21)/$E450,0.002*($E450-N$21)/($E450-3*cc_D/7))))-fcd_cc*(1-(1-MAX(0,MIN(1,IF($E450&lt;=cc_D,0.0035*($E450-N$21)/$E450,0.002*($E450-N$21)/($E450-3*cc_D/7))/0.002)))^2)</f>
        <v/>
      </c>
      <c r="O450">
        <f>MAX(-fyd_cc,MIN(fyd_cc,Es_cc*IF($E450&lt;=cc_D,0.0035*($E450-O$21)/$E450,0.002*($E450-O$21)/($E450-3*cc_D/7))))-fcd_cc*(1-(1-MAX(0,MIN(1,IF($E450&lt;=cc_D,0.0035*($E450-O$21)/$E450,0.002*($E450-O$21)/($E450-3*cc_D/7))/0.002)))^2)</f>
        <v/>
      </c>
      <c r="P450">
        <f>MAX(-fyd_cc,MIN(fyd_cc,Es_cc*IF($E450&lt;=cc_D,0.0035*($E450-P$21)/$E450,0.002*($E450-P$21)/($E450-3*cc_D/7))))-fcd_cc*(1-(1-MAX(0,MIN(1,IF($E450&lt;=cc_D,0.0035*($E450-P$21)/$E450,0.002*($E450-P$21)/($E450-3*cc_D/7))/0.002)))^2)</f>
        <v/>
      </c>
      <c r="Q450">
        <f>MAX(-fyd_cc,MIN(fyd_cc,Es_cc*IF($E450&lt;=cc_D,0.0035*($E450-Q$21)/$E450,0.002*($E450-Q$21)/($E450-3*cc_D/7))))-fcd_cc*(1-(1-MAX(0,MIN(1,IF($E450&lt;=cc_D,0.0035*($E450-Q$21)/$E450,0.002*($E450-Q$21)/($E450-3*cc_D/7))/0.002)))^2)</f>
        <v/>
      </c>
      <c r="R450">
        <f>MAX(-fyd_cc,MIN(fyd_cc,Es_cc*IF($E450&lt;=cc_D,0.0035*($E450-R$21)/$E450,0.002*($E450-R$21)/($E450-3*cc_D/7))))-fcd_cc*(1-(1-MAX(0,MIN(1,IF($E450&lt;=cc_D,0.0035*($E450-R$21)/$E450,0.002*($E450-R$21)/($E450-3*cc_D/7))/0.002)))^2)</f>
        <v/>
      </c>
      <c r="S450">
        <f>MAX(-fyd_cc,MIN(fyd_cc,Es_cc*IF($E450&lt;=cc_D,0.0035*($E450-S$21)/$E450,0.002*($E450-S$21)/($E450-3*cc_D/7))))-fcd_cc*(1-(1-MAX(0,MIN(1,IF($E450&lt;=cc_D,0.0035*($E450-S$21)/$E450,0.002*($E450-S$21)/($E450-3*cc_D/7))/0.002)))^2)</f>
        <v/>
      </c>
      <c r="T450">
        <f>MAX(-fyd_cc,MIN(fyd_cc,Es_cc*IF($E450&lt;=cc_D,0.0035*($E450-T$21)/$E450,0.002*($E450-T$21)/($E450-3*cc_D/7))))-fcd_cc*(1-(1-MAX(0,MIN(1,IF($E450&lt;=cc_D,0.0035*($E450-T$21)/$E450,0.002*($E450-T$21)/($E450-3*cc_D/7))/0.002)))^2)</f>
        <v/>
      </c>
      <c r="U450">
        <f>MAX(-fyd_cc,MIN(fyd_cc,Es_cc*IF($E450&lt;=cc_D,0.0035*($E450-U$21)/$E450,0.002*($E450-U$21)/($E450-3*cc_D/7))))-fcd_cc*(1-(1-MAX(0,MIN(1,IF($E450&lt;=cc_D,0.0035*($E450-U$21)/$E450,0.002*($E450-U$21)/($E450-3*cc_D/7))/0.002)))^2)</f>
        <v/>
      </c>
      <c r="V450">
        <f>MAX(-fyd_cc,MIN(fyd_cc,Es_cc*IF($E450&lt;=cc_D,0.0035*($E450-V$21)/$E450,0.002*($E450-V$21)/($E450-3*cc_D/7))))-fcd_cc*(1-(1-MAX(0,MIN(1,IF($E450&lt;=cc_D,0.0035*($E450-V$21)/$E450,0.002*($E450-V$21)/($E450-3*cc_D/7))/0.002)))^2)</f>
        <v/>
      </c>
      <c r="W450">
        <f>MAX(-fyd_cc,MIN(fyd_cc,Es_cc*IF($E450&lt;=cc_D,0.0035*($E450-W$21)/$E450,0.002*($E450-W$21)/($E450-3*cc_D/7))))-fcd_cc*(1-(1-MAX(0,MIN(1,IF($E450&lt;=cc_D,0.0035*($E450-W$21)/$E450,0.002*($E450-W$21)/($E450-3*cc_D/7))/0.002)))^2)</f>
        <v/>
      </c>
      <c r="X450">
        <f>MAX(-fyd_cc,MIN(fyd_cc,Es_cc*IF($E450&lt;=cc_D,0.0035*($E450-X$21)/$E450,0.002*($E450-X$21)/($E450-3*cc_D/7))))-fcd_cc*(1-(1-MAX(0,MIN(1,IF($E450&lt;=cc_D,0.0035*($E450-X$21)/$E450,0.002*($E450-X$21)/($E450-3*cc_D/7))/0.002)))^2)</f>
        <v/>
      </c>
      <c r="Y450">
        <f>MAX(-fyd_cc,MIN(fyd_cc,Es_cc*IF($E450&lt;=cc_D,0.0035*($E450-Y$21)/$E450,0.002*($E450-Y$21)/($E450-3*cc_D/7))))-fcd_cc*(1-(1-MAX(0,MIN(1,IF($E450&lt;=cc_D,0.0035*($E450-Y$21)/$E450,0.002*($E450-Y$21)/($E450-3*cc_D/7))/0.002)))^2)</f>
        <v/>
      </c>
      <c r="Z450">
        <f>MAX(-fyd_cc,MIN(fyd_cc,Es_cc*IF($E450&lt;=cc_D,0.0035*($E450-Z$21)/$E450,0.002*($E450-Z$21)/($E450-3*cc_D/7))))-fcd_cc*(1-(1-MAX(0,MIN(1,IF($E450&lt;=cc_D,0.0035*($E450-Z$21)/$E450,0.002*($E450-Z$21)/($E450-3*cc_D/7))/0.002)))^2)</f>
        <v/>
      </c>
      <c r="AA450">
        <f>MAX(-fyd_cc,MIN(fyd_cc,Es_cc*IF($E450&lt;=cc_D,0.0035*($E450-AA$21)/$E450,0.002*($E450-AA$21)/($E450-3*cc_D/7))))-fcd_cc*(1-(1-MAX(0,MIN(1,IF($E450&lt;=cc_D,0.0035*($E450-AA$21)/$E450,0.002*($E450-AA$21)/($E450-3*cc_D/7))/0.002)))^2)</f>
        <v/>
      </c>
      <c r="AB450">
        <f>MAX(-fyd_cc,MIN(fyd_cc,Es_cc*IF($E450&lt;=cc_D,0.0035*($E450-AB$21)/$E450,0.002*($E450-AB$21)/($E450-3*cc_D/7))))-fcd_cc*(1-(1-MAX(0,MIN(1,IF($E450&lt;=cc_D,0.0035*($E450-AB$21)/$E450,0.002*($E450-AB$21)/($E450-3*cc_D/7))/0.002)))^2)</f>
        <v/>
      </c>
      <c r="AC450">
        <f>MAX(-fyd_cc,MIN(fyd_cc,Es_cc*IF($E450&lt;=cc_D,0.0035*($E450-AC$21)/$E450,0.002*($E450-AC$21)/($E450-3*cc_D/7))))-fcd_cc*(1-(1-MAX(0,MIN(1,IF($E450&lt;=cc_D,0.0035*($E450-AC$21)/$E450,0.002*($E450-AC$21)/($E450-3*cc_D/7))/0.002)))^2)</f>
        <v/>
      </c>
      <c r="AD450">
        <f>MAX(-fyd_cc,MIN(fyd_cc,Es_cc*IF($E450&lt;=cc_D,0.0035*($E450-AD$21)/$E450,0.002*($E450-AD$21)/($E450-3*cc_D/7))))-fcd_cc*(1-(1-MAX(0,MIN(1,IF($E450&lt;=cc_D,0.0035*($E450-AD$21)/$E450,0.002*($E450-AD$21)/($E450-3*cc_D/7))/0.002)))^2)</f>
        <v/>
      </c>
      <c r="AE450">
        <f>MAX(-fyd_cc,MIN(fyd_cc,Es_cc*IF($E450&lt;=cc_D,0.0035*($E450-AE$21)/$E450,0.002*($E450-AE$21)/($E450-3*cc_D/7))))-fcd_cc*(1-(1-MAX(0,MIN(1,IF($E450&lt;=cc_D,0.0035*($E450-AE$21)/$E450,0.002*($E450-AE$21)/($E450-3*cc_D/7))/0.002)))^2)</f>
        <v/>
      </c>
      <c r="AF450">
        <f>MAX(-fyd_cc,MIN(fyd_cc,Es_cc*IF($E450&lt;=cc_D,0.0035*($E450-AF$21)/$E450,0.002*($E450-AF$21)/($E450-3*cc_D/7))))-fcd_cc*(1-(1-MAX(0,MIN(1,IF($E450&lt;=cc_D,0.0035*($E450-AF$21)/$E450,0.002*($E450-AF$21)/($E450-3*cc_D/7))/0.002)))^2)</f>
        <v/>
      </c>
      <c r="AG450">
        <f>MAX(-fyd_cc,MIN(fyd_cc,Es_cc*IF($E450&lt;=cc_D,0.0035*($E450-AG$21)/$E450,0.002*($E450-AG$21)/($E450-3*cc_D/7))))-fcd_cc*(1-(1-MAX(0,MIN(1,IF($E450&lt;=cc_D,0.0035*($E450-AG$21)/$E450,0.002*($E450-AG$21)/($E450-3*cc_D/7))/0.002)))^2)</f>
        <v/>
      </c>
      <c r="BF450">
        <f>3*MIN($E450,cc_D)/7</f>
        <v/>
      </c>
      <c r="BG450">
        <f>$E450-$BF450</f>
        <v/>
      </c>
      <c r="BH450">
        <f>ACOS(MAX(-1,MIN(1,1-$BF450/(cc_D/2))))</f>
        <v/>
      </c>
      <c r="BI450">
        <f>ACOS(MAX(-1,MIN(1,1-MIN($E450,cc_D)/(cc_D/2))))</f>
        <v/>
      </c>
      <c r="BJ450">
        <f>((cc_D/2*(1-COS(($BH450+0*($BI450-$BH450)/12)))-$BF450)/$BG450)^2*SIN(($BH450+0*($BI450-$BH450)/12))^2</f>
        <v/>
      </c>
      <c r="BK450">
        <f>((cc_D/2*(1-COS(($BH450+1*($BI450-$BH450)/12)))-$BF450)/$BG450)^2*SIN(($BH450+1*($BI450-$BH450)/12))^2</f>
        <v/>
      </c>
      <c r="BL450">
        <f>((cc_D/2*(1-COS(($BH450+2*($BI450-$BH450)/12)))-$BF450)/$BG450)^2*SIN(($BH450+2*($BI450-$BH450)/12))^2</f>
        <v/>
      </c>
      <c r="BM450">
        <f>((cc_D/2*(1-COS(($BH450+3*($BI450-$BH450)/12)))-$BF450)/$BG450)^2*SIN(($BH450+3*($BI450-$BH450)/12))^2</f>
        <v/>
      </c>
      <c r="BN450">
        <f>((cc_D/2*(1-COS(($BH450+4*($BI450-$BH450)/12)))-$BF450)/$BG450)^2*SIN(($BH450+4*($BI450-$BH450)/12))^2</f>
        <v/>
      </c>
      <c r="BO450">
        <f>((cc_D/2*(1-COS(($BH450+5*($BI450-$BH450)/12)))-$BF450)/$BG450)^2*SIN(($BH450+5*($BI450-$BH450)/12))^2</f>
        <v/>
      </c>
      <c r="BP450">
        <f>((cc_D/2*(1-COS(($BH450+6*($BI450-$BH450)/12)))-$BF450)/$BG450)^2*SIN(($BH450+6*($BI450-$BH450)/12))^2</f>
        <v/>
      </c>
      <c r="BQ450">
        <f>((cc_D/2*(1-COS(($BH450+7*($BI450-$BH450)/12)))-$BF450)/$BG450)^2*SIN(($BH450+7*($BI450-$BH450)/12))^2</f>
        <v/>
      </c>
      <c r="BR450">
        <f>((cc_D/2*(1-COS(($BH450+8*($BI450-$BH450)/12)))-$BF450)/$BG450)^2*SIN(($BH450+8*($BI450-$BH450)/12))^2</f>
        <v/>
      </c>
      <c r="BS450">
        <f>((cc_D/2*(1-COS(($BH450+9*($BI450-$BH450)/12)))-$BF450)/$BG450)^2*SIN(($BH450+9*($BI450-$BH450)/12))^2</f>
        <v/>
      </c>
      <c r="BT450">
        <f>((cc_D/2*(1-COS(($BH450+10*($BI450-$BH450)/12)))-$BF450)/$BG450)^2*SIN(($BH450+10*($BI450-$BH450)/12))^2</f>
        <v/>
      </c>
      <c r="BU450">
        <f>((cc_D/2*(1-COS(($BH450+11*($BI450-$BH450)/12)))-$BF450)/$BG450)^2*SIN(($BH450+11*($BI450-$BH450)/12))^2</f>
        <v/>
      </c>
      <c r="BV450">
        <f>((cc_D/2*(1-COS(($BH450+12*($BI450-$BH450)/12)))-$BF450)/$BG450)^2*SIN(($BH450+12*($BI450-$BH450)/12))^2</f>
        <v/>
      </c>
      <c r="BW450">
        <f>BJ450*COS(($BH450+0*($BI450-$BH450)/12))</f>
        <v/>
      </c>
      <c r="BX450">
        <f>BK450*COS(($BH450+1*($BI450-$BH450)/12))</f>
        <v/>
      </c>
      <c r="BY450">
        <f>BL450*COS(($BH450+2*($BI450-$BH450)/12))</f>
        <v/>
      </c>
      <c r="BZ450">
        <f>BM450*COS(($BH450+3*($BI450-$BH450)/12))</f>
        <v/>
      </c>
      <c r="CA450">
        <f>BN450*COS(($BH450+4*($BI450-$BH450)/12))</f>
        <v/>
      </c>
      <c r="CB450">
        <f>BO450*COS(($BH450+5*($BI450-$BH450)/12))</f>
        <v/>
      </c>
      <c r="CC450">
        <f>BP450*COS(($BH450+6*($BI450-$BH450)/12))</f>
        <v/>
      </c>
      <c r="CD450">
        <f>BQ450*COS(($BH450+7*($BI450-$BH450)/12))</f>
        <v/>
      </c>
      <c r="CE450">
        <f>BR450*COS(($BH450+8*($BI450-$BH450)/12))</f>
        <v/>
      </c>
      <c r="CF450">
        <f>BS450*COS(($BH450+9*($BI450-$BH450)/12))</f>
        <v/>
      </c>
      <c r="CG450">
        <f>BT450*COS(($BH450+10*($BI450-$BH450)/12))</f>
        <v/>
      </c>
      <c r="CH450">
        <f>BU450*COS(($BH450+11*($BI450-$BH450)/12))</f>
        <v/>
      </c>
      <c r="CI450">
        <f>BV450*COS(($BH450+12*($BI450-$BH450)/12))</f>
        <v/>
      </c>
    </row>
    <row r="451">
      <c r="B451" s="65" t="n">
        <v>47</v>
      </c>
      <c r="C451" s="66">
        <f>IF($G450&lt;cc_NEd-1E-9*ABS(cc_NEd),($C450+$D450)/2,$C450)</f>
        <v/>
      </c>
      <c r="D451" s="66">
        <f>IF($G450&lt;cc_NEd-1E-9*ABS(cc_NEd),$D450,($C450+$D450)/2)</f>
        <v/>
      </c>
      <c r="E451" s="67">
        <f>cc_D*(($C451+$D451)/2)/(1-(($C451+$D451)/2))</f>
        <v/>
      </c>
      <c r="F451" s="68">
        <f>IF($E451&lt;=cc_D,3.5,2*$E451/($E451-3*cc_D/7))</f>
        <v/>
      </c>
      <c r="G451" s="67">
        <f>(fcd_cc*((cc_D/2)^2*($BI451-COS($BI451)*SIN($BI451))-2*(cc_D/2)^2*($BI451-$BH451)/12/3*SUMPRODUCT($BJ$4:$BV$4,$BJ451:$BV451))+SUMPRODUCT($J$5:$AG$5,$J451:$AG451))/1000</f>
        <v/>
      </c>
      <c r="H451" s="67">
        <f>(fcd_cc*(2/3*(cc_D/2)^3*SIN($BI451)^3-2*(cc_D/2)^3*($BI451-$BH451)/12/3*SUMPRODUCT($BW$4:$CI$4,$BW451:$CI451))+SUMPRODUCT($J$5:$AG$5,$J451:$AG451,$J$22:$AG$22))/1E6</f>
        <v/>
      </c>
      <c r="I451" s="67">
        <f>SUMPRODUCT($J$5:$AG$5,$J451:$AG451,$J$23:$AG$23)/1E6</f>
        <v/>
      </c>
      <c r="J451">
        <f>MAX(-fyd_cc,MIN(fyd_cc,Es_cc*IF($E451&lt;=cc_D,0.0035*($E451-J$21)/$E451,0.002*($E451-J$21)/($E451-3*cc_D/7))))-fcd_cc*(1-(1-MAX(0,MIN(1,IF($E451&lt;=cc_D,0.0035*($E451-J$21)/$E451,0.002*($E451-J$21)/($E451-3*cc_D/7))/0.002)))^2)</f>
        <v/>
      </c>
      <c r="K451">
        <f>MAX(-fyd_cc,MIN(fyd_cc,Es_cc*IF($E451&lt;=cc_D,0.0035*($E451-K$21)/$E451,0.002*($E451-K$21)/($E451-3*cc_D/7))))-fcd_cc*(1-(1-MAX(0,MIN(1,IF($E451&lt;=cc_D,0.0035*($E451-K$21)/$E451,0.002*($E451-K$21)/($E451-3*cc_D/7))/0.002)))^2)</f>
        <v/>
      </c>
      <c r="L451">
        <f>MAX(-fyd_cc,MIN(fyd_cc,Es_cc*IF($E451&lt;=cc_D,0.0035*($E451-L$21)/$E451,0.002*($E451-L$21)/($E451-3*cc_D/7))))-fcd_cc*(1-(1-MAX(0,MIN(1,IF($E451&lt;=cc_D,0.0035*($E451-L$21)/$E451,0.002*($E451-L$21)/($E451-3*cc_D/7))/0.002)))^2)</f>
        <v/>
      </c>
      <c r="M451">
        <f>MAX(-fyd_cc,MIN(fyd_cc,Es_cc*IF($E451&lt;=cc_D,0.0035*($E451-M$21)/$E451,0.002*($E451-M$21)/($E451-3*cc_D/7))))-fcd_cc*(1-(1-MAX(0,MIN(1,IF($E451&lt;=cc_D,0.0035*($E451-M$21)/$E451,0.002*($E451-M$21)/($E451-3*cc_D/7))/0.002)))^2)</f>
        <v/>
      </c>
      <c r="N451">
        <f>MAX(-fyd_cc,MIN(fyd_cc,Es_cc*IF($E451&lt;=cc_D,0.0035*($E451-N$21)/$E451,0.002*($E451-N$21)/($E451-3*cc_D/7))))-fcd_cc*(1-(1-MAX(0,MIN(1,IF($E451&lt;=cc_D,0.0035*($E451-N$21)/$E451,0.002*($E451-N$21)/($E451-3*cc_D/7))/0.002)))^2)</f>
        <v/>
      </c>
      <c r="O451">
        <f>MAX(-fyd_cc,MIN(fyd_cc,Es_cc*IF($E451&lt;=cc_D,0.0035*($E451-O$21)/$E451,0.002*($E451-O$21)/($E451-3*cc_D/7))))-fcd_cc*(1-(1-MAX(0,MIN(1,IF($E451&lt;=cc_D,0.0035*($E451-O$21)/$E451,0.002*($E451-O$21)/($E451-3*cc_D/7))/0.002)))^2)</f>
        <v/>
      </c>
      <c r="P451">
        <f>MAX(-fyd_cc,MIN(fyd_cc,Es_cc*IF($E451&lt;=cc_D,0.0035*($E451-P$21)/$E451,0.002*($E451-P$21)/($E451-3*cc_D/7))))-fcd_cc*(1-(1-MAX(0,MIN(1,IF($E451&lt;=cc_D,0.0035*($E451-P$21)/$E451,0.002*($E451-P$21)/($E451-3*cc_D/7))/0.002)))^2)</f>
        <v/>
      </c>
      <c r="Q451">
        <f>MAX(-fyd_cc,MIN(fyd_cc,Es_cc*IF($E451&lt;=cc_D,0.0035*($E451-Q$21)/$E451,0.002*($E451-Q$21)/($E451-3*cc_D/7))))-fcd_cc*(1-(1-MAX(0,MIN(1,IF($E451&lt;=cc_D,0.0035*($E451-Q$21)/$E451,0.002*($E451-Q$21)/($E451-3*cc_D/7))/0.002)))^2)</f>
        <v/>
      </c>
      <c r="R451">
        <f>MAX(-fyd_cc,MIN(fyd_cc,Es_cc*IF($E451&lt;=cc_D,0.0035*($E451-R$21)/$E451,0.002*($E451-R$21)/($E451-3*cc_D/7))))-fcd_cc*(1-(1-MAX(0,MIN(1,IF($E451&lt;=cc_D,0.0035*($E451-R$21)/$E451,0.002*($E451-R$21)/($E451-3*cc_D/7))/0.002)))^2)</f>
        <v/>
      </c>
      <c r="S451">
        <f>MAX(-fyd_cc,MIN(fyd_cc,Es_cc*IF($E451&lt;=cc_D,0.0035*($E451-S$21)/$E451,0.002*($E451-S$21)/($E451-3*cc_D/7))))-fcd_cc*(1-(1-MAX(0,MIN(1,IF($E451&lt;=cc_D,0.0035*($E451-S$21)/$E451,0.002*($E451-S$21)/($E451-3*cc_D/7))/0.002)))^2)</f>
        <v/>
      </c>
      <c r="T451">
        <f>MAX(-fyd_cc,MIN(fyd_cc,Es_cc*IF($E451&lt;=cc_D,0.0035*($E451-T$21)/$E451,0.002*($E451-T$21)/($E451-3*cc_D/7))))-fcd_cc*(1-(1-MAX(0,MIN(1,IF($E451&lt;=cc_D,0.0035*($E451-T$21)/$E451,0.002*($E451-T$21)/($E451-3*cc_D/7))/0.002)))^2)</f>
        <v/>
      </c>
      <c r="U451">
        <f>MAX(-fyd_cc,MIN(fyd_cc,Es_cc*IF($E451&lt;=cc_D,0.0035*($E451-U$21)/$E451,0.002*($E451-U$21)/($E451-3*cc_D/7))))-fcd_cc*(1-(1-MAX(0,MIN(1,IF($E451&lt;=cc_D,0.0035*($E451-U$21)/$E451,0.002*($E451-U$21)/($E451-3*cc_D/7))/0.002)))^2)</f>
        <v/>
      </c>
      <c r="V451">
        <f>MAX(-fyd_cc,MIN(fyd_cc,Es_cc*IF($E451&lt;=cc_D,0.0035*($E451-V$21)/$E451,0.002*($E451-V$21)/($E451-3*cc_D/7))))-fcd_cc*(1-(1-MAX(0,MIN(1,IF($E451&lt;=cc_D,0.0035*($E451-V$21)/$E451,0.002*($E451-V$21)/($E451-3*cc_D/7))/0.002)))^2)</f>
        <v/>
      </c>
      <c r="W451">
        <f>MAX(-fyd_cc,MIN(fyd_cc,Es_cc*IF($E451&lt;=cc_D,0.0035*($E451-W$21)/$E451,0.002*($E451-W$21)/($E451-3*cc_D/7))))-fcd_cc*(1-(1-MAX(0,MIN(1,IF($E451&lt;=cc_D,0.0035*($E451-W$21)/$E451,0.002*($E451-W$21)/($E451-3*cc_D/7))/0.002)))^2)</f>
        <v/>
      </c>
      <c r="X451">
        <f>MAX(-fyd_cc,MIN(fyd_cc,Es_cc*IF($E451&lt;=cc_D,0.0035*($E451-X$21)/$E451,0.002*($E451-X$21)/($E451-3*cc_D/7))))-fcd_cc*(1-(1-MAX(0,MIN(1,IF($E451&lt;=cc_D,0.0035*($E451-X$21)/$E451,0.002*($E451-X$21)/($E451-3*cc_D/7))/0.002)))^2)</f>
        <v/>
      </c>
      <c r="Y451">
        <f>MAX(-fyd_cc,MIN(fyd_cc,Es_cc*IF($E451&lt;=cc_D,0.0035*($E451-Y$21)/$E451,0.002*($E451-Y$21)/($E451-3*cc_D/7))))-fcd_cc*(1-(1-MAX(0,MIN(1,IF($E451&lt;=cc_D,0.0035*($E451-Y$21)/$E451,0.002*($E451-Y$21)/($E451-3*cc_D/7))/0.002)))^2)</f>
        <v/>
      </c>
      <c r="Z451">
        <f>MAX(-fyd_cc,MIN(fyd_cc,Es_cc*IF($E451&lt;=cc_D,0.0035*($E451-Z$21)/$E451,0.002*($E451-Z$21)/($E451-3*cc_D/7))))-fcd_cc*(1-(1-MAX(0,MIN(1,IF($E451&lt;=cc_D,0.0035*($E451-Z$21)/$E451,0.002*($E451-Z$21)/($E451-3*cc_D/7))/0.002)))^2)</f>
        <v/>
      </c>
      <c r="AA451">
        <f>MAX(-fyd_cc,MIN(fyd_cc,Es_cc*IF($E451&lt;=cc_D,0.0035*($E451-AA$21)/$E451,0.002*($E451-AA$21)/($E451-3*cc_D/7))))-fcd_cc*(1-(1-MAX(0,MIN(1,IF($E451&lt;=cc_D,0.0035*($E451-AA$21)/$E451,0.002*($E451-AA$21)/($E451-3*cc_D/7))/0.002)))^2)</f>
        <v/>
      </c>
      <c r="AB451">
        <f>MAX(-fyd_cc,MIN(fyd_cc,Es_cc*IF($E451&lt;=cc_D,0.0035*($E451-AB$21)/$E451,0.002*($E451-AB$21)/($E451-3*cc_D/7))))-fcd_cc*(1-(1-MAX(0,MIN(1,IF($E451&lt;=cc_D,0.0035*($E451-AB$21)/$E451,0.002*($E451-AB$21)/($E451-3*cc_D/7))/0.002)))^2)</f>
        <v/>
      </c>
      <c r="AC451">
        <f>MAX(-fyd_cc,MIN(fyd_cc,Es_cc*IF($E451&lt;=cc_D,0.0035*($E451-AC$21)/$E451,0.002*($E451-AC$21)/($E451-3*cc_D/7))))-fcd_cc*(1-(1-MAX(0,MIN(1,IF($E451&lt;=cc_D,0.0035*($E451-AC$21)/$E451,0.002*($E451-AC$21)/($E451-3*cc_D/7))/0.002)))^2)</f>
        <v/>
      </c>
      <c r="AD451">
        <f>MAX(-fyd_cc,MIN(fyd_cc,Es_cc*IF($E451&lt;=cc_D,0.0035*($E451-AD$21)/$E451,0.002*($E451-AD$21)/($E451-3*cc_D/7))))-fcd_cc*(1-(1-MAX(0,MIN(1,IF($E451&lt;=cc_D,0.0035*($E451-AD$21)/$E451,0.002*($E451-AD$21)/($E451-3*cc_D/7))/0.002)))^2)</f>
        <v/>
      </c>
      <c r="AE451">
        <f>MAX(-fyd_cc,MIN(fyd_cc,Es_cc*IF($E451&lt;=cc_D,0.0035*($E451-AE$21)/$E451,0.002*($E451-AE$21)/($E451-3*cc_D/7))))-fcd_cc*(1-(1-MAX(0,MIN(1,IF($E451&lt;=cc_D,0.0035*($E451-AE$21)/$E451,0.002*($E451-AE$21)/($E451-3*cc_D/7))/0.002)))^2)</f>
        <v/>
      </c>
      <c r="AF451">
        <f>MAX(-fyd_cc,MIN(fyd_cc,Es_cc*IF($E451&lt;=cc_D,0.0035*($E451-AF$21)/$E451,0.002*($E451-AF$21)/($E451-3*cc_D/7))))-fcd_cc*(1-(1-MAX(0,MIN(1,IF($E451&lt;=cc_D,0.0035*($E451-AF$21)/$E451,0.002*($E451-AF$21)/($E451-3*cc_D/7))/0.002)))^2)</f>
        <v/>
      </c>
      <c r="AG451">
        <f>MAX(-fyd_cc,MIN(fyd_cc,Es_cc*IF($E451&lt;=cc_D,0.0035*($E451-AG$21)/$E451,0.002*($E451-AG$21)/($E451-3*cc_D/7))))-fcd_cc*(1-(1-MAX(0,MIN(1,IF($E451&lt;=cc_D,0.0035*($E451-AG$21)/$E451,0.002*($E451-AG$21)/($E451-3*cc_D/7))/0.002)))^2)</f>
        <v/>
      </c>
      <c r="BF451">
        <f>3*MIN($E451,cc_D)/7</f>
        <v/>
      </c>
      <c r="BG451">
        <f>$E451-$BF451</f>
        <v/>
      </c>
      <c r="BH451">
        <f>ACOS(MAX(-1,MIN(1,1-$BF451/(cc_D/2))))</f>
        <v/>
      </c>
      <c r="BI451">
        <f>ACOS(MAX(-1,MIN(1,1-MIN($E451,cc_D)/(cc_D/2))))</f>
        <v/>
      </c>
      <c r="BJ451">
        <f>((cc_D/2*(1-COS(($BH451+0*($BI451-$BH451)/12)))-$BF451)/$BG451)^2*SIN(($BH451+0*($BI451-$BH451)/12))^2</f>
        <v/>
      </c>
      <c r="BK451">
        <f>((cc_D/2*(1-COS(($BH451+1*($BI451-$BH451)/12)))-$BF451)/$BG451)^2*SIN(($BH451+1*($BI451-$BH451)/12))^2</f>
        <v/>
      </c>
      <c r="BL451">
        <f>((cc_D/2*(1-COS(($BH451+2*($BI451-$BH451)/12)))-$BF451)/$BG451)^2*SIN(($BH451+2*($BI451-$BH451)/12))^2</f>
        <v/>
      </c>
      <c r="BM451">
        <f>((cc_D/2*(1-COS(($BH451+3*($BI451-$BH451)/12)))-$BF451)/$BG451)^2*SIN(($BH451+3*($BI451-$BH451)/12))^2</f>
        <v/>
      </c>
      <c r="BN451">
        <f>((cc_D/2*(1-COS(($BH451+4*($BI451-$BH451)/12)))-$BF451)/$BG451)^2*SIN(($BH451+4*($BI451-$BH451)/12))^2</f>
        <v/>
      </c>
      <c r="BO451">
        <f>((cc_D/2*(1-COS(($BH451+5*($BI451-$BH451)/12)))-$BF451)/$BG451)^2*SIN(($BH451+5*($BI451-$BH451)/12))^2</f>
        <v/>
      </c>
      <c r="BP451">
        <f>((cc_D/2*(1-COS(($BH451+6*($BI451-$BH451)/12)))-$BF451)/$BG451)^2*SIN(($BH451+6*($BI451-$BH451)/12))^2</f>
        <v/>
      </c>
      <c r="BQ451">
        <f>((cc_D/2*(1-COS(($BH451+7*($BI451-$BH451)/12)))-$BF451)/$BG451)^2*SIN(($BH451+7*($BI451-$BH451)/12))^2</f>
        <v/>
      </c>
      <c r="BR451">
        <f>((cc_D/2*(1-COS(($BH451+8*($BI451-$BH451)/12)))-$BF451)/$BG451)^2*SIN(($BH451+8*($BI451-$BH451)/12))^2</f>
        <v/>
      </c>
      <c r="BS451">
        <f>((cc_D/2*(1-COS(($BH451+9*($BI451-$BH451)/12)))-$BF451)/$BG451)^2*SIN(($BH451+9*($BI451-$BH451)/12))^2</f>
        <v/>
      </c>
      <c r="BT451">
        <f>((cc_D/2*(1-COS(($BH451+10*($BI451-$BH451)/12)))-$BF451)/$BG451)^2*SIN(($BH451+10*($BI451-$BH451)/12))^2</f>
        <v/>
      </c>
      <c r="BU451">
        <f>((cc_D/2*(1-COS(($BH451+11*($BI451-$BH451)/12)))-$BF451)/$BG451)^2*SIN(($BH451+11*($BI451-$BH451)/12))^2</f>
        <v/>
      </c>
      <c r="BV451">
        <f>((cc_D/2*(1-COS(($BH451+12*($BI451-$BH451)/12)))-$BF451)/$BG451)^2*SIN(($BH451+12*($BI451-$BH451)/12))^2</f>
        <v/>
      </c>
      <c r="BW451">
        <f>BJ451*COS(($BH451+0*($BI451-$BH451)/12))</f>
        <v/>
      </c>
      <c r="BX451">
        <f>BK451*COS(($BH451+1*($BI451-$BH451)/12))</f>
        <v/>
      </c>
      <c r="BY451">
        <f>BL451*COS(($BH451+2*($BI451-$BH451)/12))</f>
        <v/>
      </c>
      <c r="BZ451">
        <f>BM451*COS(($BH451+3*($BI451-$BH451)/12))</f>
        <v/>
      </c>
      <c r="CA451">
        <f>BN451*COS(($BH451+4*($BI451-$BH451)/12))</f>
        <v/>
      </c>
      <c r="CB451">
        <f>BO451*COS(($BH451+5*($BI451-$BH451)/12))</f>
        <v/>
      </c>
      <c r="CC451">
        <f>BP451*COS(($BH451+6*($BI451-$BH451)/12))</f>
        <v/>
      </c>
      <c r="CD451">
        <f>BQ451*COS(($BH451+7*($BI451-$BH451)/12))</f>
        <v/>
      </c>
      <c r="CE451">
        <f>BR451*COS(($BH451+8*($BI451-$BH451)/12))</f>
        <v/>
      </c>
      <c r="CF451">
        <f>BS451*COS(($BH451+9*($BI451-$BH451)/12))</f>
        <v/>
      </c>
      <c r="CG451">
        <f>BT451*COS(($BH451+10*($BI451-$BH451)/12))</f>
        <v/>
      </c>
      <c r="CH451">
        <f>BU451*COS(($BH451+11*($BI451-$BH451)/12))</f>
        <v/>
      </c>
      <c r="CI451">
        <f>BV451*COS(($BH451+12*($BI451-$BH451)/12))</f>
        <v/>
      </c>
    </row>
    <row r="452">
      <c r="B452" s="65" t="n">
        <v>48</v>
      </c>
      <c r="C452" s="66">
        <f>IF($G451&lt;cc_NEd-1E-9*ABS(cc_NEd),($C451+$D451)/2,$C451)</f>
        <v/>
      </c>
      <c r="D452" s="66">
        <f>IF($G451&lt;cc_NEd-1E-9*ABS(cc_NEd),$D451,($C451+$D451)/2)</f>
        <v/>
      </c>
      <c r="E452" s="67">
        <f>cc_D*(($C452+$D452)/2)/(1-(($C452+$D452)/2))</f>
        <v/>
      </c>
      <c r="F452" s="68">
        <f>IF($E452&lt;=cc_D,3.5,2*$E452/($E452-3*cc_D/7))</f>
        <v/>
      </c>
      <c r="G452" s="67">
        <f>(fcd_cc*((cc_D/2)^2*($BI452-COS($BI452)*SIN($BI452))-2*(cc_D/2)^2*($BI452-$BH452)/12/3*SUMPRODUCT($BJ$4:$BV$4,$BJ452:$BV452))+SUMPRODUCT($J$5:$AG$5,$J452:$AG452))/1000</f>
        <v/>
      </c>
      <c r="H452" s="67">
        <f>(fcd_cc*(2/3*(cc_D/2)^3*SIN($BI452)^3-2*(cc_D/2)^3*($BI452-$BH452)/12/3*SUMPRODUCT($BW$4:$CI$4,$BW452:$CI452))+SUMPRODUCT($J$5:$AG$5,$J452:$AG452,$J$22:$AG$22))/1E6</f>
        <v/>
      </c>
      <c r="I452" s="67">
        <f>SUMPRODUCT($J$5:$AG$5,$J452:$AG452,$J$23:$AG$23)/1E6</f>
        <v/>
      </c>
      <c r="J452">
        <f>MAX(-fyd_cc,MIN(fyd_cc,Es_cc*IF($E452&lt;=cc_D,0.0035*($E452-J$21)/$E452,0.002*($E452-J$21)/($E452-3*cc_D/7))))-fcd_cc*(1-(1-MAX(0,MIN(1,IF($E452&lt;=cc_D,0.0035*($E452-J$21)/$E452,0.002*($E452-J$21)/($E452-3*cc_D/7))/0.002)))^2)</f>
        <v/>
      </c>
      <c r="K452">
        <f>MAX(-fyd_cc,MIN(fyd_cc,Es_cc*IF($E452&lt;=cc_D,0.0035*($E452-K$21)/$E452,0.002*($E452-K$21)/($E452-3*cc_D/7))))-fcd_cc*(1-(1-MAX(0,MIN(1,IF($E452&lt;=cc_D,0.0035*($E452-K$21)/$E452,0.002*($E452-K$21)/($E452-3*cc_D/7))/0.002)))^2)</f>
        <v/>
      </c>
      <c r="L452">
        <f>MAX(-fyd_cc,MIN(fyd_cc,Es_cc*IF($E452&lt;=cc_D,0.0035*($E452-L$21)/$E452,0.002*($E452-L$21)/($E452-3*cc_D/7))))-fcd_cc*(1-(1-MAX(0,MIN(1,IF($E452&lt;=cc_D,0.0035*($E452-L$21)/$E452,0.002*($E452-L$21)/($E452-3*cc_D/7))/0.002)))^2)</f>
        <v/>
      </c>
      <c r="M452">
        <f>MAX(-fyd_cc,MIN(fyd_cc,Es_cc*IF($E452&lt;=cc_D,0.0035*($E452-M$21)/$E452,0.002*($E452-M$21)/($E452-3*cc_D/7))))-fcd_cc*(1-(1-MAX(0,MIN(1,IF($E452&lt;=cc_D,0.0035*($E452-M$21)/$E452,0.002*($E452-M$21)/($E452-3*cc_D/7))/0.002)))^2)</f>
        <v/>
      </c>
      <c r="N452">
        <f>MAX(-fyd_cc,MIN(fyd_cc,Es_cc*IF($E452&lt;=cc_D,0.0035*($E452-N$21)/$E452,0.002*($E452-N$21)/($E452-3*cc_D/7))))-fcd_cc*(1-(1-MAX(0,MIN(1,IF($E452&lt;=cc_D,0.0035*($E452-N$21)/$E452,0.002*($E452-N$21)/($E452-3*cc_D/7))/0.002)))^2)</f>
        <v/>
      </c>
      <c r="O452">
        <f>MAX(-fyd_cc,MIN(fyd_cc,Es_cc*IF($E452&lt;=cc_D,0.0035*($E452-O$21)/$E452,0.002*($E452-O$21)/($E452-3*cc_D/7))))-fcd_cc*(1-(1-MAX(0,MIN(1,IF($E452&lt;=cc_D,0.0035*($E452-O$21)/$E452,0.002*($E452-O$21)/($E452-3*cc_D/7))/0.002)))^2)</f>
        <v/>
      </c>
      <c r="P452">
        <f>MAX(-fyd_cc,MIN(fyd_cc,Es_cc*IF($E452&lt;=cc_D,0.0035*($E452-P$21)/$E452,0.002*($E452-P$21)/($E452-3*cc_D/7))))-fcd_cc*(1-(1-MAX(0,MIN(1,IF($E452&lt;=cc_D,0.0035*($E452-P$21)/$E452,0.002*($E452-P$21)/($E452-3*cc_D/7))/0.002)))^2)</f>
        <v/>
      </c>
      <c r="Q452">
        <f>MAX(-fyd_cc,MIN(fyd_cc,Es_cc*IF($E452&lt;=cc_D,0.0035*($E452-Q$21)/$E452,0.002*($E452-Q$21)/($E452-3*cc_D/7))))-fcd_cc*(1-(1-MAX(0,MIN(1,IF($E452&lt;=cc_D,0.0035*($E452-Q$21)/$E452,0.002*($E452-Q$21)/($E452-3*cc_D/7))/0.002)))^2)</f>
        <v/>
      </c>
      <c r="R452">
        <f>MAX(-fyd_cc,MIN(fyd_cc,Es_cc*IF($E452&lt;=cc_D,0.0035*($E452-R$21)/$E452,0.002*($E452-R$21)/($E452-3*cc_D/7))))-fcd_cc*(1-(1-MAX(0,MIN(1,IF($E452&lt;=cc_D,0.0035*($E452-R$21)/$E452,0.002*($E452-R$21)/($E452-3*cc_D/7))/0.002)))^2)</f>
        <v/>
      </c>
      <c r="S452">
        <f>MAX(-fyd_cc,MIN(fyd_cc,Es_cc*IF($E452&lt;=cc_D,0.0035*($E452-S$21)/$E452,0.002*($E452-S$21)/($E452-3*cc_D/7))))-fcd_cc*(1-(1-MAX(0,MIN(1,IF($E452&lt;=cc_D,0.0035*($E452-S$21)/$E452,0.002*($E452-S$21)/($E452-3*cc_D/7))/0.002)))^2)</f>
        <v/>
      </c>
      <c r="T452">
        <f>MAX(-fyd_cc,MIN(fyd_cc,Es_cc*IF($E452&lt;=cc_D,0.0035*($E452-T$21)/$E452,0.002*($E452-T$21)/($E452-3*cc_D/7))))-fcd_cc*(1-(1-MAX(0,MIN(1,IF($E452&lt;=cc_D,0.0035*($E452-T$21)/$E452,0.002*($E452-T$21)/($E452-3*cc_D/7))/0.002)))^2)</f>
        <v/>
      </c>
      <c r="U452">
        <f>MAX(-fyd_cc,MIN(fyd_cc,Es_cc*IF($E452&lt;=cc_D,0.0035*($E452-U$21)/$E452,0.002*($E452-U$21)/($E452-3*cc_D/7))))-fcd_cc*(1-(1-MAX(0,MIN(1,IF($E452&lt;=cc_D,0.0035*($E452-U$21)/$E452,0.002*($E452-U$21)/($E452-3*cc_D/7))/0.002)))^2)</f>
        <v/>
      </c>
      <c r="V452">
        <f>MAX(-fyd_cc,MIN(fyd_cc,Es_cc*IF($E452&lt;=cc_D,0.0035*($E452-V$21)/$E452,0.002*($E452-V$21)/($E452-3*cc_D/7))))-fcd_cc*(1-(1-MAX(0,MIN(1,IF($E452&lt;=cc_D,0.0035*($E452-V$21)/$E452,0.002*($E452-V$21)/($E452-3*cc_D/7))/0.002)))^2)</f>
        <v/>
      </c>
      <c r="W452">
        <f>MAX(-fyd_cc,MIN(fyd_cc,Es_cc*IF($E452&lt;=cc_D,0.0035*($E452-W$21)/$E452,0.002*($E452-W$21)/($E452-3*cc_D/7))))-fcd_cc*(1-(1-MAX(0,MIN(1,IF($E452&lt;=cc_D,0.0035*($E452-W$21)/$E452,0.002*($E452-W$21)/($E452-3*cc_D/7))/0.002)))^2)</f>
        <v/>
      </c>
      <c r="X452">
        <f>MAX(-fyd_cc,MIN(fyd_cc,Es_cc*IF($E452&lt;=cc_D,0.0035*($E452-X$21)/$E452,0.002*($E452-X$21)/($E452-3*cc_D/7))))-fcd_cc*(1-(1-MAX(0,MIN(1,IF($E452&lt;=cc_D,0.0035*($E452-X$21)/$E452,0.002*($E452-X$21)/($E452-3*cc_D/7))/0.002)))^2)</f>
        <v/>
      </c>
      <c r="Y452">
        <f>MAX(-fyd_cc,MIN(fyd_cc,Es_cc*IF($E452&lt;=cc_D,0.0035*($E452-Y$21)/$E452,0.002*($E452-Y$21)/($E452-3*cc_D/7))))-fcd_cc*(1-(1-MAX(0,MIN(1,IF($E452&lt;=cc_D,0.0035*($E452-Y$21)/$E452,0.002*($E452-Y$21)/($E452-3*cc_D/7))/0.002)))^2)</f>
        <v/>
      </c>
      <c r="Z452">
        <f>MAX(-fyd_cc,MIN(fyd_cc,Es_cc*IF($E452&lt;=cc_D,0.0035*($E452-Z$21)/$E452,0.002*($E452-Z$21)/($E452-3*cc_D/7))))-fcd_cc*(1-(1-MAX(0,MIN(1,IF($E452&lt;=cc_D,0.0035*($E452-Z$21)/$E452,0.002*($E452-Z$21)/($E452-3*cc_D/7))/0.002)))^2)</f>
        <v/>
      </c>
      <c r="AA452">
        <f>MAX(-fyd_cc,MIN(fyd_cc,Es_cc*IF($E452&lt;=cc_D,0.0035*($E452-AA$21)/$E452,0.002*($E452-AA$21)/($E452-3*cc_D/7))))-fcd_cc*(1-(1-MAX(0,MIN(1,IF($E452&lt;=cc_D,0.0035*($E452-AA$21)/$E452,0.002*($E452-AA$21)/($E452-3*cc_D/7))/0.002)))^2)</f>
        <v/>
      </c>
      <c r="AB452">
        <f>MAX(-fyd_cc,MIN(fyd_cc,Es_cc*IF($E452&lt;=cc_D,0.0035*($E452-AB$21)/$E452,0.002*($E452-AB$21)/($E452-3*cc_D/7))))-fcd_cc*(1-(1-MAX(0,MIN(1,IF($E452&lt;=cc_D,0.0035*($E452-AB$21)/$E452,0.002*($E452-AB$21)/($E452-3*cc_D/7))/0.002)))^2)</f>
        <v/>
      </c>
      <c r="AC452">
        <f>MAX(-fyd_cc,MIN(fyd_cc,Es_cc*IF($E452&lt;=cc_D,0.0035*($E452-AC$21)/$E452,0.002*($E452-AC$21)/($E452-3*cc_D/7))))-fcd_cc*(1-(1-MAX(0,MIN(1,IF($E452&lt;=cc_D,0.0035*($E452-AC$21)/$E452,0.002*($E452-AC$21)/($E452-3*cc_D/7))/0.002)))^2)</f>
        <v/>
      </c>
      <c r="AD452">
        <f>MAX(-fyd_cc,MIN(fyd_cc,Es_cc*IF($E452&lt;=cc_D,0.0035*($E452-AD$21)/$E452,0.002*($E452-AD$21)/($E452-3*cc_D/7))))-fcd_cc*(1-(1-MAX(0,MIN(1,IF($E452&lt;=cc_D,0.0035*($E452-AD$21)/$E452,0.002*($E452-AD$21)/($E452-3*cc_D/7))/0.002)))^2)</f>
        <v/>
      </c>
      <c r="AE452">
        <f>MAX(-fyd_cc,MIN(fyd_cc,Es_cc*IF($E452&lt;=cc_D,0.0035*($E452-AE$21)/$E452,0.002*($E452-AE$21)/($E452-3*cc_D/7))))-fcd_cc*(1-(1-MAX(0,MIN(1,IF($E452&lt;=cc_D,0.0035*($E452-AE$21)/$E452,0.002*($E452-AE$21)/($E452-3*cc_D/7))/0.002)))^2)</f>
        <v/>
      </c>
      <c r="AF452">
        <f>MAX(-fyd_cc,MIN(fyd_cc,Es_cc*IF($E452&lt;=cc_D,0.0035*($E452-AF$21)/$E452,0.002*($E452-AF$21)/($E452-3*cc_D/7))))-fcd_cc*(1-(1-MAX(0,MIN(1,IF($E452&lt;=cc_D,0.0035*($E452-AF$21)/$E452,0.002*($E452-AF$21)/($E452-3*cc_D/7))/0.002)))^2)</f>
        <v/>
      </c>
      <c r="AG452">
        <f>MAX(-fyd_cc,MIN(fyd_cc,Es_cc*IF($E452&lt;=cc_D,0.0035*($E452-AG$21)/$E452,0.002*($E452-AG$21)/($E452-3*cc_D/7))))-fcd_cc*(1-(1-MAX(0,MIN(1,IF($E452&lt;=cc_D,0.0035*($E452-AG$21)/$E452,0.002*($E452-AG$21)/($E452-3*cc_D/7))/0.002)))^2)</f>
        <v/>
      </c>
      <c r="BF452">
        <f>3*MIN($E452,cc_D)/7</f>
        <v/>
      </c>
      <c r="BG452">
        <f>$E452-$BF452</f>
        <v/>
      </c>
      <c r="BH452">
        <f>ACOS(MAX(-1,MIN(1,1-$BF452/(cc_D/2))))</f>
        <v/>
      </c>
      <c r="BI452">
        <f>ACOS(MAX(-1,MIN(1,1-MIN($E452,cc_D)/(cc_D/2))))</f>
        <v/>
      </c>
      <c r="BJ452">
        <f>((cc_D/2*(1-COS(($BH452+0*($BI452-$BH452)/12)))-$BF452)/$BG452)^2*SIN(($BH452+0*($BI452-$BH452)/12))^2</f>
        <v/>
      </c>
      <c r="BK452">
        <f>((cc_D/2*(1-COS(($BH452+1*($BI452-$BH452)/12)))-$BF452)/$BG452)^2*SIN(($BH452+1*($BI452-$BH452)/12))^2</f>
        <v/>
      </c>
      <c r="BL452">
        <f>((cc_D/2*(1-COS(($BH452+2*($BI452-$BH452)/12)))-$BF452)/$BG452)^2*SIN(($BH452+2*($BI452-$BH452)/12))^2</f>
        <v/>
      </c>
      <c r="BM452">
        <f>((cc_D/2*(1-COS(($BH452+3*($BI452-$BH452)/12)))-$BF452)/$BG452)^2*SIN(($BH452+3*($BI452-$BH452)/12))^2</f>
        <v/>
      </c>
      <c r="BN452">
        <f>((cc_D/2*(1-COS(($BH452+4*($BI452-$BH452)/12)))-$BF452)/$BG452)^2*SIN(($BH452+4*($BI452-$BH452)/12))^2</f>
        <v/>
      </c>
      <c r="BO452">
        <f>((cc_D/2*(1-COS(($BH452+5*($BI452-$BH452)/12)))-$BF452)/$BG452)^2*SIN(($BH452+5*($BI452-$BH452)/12))^2</f>
        <v/>
      </c>
      <c r="BP452">
        <f>((cc_D/2*(1-COS(($BH452+6*($BI452-$BH452)/12)))-$BF452)/$BG452)^2*SIN(($BH452+6*($BI452-$BH452)/12))^2</f>
        <v/>
      </c>
      <c r="BQ452">
        <f>((cc_D/2*(1-COS(($BH452+7*($BI452-$BH452)/12)))-$BF452)/$BG452)^2*SIN(($BH452+7*($BI452-$BH452)/12))^2</f>
        <v/>
      </c>
      <c r="BR452">
        <f>((cc_D/2*(1-COS(($BH452+8*($BI452-$BH452)/12)))-$BF452)/$BG452)^2*SIN(($BH452+8*($BI452-$BH452)/12))^2</f>
        <v/>
      </c>
      <c r="BS452">
        <f>((cc_D/2*(1-COS(($BH452+9*($BI452-$BH452)/12)))-$BF452)/$BG452)^2*SIN(($BH452+9*($BI452-$BH452)/12))^2</f>
        <v/>
      </c>
      <c r="BT452">
        <f>((cc_D/2*(1-COS(($BH452+10*($BI452-$BH452)/12)))-$BF452)/$BG452)^2*SIN(($BH452+10*($BI452-$BH452)/12))^2</f>
        <v/>
      </c>
      <c r="BU452">
        <f>((cc_D/2*(1-COS(($BH452+11*($BI452-$BH452)/12)))-$BF452)/$BG452)^2*SIN(($BH452+11*($BI452-$BH452)/12))^2</f>
        <v/>
      </c>
      <c r="BV452">
        <f>((cc_D/2*(1-COS(($BH452+12*($BI452-$BH452)/12)))-$BF452)/$BG452)^2*SIN(($BH452+12*($BI452-$BH452)/12))^2</f>
        <v/>
      </c>
      <c r="BW452">
        <f>BJ452*COS(($BH452+0*($BI452-$BH452)/12))</f>
        <v/>
      </c>
      <c r="BX452">
        <f>BK452*COS(($BH452+1*($BI452-$BH452)/12))</f>
        <v/>
      </c>
      <c r="BY452">
        <f>BL452*COS(($BH452+2*($BI452-$BH452)/12))</f>
        <v/>
      </c>
      <c r="BZ452">
        <f>BM452*COS(($BH452+3*($BI452-$BH452)/12))</f>
        <v/>
      </c>
      <c r="CA452">
        <f>BN452*COS(($BH452+4*($BI452-$BH452)/12))</f>
        <v/>
      </c>
      <c r="CB452">
        <f>BO452*COS(($BH452+5*($BI452-$BH452)/12))</f>
        <v/>
      </c>
      <c r="CC452">
        <f>BP452*COS(($BH452+6*($BI452-$BH452)/12))</f>
        <v/>
      </c>
      <c r="CD452">
        <f>BQ452*COS(($BH452+7*($BI452-$BH452)/12))</f>
        <v/>
      </c>
      <c r="CE452">
        <f>BR452*COS(($BH452+8*($BI452-$BH452)/12))</f>
        <v/>
      </c>
      <c r="CF452">
        <f>BS452*COS(($BH452+9*($BI452-$BH452)/12))</f>
        <v/>
      </c>
      <c r="CG452">
        <f>BT452*COS(($BH452+10*($BI452-$BH452)/12))</f>
        <v/>
      </c>
      <c r="CH452">
        <f>BU452*COS(($BH452+11*($BI452-$BH452)/12))</f>
        <v/>
      </c>
      <c r="CI452">
        <f>BV452*COS(($BH452+12*($BI452-$BH452)/12))</f>
        <v/>
      </c>
    </row>
    <row r="453">
      <c r="B453" s="65" t="n">
        <v>49</v>
      </c>
      <c r="C453" s="66">
        <f>IF($G452&lt;cc_NEd-1E-9*ABS(cc_NEd),($C452+$D452)/2,$C452)</f>
        <v/>
      </c>
      <c r="D453" s="66">
        <f>IF($G452&lt;cc_NEd-1E-9*ABS(cc_NEd),$D452,($C452+$D452)/2)</f>
        <v/>
      </c>
      <c r="E453" s="67">
        <f>cc_D*(($C453+$D453)/2)/(1-(($C453+$D453)/2))</f>
        <v/>
      </c>
      <c r="F453" s="68">
        <f>IF($E453&lt;=cc_D,3.5,2*$E453/($E453-3*cc_D/7))</f>
        <v/>
      </c>
      <c r="G453" s="67">
        <f>(fcd_cc*((cc_D/2)^2*($BI453-COS($BI453)*SIN($BI453))-2*(cc_D/2)^2*($BI453-$BH453)/12/3*SUMPRODUCT($BJ$4:$BV$4,$BJ453:$BV453))+SUMPRODUCT($J$5:$AG$5,$J453:$AG453))/1000</f>
        <v/>
      </c>
      <c r="H453" s="67">
        <f>(fcd_cc*(2/3*(cc_D/2)^3*SIN($BI453)^3-2*(cc_D/2)^3*($BI453-$BH453)/12/3*SUMPRODUCT($BW$4:$CI$4,$BW453:$CI453))+SUMPRODUCT($J$5:$AG$5,$J453:$AG453,$J$22:$AG$22))/1E6</f>
        <v/>
      </c>
      <c r="I453" s="67">
        <f>SUMPRODUCT($J$5:$AG$5,$J453:$AG453,$J$23:$AG$23)/1E6</f>
        <v/>
      </c>
      <c r="J453">
        <f>MAX(-fyd_cc,MIN(fyd_cc,Es_cc*IF($E453&lt;=cc_D,0.0035*($E453-J$21)/$E453,0.002*($E453-J$21)/($E453-3*cc_D/7))))-fcd_cc*(1-(1-MAX(0,MIN(1,IF($E453&lt;=cc_D,0.0035*($E453-J$21)/$E453,0.002*($E453-J$21)/($E453-3*cc_D/7))/0.002)))^2)</f>
        <v/>
      </c>
      <c r="K453">
        <f>MAX(-fyd_cc,MIN(fyd_cc,Es_cc*IF($E453&lt;=cc_D,0.0035*($E453-K$21)/$E453,0.002*($E453-K$21)/($E453-3*cc_D/7))))-fcd_cc*(1-(1-MAX(0,MIN(1,IF($E453&lt;=cc_D,0.0035*($E453-K$21)/$E453,0.002*($E453-K$21)/($E453-3*cc_D/7))/0.002)))^2)</f>
        <v/>
      </c>
      <c r="L453">
        <f>MAX(-fyd_cc,MIN(fyd_cc,Es_cc*IF($E453&lt;=cc_D,0.0035*($E453-L$21)/$E453,0.002*($E453-L$21)/($E453-3*cc_D/7))))-fcd_cc*(1-(1-MAX(0,MIN(1,IF($E453&lt;=cc_D,0.0035*($E453-L$21)/$E453,0.002*($E453-L$21)/($E453-3*cc_D/7))/0.002)))^2)</f>
        <v/>
      </c>
      <c r="M453">
        <f>MAX(-fyd_cc,MIN(fyd_cc,Es_cc*IF($E453&lt;=cc_D,0.0035*($E453-M$21)/$E453,0.002*($E453-M$21)/($E453-3*cc_D/7))))-fcd_cc*(1-(1-MAX(0,MIN(1,IF($E453&lt;=cc_D,0.0035*($E453-M$21)/$E453,0.002*($E453-M$21)/($E453-3*cc_D/7))/0.002)))^2)</f>
        <v/>
      </c>
      <c r="N453">
        <f>MAX(-fyd_cc,MIN(fyd_cc,Es_cc*IF($E453&lt;=cc_D,0.0035*($E453-N$21)/$E453,0.002*($E453-N$21)/($E453-3*cc_D/7))))-fcd_cc*(1-(1-MAX(0,MIN(1,IF($E453&lt;=cc_D,0.0035*($E453-N$21)/$E453,0.002*($E453-N$21)/($E453-3*cc_D/7))/0.002)))^2)</f>
        <v/>
      </c>
      <c r="O453">
        <f>MAX(-fyd_cc,MIN(fyd_cc,Es_cc*IF($E453&lt;=cc_D,0.0035*($E453-O$21)/$E453,0.002*($E453-O$21)/($E453-3*cc_D/7))))-fcd_cc*(1-(1-MAX(0,MIN(1,IF($E453&lt;=cc_D,0.0035*($E453-O$21)/$E453,0.002*($E453-O$21)/($E453-3*cc_D/7))/0.002)))^2)</f>
        <v/>
      </c>
      <c r="P453">
        <f>MAX(-fyd_cc,MIN(fyd_cc,Es_cc*IF($E453&lt;=cc_D,0.0035*($E453-P$21)/$E453,0.002*($E453-P$21)/($E453-3*cc_D/7))))-fcd_cc*(1-(1-MAX(0,MIN(1,IF($E453&lt;=cc_D,0.0035*($E453-P$21)/$E453,0.002*($E453-P$21)/($E453-3*cc_D/7))/0.002)))^2)</f>
        <v/>
      </c>
      <c r="Q453">
        <f>MAX(-fyd_cc,MIN(fyd_cc,Es_cc*IF($E453&lt;=cc_D,0.0035*($E453-Q$21)/$E453,0.002*($E453-Q$21)/($E453-3*cc_D/7))))-fcd_cc*(1-(1-MAX(0,MIN(1,IF($E453&lt;=cc_D,0.0035*($E453-Q$21)/$E453,0.002*($E453-Q$21)/($E453-3*cc_D/7))/0.002)))^2)</f>
        <v/>
      </c>
      <c r="R453">
        <f>MAX(-fyd_cc,MIN(fyd_cc,Es_cc*IF($E453&lt;=cc_D,0.0035*($E453-R$21)/$E453,0.002*($E453-R$21)/($E453-3*cc_D/7))))-fcd_cc*(1-(1-MAX(0,MIN(1,IF($E453&lt;=cc_D,0.0035*($E453-R$21)/$E453,0.002*($E453-R$21)/($E453-3*cc_D/7))/0.002)))^2)</f>
        <v/>
      </c>
      <c r="S453">
        <f>MAX(-fyd_cc,MIN(fyd_cc,Es_cc*IF($E453&lt;=cc_D,0.0035*($E453-S$21)/$E453,0.002*($E453-S$21)/($E453-3*cc_D/7))))-fcd_cc*(1-(1-MAX(0,MIN(1,IF($E453&lt;=cc_D,0.0035*($E453-S$21)/$E453,0.002*($E453-S$21)/($E453-3*cc_D/7))/0.002)))^2)</f>
        <v/>
      </c>
      <c r="T453">
        <f>MAX(-fyd_cc,MIN(fyd_cc,Es_cc*IF($E453&lt;=cc_D,0.0035*($E453-T$21)/$E453,0.002*($E453-T$21)/($E453-3*cc_D/7))))-fcd_cc*(1-(1-MAX(0,MIN(1,IF($E453&lt;=cc_D,0.0035*($E453-T$21)/$E453,0.002*($E453-T$21)/($E453-3*cc_D/7))/0.002)))^2)</f>
        <v/>
      </c>
      <c r="U453">
        <f>MAX(-fyd_cc,MIN(fyd_cc,Es_cc*IF($E453&lt;=cc_D,0.0035*($E453-U$21)/$E453,0.002*($E453-U$21)/($E453-3*cc_D/7))))-fcd_cc*(1-(1-MAX(0,MIN(1,IF($E453&lt;=cc_D,0.0035*($E453-U$21)/$E453,0.002*($E453-U$21)/($E453-3*cc_D/7))/0.002)))^2)</f>
        <v/>
      </c>
      <c r="V453">
        <f>MAX(-fyd_cc,MIN(fyd_cc,Es_cc*IF($E453&lt;=cc_D,0.0035*($E453-V$21)/$E453,0.002*($E453-V$21)/($E453-3*cc_D/7))))-fcd_cc*(1-(1-MAX(0,MIN(1,IF($E453&lt;=cc_D,0.0035*($E453-V$21)/$E453,0.002*($E453-V$21)/($E453-3*cc_D/7))/0.002)))^2)</f>
        <v/>
      </c>
      <c r="W453">
        <f>MAX(-fyd_cc,MIN(fyd_cc,Es_cc*IF($E453&lt;=cc_D,0.0035*($E453-W$21)/$E453,0.002*($E453-W$21)/($E453-3*cc_D/7))))-fcd_cc*(1-(1-MAX(0,MIN(1,IF($E453&lt;=cc_D,0.0035*($E453-W$21)/$E453,0.002*($E453-W$21)/($E453-3*cc_D/7))/0.002)))^2)</f>
        <v/>
      </c>
      <c r="X453">
        <f>MAX(-fyd_cc,MIN(fyd_cc,Es_cc*IF($E453&lt;=cc_D,0.0035*($E453-X$21)/$E453,0.002*($E453-X$21)/($E453-3*cc_D/7))))-fcd_cc*(1-(1-MAX(0,MIN(1,IF($E453&lt;=cc_D,0.0035*($E453-X$21)/$E453,0.002*($E453-X$21)/($E453-3*cc_D/7))/0.002)))^2)</f>
        <v/>
      </c>
      <c r="Y453">
        <f>MAX(-fyd_cc,MIN(fyd_cc,Es_cc*IF($E453&lt;=cc_D,0.0035*($E453-Y$21)/$E453,0.002*($E453-Y$21)/($E453-3*cc_D/7))))-fcd_cc*(1-(1-MAX(0,MIN(1,IF($E453&lt;=cc_D,0.0035*($E453-Y$21)/$E453,0.002*($E453-Y$21)/($E453-3*cc_D/7))/0.002)))^2)</f>
        <v/>
      </c>
      <c r="Z453">
        <f>MAX(-fyd_cc,MIN(fyd_cc,Es_cc*IF($E453&lt;=cc_D,0.0035*($E453-Z$21)/$E453,0.002*($E453-Z$21)/($E453-3*cc_D/7))))-fcd_cc*(1-(1-MAX(0,MIN(1,IF($E453&lt;=cc_D,0.0035*($E453-Z$21)/$E453,0.002*($E453-Z$21)/($E453-3*cc_D/7))/0.002)))^2)</f>
        <v/>
      </c>
      <c r="AA453">
        <f>MAX(-fyd_cc,MIN(fyd_cc,Es_cc*IF($E453&lt;=cc_D,0.0035*($E453-AA$21)/$E453,0.002*($E453-AA$21)/($E453-3*cc_D/7))))-fcd_cc*(1-(1-MAX(0,MIN(1,IF($E453&lt;=cc_D,0.0035*($E453-AA$21)/$E453,0.002*($E453-AA$21)/($E453-3*cc_D/7))/0.002)))^2)</f>
        <v/>
      </c>
      <c r="AB453">
        <f>MAX(-fyd_cc,MIN(fyd_cc,Es_cc*IF($E453&lt;=cc_D,0.0035*($E453-AB$21)/$E453,0.002*($E453-AB$21)/($E453-3*cc_D/7))))-fcd_cc*(1-(1-MAX(0,MIN(1,IF($E453&lt;=cc_D,0.0035*($E453-AB$21)/$E453,0.002*($E453-AB$21)/($E453-3*cc_D/7))/0.002)))^2)</f>
        <v/>
      </c>
      <c r="AC453">
        <f>MAX(-fyd_cc,MIN(fyd_cc,Es_cc*IF($E453&lt;=cc_D,0.0035*($E453-AC$21)/$E453,0.002*($E453-AC$21)/($E453-3*cc_D/7))))-fcd_cc*(1-(1-MAX(0,MIN(1,IF($E453&lt;=cc_D,0.0035*($E453-AC$21)/$E453,0.002*($E453-AC$21)/($E453-3*cc_D/7))/0.002)))^2)</f>
        <v/>
      </c>
      <c r="AD453">
        <f>MAX(-fyd_cc,MIN(fyd_cc,Es_cc*IF($E453&lt;=cc_D,0.0035*($E453-AD$21)/$E453,0.002*($E453-AD$21)/($E453-3*cc_D/7))))-fcd_cc*(1-(1-MAX(0,MIN(1,IF($E453&lt;=cc_D,0.0035*($E453-AD$21)/$E453,0.002*($E453-AD$21)/($E453-3*cc_D/7))/0.002)))^2)</f>
        <v/>
      </c>
      <c r="AE453">
        <f>MAX(-fyd_cc,MIN(fyd_cc,Es_cc*IF($E453&lt;=cc_D,0.0035*($E453-AE$21)/$E453,0.002*($E453-AE$21)/($E453-3*cc_D/7))))-fcd_cc*(1-(1-MAX(0,MIN(1,IF($E453&lt;=cc_D,0.0035*($E453-AE$21)/$E453,0.002*($E453-AE$21)/($E453-3*cc_D/7))/0.002)))^2)</f>
        <v/>
      </c>
      <c r="AF453">
        <f>MAX(-fyd_cc,MIN(fyd_cc,Es_cc*IF($E453&lt;=cc_D,0.0035*($E453-AF$21)/$E453,0.002*($E453-AF$21)/($E453-3*cc_D/7))))-fcd_cc*(1-(1-MAX(0,MIN(1,IF($E453&lt;=cc_D,0.0035*($E453-AF$21)/$E453,0.002*($E453-AF$21)/($E453-3*cc_D/7))/0.002)))^2)</f>
        <v/>
      </c>
      <c r="AG453">
        <f>MAX(-fyd_cc,MIN(fyd_cc,Es_cc*IF($E453&lt;=cc_D,0.0035*($E453-AG$21)/$E453,0.002*($E453-AG$21)/($E453-3*cc_D/7))))-fcd_cc*(1-(1-MAX(0,MIN(1,IF($E453&lt;=cc_D,0.0035*($E453-AG$21)/$E453,0.002*($E453-AG$21)/($E453-3*cc_D/7))/0.002)))^2)</f>
        <v/>
      </c>
      <c r="BF453">
        <f>3*MIN($E453,cc_D)/7</f>
        <v/>
      </c>
      <c r="BG453">
        <f>$E453-$BF453</f>
        <v/>
      </c>
      <c r="BH453">
        <f>ACOS(MAX(-1,MIN(1,1-$BF453/(cc_D/2))))</f>
        <v/>
      </c>
      <c r="BI453">
        <f>ACOS(MAX(-1,MIN(1,1-MIN($E453,cc_D)/(cc_D/2))))</f>
        <v/>
      </c>
      <c r="BJ453">
        <f>((cc_D/2*(1-COS(($BH453+0*($BI453-$BH453)/12)))-$BF453)/$BG453)^2*SIN(($BH453+0*($BI453-$BH453)/12))^2</f>
        <v/>
      </c>
      <c r="BK453">
        <f>((cc_D/2*(1-COS(($BH453+1*($BI453-$BH453)/12)))-$BF453)/$BG453)^2*SIN(($BH453+1*($BI453-$BH453)/12))^2</f>
        <v/>
      </c>
      <c r="BL453">
        <f>((cc_D/2*(1-COS(($BH453+2*($BI453-$BH453)/12)))-$BF453)/$BG453)^2*SIN(($BH453+2*($BI453-$BH453)/12))^2</f>
        <v/>
      </c>
      <c r="BM453">
        <f>((cc_D/2*(1-COS(($BH453+3*($BI453-$BH453)/12)))-$BF453)/$BG453)^2*SIN(($BH453+3*($BI453-$BH453)/12))^2</f>
        <v/>
      </c>
      <c r="BN453">
        <f>((cc_D/2*(1-COS(($BH453+4*($BI453-$BH453)/12)))-$BF453)/$BG453)^2*SIN(($BH453+4*($BI453-$BH453)/12))^2</f>
        <v/>
      </c>
      <c r="BO453">
        <f>((cc_D/2*(1-COS(($BH453+5*($BI453-$BH453)/12)))-$BF453)/$BG453)^2*SIN(($BH453+5*($BI453-$BH453)/12))^2</f>
        <v/>
      </c>
      <c r="BP453">
        <f>((cc_D/2*(1-COS(($BH453+6*($BI453-$BH453)/12)))-$BF453)/$BG453)^2*SIN(($BH453+6*($BI453-$BH453)/12))^2</f>
        <v/>
      </c>
      <c r="BQ453">
        <f>((cc_D/2*(1-COS(($BH453+7*($BI453-$BH453)/12)))-$BF453)/$BG453)^2*SIN(($BH453+7*($BI453-$BH453)/12))^2</f>
        <v/>
      </c>
      <c r="BR453">
        <f>((cc_D/2*(1-COS(($BH453+8*($BI453-$BH453)/12)))-$BF453)/$BG453)^2*SIN(($BH453+8*($BI453-$BH453)/12))^2</f>
        <v/>
      </c>
      <c r="BS453">
        <f>((cc_D/2*(1-COS(($BH453+9*($BI453-$BH453)/12)))-$BF453)/$BG453)^2*SIN(($BH453+9*($BI453-$BH453)/12))^2</f>
        <v/>
      </c>
      <c r="BT453">
        <f>((cc_D/2*(1-COS(($BH453+10*($BI453-$BH453)/12)))-$BF453)/$BG453)^2*SIN(($BH453+10*($BI453-$BH453)/12))^2</f>
        <v/>
      </c>
      <c r="BU453">
        <f>((cc_D/2*(1-COS(($BH453+11*($BI453-$BH453)/12)))-$BF453)/$BG453)^2*SIN(($BH453+11*($BI453-$BH453)/12))^2</f>
        <v/>
      </c>
      <c r="BV453">
        <f>((cc_D/2*(1-COS(($BH453+12*($BI453-$BH453)/12)))-$BF453)/$BG453)^2*SIN(($BH453+12*($BI453-$BH453)/12))^2</f>
        <v/>
      </c>
      <c r="BW453">
        <f>BJ453*COS(($BH453+0*($BI453-$BH453)/12))</f>
        <v/>
      </c>
      <c r="BX453">
        <f>BK453*COS(($BH453+1*($BI453-$BH453)/12))</f>
        <v/>
      </c>
      <c r="BY453">
        <f>BL453*COS(($BH453+2*($BI453-$BH453)/12))</f>
        <v/>
      </c>
      <c r="BZ453">
        <f>BM453*COS(($BH453+3*($BI453-$BH453)/12))</f>
        <v/>
      </c>
      <c r="CA453">
        <f>BN453*COS(($BH453+4*($BI453-$BH453)/12))</f>
        <v/>
      </c>
      <c r="CB453">
        <f>BO453*COS(($BH453+5*($BI453-$BH453)/12))</f>
        <v/>
      </c>
      <c r="CC453">
        <f>BP453*COS(($BH453+6*($BI453-$BH453)/12))</f>
        <v/>
      </c>
      <c r="CD453">
        <f>BQ453*COS(($BH453+7*($BI453-$BH453)/12))</f>
        <v/>
      </c>
      <c r="CE453">
        <f>BR453*COS(($BH453+8*($BI453-$BH453)/12))</f>
        <v/>
      </c>
      <c r="CF453">
        <f>BS453*COS(($BH453+9*($BI453-$BH453)/12))</f>
        <v/>
      </c>
      <c r="CG453">
        <f>BT453*COS(($BH453+10*($BI453-$BH453)/12))</f>
        <v/>
      </c>
      <c r="CH453">
        <f>BU453*COS(($BH453+11*($BI453-$BH453)/12))</f>
        <v/>
      </c>
      <c r="CI453">
        <f>BV453*COS(($BH453+12*($BI453-$BH453)/12))</f>
        <v/>
      </c>
    </row>
    <row r="454">
      <c r="B454" s="65" t="n">
        <v>50</v>
      </c>
      <c r="C454" s="66">
        <f>IF($G453&lt;cc_NEd-1E-9*ABS(cc_NEd),($C453+$D453)/2,$C453)</f>
        <v/>
      </c>
      <c r="D454" s="66">
        <f>IF($G453&lt;cc_NEd-1E-9*ABS(cc_NEd),$D453,($C453+$D453)/2)</f>
        <v/>
      </c>
      <c r="E454" s="67">
        <f>cc_D*(($C454+$D454)/2)/(1-(($C454+$D454)/2))</f>
        <v/>
      </c>
      <c r="F454" s="68">
        <f>IF($E454&lt;=cc_D,3.5,2*$E454/($E454-3*cc_D/7))</f>
        <v/>
      </c>
      <c r="G454" s="67">
        <f>(fcd_cc*((cc_D/2)^2*($BI454-COS($BI454)*SIN($BI454))-2*(cc_D/2)^2*($BI454-$BH454)/12/3*SUMPRODUCT($BJ$4:$BV$4,$BJ454:$BV454))+SUMPRODUCT($J$5:$AG$5,$J454:$AG454))/1000</f>
        <v/>
      </c>
      <c r="H454" s="67">
        <f>(fcd_cc*(2/3*(cc_D/2)^3*SIN($BI454)^3-2*(cc_D/2)^3*($BI454-$BH454)/12/3*SUMPRODUCT($BW$4:$CI$4,$BW454:$CI454))+SUMPRODUCT($J$5:$AG$5,$J454:$AG454,$J$22:$AG$22))/1E6</f>
        <v/>
      </c>
      <c r="I454" s="67">
        <f>SUMPRODUCT($J$5:$AG$5,$J454:$AG454,$J$23:$AG$23)/1E6</f>
        <v/>
      </c>
      <c r="J454">
        <f>MAX(-fyd_cc,MIN(fyd_cc,Es_cc*IF($E454&lt;=cc_D,0.0035*($E454-J$21)/$E454,0.002*($E454-J$21)/($E454-3*cc_D/7))))-fcd_cc*(1-(1-MAX(0,MIN(1,IF($E454&lt;=cc_D,0.0035*($E454-J$21)/$E454,0.002*($E454-J$21)/($E454-3*cc_D/7))/0.002)))^2)</f>
        <v/>
      </c>
      <c r="K454">
        <f>MAX(-fyd_cc,MIN(fyd_cc,Es_cc*IF($E454&lt;=cc_D,0.0035*($E454-K$21)/$E454,0.002*($E454-K$21)/($E454-3*cc_D/7))))-fcd_cc*(1-(1-MAX(0,MIN(1,IF($E454&lt;=cc_D,0.0035*($E454-K$21)/$E454,0.002*($E454-K$21)/($E454-3*cc_D/7))/0.002)))^2)</f>
        <v/>
      </c>
      <c r="L454">
        <f>MAX(-fyd_cc,MIN(fyd_cc,Es_cc*IF($E454&lt;=cc_D,0.0035*($E454-L$21)/$E454,0.002*($E454-L$21)/($E454-3*cc_D/7))))-fcd_cc*(1-(1-MAX(0,MIN(1,IF($E454&lt;=cc_D,0.0035*($E454-L$21)/$E454,0.002*($E454-L$21)/($E454-3*cc_D/7))/0.002)))^2)</f>
        <v/>
      </c>
      <c r="M454">
        <f>MAX(-fyd_cc,MIN(fyd_cc,Es_cc*IF($E454&lt;=cc_D,0.0035*($E454-M$21)/$E454,0.002*($E454-M$21)/($E454-3*cc_D/7))))-fcd_cc*(1-(1-MAX(0,MIN(1,IF($E454&lt;=cc_D,0.0035*($E454-M$21)/$E454,0.002*($E454-M$21)/($E454-3*cc_D/7))/0.002)))^2)</f>
        <v/>
      </c>
      <c r="N454">
        <f>MAX(-fyd_cc,MIN(fyd_cc,Es_cc*IF($E454&lt;=cc_D,0.0035*($E454-N$21)/$E454,0.002*($E454-N$21)/($E454-3*cc_D/7))))-fcd_cc*(1-(1-MAX(0,MIN(1,IF($E454&lt;=cc_D,0.0035*($E454-N$21)/$E454,0.002*($E454-N$21)/($E454-3*cc_D/7))/0.002)))^2)</f>
        <v/>
      </c>
      <c r="O454">
        <f>MAX(-fyd_cc,MIN(fyd_cc,Es_cc*IF($E454&lt;=cc_D,0.0035*($E454-O$21)/$E454,0.002*($E454-O$21)/($E454-3*cc_D/7))))-fcd_cc*(1-(1-MAX(0,MIN(1,IF($E454&lt;=cc_D,0.0035*($E454-O$21)/$E454,0.002*($E454-O$21)/($E454-3*cc_D/7))/0.002)))^2)</f>
        <v/>
      </c>
      <c r="P454">
        <f>MAX(-fyd_cc,MIN(fyd_cc,Es_cc*IF($E454&lt;=cc_D,0.0035*($E454-P$21)/$E454,0.002*($E454-P$21)/($E454-3*cc_D/7))))-fcd_cc*(1-(1-MAX(0,MIN(1,IF($E454&lt;=cc_D,0.0035*($E454-P$21)/$E454,0.002*($E454-P$21)/($E454-3*cc_D/7))/0.002)))^2)</f>
        <v/>
      </c>
      <c r="Q454">
        <f>MAX(-fyd_cc,MIN(fyd_cc,Es_cc*IF($E454&lt;=cc_D,0.0035*($E454-Q$21)/$E454,0.002*($E454-Q$21)/($E454-3*cc_D/7))))-fcd_cc*(1-(1-MAX(0,MIN(1,IF($E454&lt;=cc_D,0.0035*($E454-Q$21)/$E454,0.002*($E454-Q$21)/($E454-3*cc_D/7))/0.002)))^2)</f>
        <v/>
      </c>
      <c r="R454">
        <f>MAX(-fyd_cc,MIN(fyd_cc,Es_cc*IF($E454&lt;=cc_D,0.0035*($E454-R$21)/$E454,0.002*($E454-R$21)/($E454-3*cc_D/7))))-fcd_cc*(1-(1-MAX(0,MIN(1,IF($E454&lt;=cc_D,0.0035*($E454-R$21)/$E454,0.002*($E454-R$21)/($E454-3*cc_D/7))/0.002)))^2)</f>
        <v/>
      </c>
      <c r="S454">
        <f>MAX(-fyd_cc,MIN(fyd_cc,Es_cc*IF($E454&lt;=cc_D,0.0035*($E454-S$21)/$E454,0.002*($E454-S$21)/($E454-3*cc_D/7))))-fcd_cc*(1-(1-MAX(0,MIN(1,IF($E454&lt;=cc_D,0.0035*($E454-S$21)/$E454,0.002*($E454-S$21)/($E454-3*cc_D/7))/0.002)))^2)</f>
        <v/>
      </c>
      <c r="T454">
        <f>MAX(-fyd_cc,MIN(fyd_cc,Es_cc*IF($E454&lt;=cc_D,0.0035*($E454-T$21)/$E454,0.002*($E454-T$21)/($E454-3*cc_D/7))))-fcd_cc*(1-(1-MAX(0,MIN(1,IF($E454&lt;=cc_D,0.0035*($E454-T$21)/$E454,0.002*($E454-T$21)/($E454-3*cc_D/7))/0.002)))^2)</f>
        <v/>
      </c>
      <c r="U454">
        <f>MAX(-fyd_cc,MIN(fyd_cc,Es_cc*IF($E454&lt;=cc_D,0.0035*($E454-U$21)/$E454,0.002*($E454-U$21)/($E454-3*cc_D/7))))-fcd_cc*(1-(1-MAX(0,MIN(1,IF($E454&lt;=cc_D,0.0035*($E454-U$21)/$E454,0.002*($E454-U$21)/($E454-3*cc_D/7))/0.002)))^2)</f>
        <v/>
      </c>
      <c r="V454">
        <f>MAX(-fyd_cc,MIN(fyd_cc,Es_cc*IF($E454&lt;=cc_D,0.0035*($E454-V$21)/$E454,0.002*($E454-V$21)/($E454-3*cc_D/7))))-fcd_cc*(1-(1-MAX(0,MIN(1,IF($E454&lt;=cc_D,0.0035*($E454-V$21)/$E454,0.002*($E454-V$21)/($E454-3*cc_D/7))/0.002)))^2)</f>
        <v/>
      </c>
      <c r="W454">
        <f>MAX(-fyd_cc,MIN(fyd_cc,Es_cc*IF($E454&lt;=cc_D,0.0035*($E454-W$21)/$E454,0.002*($E454-W$21)/($E454-3*cc_D/7))))-fcd_cc*(1-(1-MAX(0,MIN(1,IF($E454&lt;=cc_D,0.0035*($E454-W$21)/$E454,0.002*($E454-W$21)/($E454-3*cc_D/7))/0.002)))^2)</f>
        <v/>
      </c>
      <c r="X454">
        <f>MAX(-fyd_cc,MIN(fyd_cc,Es_cc*IF($E454&lt;=cc_D,0.0035*($E454-X$21)/$E454,0.002*($E454-X$21)/($E454-3*cc_D/7))))-fcd_cc*(1-(1-MAX(0,MIN(1,IF($E454&lt;=cc_D,0.0035*($E454-X$21)/$E454,0.002*($E454-X$21)/($E454-3*cc_D/7))/0.002)))^2)</f>
        <v/>
      </c>
      <c r="Y454">
        <f>MAX(-fyd_cc,MIN(fyd_cc,Es_cc*IF($E454&lt;=cc_D,0.0035*($E454-Y$21)/$E454,0.002*($E454-Y$21)/($E454-3*cc_D/7))))-fcd_cc*(1-(1-MAX(0,MIN(1,IF($E454&lt;=cc_D,0.0035*($E454-Y$21)/$E454,0.002*($E454-Y$21)/($E454-3*cc_D/7))/0.002)))^2)</f>
        <v/>
      </c>
      <c r="Z454">
        <f>MAX(-fyd_cc,MIN(fyd_cc,Es_cc*IF($E454&lt;=cc_D,0.0035*($E454-Z$21)/$E454,0.002*($E454-Z$21)/($E454-3*cc_D/7))))-fcd_cc*(1-(1-MAX(0,MIN(1,IF($E454&lt;=cc_D,0.0035*($E454-Z$21)/$E454,0.002*($E454-Z$21)/($E454-3*cc_D/7))/0.002)))^2)</f>
        <v/>
      </c>
      <c r="AA454">
        <f>MAX(-fyd_cc,MIN(fyd_cc,Es_cc*IF($E454&lt;=cc_D,0.0035*($E454-AA$21)/$E454,0.002*($E454-AA$21)/($E454-3*cc_D/7))))-fcd_cc*(1-(1-MAX(0,MIN(1,IF($E454&lt;=cc_D,0.0035*($E454-AA$21)/$E454,0.002*($E454-AA$21)/($E454-3*cc_D/7))/0.002)))^2)</f>
        <v/>
      </c>
      <c r="AB454">
        <f>MAX(-fyd_cc,MIN(fyd_cc,Es_cc*IF($E454&lt;=cc_D,0.0035*($E454-AB$21)/$E454,0.002*($E454-AB$21)/($E454-3*cc_D/7))))-fcd_cc*(1-(1-MAX(0,MIN(1,IF($E454&lt;=cc_D,0.0035*($E454-AB$21)/$E454,0.002*($E454-AB$21)/($E454-3*cc_D/7))/0.002)))^2)</f>
        <v/>
      </c>
      <c r="AC454">
        <f>MAX(-fyd_cc,MIN(fyd_cc,Es_cc*IF($E454&lt;=cc_D,0.0035*($E454-AC$21)/$E454,0.002*($E454-AC$21)/($E454-3*cc_D/7))))-fcd_cc*(1-(1-MAX(0,MIN(1,IF($E454&lt;=cc_D,0.0035*($E454-AC$21)/$E454,0.002*($E454-AC$21)/($E454-3*cc_D/7))/0.002)))^2)</f>
        <v/>
      </c>
      <c r="AD454">
        <f>MAX(-fyd_cc,MIN(fyd_cc,Es_cc*IF($E454&lt;=cc_D,0.0035*($E454-AD$21)/$E454,0.002*($E454-AD$21)/($E454-3*cc_D/7))))-fcd_cc*(1-(1-MAX(0,MIN(1,IF($E454&lt;=cc_D,0.0035*($E454-AD$21)/$E454,0.002*($E454-AD$21)/($E454-3*cc_D/7))/0.002)))^2)</f>
        <v/>
      </c>
      <c r="AE454">
        <f>MAX(-fyd_cc,MIN(fyd_cc,Es_cc*IF($E454&lt;=cc_D,0.0035*($E454-AE$21)/$E454,0.002*($E454-AE$21)/($E454-3*cc_D/7))))-fcd_cc*(1-(1-MAX(0,MIN(1,IF($E454&lt;=cc_D,0.0035*($E454-AE$21)/$E454,0.002*($E454-AE$21)/($E454-3*cc_D/7))/0.002)))^2)</f>
        <v/>
      </c>
      <c r="AF454">
        <f>MAX(-fyd_cc,MIN(fyd_cc,Es_cc*IF($E454&lt;=cc_D,0.0035*($E454-AF$21)/$E454,0.002*($E454-AF$21)/($E454-3*cc_D/7))))-fcd_cc*(1-(1-MAX(0,MIN(1,IF($E454&lt;=cc_D,0.0035*($E454-AF$21)/$E454,0.002*($E454-AF$21)/($E454-3*cc_D/7))/0.002)))^2)</f>
        <v/>
      </c>
      <c r="AG454">
        <f>MAX(-fyd_cc,MIN(fyd_cc,Es_cc*IF($E454&lt;=cc_D,0.0035*($E454-AG$21)/$E454,0.002*($E454-AG$21)/($E454-3*cc_D/7))))-fcd_cc*(1-(1-MAX(0,MIN(1,IF($E454&lt;=cc_D,0.0035*($E454-AG$21)/$E454,0.002*($E454-AG$21)/($E454-3*cc_D/7))/0.002)))^2)</f>
        <v/>
      </c>
      <c r="BF454">
        <f>3*MIN($E454,cc_D)/7</f>
        <v/>
      </c>
      <c r="BG454">
        <f>$E454-$BF454</f>
        <v/>
      </c>
      <c r="BH454">
        <f>ACOS(MAX(-1,MIN(1,1-$BF454/(cc_D/2))))</f>
        <v/>
      </c>
      <c r="BI454">
        <f>ACOS(MAX(-1,MIN(1,1-MIN($E454,cc_D)/(cc_D/2))))</f>
        <v/>
      </c>
      <c r="BJ454">
        <f>((cc_D/2*(1-COS(($BH454+0*($BI454-$BH454)/12)))-$BF454)/$BG454)^2*SIN(($BH454+0*($BI454-$BH454)/12))^2</f>
        <v/>
      </c>
      <c r="BK454">
        <f>((cc_D/2*(1-COS(($BH454+1*($BI454-$BH454)/12)))-$BF454)/$BG454)^2*SIN(($BH454+1*($BI454-$BH454)/12))^2</f>
        <v/>
      </c>
      <c r="BL454">
        <f>((cc_D/2*(1-COS(($BH454+2*($BI454-$BH454)/12)))-$BF454)/$BG454)^2*SIN(($BH454+2*($BI454-$BH454)/12))^2</f>
        <v/>
      </c>
      <c r="BM454">
        <f>((cc_D/2*(1-COS(($BH454+3*($BI454-$BH454)/12)))-$BF454)/$BG454)^2*SIN(($BH454+3*($BI454-$BH454)/12))^2</f>
        <v/>
      </c>
      <c r="BN454">
        <f>((cc_D/2*(1-COS(($BH454+4*($BI454-$BH454)/12)))-$BF454)/$BG454)^2*SIN(($BH454+4*($BI454-$BH454)/12))^2</f>
        <v/>
      </c>
      <c r="BO454">
        <f>((cc_D/2*(1-COS(($BH454+5*($BI454-$BH454)/12)))-$BF454)/$BG454)^2*SIN(($BH454+5*($BI454-$BH454)/12))^2</f>
        <v/>
      </c>
      <c r="BP454">
        <f>((cc_D/2*(1-COS(($BH454+6*($BI454-$BH454)/12)))-$BF454)/$BG454)^2*SIN(($BH454+6*($BI454-$BH454)/12))^2</f>
        <v/>
      </c>
      <c r="BQ454">
        <f>((cc_D/2*(1-COS(($BH454+7*($BI454-$BH454)/12)))-$BF454)/$BG454)^2*SIN(($BH454+7*($BI454-$BH454)/12))^2</f>
        <v/>
      </c>
      <c r="BR454">
        <f>((cc_D/2*(1-COS(($BH454+8*($BI454-$BH454)/12)))-$BF454)/$BG454)^2*SIN(($BH454+8*($BI454-$BH454)/12))^2</f>
        <v/>
      </c>
      <c r="BS454">
        <f>((cc_D/2*(1-COS(($BH454+9*($BI454-$BH454)/12)))-$BF454)/$BG454)^2*SIN(($BH454+9*($BI454-$BH454)/12))^2</f>
        <v/>
      </c>
      <c r="BT454">
        <f>((cc_D/2*(1-COS(($BH454+10*($BI454-$BH454)/12)))-$BF454)/$BG454)^2*SIN(($BH454+10*($BI454-$BH454)/12))^2</f>
        <v/>
      </c>
      <c r="BU454">
        <f>((cc_D/2*(1-COS(($BH454+11*($BI454-$BH454)/12)))-$BF454)/$BG454)^2*SIN(($BH454+11*($BI454-$BH454)/12))^2</f>
        <v/>
      </c>
      <c r="BV454">
        <f>((cc_D/2*(1-COS(($BH454+12*($BI454-$BH454)/12)))-$BF454)/$BG454)^2*SIN(($BH454+12*($BI454-$BH454)/12))^2</f>
        <v/>
      </c>
      <c r="BW454">
        <f>BJ454*COS(($BH454+0*($BI454-$BH454)/12))</f>
        <v/>
      </c>
      <c r="BX454">
        <f>BK454*COS(($BH454+1*($BI454-$BH454)/12))</f>
        <v/>
      </c>
      <c r="BY454">
        <f>BL454*COS(($BH454+2*($BI454-$BH454)/12))</f>
        <v/>
      </c>
      <c r="BZ454">
        <f>BM454*COS(($BH454+3*($BI454-$BH454)/12))</f>
        <v/>
      </c>
      <c r="CA454">
        <f>BN454*COS(($BH454+4*($BI454-$BH454)/12))</f>
        <v/>
      </c>
      <c r="CB454">
        <f>BO454*COS(($BH454+5*($BI454-$BH454)/12))</f>
        <v/>
      </c>
      <c r="CC454">
        <f>BP454*COS(($BH454+6*($BI454-$BH454)/12))</f>
        <v/>
      </c>
      <c r="CD454">
        <f>BQ454*COS(($BH454+7*($BI454-$BH454)/12))</f>
        <v/>
      </c>
      <c r="CE454">
        <f>BR454*COS(($BH454+8*($BI454-$BH454)/12))</f>
        <v/>
      </c>
      <c r="CF454">
        <f>BS454*COS(($BH454+9*($BI454-$BH454)/12))</f>
        <v/>
      </c>
      <c r="CG454">
        <f>BT454*COS(($BH454+10*($BI454-$BH454)/12))</f>
        <v/>
      </c>
      <c r="CH454">
        <f>BU454*COS(($BH454+11*($BI454-$BH454)/12))</f>
        <v/>
      </c>
      <c r="CI454">
        <f>BV454*COS(($BH454+12*($BI454-$BH454)/12))</f>
        <v/>
      </c>
    </row>
    <row r="455">
      <c r="B455" s="65" t="n">
        <v>51</v>
      </c>
      <c r="C455" s="66">
        <f>IF($G454&lt;cc_NEd-1E-9*ABS(cc_NEd),($C454+$D454)/2,$C454)</f>
        <v/>
      </c>
      <c r="D455" s="66">
        <f>IF($G454&lt;cc_NEd-1E-9*ABS(cc_NEd),$D454,($C454+$D454)/2)</f>
        <v/>
      </c>
      <c r="E455" s="67">
        <f>cc_D*(($C455+$D455)/2)/(1-(($C455+$D455)/2))</f>
        <v/>
      </c>
      <c r="F455" s="68">
        <f>IF($E455&lt;=cc_D,3.5,2*$E455/($E455-3*cc_D/7))</f>
        <v/>
      </c>
      <c r="G455" s="67">
        <f>(fcd_cc*((cc_D/2)^2*($BI455-COS($BI455)*SIN($BI455))-2*(cc_D/2)^2*($BI455-$BH455)/12/3*SUMPRODUCT($BJ$4:$BV$4,$BJ455:$BV455))+SUMPRODUCT($J$5:$AG$5,$J455:$AG455))/1000</f>
        <v/>
      </c>
      <c r="H455" s="67">
        <f>(fcd_cc*(2/3*(cc_D/2)^3*SIN($BI455)^3-2*(cc_D/2)^3*($BI455-$BH455)/12/3*SUMPRODUCT($BW$4:$CI$4,$BW455:$CI455))+SUMPRODUCT($J$5:$AG$5,$J455:$AG455,$J$22:$AG$22))/1E6</f>
        <v/>
      </c>
      <c r="I455" s="67">
        <f>SUMPRODUCT($J$5:$AG$5,$J455:$AG455,$J$23:$AG$23)/1E6</f>
        <v/>
      </c>
      <c r="J455">
        <f>MAX(-fyd_cc,MIN(fyd_cc,Es_cc*IF($E455&lt;=cc_D,0.0035*($E455-J$21)/$E455,0.002*($E455-J$21)/($E455-3*cc_D/7))))-fcd_cc*(1-(1-MAX(0,MIN(1,IF($E455&lt;=cc_D,0.0035*($E455-J$21)/$E455,0.002*($E455-J$21)/($E455-3*cc_D/7))/0.002)))^2)</f>
        <v/>
      </c>
      <c r="K455">
        <f>MAX(-fyd_cc,MIN(fyd_cc,Es_cc*IF($E455&lt;=cc_D,0.0035*($E455-K$21)/$E455,0.002*($E455-K$21)/($E455-3*cc_D/7))))-fcd_cc*(1-(1-MAX(0,MIN(1,IF($E455&lt;=cc_D,0.0035*($E455-K$21)/$E455,0.002*($E455-K$21)/($E455-3*cc_D/7))/0.002)))^2)</f>
        <v/>
      </c>
      <c r="L455">
        <f>MAX(-fyd_cc,MIN(fyd_cc,Es_cc*IF($E455&lt;=cc_D,0.0035*($E455-L$21)/$E455,0.002*($E455-L$21)/($E455-3*cc_D/7))))-fcd_cc*(1-(1-MAX(0,MIN(1,IF($E455&lt;=cc_D,0.0035*($E455-L$21)/$E455,0.002*($E455-L$21)/($E455-3*cc_D/7))/0.002)))^2)</f>
        <v/>
      </c>
      <c r="M455">
        <f>MAX(-fyd_cc,MIN(fyd_cc,Es_cc*IF($E455&lt;=cc_D,0.0035*($E455-M$21)/$E455,0.002*($E455-M$21)/($E455-3*cc_D/7))))-fcd_cc*(1-(1-MAX(0,MIN(1,IF($E455&lt;=cc_D,0.0035*($E455-M$21)/$E455,0.002*($E455-M$21)/($E455-3*cc_D/7))/0.002)))^2)</f>
        <v/>
      </c>
      <c r="N455">
        <f>MAX(-fyd_cc,MIN(fyd_cc,Es_cc*IF($E455&lt;=cc_D,0.0035*($E455-N$21)/$E455,0.002*($E455-N$21)/($E455-3*cc_D/7))))-fcd_cc*(1-(1-MAX(0,MIN(1,IF($E455&lt;=cc_D,0.0035*($E455-N$21)/$E455,0.002*($E455-N$21)/($E455-3*cc_D/7))/0.002)))^2)</f>
        <v/>
      </c>
      <c r="O455">
        <f>MAX(-fyd_cc,MIN(fyd_cc,Es_cc*IF($E455&lt;=cc_D,0.0035*($E455-O$21)/$E455,0.002*($E455-O$21)/($E455-3*cc_D/7))))-fcd_cc*(1-(1-MAX(0,MIN(1,IF($E455&lt;=cc_D,0.0035*($E455-O$21)/$E455,0.002*($E455-O$21)/($E455-3*cc_D/7))/0.002)))^2)</f>
        <v/>
      </c>
      <c r="P455">
        <f>MAX(-fyd_cc,MIN(fyd_cc,Es_cc*IF($E455&lt;=cc_D,0.0035*($E455-P$21)/$E455,0.002*($E455-P$21)/($E455-3*cc_D/7))))-fcd_cc*(1-(1-MAX(0,MIN(1,IF($E455&lt;=cc_D,0.0035*($E455-P$21)/$E455,0.002*($E455-P$21)/($E455-3*cc_D/7))/0.002)))^2)</f>
        <v/>
      </c>
      <c r="Q455">
        <f>MAX(-fyd_cc,MIN(fyd_cc,Es_cc*IF($E455&lt;=cc_D,0.0035*($E455-Q$21)/$E455,0.002*($E455-Q$21)/($E455-3*cc_D/7))))-fcd_cc*(1-(1-MAX(0,MIN(1,IF($E455&lt;=cc_D,0.0035*($E455-Q$21)/$E455,0.002*($E455-Q$21)/($E455-3*cc_D/7))/0.002)))^2)</f>
        <v/>
      </c>
      <c r="R455">
        <f>MAX(-fyd_cc,MIN(fyd_cc,Es_cc*IF($E455&lt;=cc_D,0.0035*($E455-R$21)/$E455,0.002*($E455-R$21)/($E455-3*cc_D/7))))-fcd_cc*(1-(1-MAX(0,MIN(1,IF($E455&lt;=cc_D,0.0035*($E455-R$21)/$E455,0.002*($E455-R$21)/($E455-3*cc_D/7))/0.002)))^2)</f>
        <v/>
      </c>
      <c r="S455">
        <f>MAX(-fyd_cc,MIN(fyd_cc,Es_cc*IF($E455&lt;=cc_D,0.0035*($E455-S$21)/$E455,0.002*($E455-S$21)/($E455-3*cc_D/7))))-fcd_cc*(1-(1-MAX(0,MIN(1,IF($E455&lt;=cc_D,0.0035*($E455-S$21)/$E455,0.002*($E455-S$21)/($E455-3*cc_D/7))/0.002)))^2)</f>
        <v/>
      </c>
      <c r="T455">
        <f>MAX(-fyd_cc,MIN(fyd_cc,Es_cc*IF($E455&lt;=cc_D,0.0035*($E455-T$21)/$E455,0.002*($E455-T$21)/($E455-3*cc_D/7))))-fcd_cc*(1-(1-MAX(0,MIN(1,IF($E455&lt;=cc_D,0.0035*($E455-T$21)/$E455,0.002*($E455-T$21)/($E455-3*cc_D/7))/0.002)))^2)</f>
        <v/>
      </c>
      <c r="U455">
        <f>MAX(-fyd_cc,MIN(fyd_cc,Es_cc*IF($E455&lt;=cc_D,0.0035*($E455-U$21)/$E455,0.002*($E455-U$21)/($E455-3*cc_D/7))))-fcd_cc*(1-(1-MAX(0,MIN(1,IF($E455&lt;=cc_D,0.0035*($E455-U$21)/$E455,0.002*($E455-U$21)/($E455-3*cc_D/7))/0.002)))^2)</f>
        <v/>
      </c>
      <c r="V455">
        <f>MAX(-fyd_cc,MIN(fyd_cc,Es_cc*IF($E455&lt;=cc_D,0.0035*($E455-V$21)/$E455,0.002*($E455-V$21)/($E455-3*cc_D/7))))-fcd_cc*(1-(1-MAX(0,MIN(1,IF($E455&lt;=cc_D,0.0035*($E455-V$21)/$E455,0.002*($E455-V$21)/($E455-3*cc_D/7))/0.002)))^2)</f>
        <v/>
      </c>
      <c r="W455">
        <f>MAX(-fyd_cc,MIN(fyd_cc,Es_cc*IF($E455&lt;=cc_D,0.0035*($E455-W$21)/$E455,0.002*($E455-W$21)/($E455-3*cc_D/7))))-fcd_cc*(1-(1-MAX(0,MIN(1,IF($E455&lt;=cc_D,0.0035*($E455-W$21)/$E455,0.002*($E455-W$21)/($E455-3*cc_D/7))/0.002)))^2)</f>
        <v/>
      </c>
      <c r="X455">
        <f>MAX(-fyd_cc,MIN(fyd_cc,Es_cc*IF($E455&lt;=cc_D,0.0035*($E455-X$21)/$E455,0.002*($E455-X$21)/($E455-3*cc_D/7))))-fcd_cc*(1-(1-MAX(0,MIN(1,IF($E455&lt;=cc_D,0.0035*($E455-X$21)/$E455,0.002*($E455-X$21)/($E455-3*cc_D/7))/0.002)))^2)</f>
        <v/>
      </c>
      <c r="Y455">
        <f>MAX(-fyd_cc,MIN(fyd_cc,Es_cc*IF($E455&lt;=cc_D,0.0035*($E455-Y$21)/$E455,0.002*($E455-Y$21)/($E455-3*cc_D/7))))-fcd_cc*(1-(1-MAX(0,MIN(1,IF($E455&lt;=cc_D,0.0035*($E455-Y$21)/$E455,0.002*($E455-Y$21)/($E455-3*cc_D/7))/0.002)))^2)</f>
        <v/>
      </c>
      <c r="Z455">
        <f>MAX(-fyd_cc,MIN(fyd_cc,Es_cc*IF($E455&lt;=cc_D,0.0035*($E455-Z$21)/$E455,0.002*($E455-Z$21)/($E455-3*cc_D/7))))-fcd_cc*(1-(1-MAX(0,MIN(1,IF($E455&lt;=cc_D,0.0035*($E455-Z$21)/$E455,0.002*($E455-Z$21)/($E455-3*cc_D/7))/0.002)))^2)</f>
        <v/>
      </c>
      <c r="AA455">
        <f>MAX(-fyd_cc,MIN(fyd_cc,Es_cc*IF($E455&lt;=cc_D,0.0035*($E455-AA$21)/$E455,0.002*($E455-AA$21)/($E455-3*cc_D/7))))-fcd_cc*(1-(1-MAX(0,MIN(1,IF($E455&lt;=cc_D,0.0035*($E455-AA$21)/$E455,0.002*($E455-AA$21)/($E455-3*cc_D/7))/0.002)))^2)</f>
        <v/>
      </c>
      <c r="AB455">
        <f>MAX(-fyd_cc,MIN(fyd_cc,Es_cc*IF($E455&lt;=cc_D,0.0035*($E455-AB$21)/$E455,0.002*($E455-AB$21)/($E455-3*cc_D/7))))-fcd_cc*(1-(1-MAX(0,MIN(1,IF($E455&lt;=cc_D,0.0035*($E455-AB$21)/$E455,0.002*($E455-AB$21)/($E455-3*cc_D/7))/0.002)))^2)</f>
        <v/>
      </c>
      <c r="AC455">
        <f>MAX(-fyd_cc,MIN(fyd_cc,Es_cc*IF($E455&lt;=cc_D,0.0035*($E455-AC$21)/$E455,0.002*($E455-AC$21)/($E455-3*cc_D/7))))-fcd_cc*(1-(1-MAX(0,MIN(1,IF($E455&lt;=cc_D,0.0035*($E455-AC$21)/$E455,0.002*($E455-AC$21)/($E455-3*cc_D/7))/0.002)))^2)</f>
        <v/>
      </c>
      <c r="AD455">
        <f>MAX(-fyd_cc,MIN(fyd_cc,Es_cc*IF($E455&lt;=cc_D,0.0035*($E455-AD$21)/$E455,0.002*($E455-AD$21)/($E455-3*cc_D/7))))-fcd_cc*(1-(1-MAX(0,MIN(1,IF($E455&lt;=cc_D,0.0035*($E455-AD$21)/$E455,0.002*($E455-AD$21)/($E455-3*cc_D/7))/0.002)))^2)</f>
        <v/>
      </c>
      <c r="AE455">
        <f>MAX(-fyd_cc,MIN(fyd_cc,Es_cc*IF($E455&lt;=cc_D,0.0035*($E455-AE$21)/$E455,0.002*($E455-AE$21)/($E455-3*cc_D/7))))-fcd_cc*(1-(1-MAX(0,MIN(1,IF($E455&lt;=cc_D,0.0035*($E455-AE$21)/$E455,0.002*($E455-AE$21)/($E455-3*cc_D/7))/0.002)))^2)</f>
        <v/>
      </c>
      <c r="AF455">
        <f>MAX(-fyd_cc,MIN(fyd_cc,Es_cc*IF($E455&lt;=cc_D,0.0035*($E455-AF$21)/$E455,0.002*($E455-AF$21)/($E455-3*cc_D/7))))-fcd_cc*(1-(1-MAX(0,MIN(1,IF($E455&lt;=cc_D,0.0035*($E455-AF$21)/$E455,0.002*($E455-AF$21)/($E455-3*cc_D/7))/0.002)))^2)</f>
        <v/>
      </c>
      <c r="AG455">
        <f>MAX(-fyd_cc,MIN(fyd_cc,Es_cc*IF($E455&lt;=cc_D,0.0035*($E455-AG$21)/$E455,0.002*($E455-AG$21)/($E455-3*cc_D/7))))-fcd_cc*(1-(1-MAX(0,MIN(1,IF($E455&lt;=cc_D,0.0035*($E455-AG$21)/$E455,0.002*($E455-AG$21)/($E455-3*cc_D/7))/0.002)))^2)</f>
        <v/>
      </c>
      <c r="BF455">
        <f>3*MIN($E455,cc_D)/7</f>
        <v/>
      </c>
      <c r="BG455">
        <f>$E455-$BF455</f>
        <v/>
      </c>
      <c r="BH455">
        <f>ACOS(MAX(-1,MIN(1,1-$BF455/(cc_D/2))))</f>
        <v/>
      </c>
      <c r="BI455">
        <f>ACOS(MAX(-1,MIN(1,1-MIN($E455,cc_D)/(cc_D/2))))</f>
        <v/>
      </c>
      <c r="BJ455">
        <f>((cc_D/2*(1-COS(($BH455+0*($BI455-$BH455)/12)))-$BF455)/$BG455)^2*SIN(($BH455+0*($BI455-$BH455)/12))^2</f>
        <v/>
      </c>
      <c r="BK455">
        <f>((cc_D/2*(1-COS(($BH455+1*($BI455-$BH455)/12)))-$BF455)/$BG455)^2*SIN(($BH455+1*($BI455-$BH455)/12))^2</f>
        <v/>
      </c>
      <c r="BL455">
        <f>((cc_D/2*(1-COS(($BH455+2*($BI455-$BH455)/12)))-$BF455)/$BG455)^2*SIN(($BH455+2*($BI455-$BH455)/12))^2</f>
        <v/>
      </c>
      <c r="BM455">
        <f>((cc_D/2*(1-COS(($BH455+3*($BI455-$BH455)/12)))-$BF455)/$BG455)^2*SIN(($BH455+3*($BI455-$BH455)/12))^2</f>
        <v/>
      </c>
      <c r="BN455">
        <f>((cc_D/2*(1-COS(($BH455+4*($BI455-$BH455)/12)))-$BF455)/$BG455)^2*SIN(($BH455+4*($BI455-$BH455)/12))^2</f>
        <v/>
      </c>
      <c r="BO455">
        <f>((cc_D/2*(1-COS(($BH455+5*($BI455-$BH455)/12)))-$BF455)/$BG455)^2*SIN(($BH455+5*($BI455-$BH455)/12))^2</f>
        <v/>
      </c>
      <c r="BP455">
        <f>((cc_D/2*(1-COS(($BH455+6*($BI455-$BH455)/12)))-$BF455)/$BG455)^2*SIN(($BH455+6*($BI455-$BH455)/12))^2</f>
        <v/>
      </c>
      <c r="BQ455">
        <f>((cc_D/2*(1-COS(($BH455+7*($BI455-$BH455)/12)))-$BF455)/$BG455)^2*SIN(($BH455+7*($BI455-$BH455)/12))^2</f>
        <v/>
      </c>
      <c r="BR455">
        <f>((cc_D/2*(1-COS(($BH455+8*($BI455-$BH455)/12)))-$BF455)/$BG455)^2*SIN(($BH455+8*($BI455-$BH455)/12))^2</f>
        <v/>
      </c>
      <c r="BS455">
        <f>((cc_D/2*(1-COS(($BH455+9*($BI455-$BH455)/12)))-$BF455)/$BG455)^2*SIN(($BH455+9*($BI455-$BH455)/12))^2</f>
        <v/>
      </c>
      <c r="BT455">
        <f>((cc_D/2*(1-COS(($BH455+10*($BI455-$BH455)/12)))-$BF455)/$BG455)^2*SIN(($BH455+10*($BI455-$BH455)/12))^2</f>
        <v/>
      </c>
      <c r="BU455">
        <f>((cc_D/2*(1-COS(($BH455+11*($BI455-$BH455)/12)))-$BF455)/$BG455)^2*SIN(($BH455+11*($BI455-$BH455)/12))^2</f>
        <v/>
      </c>
      <c r="BV455">
        <f>((cc_D/2*(1-COS(($BH455+12*($BI455-$BH455)/12)))-$BF455)/$BG455)^2*SIN(($BH455+12*($BI455-$BH455)/12))^2</f>
        <v/>
      </c>
      <c r="BW455">
        <f>BJ455*COS(($BH455+0*($BI455-$BH455)/12))</f>
        <v/>
      </c>
      <c r="BX455">
        <f>BK455*COS(($BH455+1*($BI455-$BH455)/12))</f>
        <v/>
      </c>
      <c r="BY455">
        <f>BL455*COS(($BH455+2*($BI455-$BH455)/12))</f>
        <v/>
      </c>
      <c r="BZ455">
        <f>BM455*COS(($BH455+3*($BI455-$BH455)/12))</f>
        <v/>
      </c>
      <c r="CA455">
        <f>BN455*COS(($BH455+4*($BI455-$BH455)/12))</f>
        <v/>
      </c>
      <c r="CB455">
        <f>BO455*COS(($BH455+5*($BI455-$BH455)/12))</f>
        <v/>
      </c>
      <c r="CC455">
        <f>BP455*COS(($BH455+6*($BI455-$BH455)/12))</f>
        <v/>
      </c>
      <c r="CD455">
        <f>BQ455*COS(($BH455+7*($BI455-$BH455)/12))</f>
        <v/>
      </c>
      <c r="CE455">
        <f>BR455*COS(($BH455+8*($BI455-$BH455)/12))</f>
        <v/>
      </c>
      <c r="CF455">
        <f>BS455*COS(($BH455+9*($BI455-$BH455)/12))</f>
        <v/>
      </c>
      <c r="CG455">
        <f>BT455*COS(($BH455+10*($BI455-$BH455)/12))</f>
        <v/>
      </c>
      <c r="CH455">
        <f>BU455*COS(($BH455+11*($BI455-$BH455)/12))</f>
        <v/>
      </c>
      <c r="CI455">
        <f>BV455*COS(($BH455+12*($BI455-$BH455)/12))</f>
        <v/>
      </c>
    </row>
    <row r="456">
      <c r="B456" s="65" t="n">
        <v>52</v>
      </c>
      <c r="C456" s="66">
        <f>IF($G455&lt;cc_NEd-1E-9*ABS(cc_NEd),($C455+$D455)/2,$C455)</f>
        <v/>
      </c>
      <c r="D456" s="66">
        <f>IF($G455&lt;cc_NEd-1E-9*ABS(cc_NEd),$D455,($C455+$D455)/2)</f>
        <v/>
      </c>
      <c r="E456" s="67">
        <f>cc_D*(($C456+$D456)/2)/(1-(($C456+$D456)/2))</f>
        <v/>
      </c>
      <c r="F456" s="68">
        <f>IF($E456&lt;=cc_D,3.5,2*$E456/($E456-3*cc_D/7))</f>
        <v/>
      </c>
      <c r="G456" s="67">
        <f>(fcd_cc*((cc_D/2)^2*($BI456-COS($BI456)*SIN($BI456))-2*(cc_D/2)^2*($BI456-$BH456)/12/3*SUMPRODUCT($BJ$4:$BV$4,$BJ456:$BV456))+SUMPRODUCT($J$5:$AG$5,$J456:$AG456))/1000</f>
        <v/>
      </c>
      <c r="H456" s="67">
        <f>(fcd_cc*(2/3*(cc_D/2)^3*SIN($BI456)^3-2*(cc_D/2)^3*($BI456-$BH456)/12/3*SUMPRODUCT($BW$4:$CI$4,$BW456:$CI456))+SUMPRODUCT($J$5:$AG$5,$J456:$AG456,$J$22:$AG$22))/1E6</f>
        <v/>
      </c>
      <c r="I456" s="67">
        <f>SUMPRODUCT($J$5:$AG$5,$J456:$AG456,$J$23:$AG$23)/1E6</f>
        <v/>
      </c>
      <c r="J456">
        <f>MAX(-fyd_cc,MIN(fyd_cc,Es_cc*IF($E456&lt;=cc_D,0.0035*($E456-J$21)/$E456,0.002*($E456-J$21)/($E456-3*cc_D/7))))-fcd_cc*(1-(1-MAX(0,MIN(1,IF($E456&lt;=cc_D,0.0035*($E456-J$21)/$E456,0.002*($E456-J$21)/($E456-3*cc_D/7))/0.002)))^2)</f>
        <v/>
      </c>
      <c r="K456">
        <f>MAX(-fyd_cc,MIN(fyd_cc,Es_cc*IF($E456&lt;=cc_D,0.0035*($E456-K$21)/$E456,0.002*($E456-K$21)/($E456-3*cc_D/7))))-fcd_cc*(1-(1-MAX(0,MIN(1,IF($E456&lt;=cc_D,0.0035*($E456-K$21)/$E456,0.002*($E456-K$21)/($E456-3*cc_D/7))/0.002)))^2)</f>
        <v/>
      </c>
      <c r="L456">
        <f>MAX(-fyd_cc,MIN(fyd_cc,Es_cc*IF($E456&lt;=cc_D,0.0035*($E456-L$21)/$E456,0.002*($E456-L$21)/($E456-3*cc_D/7))))-fcd_cc*(1-(1-MAX(0,MIN(1,IF($E456&lt;=cc_D,0.0035*($E456-L$21)/$E456,0.002*($E456-L$21)/($E456-3*cc_D/7))/0.002)))^2)</f>
        <v/>
      </c>
      <c r="M456">
        <f>MAX(-fyd_cc,MIN(fyd_cc,Es_cc*IF($E456&lt;=cc_D,0.0035*($E456-M$21)/$E456,0.002*($E456-M$21)/($E456-3*cc_D/7))))-fcd_cc*(1-(1-MAX(0,MIN(1,IF($E456&lt;=cc_D,0.0035*($E456-M$21)/$E456,0.002*($E456-M$21)/($E456-3*cc_D/7))/0.002)))^2)</f>
        <v/>
      </c>
      <c r="N456">
        <f>MAX(-fyd_cc,MIN(fyd_cc,Es_cc*IF($E456&lt;=cc_D,0.0035*($E456-N$21)/$E456,0.002*($E456-N$21)/($E456-3*cc_D/7))))-fcd_cc*(1-(1-MAX(0,MIN(1,IF($E456&lt;=cc_D,0.0035*($E456-N$21)/$E456,0.002*($E456-N$21)/($E456-3*cc_D/7))/0.002)))^2)</f>
        <v/>
      </c>
      <c r="O456">
        <f>MAX(-fyd_cc,MIN(fyd_cc,Es_cc*IF($E456&lt;=cc_D,0.0035*($E456-O$21)/$E456,0.002*($E456-O$21)/($E456-3*cc_D/7))))-fcd_cc*(1-(1-MAX(0,MIN(1,IF($E456&lt;=cc_D,0.0035*($E456-O$21)/$E456,0.002*($E456-O$21)/($E456-3*cc_D/7))/0.002)))^2)</f>
        <v/>
      </c>
      <c r="P456">
        <f>MAX(-fyd_cc,MIN(fyd_cc,Es_cc*IF($E456&lt;=cc_D,0.0035*($E456-P$21)/$E456,0.002*($E456-P$21)/($E456-3*cc_D/7))))-fcd_cc*(1-(1-MAX(0,MIN(1,IF($E456&lt;=cc_D,0.0035*($E456-P$21)/$E456,0.002*($E456-P$21)/($E456-3*cc_D/7))/0.002)))^2)</f>
        <v/>
      </c>
      <c r="Q456">
        <f>MAX(-fyd_cc,MIN(fyd_cc,Es_cc*IF($E456&lt;=cc_D,0.0035*($E456-Q$21)/$E456,0.002*($E456-Q$21)/($E456-3*cc_D/7))))-fcd_cc*(1-(1-MAX(0,MIN(1,IF($E456&lt;=cc_D,0.0035*($E456-Q$21)/$E456,0.002*($E456-Q$21)/($E456-3*cc_D/7))/0.002)))^2)</f>
        <v/>
      </c>
      <c r="R456">
        <f>MAX(-fyd_cc,MIN(fyd_cc,Es_cc*IF($E456&lt;=cc_D,0.0035*($E456-R$21)/$E456,0.002*($E456-R$21)/($E456-3*cc_D/7))))-fcd_cc*(1-(1-MAX(0,MIN(1,IF($E456&lt;=cc_D,0.0035*($E456-R$21)/$E456,0.002*($E456-R$21)/($E456-3*cc_D/7))/0.002)))^2)</f>
        <v/>
      </c>
      <c r="S456">
        <f>MAX(-fyd_cc,MIN(fyd_cc,Es_cc*IF($E456&lt;=cc_D,0.0035*($E456-S$21)/$E456,0.002*($E456-S$21)/($E456-3*cc_D/7))))-fcd_cc*(1-(1-MAX(0,MIN(1,IF($E456&lt;=cc_D,0.0035*($E456-S$21)/$E456,0.002*($E456-S$21)/($E456-3*cc_D/7))/0.002)))^2)</f>
        <v/>
      </c>
      <c r="T456">
        <f>MAX(-fyd_cc,MIN(fyd_cc,Es_cc*IF($E456&lt;=cc_D,0.0035*($E456-T$21)/$E456,0.002*($E456-T$21)/($E456-3*cc_D/7))))-fcd_cc*(1-(1-MAX(0,MIN(1,IF($E456&lt;=cc_D,0.0035*($E456-T$21)/$E456,0.002*($E456-T$21)/($E456-3*cc_D/7))/0.002)))^2)</f>
        <v/>
      </c>
      <c r="U456">
        <f>MAX(-fyd_cc,MIN(fyd_cc,Es_cc*IF($E456&lt;=cc_D,0.0035*($E456-U$21)/$E456,0.002*($E456-U$21)/($E456-3*cc_D/7))))-fcd_cc*(1-(1-MAX(0,MIN(1,IF($E456&lt;=cc_D,0.0035*($E456-U$21)/$E456,0.002*($E456-U$21)/($E456-3*cc_D/7))/0.002)))^2)</f>
        <v/>
      </c>
      <c r="V456">
        <f>MAX(-fyd_cc,MIN(fyd_cc,Es_cc*IF($E456&lt;=cc_D,0.0035*($E456-V$21)/$E456,0.002*($E456-V$21)/($E456-3*cc_D/7))))-fcd_cc*(1-(1-MAX(0,MIN(1,IF($E456&lt;=cc_D,0.0035*($E456-V$21)/$E456,0.002*($E456-V$21)/($E456-3*cc_D/7))/0.002)))^2)</f>
        <v/>
      </c>
      <c r="W456">
        <f>MAX(-fyd_cc,MIN(fyd_cc,Es_cc*IF($E456&lt;=cc_D,0.0035*($E456-W$21)/$E456,0.002*($E456-W$21)/($E456-3*cc_D/7))))-fcd_cc*(1-(1-MAX(0,MIN(1,IF($E456&lt;=cc_D,0.0035*($E456-W$21)/$E456,0.002*($E456-W$21)/($E456-3*cc_D/7))/0.002)))^2)</f>
        <v/>
      </c>
      <c r="X456">
        <f>MAX(-fyd_cc,MIN(fyd_cc,Es_cc*IF($E456&lt;=cc_D,0.0035*($E456-X$21)/$E456,0.002*($E456-X$21)/($E456-3*cc_D/7))))-fcd_cc*(1-(1-MAX(0,MIN(1,IF($E456&lt;=cc_D,0.0035*($E456-X$21)/$E456,0.002*($E456-X$21)/($E456-3*cc_D/7))/0.002)))^2)</f>
        <v/>
      </c>
      <c r="Y456">
        <f>MAX(-fyd_cc,MIN(fyd_cc,Es_cc*IF($E456&lt;=cc_D,0.0035*($E456-Y$21)/$E456,0.002*($E456-Y$21)/($E456-3*cc_D/7))))-fcd_cc*(1-(1-MAX(0,MIN(1,IF($E456&lt;=cc_D,0.0035*($E456-Y$21)/$E456,0.002*($E456-Y$21)/($E456-3*cc_D/7))/0.002)))^2)</f>
        <v/>
      </c>
      <c r="Z456">
        <f>MAX(-fyd_cc,MIN(fyd_cc,Es_cc*IF($E456&lt;=cc_D,0.0035*($E456-Z$21)/$E456,0.002*($E456-Z$21)/($E456-3*cc_D/7))))-fcd_cc*(1-(1-MAX(0,MIN(1,IF($E456&lt;=cc_D,0.0035*($E456-Z$21)/$E456,0.002*($E456-Z$21)/($E456-3*cc_D/7))/0.002)))^2)</f>
        <v/>
      </c>
      <c r="AA456">
        <f>MAX(-fyd_cc,MIN(fyd_cc,Es_cc*IF($E456&lt;=cc_D,0.0035*($E456-AA$21)/$E456,0.002*($E456-AA$21)/($E456-3*cc_D/7))))-fcd_cc*(1-(1-MAX(0,MIN(1,IF($E456&lt;=cc_D,0.0035*($E456-AA$21)/$E456,0.002*($E456-AA$21)/($E456-3*cc_D/7))/0.002)))^2)</f>
        <v/>
      </c>
      <c r="AB456">
        <f>MAX(-fyd_cc,MIN(fyd_cc,Es_cc*IF($E456&lt;=cc_D,0.0035*($E456-AB$21)/$E456,0.002*($E456-AB$21)/($E456-3*cc_D/7))))-fcd_cc*(1-(1-MAX(0,MIN(1,IF($E456&lt;=cc_D,0.0035*($E456-AB$21)/$E456,0.002*($E456-AB$21)/($E456-3*cc_D/7))/0.002)))^2)</f>
        <v/>
      </c>
      <c r="AC456">
        <f>MAX(-fyd_cc,MIN(fyd_cc,Es_cc*IF($E456&lt;=cc_D,0.0035*($E456-AC$21)/$E456,0.002*($E456-AC$21)/($E456-3*cc_D/7))))-fcd_cc*(1-(1-MAX(0,MIN(1,IF($E456&lt;=cc_D,0.0035*($E456-AC$21)/$E456,0.002*($E456-AC$21)/($E456-3*cc_D/7))/0.002)))^2)</f>
        <v/>
      </c>
      <c r="AD456">
        <f>MAX(-fyd_cc,MIN(fyd_cc,Es_cc*IF($E456&lt;=cc_D,0.0035*($E456-AD$21)/$E456,0.002*($E456-AD$21)/($E456-3*cc_D/7))))-fcd_cc*(1-(1-MAX(0,MIN(1,IF($E456&lt;=cc_D,0.0035*($E456-AD$21)/$E456,0.002*($E456-AD$21)/($E456-3*cc_D/7))/0.002)))^2)</f>
        <v/>
      </c>
      <c r="AE456">
        <f>MAX(-fyd_cc,MIN(fyd_cc,Es_cc*IF($E456&lt;=cc_D,0.0035*($E456-AE$21)/$E456,0.002*($E456-AE$21)/($E456-3*cc_D/7))))-fcd_cc*(1-(1-MAX(0,MIN(1,IF($E456&lt;=cc_D,0.0035*($E456-AE$21)/$E456,0.002*($E456-AE$21)/($E456-3*cc_D/7))/0.002)))^2)</f>
        <v/>
      </c>
      <c r="AF456">
        <f>MAX(-fyd_cc,MIN(fyd_cc,Es_cc*IF($E456&lt;=cc_D,0.0035*($E456-AF$21)/$E456,0.002*($E456-AF$21)/($E456-3*cc_D/7))))-fcd_cc*(1-(1-MAX(0,MIN(1,IF($E456&lt;=cc_D,0.0035*($E456-AF$21)/$E456,0.002*($E456-AF$21)/($E456-3*cc_D/7))/0.002)))^2)</f>
        <v/>
      </c>
      <c r="AG456">
        <f>MAX(-fyd_cc,MIN(fyd_cc,Es_cc*IF($E456&lt;=cc_D,0.0035*($E456-AG$21)/$E456,0.002*($E456-AG$21)/($E456-3*cc_D/7))))-fcd_cc*(1-(1-MAX(0,MIN(1,IF($E456&lt;=cc_D,0.0035*($E456-AG$21)/$E456,0.002*($E456-AG$21)/($E456-3*cc_D/7))/0.002)))^2)</f>
        <v/>
      </c>
      <c r="BF456">
        <f>3*MIN($E456,cc_D)/7</f>
        <v/>
      </c>
      <c r="BG456">
        <f>$E456-$BF456</f>
        <v/>
      </c>
      <c r="BH456">
        <f>ACOS(MAX(-1,MIN(1,1-$BF456/(cc_D/2))))</f>
        <v/>
      </c>
      <c r="BI456">
        <f>ACOS(MAX(-1,MIN(1,1-MIN($E456,cc_D)/(cc_D/2))))</f>
        <v/>
      </c>
      <c r="BJ456">
        <f>((cc_D/2*(1-COS(($BH456+0*($BI456-$BH456)/12)))-$BF456)/$BG456)^2*SIN(($BH456+0*($BI456-$BH456)/12))^2</f>
        <v/>
      </c>
      <c r="BK456">
        <f>((cc_D/2*(1-COS(($BH456+1*($BI456-$BH456)/12)))-$BF456)/$BG456)^2*SIN(($BH456+1*($BI456-$BH456)/12))^2</f>
        <v/>
      </c>
      <c r="BL456">
        <f>((cc_D/2*(1-COS(($BH456+2*($BI456-$BH456)/12)))-$BF456)/$BG456)^2*SIN(($BH456+2*($BI456-$BH456)/12))^2</f>
        <v/>
      </c>
      <c r="BM456">
        <f>((cc_D/2*(1-COS(($BH456+3*($BI456-$BH456)/12)))-$BF456)/$BG456)^2*SIN(($BH456+3*($BI456-$BH456)/12))^2</f>
        <v/>
      </c>
      <c r="BN456">
        <f>((cc_D/2*(1-COS(($BH456+4*($BI456-$BH456)/12)))-$BF456)/$BG456)^2*SIN(($BH456+4*($BI456-$BH456)/12))^2</f>
        <v/>
      </c>
      <c r="BO456">
        <f>((cc_D/2*(1-COS(($BH456+5*($BI456-$BH456)/12)))-$BF456)/$BG456)^2*SIN(($BH456+5*($BI456-$BH456)/12))^2</f>
        <v/>
      </c>
      <c r="BP456">
        <f>((cc_D/2*(1-COS(($BH456+6*($BI456-$BH456)/12)))-$BF456)/$BG456)^2*SIN(($BH456+6*($BI456-$BH456)/12))^2</f>
        <v/>
      </c>
      <c r="BQ456">
        <f>((cc_D/2*(1-COS(($BH456+7*($BI456-$BH456)/12)))-$BF456)/$BG456)^2*SIN(($BH456+7*($BI456-$BH456)/12))^2</f>
        <v/>
      </c>
      <c r="BR456">
        <f>((cc_D/2*(1-COS(($BH456+8*($BI456-$BH456)/12)))-$BF456)/$BG456)^2*SIN(($BH456+8*($BI456-$BH456)/12))^2</f>
        <v/>
      </c>
      <c r="BS456">
        <f>((cc_D/2*(1-COS(($BH456+9*($BI456-$BH456)/12)))-$BF456)/$BG456)^2*SIN(($BH456+9*($BI456-$BH456)/12))^2</f>
        <v/>
      </c>
      <c r="BT456">
        <f>((cc_D/2*(1-COS(($BH456+10*($BI456-$BH456)/12)))-$BF456)/$BG456)^2*SIN(($BH456+10*($BI456-$BH456)/12))^2</f>
        <v/>
      </c>
      <c r="BU456">
        <f>((cc_D/2*(1-COS(($BH456+11*($BI456-$BH456)/12)))-$BF456)/$BG456)^2*SIN(($BH456+11*($BI456-$BH456)/12))^2</f>
        <v/>
      </c>
      <c r="BV456">
        <f>((cc_D/2*(1-COS(($BH456+12*($BI456-$BH456)/12)))-$BF456)/$BG456)^2*SIN(($BH456+12*($BI456-$BH456)/12))^2</f>
        <v/>
      </c>
      <c r="BW456">
        <f>BJ456*COS(($BH456+0*($BI456-$BH456)/12))</f>
        <v/>
      </c>
      <c r="BX456">
        <f>BK456*COS(($BH456+1*($BI456-$BH456)/12))</f>
        <v/>
      </c>
      <c r="BY456">
        <f>BL456*COS(($BH456+2*($BI456-$BH456)/12))</f>
        <v/>
      </c>
      <c r="BZ456">
        <f>BM456*COS(($BH456+3*($BI456-$BH456)/12))</f>
        <v/>
      </c>
      <c r="CA456">
        <f>BN456*COS(($BH456+4*($BI456-$BH456)/12))</f>
        <v/>
      </c>
      <c r="CB456">
        <f>BO456*COS(($BH456+5*($BI456-$BH456)/12))</f>
        <v/>
      </c>
      <c r="CC456">
        <f>BP456*COS(($BH456+6*($BI456-$BH456)/12))</f>
        <v/>
      </c>
      <c r="CD456">
        <f>BQ456*COS(($BH456+7*($BI456-$BH456)/12))</f>
        <v/>
      </c>
      <c r="CE456">
        <f>BR456*COS(($BH456+8*($BI456-$BH456)/12))</f>
        <v/>
      </c>
      <c r="CF456">
        <f>BS456*COS(($BH456+9*($BI456-$BH456)/12))</f>
        <v/>
      </c>
      <c r="CG456">
        <f>BT456*COS(($BH456+10*($BI456-$BH456)/12))</f>
        <v/>
      </c>
      <c r="CH456">
        <f>BU456*COS(($BH456+11*($BI456-$BH456)/12))</f>
        <v/>
      </c>
      <c r="CI456">
        <f>BV456*COS(($BH456+12*($BI456-$BH456)/12))</f>
        <v/>
      </c>
    </row>
    <row r="457">
      <c r="B457" s="65" t="n">
        <v>53</v>
      </c>
      <c r="C457" s="66">
        <f>IF($G456&lt;cc_NEd-1E-9*ABS(cc_NEd),($C456+$D456)/2,$C456)</f>
        <v/>
      </c>
      <c r="D457" s="66">
        <f>IF($G456&lt;cc_NEd-1E-9*ABS(cc_NEd),$D456,($C456+$D456)/2)</f>
        <v/>
      </c>
      <c r="E457" s="67">
        <f>cc_D*(($C457+$D457)/2)/(1-(($C457+$D457)/2))</f>
        <v/>
      </c>
      <c r="F457" s="68">
        <f>IF($E457&lt;=cc_D,3.5,2*$E457/($E457-3*cc_D/7))</f>
        <v/>
      </c>
      <c r="G457" s="67">
        <f>(fcd_cc*((cc_D/2)^2*($BI457-COS($BI457)*SIN($BI457))-2*(cc_D/2)^2*($BI457-$BH457)/12/3*SUMPRODUCT($BJ$4:$BV$4,$BJ457:$BV457))+SUMPRODUCT($J$5:$AG$5,$J457:$AG457))/1000</f>
        <v/>
      </c>
      <c r="H457" s="67">
        <f>(fcd_cc*(2/3*(cc_D/2)^3*SIN($BI457)^3-2*(cc_D/2)^3*($BI457-$BH457)/12/3*SUMPRODUCT($BW$4:$CI$4,$BW457:$CI457))+SUMPRODUCT($J$5:$AG$5,$J457:$AG457,$J$22:$AG$22))/1E6</f>
        <v/>
      </c>
      <c r="I457" s="67">
        <f>SUMPRODUCT($J$5:$AG$5,$J457:$AG457,$J$23:$AG$23)/1E6</f>
        <v/>
      </c>
      <c r="J457">
        <f>MAX(-fyd_cc,MIN(fyd_cc,Es_cc*IF($E457&lt;=cc_D,0.0035*($E457-J$21)/$E457,0.002*($E457-J$21)/($E457-3*cc_D/7))))-fcd_cc*(1-(1-MAX(0,MIN(1,IF($E457&lt;=cc_D,0.0035*($E457-J$21)/$E457,0.002*($E457-J$21)/($E457-3*cc_D/7))/0.002)))^2)</f>
        <v/>
      </c>
      <c r="K457">
        <f>MAX(-fyd_cc,MIN(fyd_cc,Es_cc*IF($E457&lt;=cc_D,0.0035*($E457-K$21)/$E457,0.002*($E457-K$21)/($E457-3*cc_D/7))))-fcd_cc*(1-(1-MAX(0,MIN(1,IF($E457&lt;=cc_D,0.0035*($E457-K$21)/$E457,0.002*($E457-K$21)/($E457-3*cc_D/7))/0.002)))^2)</f>
        <v/>
      </c>
      <c r="L457">
        <f>MAX(-fyd_cc,MIN(fyd_cc,Es_cc*IF($E457&lt;=cc_D,0.0035*($E457-L$21)/$E457,0.002*($E457-L$21)/($E457-3*cc_D/7))))-fcd_cc*(1-(1-MAX(0,MIN(1,IF($E457&lt;=cc_D,0.0035*($E457-L$21)/$E457,0.002*($E457-L$21)/($E457-3*cc_D/7))/0.002)))^2)</f>
        <v/>
      </c>
      <c r="M457">
        <f>MAX(-fyd_cc,MIN(fyd_cc,Es_cc*IF($E457&lt;=cc_D,0.0035*($E457-M$21)/$E457,0.002*($E457-M$21)/($E457-3*cc_D/7))))-fcd_cc*(1-(1-MAX(0,MIN(1,IF($E457&lt;=cc_D,0.0035*($E457-M$21)/$E457,0.002*($E457-M$21)/($E457-3*cc_D/7))/0.002)))^2)</f>
        <v/>
      </c>
      <c r="N457">
        <f>MAX(-fyd_cc,MIN(fyd_cc,Es_cc*IF($E457&lt;=cc_D,0.0035*($E457-N$21)/$E457,0.002*($E457-N$21)/($E457-3*cc_D/7))))-fcd_cc*(1-(1-MAX(0,MIN(1,IF($E457&lt;=cc_D,0.0035*($E457-N$21)/$E457,0.002*($E457-N$21)/($E457-3*cc_D/7))/0.002)))^2)</f>
        <v/>
      </c>
      <c r="O457">
        <f>MAX(-fyd_cc,MIN(fyd_cc,Es_cc*IF($E457&lt;=cc_D,0.0035*($E457-O$21)/$E457,0.002*($E457-O$21)/($E457-3*cc_D/7))))-fcd_cc*(1-(1-MAX(0,MIN(1,IF($E457&lt;=cc_D,0.0035*($E457-O$21)/$E457,0.002*($E457-O$21)/($E457-3*cc_D/7))/0.002)))^2)</f>
        <v/>
      </c>
      <c r="P457">
        <f>MAX(-fyd_cc,MIN(fyd_cc,Es_cc*IF($E457&lt;=cc_D,0.0035*($E457-P$21)/$E457,0.002*($E457-P$21)/($E457-3*cc_D/7))))-fcd_cc*(1-(1-MAX(0,MIN(1,IF($E457&lt;=cc_D,0.0035*($E457-P$21)/$E457,0.002*($E457-P$21)/($E457-3*cc_D/7))/0.002)))^2)</f>
        <v/>
      </c>
      <c r="Q457">
        <f>MAX(-fyd_cc,MIN(fyd_cc,Es_cc*IF($E457&lt;=cc_D,0.0035*($E457-Q$21)/$E457,0.002*($E457-Q$21)/($E457-3*cc_D/7))))-fcd_cc*(1-(1-MAX(0,MIN(1,IF($E457&lt;=cc_D,0.0035*($E457-Q$21)/$E457,0.002*($E457-Q$21)/($E457-3*cc_D/7))/0.002)))^2)</f>
        <v/>
      </c>
      <c r="R457">
        <f>MAX(-fyd_cc,MIN(fyd_cc,Es_cc*IF($E457&lt;=cc_D,0.0035*($E457-R$21)/$E457,0.002*($E457-R$21)/($E457-3*cc_D/7))))-fcd_cc*(1-(1-MAX(0,MIN(1,IF($E457&lt;=cc_D,0.0035*($E457-R$21)/$E457,0.002*($E457-R$21)/($E457-3*cc_D/7))/0.002)))^2)</f>
        <v/>
      </c>
      <c r="S457">
        <f>MAX(-fyd_cc,MIN(fyd_cc,Es_cc*IF($E457&lt;=cc_D,0.0035*($E457-S$21)/$E457,0.002*($E457-S$21)/($E457-3*cc_D/7))))-fcd_cc*(1-(1-MAX(0,MIN(1,IF($E457&lt;=cc_D,0.0035*($E457-S$21)/$E457,0.002*($E457-S$21)/($E457-3*cc_D/7))/0.002)))^2)</f>
        <v/>
      </c>
      <c r="T457">
        <f>MAX(-fyd_cc,MIN(fyd_cc,Es_cc*IF($E457&lt;=cc_D,0.0035*($E457-T$21)/$E457,0.002*($E457-T$21)/($E457-3*cc_D/7))))-fcd_cc*(1-(1-MAX(0,MIN(1,IF($E457&lt;=cc_D,0.0035*($E457-T$21)/$E457,0.002*($E457-T$21)/($E457-3*cc_D/7))/0.002)))^2)</f>
        <v/>
      </c>
      <c r="U457">
        <f>MAX(-fyd_cc,MIN(fyd_cc,Es_cc*IF($E457&lt;=cc_D,0.0035*($E457-U$21)/$E457,0.002*($E457-U$21)/($E457-3*cc_D/7))))-fcd_cc*(1-(1-MAX(0,MIN(1,IF($E457&lt;=cc_D,0.0035*($E457-U$21)/$E457,0.002*($E457-U$21)/($E457-3*cc_D/7))/0.002)))^2)</f>
        <v/>
      </c>
      <c r="V457">
        <f>MAX(-fyd_cc,MIN(fyd_cc,Es_cc*IF($E457&lt;=cc_D,0.0035*($E457-V$21)/$E457,0.002*($E457-V$21)/($E457-3*cc_D/7))))-fcd_cc*(1-(1-MAX(0,MIN(1,IF($E457&lt;=cc_D,0.0035*($E457-V$21)/$E457,0.002*($E457-V$21)/($E457-3*cc_D/7))/0.002)))^2)</f>
        <v/>
      </c>
      <c r="W457">
        <f>MAX(-fyd_cc,MIN(fyd_cc,Es_cc*IF($E457&lt;=cc_D,0.0035*($E457-W$21)/$E457,0.002*($E457-W$21)/($E457-3*cc_D/7))))-fcd_cc*(1-(1-MAX(0,MIN(1,IF($E457&lt;=cc_D,0.0035*($E457-W$21)/$E457,0.002*($E457-W$21)/($E457-3*cc_D/7))/0.002)))^2)</f>
        <v/>
      </c>
      <c r="X457">
        <f>MAX(-fyd_cc,MIN(fyd_cc,Es_cc*IF($E457&lt;=cc_D,0.0035*($E457-X$21)/$E457,0.002*($E457-X$21)/($E457-3*cc_D/7))))-fcd_cc*(1-(1-MAX(0,MIN(1,IF($E457&lt;=cc_D,0.0035*($E457-X$21)/$E457,0.002*($E457-X$21)/($E457-3*cc_D/7))/0.002)))^2)</f>
        <v/>
      </c>
      <c r="Y457">
        <f>MAX(-fyd_cc,MIN(fyd_cc,Es_cc*IF($E457&lt;=cc_D,0.0035*($E457-Y$21)/$E457,0.002*($E457-Y$21)/($E457-3*cc_D/7))))-fcd_cc*(1-(1-MAX(0,MIN(1,IF($E457&lt;=cc_D,0.0035*($E457-Y$21)/$E457,0.002*($E457-Y$21)/($E457-3*cc_D/7))/0.002)))^2)</f>
        <v/>
      </c>
      <c r="Z457">
        <f>MAX(-fyd_cc,MIN(fyd_cc,Es_cc*IF($E457&lt;=cc_D,0.0035*($E457-Z$21)/$E457,0.002*($E457-Z$21)/($E457-3*cc_D/7))))-fcd_cc*(1-(1-MAX(0,MIN(1,IF($E457&lt;=cc_D,0.0035*($E457-Z$21)/$E457,0.002*($E457-Z$21)/($E457-3*cc_D/7))/0.002)))^2)</f>
        <v/>
      </c>
      <c r="AA457">
        <f>MAX(-fyd_cc,MIN(fyd_cc,Es_cc*IF($E457&lt;=cc_D,0.0035*($E457-AA$21)/$E457,0.002*($E457-AA$21)/($E457-3*cc_D/7))))-fcd_cc*(1-(1-MAX(0,MIN(1,IF($E457&lt;=cc_D,0.0035*($E457-AA$21)/$E457,0.002*($E457-AA$21)/($E457-3*cc_D/7))/0.002)))^2)</f>
        <v/>
      </c>
      <c r="AB457">
        <f>MAX(-fyd_cc,MIN(fyd_cc,Es_cc*IF($E457&lt;=cc_D,0.0035*($E457-AB$21)/$E457,0.002*($E457-AB$21)/($E457-3*cc_D/7))))-fcd_cc*(1-(1-MAX(0,MIN(1,IF($E457&lt;=cc_D,0.0035*($E457-AB$21)/$E457,0.002*($E457-AB$21)/($E457-3*cc_D/7))/0.002)))^2)</f>
        <v/>
      </c>
      <c r="AC457">
        <f>MAX(-fyd_cc,MIN(fyd_cc,Es_cc*IF($E457&lt;=cc_D,0.0035*($E457-AC$21)/$E457,0.002*($E457-AC$21)/($E457-3*cc_D/7))))-fcd_cc*(1-(1-MAX(0,MIN(1,IF($E457&lt;=cc_D,0.0035*($E457-AC$21)/$E457,0.002*($E457-AC$21)/($E457-3*cc_D/7))/0.002)))^2)</f>
        <v/>
      </c>
      <c r="AD457">
        <f>MAX(-fyd_cc,MIN(fyd_cc,Es_cc*IF($E457&lt;=cc_D,0.0035*($E457-AD$21)/$E457,0.002*($E457-AD$21)/($E457-3*cc_D/7))))-fcd_cc*(1-(1-MAX(0,MIN(1,IF($E457&lt;=cc_D,0.0035*($E457-AD$21)/$E457,0.002*($E457-AD$21)/($E457-3*cc_D/7))/0.002)))^2)</f>
        <v/>
      </c>
      <c r="AE457">
        <f>MAX(-fyd_cc,MIN(fyd_cc,Es_cc*IF($E457&lt;=cc_D,0.0035*($E457-AE$21)/$E457,0.002*($E457-AE$21)/($E457-3*cc_D/7))))-fcd_cc*(1-(1-MAX(0,MIN(1,IF($E457&lt;=cc_D,0.0035*($E457-AE$21)/$E457,0.002*($E457-AE$21)/($E457-3*cc_D/7))/0.002)))^2)</f>
        <v/>
      </c>
      <c r="AF457">
        <f>MAX(-fyd_cc,MIN(fyd_cc,Es_cc*IF($E457&lt;=cc_D,0.0035*($E457-AF$21)/$E457,0.002*($E457-AF$21)/($E457-3*cc_D/7))))-fcd_cc*(1-(1-MAX(0,MIN(1,IF($E457&lt;=cc_D,0.0035*($E457-AF$21)/$E457,0.002*($E457-AF$21)/($E457-3*cc_D/7))/0.002)))^2)</f>
        <v/>
      </c>
      <c r="AG457">
        <f>MAX(-fyd_cc,MIN(fyd_cc,Es_cc*IF($E457&lt;=cc_D,0.0035*($E457-AG$21)/$E457,0.002*($E457-AG$21)/($E457-3*cc_D/7))))-fcd_cc*(1-(1-MAX(0,MIN(1,IF($E457&lt;=cc_D,0.0035*($E457-AG$21)/$E457,0.002*($E457-AG$21)/($E457-3*cc_D/7))/0.002)))^2)</f>
        <v/>
      </c>
      <c r="BF457">
        <f>3*MIN($E457,cc_D)/7</f>
        <v/>
      </c>
      <c r="BG457">
        <f>$E457-$BF457</f>
        <v/>
      </c>
      <c r="BH457">
        <f>ACOS(MAX(-1,MIN(1,1-$BF457/(cc_D/2))))</f>
        <v/>
      </c>
      <c r="BI457">
        <f>ACOS(MAX(-1,MIN(1,1-MIN($E457,cc_D)/(cc_D/2))))</f>
        <v/>
      </c>
      <c r="BJ457">
        <f>((cc_D/2*(1-COS(($BH457+0*($BI457-$BH457)/12)))-$BF457)/$BG457)^2*SIN(($BH457+0*($BI457-$BH457)/12))^2</f>
        <v/>
      </c>
      <c r="BK457">
        <f>((cc_D/2*(1-COS(($BH457+1*($BI457-$BH457)/12)))-$BF457)/$BG457)^2*SIN(($BH457+1*($BI457-$BH457)/12))^2</f>
        <v/>
      </c>
      <c r="BL457">
        <f>((cc_D/2*(1-COS(($BH457+2*($BI457-$BH457)/12)))-$BF457)/$BG457)^2*SIN(($BH457+2*($BI457-$BH457)/12))^2</f>
        <v/>
      </c>
      <c r="BM457">
        <f>((cc_D/2*(1-COS(($BH457+3*($BI457-$BH457)/12)))-$BF457)/$BG457)^2*SIN(($BH457+3*($BI457-$BH457)/12))^2</f>
        <v/>
      </c>
      <c r="BN457">
        <f>((cc_D/2*(1-COS(($BH457+4*($BI457-$BH457)/12)))-$BF457)/$BG457)^2*SIN(($BH457+4*($BI457-$BH457)/12))^2</f>
        <v/>
      </c>
      <c r="BO457">
        <f>((cc_D/2*(1-COS(($BH457+5*($BI457-$BH457)/12)))-$BF457)/$BG457)^2*SIN(($BH457+5*($BI457-$BH457)/12))^2</f>
        <v/>
      </c>
      <c r="BP457">
        <f>((cc_D/2*(1-COS(($BH457+6*($BI457-$BH457)/12)))-$BF457)/$BG457)^2*SIN(($BH457+6*($BI457-$BH457)/12))^2</f>
        <v/>
      </c>
      <c r="BQ457">
        <f>((cc_D/2*(1-COS(($BH457+7*($BI457-$BH457)/12)))-$BF457)/$BG457)^2*SIN(($BH457+7*($BI457-$BH457)/12))^2</f>
        <v/>
      </c>
      <c r="BR457">
        <f>((cc_D/2*(1-COS(($BH457+8*($BI457-$BH457)/12)))-$BF457)/$BG457)^2*SIN(($BH457+8*($BI457-$BH457)/12))^2</f>
        <v/>
      </c>
      <c r="BS457">
        <f>((cc_D/2*(1-COS(($BH457+9*($BI457-$BH457)/12)))-$BF457)/$BG457)^2*SIN(($BH457+9*($BI457-$BH457)/12))^2</f>
        <v/>
      </c>
      <c r="BT457">
        <f>((cc_D/2*(1-COS(($BH457+10*($BI457-$BH457)/12)))-$BF457)/$BG457)^2*SIN(($BH457+10*($BI457-$BH457)/12))^2</f>
        <v/>
      </c>
      <c r="BU457">
        <f>((cc_D/2*(1-COS(($BH457+11*($BI457-$BH457)/12)))-$BF457)/$BG457)^2*SIN(($BH457+11*($BI457-$BH457)/12))^2</f>
        <v/>
      </c>
      <c r="BV457">
        <f>((cc_D/2*(1-COS(($BH457+12*($BI457-$BH457)/12)))-$BF457)/$BG457)^2*SIN(($BH457+12*($BI457-$BH457)/12))^2</f>
        <v/>
      </c>
      <c r="BW457">
        <f>BJ457*COS(($BH457+0*($BI457-$BH457)/12))</f>
        <v/>
      </c>
      <c r="BX457">
        <f>BK457*COS(($BH457+1*($BI457-$BH457)/12))</f>
        <v/>
      </c>
      <c r="BY457">
        <f>BL457*COS(($BH457+2*($BI457-$BH457)/12))</f>
        <v/>
      </c>
      <c r="BZ457">
        <f>BM457*COS(($BH457+3*($BI457-$BH457)/12))</f>
        <v/>
      </c>
      <c r="CA457">
        <f>BN457*COS(($BH457+4*($BI457-$BH457)/12))</f>
        <v/>
      </c>
      <c r="CB457">
        <f>BO457*COS(($BH457+5*($BI457-$BH457)/12))</f>
        <v/>
      </c>
      <c r="CC457">
        <f>BP457*COS(($BH457+6*($BI457-$BH457)/12))</f>
        <v/>
      </c>
      <c r="CD457">
        <f>BQ457*COS(($BH457+7*($BI457-$BH457)/12))</f>
        <v/>
      </c>
      <c r="CE457">
        <f>BR457*COS(($BH457+8*($BI457-$BH457)/12))</f>
        <v/>
      </c>
      <c r="CF457">
        <f>BS457*COS(($BH457+9*($BI457-$BH457)/12))</f>
        <v/>
      </c>
      <c r="CG457">
        <f>BT457*COS(($BH457+10*($BI457-$BH457)/12))</f>
        <v/>
      </c>
      <c r="CH457">
        <f>BU457*COS(($BH457+11*($BI457-$BH457)/12))</f>
        <v/>
      </c>
      <c r="CI457">
        <f>BV457*COS(($BH457+12*($BI457-$BH457)/12))</f>
        <v/>
      </c>
    </row>
    <row r="458">
      <c r="B458" s="65" t="n">
        <v>54</v>
      </c>
      <c r="C458" s="66">
        <f>IF($G457&lt;cc_NEd-1E-9*ABS(cc_NEd),($C457+$D457)/2,$C457)</f>
        <v/>
      </c>
      <c r="D458" s="66">
        <f>IF($G457&lt;cc_NEd-1E-9*ABS(cc_NEd),$D457,($C457+$D457)/2)</f>
        <v/>
      </c>
      <c r="E458" s="67">
        <f>cc_D*(($C458+$D458)/2)/(1-(($C458+$D458)/2))</f>
        <v/>
      </c>
      <c r="F458" s="68">
        <f>IF($E458&lt;=cc_D,3.5,2*$E458/($E458-3*cc_D/7))</f>
        <v/>
      </c>
      <c r="G458" s="67">
        <f>(fcd_cc*((cc_D/2)^2*($BI458-COS($BI458)*SIN($BI458))-2*(cc_D/2)^2*($BI458-$BH458)/12/3*SUMPRODUCT($BJ$4:$BV$4,$BJ458:$BV458))+SUMPRODUCT($J$5:$AG$5,$J458:$AG458))/1000</f>
        <v/>
      </c>
      <c r="H458" s="67">
        <f>(fcd_cc*(2/3*(cc_D/2)^3*SIN($BI458)^3-2*(cc_D/2)^3*($BI458-$BH458)/12/3*SUMPRODUCT($BW$4:$CI$4,$BW458:$CI458))+SUMPRODUCT($J$5:$AG$5,$J458:$AG458,$J$22:$AG$22))/1E6</f>
        <v/>
      </c>
      <c r="I458" s="67">
        <f>SUMPRODUCT($J$5:$AG$5,$J458:$AG458,$J$23:$AG$23)/1E6</f>
        <v/>
      </c>
      <c r="J458">
        <f>MAX(-fyd_cc,MIN(fyd_cc,Es_cc*IF($E458&lt;=cc_D,0.0035*($E458-J$21)/$E458,0.002*($E458-J$21)/($E458-3*cc_D/7))))-fcd_cc*(1-(1-MAX(0,MIN(1,IF($E458&lt;=cc_D,0.0035*($E458-J$21)/$E458,0.002*($E458-J$21)/($E458-3*cc_D/7))/0.002)))^2)</f>
        <v/>
      </c>
      <c r="K458">
        <f>MAX(-fyd_cc,MIN(fyd_cc,Es_cc*IF($E458&lt;=cc_D,0.0035*($E458-K$21)/$E458,0.002*($E458-K$21)/($E458-3*cc_D/7))))-fcd_cc*(1-(1-MAX(0,MIN(1,IF($E458&lt;=cc_D,0.0035*($E458-K$21)/$E458,0.002*($E458-K$21)/($E458-3*cc_D/7))/0.002)))^2)</f>
        <v/>
      </c>
      <c r="L458">
        <f>MAX(-fyd_cc,MIN(fyd_cc,Es_cc*IF($E458&lt;=cc_D,0.0035*($E458-L$21)/$E458,0.002*($E458-L$21)/($E458-3*cc_D/7))))-fcd_cc*(1-(1-MAX(0,MIN(1,IF($E458&lt;=cc_D,0.0035*($E458-L$21)/$E458,0.002*($E458-L$21)/($E458-3*cc_D/7))/0.002)))^2)</f>
        <v/>
      </c>
      <c r="M458">
        <f>MAX(-fyd_cc,MIN(fyd_cc,Es_cc*IF($E458&lt;=cc_D,0.0035*($E458-M$21)/$E458,0.002*($E458-M$21)/($E458-3*cc_D/7))))-fcd_cc*(1-(1-MAX(0,MIN(1,IF($E458&lt;=cc_D,0.0035*($E458-M$21)/$E458,0.002*($E458-M$21)/($E458-3*cc_D/7))/0.002)))^2)</f>
        <v/>
      </c>
      <c r="N458">
        <f>MAX(-fyd_cc,MIN(fyd_cc,Es_cc*IF($E458&lt;=cc_D,0.0035*($E458-N$21)/$E458,0.002*($E458-N$21)/($E458-3*cc_D/7))))-fcd_cc*(1-(1-MAX(0,MIN(1,IF($E458&lt;=cc_D,0.0035*($E458-N$21)/$E458,0.002*($E458-N$21)/($E458-3*cc_D/7))/0.002)))^2)</f>
        <v/>
      </c>
      <c r="O458">
        <f>MAX(-fyd_cc,MIN(fyd_cc,Es_cc*IF($E458&lt;=cc_D,0.0035*($E458-O$21)/$E458,0.002*($E458-O$21)/($E458-3*cc_D/7))))-fcd_cc*(1-(1-MAX(0,MIN(1,IF($E458&lt;=cc_D,0.0035*($E458-O$21)/$E458,0.002*($E458-O$21)/($E458-3*cc_D/7))/0.002)))^2)</f>
        <v/>
      </c>
      <c r="P458">
        <f>MAX(-fyd_cc,MIN(fyd_cc,Es_cc*IF($E458&lt;=cc_D,0.0035*($E458-P$21)/$E458,0.002*($E458-P$21)/($E458-3*cc_D/7))))-fcd_cc*(1-(1-MAX(0,MIN(1,IF($E458&lt;=cc_D,0.0035*($E458-P$21)/$E458,0.002*($E458-P$21)/($E458-3*cc_D/7))/0.002)))^2)</f>
        <v/>
      </c>
      <c r="Q458">
        <f>MAX(-fyd_cc,MIN(fyd_cc,Es_cc*IF($E458&lt;=cc_D,0.0035*($E458-Q$21)/$E458,0.002*($E458-Q$21)/($E458-3*cc_D/7))))-fcd_cc*(1-(1-MAX(0,MIN(1,IF($E458&lt;=cc_D,0.0035*($E458-Q$21)/$E458,0.002*($E458-Q$21)/($E458-3*cc_D/7))/0.002)))^2)</f>
        <v/>
      </c>
      <c r="R458">
        <f>MAX(-fyd_cc,MIN(fyd_cc,Es_cc*IF($E458&lt;=cc_D,0.0035*($E458-R$21)/$E458,0.002*($E458-R$21)/($E458-3*cc_D/7))))-fcd_cc*(1-(1-MAX(0,MIN(1,IF($E458&lt;=cc_D,0.0035*($E458-R$21)/$E458,0.002*($E458-R$21)/($E458-3*cc_D/7))/0.002)))^2)</f>
        <v/>
      </c>
      <c r="S458">
        <f>MAX(-fyd_cc,MIN(fyd_cc,Es_cc*IF($E458&lt;=cc_D,0.0035*($E458-S$21)/$E458,0.002*($E458-S$21)/($E458-3*cc_D/7))))-fcd_cc*(1-(1-MAX(0,MIN(1,IF($E458&lt;=cc_D,0.0035*($E458-S$21)/$E458,0.002*($E458-S$21)/($E458-3*cc_D/7))/0.002)))^2)</f>
        <v/>
      </c>
      <c r="T458">
        <f>MAX(-fyd_cc,MIN(fyd_cc,Es_cc*IF($E458&lt;=cc_D,0.0035*($E458-T$21)/$E458,0.002*($E458-T$21)/($E458-3*cc_D/7))))-fcd_cc*(1-(1-MAX(0,MIN(1,IF($E458&lt;=cc_D,0.0035*($E458-T$21)/$E458,0.002*($E458-T$21)/($E458-3*cc_D/7))/0.002)))^2)</f>
        <v/>
      </c>
      <c r="U458">
        <f>MAX(-fyd_cc,MIN(fyd_cc,Es_cc*IF($E458&lt;=cc_D,0.0035*($E458-U$21)/$E458,0.002*($E458-U$21)/($E458-3*cc_D/7))))-fcd_cc*(1-(1-MAX(0,MIN(1,IF($E458&lt;=cc_D,0.0035*($E458-U$21)/$E458,0.002*($E458-U$21)/($E458-3*cc_D/7))/0.002)))^2)</f>
        <v/>
      </c>
      <c r="V458">
        <f>MAX(-fyd_cc,MIN(fyd_cc,Es_cc*IF($E458&lt;=cc_D,0.0035*($E458-V$21)/$E458,0.002*($E458-V$21)/($E458-3*cc_D/7))))-fcd_cc*(1-(1-MAX(0,MIN(1,IF($E458&lt;=cc_D,0.0035*($E458-V$21)/$E458,0.002*($E458-V$21)/($E458-3*cc_D/7))/0.002)))^2)</f>
        <v/>
      </c>
      <c r="W458">
        <f>MAX(-fyd_cc,MIN(fyd_cc,Es_cc*IF($E458&lt;=cc_D,0.0035*($E458-W$21)/$E458,0.002*($E458-W$21)/($E458-3*cc_D/7))))-fcd_cc*(1-(1-MAX(0,MIN(1,IF($E458&lt;=cc_D,0.0035*($E458-W$21)/$E458,0.002*($E458-W$21)/($E458-3*cc_D/7))/0.002)))^2)</f>
        <v/>
      </c>
      <c r="X458">
        <f>MAX(-fyd_cc,MIN(fyd_cc,Es_cc*IF($E458&lt;=cc_D,0.0035*($E458-X$21)/$E458,0.002*($E458-X$21)/($E458-3*cc_D/7))))-fcd_cc*(1-(1-MAX(0,MIN(1,IF($E458&lt;=cc_D,0.0035*($E458-X$21)/$E458,0.002*($E458-X$21)/($E458-3*cc_D/7))/0.002)))^2)</f>
        <v/>
      </c>
      <c r="Y458">
        <f>MAX(-fyd_cc,MIN(fyd_cc,Es_cc*IF($E458&lt;=cc_D,0.0035*($E458-Y$21)/$E458,0.002*($E458-Y$21)/($E458-3*cc_D/7))))-fcd_cc*(1-(1-MAX(0,MIN(1,IF($E458&lt;=cc_D,0.0035*($E458-Y$21)/$E458,0.002*($E458-Y$21)/($E458-3*cc_D/7))/0.002)))^2)</f>
        <v/>
      </c>
      <c r="Z458">
        <f>MAX(-fyd_cc,MIN(fyd_cc,Es_cc*IF($E458&lt;=cc_D,0.0035*($E458-Z$21)/$E458,0.002*($E458-Z$21)/($E458-3*cc_D/7))))-fcd_cc*(1-(1-MAX(0,MIN(1,IF($E458&lt;=cc_D,0.0035*($E458-Z$21)/$E458,0.002*($E458-Z$21)/($E458-3*cc_D/7))/0.002)))^2)</f>
        <v/>
      </c>
      <c r="AA458">
        <f>MAX(-fyd_cc,MIN(fyd_cc,Es_cc*IF($E458&lt;=cc_D,0.0035*($E458-AA$21)/$E458,0.002*($E458-AA$21)/($E458-3*cc_D/7))))-fcd_cc*(1-(1-MAX(0,MIN(1,IF($E458&lt;=cc_D,0.0035*($E458-AA$21)/$E458,0.002*($E458-AA$21)/($E458-3*cc_D/7))/0.002)))^2)</f>
        <v/>
      </c>
      <c r="AB458">
        <f>MAX(-fyd_cc,MIN(fyd_cc,Es_cc*IF($E458&lt;=cc_D,0.0035*($E458-AB$21)/$E458,0.002*($E458-AB$21)/($E458-3*cc_D/7))))-fcd_cc*(1-(1-MAX(0,MIN(1,IF($E458&lt;=cc_D,0.0035*($E458-AB$21)/$E458,0.002*($E458-AB$21)/($E458-3*cc_D/7))/0.002)))^2)</f>
        <v/>
      </c>
      <c r="AC458">
        <f>MAX(-fyd_cc,MIN(fyd_cc,Es_cc*IF($E458&lt;=cc_D,0.0035*($E458-AC$21)/$E458,0.002*($E458-AC$21)/($E458-3*cc_D/7))))-fcd_cc*(1-(1-MAX(0,MIN(1,IF($E458&lt;=cc_D,0.0035*($E458-AC$21)/$E458,0.002*($E458-AC$21)/($E458-3*cc_D/7))/0.002)))^2)</f>
        <v/>
      </c>
      <c r="AD458">
        <f>MAX(-fyd_cc,MIN(fyd_cc,Es_cc*IF($E458&lt;=cc_D,0.0035*($E458-AD$21)/$E458,0.002*($E458-AD$21)/($E458-3*cc_D/7))))-fcd_cc*(1-(1-MAX(0,MIN(1,IF($E458&lt;=cc_D,0.0035*($E458-AD$21)/$E458,0.002*($E458-AD$21)/($E458-3*cc_D/7))/0.002)))^2)</f>
        <v/>
      </c>
      <c r="AE458">
        <f>MAX(-fyd_cc,MIN(fyd_cc,Es_cc*IF($E458&lt;=cc_D,0.0035*($E458-AE$21)/$E458,0.002*($E458-AE$21)/($E458-3*cc_D/7))))-fcd_cc*(1-(1-MAX(0,MIN(1,IF($E458&lt;=cc_D,0.0035*($E458-AE$21)/$E458,0.002*($E458-AE$21)/($E458-3*cc_D/7))/0.002)))^2)</f>
        <v/>
      </c>
      <c r="AF458">
        <f>MAX(-fyd_cc,MIN(fyd_cc,Es_cc*IF($E458&lt;=cc_D,0.0035*($E458-AF$21)/$E458,0.002*($E458-AF$21)/($E458-3*cc_D/7))))-fcd_cc*(1-(1-MAX(0,MIN(1,IF($E458&lt;=cc_D,0.0035*($E458-AF$21)/$E458,0.002*($E458-AF$21)/($E458-3*cc_D/7))/0.002)))^2)</f>
        <v/>
      </c>
      <c r="AG458">
        <f>MAX(-fyd_cc,MIN(fyd_cc,Es_cc*IF($E458&lt;=cc_D,0.0035*($E458-AG$21)/$E458,0.002*($E458-AG$21)/($E458-3*cc_D/7))))-fcd_cc*(1-(1-MAX(0,MIN(1,IF($E458&lt;=cc_D,0.0035*($E458-AG$21)/$E458,0.002*($E458-AG$21)/($E458-3*cc_D/7))/0.002)))^2)</f>
        <v/>
      </c>
      <c r="BF458">
        <f>3*MIN($E458,cc_D)/7</f>
        <v/>
      </c>
      <c r="BG458">
        <f>$E458-$BF458</f>
        <v/>
      </c>
      <c r="BH458">
        <f>ACOS(MAX(-1,MIN(1,1-$BF458/(cc_D/2))))</f>
        <v/>
      </c>
      <c r="BI458">
        <f>ACOS(MAX(-1,MIN(1,1-MIN($E458,cc_D)/(cc_D/2))))</f>
        <v/>
      </c>
      <c r="BJ458">
        <f>((cc_D/2*(1-COS(($BH458+0*($BI458-$BH458)/12)))-$BF458)/$BG458)^2*SIN(($BH458+0*($BI458-$BH458)/12))^2</f>
        <v/>
      </c>
      <c r="BK458">
        <f>((cc_D/2*(1-COS(($BH458+1*($BI458-$BH458)/12)))-$BF458)/$BG458)^2*SIN(($BH458+1*($BI458-$BH458)/12))^2</f>
        <v/>
      </c>
      <c r="BL458">
        <f>((cc_D/2*(1-COS(($BH458+2*($BI458-$BH458)/12)))-$BF458)/$BG458)^2*SIN(($BH458+2*($BI458-$BH458)/12))^2</f>
        <v/>
      </c>
      <c r="BM458">
        <f>((cc_D/2*(1-COS(($BH458+3*($BI458-$BH458)/12)))-$BF458)/$BG458)^2*SIN(($BH458+3*($BI458-$BH458)/12))^2</f>
        <v/>
      </c>
      <c r="BN458">
        <f>((cc_D/2*(1-COS(($BH458+4*($BI458-$BH458)/12)))-$BF458)/$BG458)^2*SIN(($BH458+4*($BI458-$BH458)/12))^2</f>
        <v/>
      </c>
      <c r="BO458">
        <f>((cc_D/2*(1-COS(($BH458+5*($BI458-$BH458)/12)))-$BF458)/$BG458)^2*SIN(($BH458+5*($BI458-$BH458)/12))^2</f>
        <v/>
      </c>
      <c r="BP458">
        <f>((cc_D/2*(1-COS(($BH458+6*($BI458-$BH458)/12)))-$BF458)/$BG458)^2*SIN(($BH458+6*($BI458-$BH458)/12))^2</f>
        <v/>
      </c>
      <c r="BQ458">
        <f>((cc_D/2*(1-COS(($BH458+7*($BI458-$BH458)/12)))-$BF458)/$BG458)^2*SIN(($BH458+7*($BI458-$BH458)/12))^2</f>
        <v/>
      </c>
      <c r="BR458">
        <f>((cc_D/2*(1-COS(($BH458+8*($BI458-$BH458)/12)))-$BF458)/$BG458)^2*SIN(($BH458+8*($BI458-$BH458)/12))^2</f>
        <v/>
      </c>
      <c r="BS458">
        <f>((cc_D/2*(1-COS(($BH458+9*($BI458-$BH458)/12)))-$BF458)/$BG458)^2*SIN(($BH458+9*($BI458-$BH458)/12))^2</f>
        <v/>
      </c>
      <c r="BT458">
        <f>((cc_D/2*(1-COS(($BH458+10*($BI458-$BH458)/12)))-$BF458)/$BG458)^2*SIN(($BH458+10*($BI458-$BH458)/12))^2</f>
        <v/>
      </c>
      <c r="BU458">
        <f>((cc_D/2*(1-COS(($BH458+11*($BI458-$BH458)/12)))-$BF458)/$BG458)^2*SIN(($BH458+11*($BI458-$BH458)/12))^2</f>
        <v/>
      </c>
      <c r="BV458">
        <f>((cc_D/2*(1-COS(($BH458+12*($BI458-$BH458)/12)))-$BF458)/$BG458)^2*SIN(($BH458+12*($BI458-$BH458)/12))^2</f>
        <v/>
      </c>
      <c r="BW458">
        <f>BJ458*COS(($BH458+0*($BI458-$BH458)/12))</f>
        <v/>
      </c>
      <c r="BX458">
        <f>BK458*COS(($BH458+1*($BI458-$BH458)/12))</f>
        <v/>
      </c>
      <c r="BY458">
        <f>BL458*COS(($BH458+2*($BI458-$BH458)/12))</f>
        <v/>
      </c>
      <c r="BZ458">
        <f>BM458*COS(($BH458+3*($BI458-$BH458)/12))</f>
        <v/>
      </c>
      <c r="CA458">
        <f>BN458*COS(($BH458+4*($BI458-$BH458)/12))</f>
        <v/>
      </c>
      <c r="CB458">
        <f>BO458*COS(($BH458+5*($BI458-$BH458)/12))</f>
        <v/>
      </c>
      <c r="CC458">
        <f>BP458*COS(($BH458+6*($BI458-$BH458)/12))</f>
        <v/>
      </c>
      <c r="CD458">
        <f>BQ458*COS(($BH458+7*($BI458-$BH458)/12))</f>
        <v/>
      </c>
      <c r="CE458">
        <f>BR458*COS(($BH458+8*($BI458-$BH458)/12))</f>
        <v/>
      </c>
      <c r="CF458">
        <f>BS458*COS(($BH458+9*($BI458-$BH458)/12))</f>
        <v/>
      </c>
      <c r="CG458">
        <f>BT458*COS(($BH458+10*($BI458-$BH458)/12))</f>
        <v/>
      </c>
      <c r="CH458">
        <f>BU458*COS(($BH458+11*($BI458-$BH458)/12))</f>
        <v/>
      </c>
      <c r="CI458">
        <f>BV458*COS(($BH458+12*($BI458-$BH458)/12))</f>
        <v/>
      </c>
    </row>
    <row r="459">
      <c r="B459" s="65" t="n">
        <v>55</v>
      </c>
      <c r="C459" s="66">
        <f>IF($G458&lt;cc_NEd-1E-9*ABS(cc_NEd),($C458+$D458)/2,$C458)</f>
        <v/>
      </c>
      <c r="D459" s="66">
        <f>IF($G458&lt;cc_NEd-1E-9*ABS(cc_NEd),$D458,($C458+$D458)/2)</f>
        <v/>
      </c>
      <c r="E459" s="67">
        <f>cc_D*(($C459+$D459)/2)/(1-(($C459+$D459)/2))</f>
        <v/>
      </c>
      <c r="F459" s="68">
        <f>IF($E459&lt;=cc_D,3.5,2*$E459/($E459-3*cc_D/7))</f>
        <v/>
      </c>
      <c r="G459" s="67">
        <f>(fcd_cc*((cc_D/2)^2*($BI459-COS($BI459)*SIN($BI459))-2*(cc_D/2)^2*($BI459-$BH459)/12/3*SUMPRODUCT($BJ$4:$BV$4,$BJ459:$BV459))+SUMPRODUCT($J$5:$AG$5,$J459:$AG459))/1000</f>
        <v/>
      </c>
      <c r="H459" s="67">
        <f>(fcd_cc*(2/3*(cc_D/2)^3*SIN($BI459)^3-2*(cc_D/2)^3*($BI459-$BH459)/12/3*SUMPRODUCT($BW$4:$CI$4,$BW459:$CI459))+SUMPRODUCT($J$5:$AG$5,$J459:$AG459,$J$22:$AG$22))/1E6</f>
        <v/>
      </c>
      <c r="I459" s="67">
        <f>SUMPRODUCT($J$5:$AG$5,$J459:$AG459,$J$23:$AG$23)/1E6</f>
        <v/>
      </c>
      <c r="J459">
        <f>MAX(-fyd_cc,MIN(fyd_cc,Es_cc*IF($E459&lt;=cc_D,0.0035*($E459-J$21)/$E459,0.002*($E459-J$21)/($E459-3*cc_D/7))))-fcd_cc*(1-(1-MAX(0,MIN(1,IF($E459&lt;=cc_D,0.0035*($E459-J$21)/$E459,0.002*($E459-J$21)/($E459-3*cc_D/7))/0.002)))^2)</f>
        <v/>
      </c>
      <c r="K459">
        <f>MAX(-fyd_cc,MIN(fyd_cc,Es_cc*IF($E459&lt;=cc_D,0.0035*($E459-K$21)/$E459,0.002*($E459-K$21)/($E459-3*cc_D/7))))-fcd_cc*(1-(1-MAX(0,MIN(1,IF($E459&lt;=cc_D,0.0035*($E459-K$21)/$E459,0.002*($E459-K$21)/($E459-3*cc_D/7))/0.002)))^2)</f>
        <v/>
      </c>
      <c r="L459">
        <f>MAX(-fyd_cc,MIN(fyd_cc,Es_cc*IF($E459&lt;=cc_D,0.0035*($E459-L$21)/$E459,0.002*($E459-L$21)/($E459-3*cc_D/7))))-fcd_cc*(1-(1-MAX(0,MIN(1,IF($E459&lt;=cc_D,0.0035*($E459-L$21)/$E459,0.002*($E459-L$21)/($E459-3*cc_D/7))/0.002)))^2)</f>
        <v/>
      </c>
      <c r="M459">
        <f>MAX(-fyd_cc,MIN(fyd_cc,Es_cc*IF($E459&lt;=cc_D,0.0035*($E459-M$21)/$E459,0.002*($E459-M$21)/($E459-3*cc_D/7))))-fcd_cc*(1-(1-MAX(0,MIN(1,IF($E459&lt;=cc_D,0.0035*($E459-M$21)/$E459,0.002*($E459-M$21)/($E459-3*cc_D/7))/0.002)))^2)</f>
        <v/>
      </c>
      <c r="N459">
        <f>MAX(-fyd_cc,MIN(fyd_cc,Es_cc*IF($E459&lt;=cc_D,0.0035*($E459-N$21)/$E459,0.002*($E459-N$21)/($E459-3*cc_D/7))))-fcd_cc*(1-(1-MAX(0,MIN(1,IF($E459&lt;=cc_D,0.0035*($E459-N$21)/$E459,0.002*($E459-N$21)/($E459-3*cc_D/7))/0.002)))^2)</f>
        <v/>
      </c>
      <c r="O459">
        <f>MAX(-fyd_cc,MIN(fyd_cc,Es_cc*IF($E459&lt;=cc_D,0.0035*($E459-O$21)/$E459,0.002*($E459-O$21)/($E459-3*cc_D/7))))-fcd_cc*(1-(1-MAX(0,MIN(1,IF($E459&lt;=cc_D,0.0035*($E459-O$21)/$E459,0.002*($E459-O$21)/($E459-3*cc_D/7))/0.002)))^2)</f>
        <v/>
      </c>
      <c r="P459">
        <f>MAX(-fyd_cc,MIN(fyd_cc,Es_cc*IF($E459&lt;=cc_D,0.0035*($E459-P$21)/$E459,0.002*($E459-P$21)/($E459-3*cc_D/7))))-fcd_cc*(1-(1-MAX(0,MIN(1,IF($E459&lt;=cc_D,0.0035*($E459-P$21)/$E459,0.002*($E459-P$21)/($E459-3*cc_D/7))/0.002)))^2)</f>
        <v/>
      </c>
      <c r="Q459">
        <f>MAX(-fyd_cc,MIN(fyd_cc,Es_cc*IF($E459&lt;=cc_D,0.0035*($E459-Q$21)/$E459,0.002*($E459-Q$21)/($E459-3*cc_D/7))))-fcd_cc*(1-(1-MAX(0,MIN(1,IF($E459&lt;=cc_D,0.0035*($E459-Q$21)/$E459,0.002*($E459-Q$21)/($E459-3*cc_D/7))/0.002)))^2)</f>
        <v/>
      </c>
      <c r="R459">
        <f>MAX(-fyd_cc,MIN(fyd_cc,Es_cc*IF($E459&lt;=cc_D,0.0035*($E459-R$21)/$E459,0.002*($E459-R$21)/($E459-3*cc_D/7))))-fcd_cc*(1-(1-MAX(0,MIN(1,IF($E459&lt;=cc_D,0.0035*($E459-R$21)/$E459,0.002*($E459-R$21)/($E459-3*cc_D/7))/0.002)))^2)</f>
        <v/>
      </c>
      <c r="S459">
        <f>MAX(-fyd_cc,MIN(fyd_cc,Es_cc*IF($E459&lt;=cc_D,0.0035*($E459-S$21)/$E459,0.002*($E459-S$21)/($E459-3*cc_D/7))))-fcd_cc*(1-(1-MAX(0,MIN(1,IF($E459&lt;=cc_D,0.0035*($E459-S$21)/$E459,0.002*($E459-S$21)/($E459-3*cc_D/7))/0.002)))^2)</f>
        <v/>
      </c>
      <c r="T459">
        <f>MAX(-fyd_cc,MIN(fyd_cc,Es_cc*IF($E459&lt;=cc_D,0.0035*($E459-T$21)/$E459,0.002*($E459-T$21)/($E459-3*cc_D/7))))-fcd_cc*(1-(1-MAX(0,MIN(1,IF($E459&lt;=cc_D,0.0035*($E459-T$21)/$E459,0.002*($E459-T$21)/($E459-3*cc_D/7))/0.002)))^2)</f>
        <v/>
      </c>
      <c r="U459">
        <f>MAX(-fyd_cc,MIN(fyd_cc,Es_cc*IF($E459&lt;=cc_D,0.0035*($E459-U$21)/$E459,0.002*($E459-U$21)/($E459-3*cc_D/7))))-fcd_cc*(1-(1-MAX(0,MIN(1,IF($E459&lt;=cc_D,0.0035*($E459-U$21)/$E459,0.002*($E459-U$21)/($E459-3*cc_D/7))/0.002)))^2)</f>
        <v/>
      </c>
      <c r="V459">
        <f>MAX(-fyd_cc,MIN(fyd_cc,Es_cc*IF($E459&lt;=cc_D,0.0035*($E459-V$21)/$E459,0.002*($E459-V$21)/($E459-3*cc_D/7))))-fcd_cc*(1-(1-MAX(0,MIN(1,IF($E459&lt;=cc_D,0.0035*($E459-V$21)/$E459,0.002*($E459-V$21)/($E459-3*cc_D/7))/0.002)))^2)</f>
        <v/>
      </c>
      <c r="W459">
        <f>MAX(-fyd_cc,MIN(fyd_cc,Es_cc*IF($E459&lt;=cc_D,0.0035*($E459-W$21)/$E459,0.002*($E459-W$21)/($E459-3*cc_D/7))))-fcd_cc*(1-(1-MAX(0,MIN(1,IF($E459&lt;=cc_D,0.0035*($E459-W$21)/$E459,0.002*($E459-W$21)/($E459-3*cc_D/7))/0.002)))^2)</f>
        <v/>
      </c>
      <c r="X459">
        <f>MAX(-fyd_cc,MIN(fyd_cc,Es_cc*IF($E459&lt;=cc_D,0.0035*($E459-X$21)/$E459,0.002*($E459-X$21)/($E459-3*cc_D/7))))-fcd_cc*(1-(1-MAX(0,MIN(1,IF($E459&lt;=cc_D,0.0035*($E459-X$21)/$E459,0.002*($E459-X$21)/($E459-3*cc_D/7))/0.002)))^2)</f>
        <v/>
      </c>
      <c r="Y459">
        <f>MAX(-fyd_cc,MIN(fyd_cc,Es_cc*IF($E459&lt;=cc_D,0.0035*($E459-Y$21)/$E459,0.002*($E459-Y$21)/($E459-3*cc_D/7))))-fcd_cc*(1-(1-MAX(0,MIN(1,IF($E459&lt;=cc_D,0.0035*($E459-Y$21)/$E459,0.002*($E459-Y$21)/($E459-3*cc_D/7))/0.002)))^2)</f>
        <v/>
      </c>
      <c r="Z459">
        <f>MAX(-fyd_cc,MIN(fyd_cc,Es_cc*IF($E459&lt;=cc_D,0.0035*($E459-Z$21)/$E459,0.002*($E459-Z$21)/($E459-3*cc_D/7))))-fcd_cc*(1-(1-MAX(0,MIN(1,IF($E459&lt;=cc_D,0.0035*($E459-Z$21)/$E459,0.002*($E459-Z$21)/($E459-3*cc_D/7))/0.002)))^2)</f>
        <v/>
      </c>
      <c r="AA459">
        <f>MAX(-fyd_cc,MIN(fyd_cc,Es_cc*IF($E459&lt;=cc_D,0.0035*($E459-AA$21)/$E459,0.002*($E459-AA$21)/($E459-3*cc_D/7))))-fcd_cc*(1-(1-MAX(0,MIN(1,IF($E459&lt;=cc_D,0.0035*($E459-AA$21)/$E459,0.002*($E459-AA$21)/($E459-3*cc_D/7))/0.002)))^2)</f>
        <v/>
      </c>
      <c r="AB459">
        <f>MAX(-fyd_cc,MIN(fyd_cc,Es_cc*IF($E459&lt;=cc_D,0.0035*($E459-AB$21)/$E459,0.002*($E459-AB$21)/($E459-3*cc_D/7))))-fcd_cc*(1-(1-MAX(0,MIN(1,IF($E459&lt;=cc_D,0.0035*($E459-AB$21)/$E459,0.002*($E459-AB$21)/($E459-3*cc_D/7))/0.002)))^2)</f>
        <v/>
      </c>
      <c r="AC459">
        <f>MAX(-fyd_cc,MIN(fyd_cc,Es_cc*IF($E459&lt;=cc_D,0.0035*($E459-AC$21)/$E459,0.002*($E459-AC$21)/($E459-3*cc_D/7))))-fcd_cc*(1-(1-MAX(0,MIN(1,IF($E459&lt;=cc_D,0.0035*($E459-AC$21)/$E459,0.002*($E459-AC$21)/($E459-3*cc_D/7))/0.002)))^2)</f>
        <v/>
      </c>
      <c r="AD459">
        <f>MAX(-fyd_cc,MIN(fyd_cc,Es_cc*IF($E459&lt;=cc_D,0.0035*($E459-AD$21)/$E459,0.002*($E459-AD$21)/($E459-3*cc_D/7))))-fcd_cc*(1-(1-MAX(0,MIN(1,IF($E459&lt;=cc_D,0.0035*($E459-AD$21)/$E459,0.002*($E459-AD$21)/($E459-3*cc_D/7))/0.002)))^2)</f>
        <v/>
      </c>
      <c r="AE459">
        <f>MAX(-fyd_cc,MIN(fyd_cc,Es_cc*IF($E459&lt;=cc_D,0.0035*($E459-AE$21)/$E459,0.002*($E459-AE$21)/($E459-3*cc_D/7))))-fcd_cc*(1-(1-MAX(0,MIN(1,IF($E459&lt;=cc_D,0.0035*($E459-AE$21)/$E459,0.002*($E459-AE$21)/($E459-3*cc_D/7))/0.002)))^2)</f>
        <v/>
      </c>
      <c r="AF459">
        <f>MAX(-fyd_cc,MIN(fyd_cc,Es_cc*IF($E459&lt;=cc_D,0.0035*($E459-AF$21)/$E459,0.002*($E459-AF$21)/($E459-3*cc_D/7))))-fcd_cc*(1-(1-MAX(0,MIN(1,IF($E459&lt;=cc_D,0.0035*($E459-AF$21)/$E459,0.002*($E459-AF$21)/($E459-3*cc_D/7))/0.002)))^2)</f>
        <v/>
      </c>
      <c r="AG459">
        <f>MAX(-fyd_cc,MIN(fyd_cc,Es_cc*IF($E459&lt;=cc_D,0.0035*($E459-AG$21)/$E459,0.002*($E459-AG$21)/($E459-3*cc_D/7))))-fcd_cc*(1-(1-MAX(0,MIN(1,IF($E459&lt;=cc_D,0.0035*($E459-AG$21)/$E459,0.002*($E459-AG$21)/($E459-3*cc_D/7))/0.002)))^2)</f>
        <v/>
      </c>
      <c r="BF459">
        <f>3*MIN($E459,cc_D)/7</f>
        <v/>
      </c>
      <c r="BG459">
        <f>$E459-$BF459</f>
        <v/>
      </c>
      <c r="BH459">
        <f>ACOS(MAX(-1,MIN(1,1-$BF459/(cc_D/2))))</f>
        <v/>
      </c>
      <c r="BI459">
        <f>ACOS(MAX(-1,MIN(1,1-MIN($E459,cc_D)/(cc_D/2))))</f>
        <v/>
      </c>
      <c r="BJ459">
        <f>((cc_D/2*(1-COS(($BH459+0*($BI459-$BH459)/12)))-$BF459)/$BG459)^2*SIN(($BH459+0*($BI459-$BH459)/12))^2</f>
        <v/>
      </c>
      <c r="BK459">
        <f>((cc_D/2*(1-COS(($BH459+1*($BI459-$BH459)/12)))-$BF459)/$BG459)^2*SIN(($BH459+1*($BI459-$BH459)/12))^2</f>
        <v/>
      </c>
      <c r="BL459">
        <f>((cc_D/2*(1-COS(($BH459+2*($BI459-$BH459)/12)))-$BF459)/$BG459)^2*SIN(($BH459+2*($BI459-$BH459)/12))^2</f>
        <v/>
      </c>
      <c r="BM459">
        <f>((cc_D/2*(1-COS(($BH459+3*($BI459-$BH459)/12)))-$BF459)/$BG459)^2*SIN(($BH459+3*($BI459-$BH459)/12))^2</f>
        <v/>
      </c>
      <c r="BN459">
        <f>((cc_D/2*(1-COS(($BH459+4*($BI459-$BH459)/12)))-$BF459)/$BG459)^2*SIN(($BH459+4*($BI459-$BH459)/12))^2</f>
        <v/>
      </c>
      <c r="BO459">
        <f>((cc_D/2*(1-COS(($BH459+5*($BI459-$BH459)/12)))-$BF459)/$BG459)^2*SIN(($BH459+5*($BI459-$BH459)/12))^2</f>
        <v/>
      </c>
      <c r="BP459">
        <f>((cc_D/2*(1-COS(($BH459+6*($BI459-$BH459)/12)))-$BF459)/$BG459)^2*SIN(($BH459+6*($BI459-$BH459)/12))^2</f>
        <v/>
      </c>
      <c r="BQ459">
        <f>((cc_D/2*(1-COS(($BH459+7*($BI459-$BH459)/12)))-$BF459)/$BG459)^2*SIN(($BH459+7*($BI459-$BH459)/12))^2</f>
        <v/>
      </c>
      <c r="BR459">
        <f>((cc_D/2*(1-COS(($BH459+8*($BI459-$BH459)/12)))-$BF459)/$BG459)^2*SIN(($BH459+8*($BI459-$BH459)/12))^2</f>
        <v/>
      </c>
      <c r="BS459">
        <f>((cc_D/2*(1-COS(($BH459+9*($BI459-$BH459)/12)))-$BF459)/$BG459)^2*SIN(($BH459+9*($BI459-$BH459)/12))^2</f>
        <v/>
      </c>
      <c r="BT459">
        <f>((cc_D/2*(1-COS(($BH459+10*($BI459-$BH459)/12)))-$BF459)/$BG459)^2*SIN(($BH459+10*($BI459-$BH459)/12))^2</f>
        <v/>
      </c>
      <c r="BU459">
        <f>((cc_D/2*(1-COS(($BH459+11*($BI459-$BH459)/12)))-$BF459)/$BG459)^2*SIN(($BH459+11*($BI459-$BH459)/12))^2</f>
        <v/>
      </c>
      <c r="BV459">
        <f>((cc_D/2*(1-COS(($BH459+12*($BI459-$BH459)/12)))-$BF459)/$BG459)^2*SIN(($BH459+12*($BI459-$BH459)/12))^2</f>
        <v/>
      </c>
      <c r="BW459">
        <f>BJ459*COS(($BH459+0*($BI459-$BH459)/12))</f>
        <v/>
      </c>
      <c r="BX459">
        <f>BK459*COS(($BH459+1*($BI459-$BH459)/12))</f>
        <v/>
      </c>
      <c r="BY459">
        <f>BL459*COS(($BH459+2*($BI459-$BH459)/12))</f>
        <v/>
      </c>
      <c r="BZ459">
        <f>BM459*COS(($BH459+3*($BI459-$BH459)/12))</f>
        <v/>
      </c>
      <c r="CA459">
        <f>BN459*COS(($BH459+4*($BI459-$BH459)/12))</f>
        <v/>
      </c>
      <c r="CB459">
        <f>BO459*COS(($BH459+5*($BI459-$BH459)/12))</f>
        <v/>
      </c>
      <c r="CC459">
        <f>BP459*COS(($BH459+6*($BI459-$BH459)/12))</f>
        <v/>
      </c>
      <c r="CD459">
        <f>BQ459*COS(($BH459+7*($BI459-$BH459)/12))</f>
        <v/>
      </c>
      <c r="CE459">
        <f>BR459*COS(($BH459+8*($BI459-$BH459)/12))</f>
        <v/>
      </c>
      <c r="CF459">
        <f>BS459*COS(($BH459+9*($BI459-$BH459)/12))</f>
        <v/>
      </c>
      <c r="CG459">
        <f>BT459*COS(($BH459+10*($BI459-$BH459)/12))</f>
        <v/>
      </c>
      <c r="CH459">
        <f>BU459*COS(($BH459+11*($BI459-$BH459)/12))</f>
        <v/>
      </c>
      <c r="CI459">
        <f>BV459*COS(($BH459+12*($BI459-$BH459)/12))</f>
        <v/>
      </c>
    </row>
    <row r="460">
      <c r="B460" s="65" t="n">
        <v>56</v>
      </c>
      <c r="C460" s="66">
        <f>IF($G459&lt;cc_NEd-1E-9*ABS(cc_NEd),($C459+$D459)/2,$C459)</f>
        <v/>
      </c>
      <c r="D460" s="66">
        <f>IF($G459&lt;cc_NEd-1E-9*ABS(cc_NEd),$D459,($C459+$D459)/2)</f>
        <v/>
      </c>
      <c r="E460" s="67">
        <f>cc_D*(($C460+$D460)/2)/(1-(($C460+$D460)/2))</f>
        <v/>
      </c>
      <c r="F460" s="68">
        <f>IF($E460&lt;=cc_D,3.5,2*$E460/($E460-3*cc_D/7))</f>
        <v/>
      </c>
      <c r="G460" s="67">
        <f>(fcd_cc*((cc_D/2)^2*($BI460-COS($BI460)*SIN($BI460))-2*(cc_D/2)^2*($BI460-$BH460)/12/3*SUMPRODUCT($BJ$4:$BV$4,$BJ460:$BV460))+SUMPRODUCT($J$5:$AG$5,$J460:$AG460))/1000</f>
        <v/>
      </c>
      <c r="H460" s="67">
        <f>(fcd_cc*(2/3*(cc_D/2)^3*SIN($BI460)^3-2*(cc_D/2)^3*($BI460-$BH460)/12/3*SUMPRODUCT($BW$4:$CI$4,$BW460:$CI460))+SUMPRODUCT($J$5:$AG$5,$J460:$AG460,$J$22:$AG$22))/1E6</f>
        <v/>
      </c>
      <c r="I460" s="67">
        <f>SUMPRODUCT($J$5:$AG$5,$J460:$AG460,$J$23:$AG$23)/1E6</f>
        <v/>
      </c>
      <c r="J460">
        <f>MAX(-fyd_cc,MIN(fyd_cc,Es_cc*IF($E460&lt;=cc_D,0.0035*($E460-J$21)/$E460,0.002*($E460-J$21)/($E460-3*cc_D/7))))-fcd_cc*(1-(1-MAX(0,MIN(1,IF($E460&lt;=cc_D,0.0035*($E460-J$21)/$E460,0.002*($E460-J$21)/($E460-3*cc_D/7))/0.002)))^2)</f>
        <v/>
      </c>
      <c r="K460">
        <f>MAX(-fyd_cc,MIN(fyd_cc,Es_cc*IF($E460&lt;=cc_D,0.0035*($E460-K$21)/$E460,0.002*($E460-K$21)/($E460-3*cc_D/7))))-fcd_cc*(1-(1-MAX(0,MIN(1,IF($E460&lt;=cc_D,0.0035*($E460-K$21)/$E460,0.002*($E460-K$21)/($E460-3*cc_D/7))/0.002)))^2)</f>
        <v/>
      </c>
      <c r="L460">
        <f>MAX(-fyd_cc,MIN(fyd_cc,Es_cc*IF($E460&lt;=cc_D,0.0035*($E460-L$21)/$E460,0.002*($E460-L$21)/($E460-3*cc_D/7))))-fcd_cc*(1-(1-MAX(0,MIN(1,IF($E460&lt;=cc_D,0.0035*($E460-L$21)/$E460,0.002*($E460-L$21)/($E460-3*cc_D/7))/0.002)))^2)</f>
        <v/>
      </c>
      <c r="M460">
        <f>MAX(-fyd_cc,MIN(fyd_cc,Es_cc*IF($E460&lt;=cc_D,0.0035*($E460-M$21)/$E460,0.002*($E460-M$21)/($E460-3*cc_D/7))))-fcd_cc*(1-(1-MAX(0,MIN(1,IF($E460&lt;=cc_D,0.0035*($E460-M$21)/$E460,0.002*($E460-M$21)/($E460-3*cc_D/7))/0.002)))^2)</f>
        <v/>
      </c>
      <c r="N460">
        <f>MAX(-fyd_cc,MIN(fyd_cc,Es_cc*IF($E460&lt;=cc_D,0.0035*($E460-N$21)/$E460,0.002*($E460-N$21)/($E460-3*cc_D/7))))-fcd_cc*(1-(1-MAX(0,MIN(1,IF($E460&lt;=cc_D,0.0035*($E460-N$21)/$E460,0.002*($E460-N$21)/($E460-3*cc_D/7))/0.002)))^2)</f>
        <v/>
      </c>
      <c r="O460">
        <f>MAX(-fyd_cc,MIN(fyd_cc,Es_cc*IF($E460&lt;=cc_D,0.0035*($E460-O$21)/$E460,0.002*($E460-O$21)/($E460-3*cc_D/7))))-fcd_cc*(1-(1-MAX(0,MIN(1,IF($E460&lt;=cc_D,0.0035*($E460-O$21)/$E460,0.002*($E460-O$21)/($E460-3*cc_D/7))/0.002)))^2)</f>
        <v/>
      </c>
      <c r="P460">
        <f>MAX(-fyd_cc,MIN(fyd_cc,Es_cc*IF($E460&lt;=cc_D,0.0035*($E460-P$21)/$E460,0.002*($E460-P$21)/($E460-3*cc_D/7))))-fcd_cc*(1-(1-MAX(0,MIN(1,IF($E460&lt;=cc_D,0.0035*($E460-P$21)/$E460,0.002*($E460-P$21)/($E460-3*cc_D/7))/0.002)))^2)</f>
        <v/>
      </c>
      <c r="Q460">
        <f>MAX(-fyd_cc,MIN(fyd_cc,Es_cc*IF($E460&lt;=cc_D,0.0035*($E460-Q$21)/$E460,0.002*($E460-Q$21)/($E460-3*cc_D/7))))-fcd_cc*(1-(1-MAX(0,MIN(1,IF($E460&lt;=cc_D,0.0035*($E460-Q$21)/$E460,0.002*($E460-Q$21)/($E460-3*cc_D/7))/0.002)))^2)</f>
        <v/>
      </c>
      <c r="R460">
        <f>MAX(-fyd_cc,MIN(fyd_cc,Es_cc*IF($E460&lt;=cc_D,0.0035*($E460-R$21)/$E460,0.002*($E460-R$21)/($E460-3*cc_D/7))))-fcd_cc*(1-(1-MAX(0,MIN(1,IF($E460&lt;=cc_D,0.0035*($E460-R$21)/$E460,0.002*($E460-R$21)/($E460-3*cc_D/7))/0.002)))^2)</f>
        <v/>
      </c>
      <c r="S460">
        <f>MAX(-fyd_cc,MIN(fyd_cc,Es_cc*IF($E460&lt;=cc_D,0.0035*($E460-S$21)/$E460,0.002*($E460-S$21)/($E460-3*cc_D/7))))-fcd_cc*(1-(1-MAX(0,MIN(1,IF($E460&lt;=cc_D,0.0035*($E460-S$21)/$E460,0.002*($E460-S$21)/($E460-3*cc_D/7))/0.002)))^2)</f>
        <v/>
      </c>
      <c r="T460">
        <f>MAX(-fyd_cc,MIN(fyd_cc,Es_cc*IF($E460&lt;=cc_D,0.0035*($E460-T$21)/$E460,0.002*($E460-T$21)/($E460-3*cc_D/7))))-fcd_cc*(1-(1-MAX(0,MIN(1,IF($E460&lt;=cc_D,0.0035*($E460-T$21)/$E460,0.002*($E460-T$21)/($E460-3*cc_D/7))/0.002)))^2)</f>
        <v/>
      </c>
      <c r="U460">
        <f>MAX(-fyd_cc,MIN(fyd_cc,Es_cc*IF($E460&lt;=cc_D,0.0035*($E460-U$21)/$E460,0.002*($E460-U$21)/($E460-3*cc_D/7))))-fcd_cc*(1-(1-MAX(0,MIN(1,IF($E460&lt;=cc_D,0.0035*($E460-U$21)/$E460,0.002*($E460-U$21)/($E460-3*cc_D/7))/0.002)))^2)</f>
        <v/>
      </c>
      <c r="V460">
        <f>MAX(-fyd_cc,MIN(fyd_cc,Es_cc*IF($E460&lt;=cc_D,0.0035*($E460-V$21)/$E460,0.002*($E460-V$21)/($E460-3*cc_D/7))))-fcd_cc*(1-(1-MAX(0,MIN(1,IF($E460&lt;=cc_D,0.0035*($E460-V$21)/$E460,0.002*($E460-V$21)/($E460-3*cc_D/7))/0.002)))^2)</f>
        <v/>
      </c>
      <c r="W460">
        <f>MAX(-fyd_cc,MIN(fyd_cc,Es_cc*IF($E460&lt;=cc_D,0.0035*($E460-W$21)/$E460,0.002*($E460-W$21)/($E460-3*cc_D/7))))-fcd_cc*(1-(1-MAX(0,MIN(1,IF($E460&lt;=cc_D,0.0035*($E460-W$21)/$E460,0.002*($E460-W$21)/($E460-3*cc_D/7))/0.002)))^2)</f>
        <v/>
      </c>
      <c r="X460">
        <f>MAX(-fyd_cc,MIN(fyd_cc,Es_cc*IF($E460&lt;=cc_D,0.0035*($E460-X$21)/$E460,0.002*($E460-X$21)/($E460-3*cc_D/7))))-fcd_cc*(1-(1-MAX(0,MIN(1,IF($E460&lt;=cc_D,0.0035*($E460-X$21)/$E460,0.002*($E460-X$21)/($E460-3*cc_D/7))/0.002)))^2)</f>
        <v/>
      </c>
      <c r="Y460">
        <f>MAX(-fyd_cc,MIN(fyd_cc,Es_cc*IF($E460&lt;=cc_D,0.0035*($E460-Y$21)/$E460,0.002*($E460-Y$21)/($E460-3*cc_D/7))))-fcd_cc*(1-(1-MAX(0,MIN(1,IF($E460&lt;=cc_D,0.0035*($E460-Y$21)/$E460,0.002*($E460-Y$21)/($E460-3*cc_D/7))/0.002)))^2)</f>
        <v/>
      </c>
      <c r="Z460">
        <f>MAX(-fyd_cc,MIN(fyd_cc,Es_cc*IF($E460&lt;=cc_D,0.0035*($E460-Z$21)/$E460,0.002*($E460-Z$21)/($E460-3*cc_D/7))))-fcd_cc*(1-(1-MAX(0,MIN(1,IF($E460&lt;=cc_D,0.0035*($E460-Z$21)/$E460,0.002*($E460-Z$21)/($E460-3*cc_D/7))/0.002)))^2)</f>
        <v/>
      </c>
      <c r="AA460">
        <f>MAX(-fyd_cc,MIN(fyd_cc,Es_cc*IF($E460&lt;=cc_D,0.0035*($E460-AA$21)/$E460,0.002*($E460-AA$21)/($E460-3*cc_D/7))))-fcd_cc*(1-(1-MAX(0,MIN(1,IF($E460&lt;=cc_D,0.0035*($E460-AA$21)/$E460,0.002*($E460-AA$21)/($E460-3*cc_D/7))/0.002)))^2)</f>
        <v/>
      </c>
      <c r="AB460">
        <f>MAX(-fyd_cc,MIN(fyd_cc,Es_cc*IF($E460&lt;=cc_D,0.0035*($E460-AB$21)/$E460,0.002*($E460-AB$21)/($E460-3*cc_D/7))))-fcd_cc*(1-(1-MAX(0,MIN(1,IF($E460&lt;=cc_D,0.0035*($E460-AB$21)/$E460,0.002*($E460-AB$21)/($E460-3*cc_D/7))/0.002)))^2)</f>
        <v/>
      </c>
      <c r="AC460">
        <f>MAX(-fyd_cc,MIN(fyd_cc,Es_cc*IF($E460&lt;=cc_D,0.0035*($E460-AC$21)/$E460,0.002*($E460-AC$21)/($E460-3*cc_D/7))))-fcd_cc*(1-(1-MAX(0,MIN(1,IF($E460&lt;=cc_D,0.0035*($E460-AC$21)/$E460,0.002*($E460-AC$21)/($E460-3*cc_D/7))/0.002)))^2)</f>
        <v/>
      </c>
      <c r="AD460">
        <f>MAX(-fyd_cc,MIN(fyd_cc,Es_cc*IF($E460&lt;=cc_D,0.0035*($E460-AD$21)/$E460,0.002*($E460-AD$21)/($E460-3*cc_D/7))))-fcd_cc*(1-(1-MAX(0,MIN(1,IF($E460&lt;=cc_D,0.0035*($E460-AD$21)/$E460,0.002*($E460-AD$21)/($E460-3*cc_D/7))/0.002)))^2)</f>
        <v/>
      </c>
      <c r="AE460">
        <f>MAX(-fyd_cc,MIN(fyd_cc,Es_cc*IF($E460&lt;=cc_D,0.0035*($E460-AE$21)/$E460,0.002*($E460-AE$21)/($E460-3*cc_D/7))))-fcd_cc*(1-(1-MAX(0,MIN(1,IF($E460&lt;=cc_D,0.0035*($E460-AE$21)/$E460,0.002*($E460-AE$21)/($E460-3*cc_D/7))/0.002)))^2)</f>
        <v/>
      </c>
      <c r="AF460">
        <f>MAX(-fyd_cc,MIN(fyd_cc,Es_cc*IF($E460&lt;=cc_D,0.0035*($E460-AF$21)/$E460,0.002*($E460-AF$21)/($E460-3*cc_D/7))))-fcd_cc*(1-(1-MAX(0,MIN(1,IF($E460&lt;=cc_D,0.0035*($E460-AF$21)/$E460,0.002*($E460-AF$21)/($E460-3*cc_D/7))/0.002)))^2)</f>
        <v/>
      </c>
      <c r="AG460">
        <f>MAX(-fyd_cc,MIN(fyd_cc,Es_cc*IF($E460&lt;=cc_D,0.0035*($E460-AG$21)/$E460,0.002*($E460-AG$21)/($E460-3*cc_D/7))))-fcd_cc*(1-(1-MAX(0,MIN(1,IF($E460&lt;=cc_D,0.0035*($E460-AG$21)/$E460,0.002*($E460-AG$21)/($E460-3*cc_D/7))/0.002)))^2)</f>
        <v/>
      </c>
      <c r="BF460">
        <f>3*MIN($E460,cc_D)/7</f>
        <v/>
      </c>
      <c r="BG460">
        <f>$E460-$BF460</f>
        <v/>
      </c>
      <c r="BH460">
        <f>ACOS(MAX(-1,MIN(1,1-$BF460/(cc_D/2))))</f>
        <v/>
      </c>
      <c r="BI460">
        <f>ACOS(MAX(-1,MIN(1,1-MIN($E460,cc_D)/(cc_D/2))))</f>
        <v/>
      </c>
      <c r="BJ460">
        <f>((cc_D/2*(1-COS(($BH460+0*($BI460-$BH460)/12)))-$BF460)/$BG460)^2*SIN(($BH460+0*($BI460-$BH460)/12))^2</f>
        <v/>
      </c>
      <c r="BK460">
        <f>((cc_D/2*(1-COS(($BH460+1*($BI460-$BH460)/12)))-$BF460)/$BG460)^2*SIN(($BH460+1*($BI460-$BH460)/12))^2</f>
        <v/>
      </c>
      <c r="BL460">
        <f>((cc_D/2*(1-COS(($BH460+2*($BI460-$BH460)/12)))-$BF460)/$BG460)^2*SIN(($BH460+2*($BI460-$BH460)/12))^2</f>
        <v/>
      </c>
      <c r="BM460">
        <f>((cc_D/2*(1-COS(($BH460+3*($BI460-$BH460)/12)))-$BF460)/$BG460)^2*SIN(($BH460+3*($BI460-$BH460)/12))^2</f>
        <v/>
      </c>
      <c r="BN460">
        <f>((cc_D/2*(1-COS(($BH460+4*($BI460-$BH460)/12)))-$BF460)/$BG460)^2*SIN(($BH460+4*($BI460-$BH460)/12))^2</f>
        <v/>
      </c>
      <c r="BO460">
        <f>((cc_D/2*(1-COS(($BH460+5*($BI460-$BH460)/12)))-$BF460)/$BG460)^2*SIN(($BH460+5*($BI460-$BH460)/12))^2</f>
        <v/>
      </c>
      <c r="BP460">
        <f>((cc_D/2*(1-COS(($BH460+6*($BI460-$BH460)/12)))-$BF460)/$BG460)^2*SIN(($BH460+6*($BI460-$BH460)/12))^2</f>
        <v/>
      </c>
      <c r="BQ460">
        <f>((cc_D/2*(1-COS(($BH460+7*($BI460-$BH460)/12)))-$BF460)/$BG460)^2*SIN(($BH460+7*($BI460-$BH460)/12))^2</f>
        <v/>
      </c>
      <c r="BR460">
        <f>((cc_D/2*(1-COS(($BH460+8*($BI460-$BH460)/12)))-$BF460)/$BG460)^2*SIN(($BH460+8*($BI460-$BH460)/12))^2</f>
        <v/>
      </c>
      <c r="BS460">
        <f>((cc_D/2*(1-COS(($BH460+9*($BI460-$BH460)/12)))-$BF460)/$BG460)^2*SIN(($BH460+9*($BI460-$BH460)/12))^2</f>
        <v/>
      </c>
      <c r="BT460">
        <f>((cc_D/2*(1-COS(($BH460+10*($BI460-$BH460)/12)))-$BF460)/$BG460)^2*SIN(($BH460+10*($BI460-$BH460)/12))^2</f>
        <v/>
      </c>
      <c r="BU460">
        <f>((cc_D/2*(1-COS(($BH460+11*($BI460-$BH460)/12)))-$BF460)/$BG460)^2*SIN(($BH460+11*($BI460-$BH460)/12))^2</f>
        <v/>
      </c>
      <c r="BV460">
        <f>((cc_D/2*(1-COS(($BH460+12*($BI460-$BH460)/12)))-$BF460)/$BG460)^2*SIN(($BH460+12*($BI460-$BH460)/12))^2</f>
        <v/>
      </c>
      <c r="BW460">
        <f>BJ460*COS(($BH460+0*($BI460-$BH460)/12))</f>
        <v/>
      </c>
      <c r="BX460">
        <f>BK460*COS(($BH460+1*($BI460-$BH460)/12))</f>
        <v/>
      </c>
      <c r="BY460">
        <f>BL460*COS(($BH460+2*($BI460-$BH460)/12))</f>
        <v/>
      </c>
      <c r="BZ460">
        <f>BM460*COS(($BH460+3*($BI460-$BH460)/12))</f>
        <v/>
      </c>
      <c r="CA460">
        <f>BN460*COS(($BH460+4*($BI460-$BH460)/12))</f>
        <v/>
      </c>
      <c r="CB460">
        <f>BO460*COS(($BH460+5*($BI460-$BH460)/12))</f>
        <v/>
      </c>
      <c r="CC460">
        <f>BP460*COS(($BH460+6*($BI460-$BH460)/12))</f>
        <v/>
      </c>
      <c r="CD460">
        <f>BQ460*COS(($BH460+7*($BI460-$BH460)/12))</f>
        <v/>
      </c>
      <c r="CE460">
        <f>BR460*COS(($BH460+8*($BI460-$BH460)/12))</f>
        <v/>
      </c>
      <c r="CF460">
        <f>BS460*COS(($BH460+9*($BI460-$BH460)/12))</f>
        <v/>
      </c>
      <c r="CG460">
        <f>BT460*COS(($BH460+10*($BI460-$BH460)/12))</f>
        <v/>
      </c>
      <c r="CH460">
        <f>BU460*COS(($BH460+11*($BI460-$BH460)/12))</f>
        <v/>
      </c>
      <c r="CI460">
        <f>BV460*COS(($BH460+12*($BI460-$BH460)/12))</f>
        <v/>
      </c>
    </row>
    <row r="461">
      <c r="B461" s="65" t="n">
        <v>57</v>
      </c>
      <c r="C461" s="66">
        <f>IF($G460&lt;cc_NEd-1E-9*ABS(cc_NEd),($C460+$D460)/2,$C460)</f>
        <v/>
      </c>
      <c r="D461" s="66">
        <f>IF($G460&lt;cc_NEd-1E-9*ABS(cc_NEd),$D460,($C460+$D460)/2)</f>
        <v/>
      </c>
      <c r="E461" s="67">
        <f>cc_D*(($C461+$D461)/2)/(1-(($C461+$D461)/2))</f>
        <v/>
      </c>
      <c r="F461" s="68">
        <f>IF($E461&lt;=cc_D,3.5,2*$E461/($E461-3*cc_D/7))</f>
        <v/>
      </c>
      <c r="G461" s="67">
        <f>(fcd_cc*((cc_D/2)^2*($BI461-COS($BI461)*SIN($BI461))-2*(cc_D/2)^2*($BI461-$BH461)/12/3*SUMPRODUCT($BJ$4:$BV$4,$BJ461:$BV461))+SUMPRODUCT($J$5:$AG$5,$J461:$AG461))/1000</f>
        <v/>
      </c>
      <c r="H461" s="67">
        <f>(fcd_cc*(2/3*(cc_D/2)^3*SIN($BI461)^3-2*(cc_D/2)^3*($BI461-$BH461)/12/3*SUMPRODUCT($BW$4:$CI$4,$BW461:$CI461))+SUMPRODUCT($J$5:$AG$5,$J461:$AG461,$J$22:$AG$22))/1E6</f>
        <v/>
      </c>
      <c r="I461" s="67">
        <f>SUMPRODUCT($J$5:$AG$5,$J461:$AG461,$J$23:$AG$23)/1E6</f>
        <v/>
      </c>
      <c r="J461">
        <f>MAX(-fyd_cc,MIN(fyd_cc,Es_cc*IF($E461&lt;=cc_D,0.0035*($E461-J$21)/$E461,0.002*($E461-J$21)/($E461-3*cc_D/7))))-fcd_cc*(1-(1-MAX(0,MIN(1,IF($E461&lt;=cc_D,0.0035*($E461-J$21)/$E461,0.002*($E461-J$21)/($E461-3*cc_D/7))/0.002)))^2)</f>
        <v/>
      </c>
      <c r="K461">
        <f>MAX(-fyd_cc,MIN(fyd_cc,Es_cc*IF($E461&lt;=cc_D,0.0035*($E461-K$21)/$E461,0.002*($E461-K$21)/($E461-3*cc_D/7))))-fcd_cc*(1-(1-MAX(0,MIN(1,IF($E461&lt;=cc_D,0.0035*($E461-K$21)/$E461,0.002*($E461-K$21)/($E461-3*cc_D/7))/0.002)))^2)</f>
        <v/>
      </c>
      <c r="L461">
        <f>MAX(-fyd_cc,MIN(fyd_cc,Es_cc*IF($E461&lt;=cc_D,0.0035*($E461-L$21)/$E461,0.002*($E461-L$21)/($E461-3*cc_D/7))))-fcd_cc*(1-(1-MAX(0,MIN(1,IF($E461&lt;=cc_D,0.0035*($E461-L$21)/$E461,0.002*($E461-L$21)/($E461-3*cc_D/7))/0.002)))^2)</f>
        <v/>
      </c>
      <c r="M461">
        <f>MAX(-fyd_cc,MIN(fyd_cc,Es_cc*IF($E461&lt;=cc_D,0.0035*($E461-M$21)/$E461,0.002*($E461-M$21)/($E461-3*cc_D/7))))-fcd_cc*(1-(1-MAX(0,MIN(1,IF($E461&lt;=cc_D,0.0035*($E461-M$21)/$E461,0.002*($E461-M$21)/($E461-3*cc_D/7))/0.002)))^2)</f>
        <v/>
      </c>
      <c r="N461">
        <f>MAX(-fyd_cc,MIN(fyd_cc,Es_cc*IF($E461&lt;=cc_D,0.0035*($E461-N$21)/$E461,0.002*($E461-N$21)/($E461-3*cc_D/7))))-fcd_cc*(1-(1-MAX(0,MIN(1,IF($E461&lt;=cc_D,0.0035*($E461-N$21)/$E461,0.002*($E461-N$21)/($E461-3*cc_D/7))/0.002)))^2)</f>
        <v/>
      </c>
      <c r="O461">
        <f>MAX(-fyd_cc,MIN(fyd_cc,Es_cc*IF($E461&lt;=cc_D,0.0035*($E461-O$21)/$E461,0.002*($E461-O$21)/($E461-3*cc_D/7))))-fcd_cc*(1-(1-MAX(0,MIN(1,IF($E461&lt;=cc_D,0.0035*($E461-O$21)/$E461,0.002*($E461-O$21)/($E461-3*cc_D/7))/0.002)))^2)</f>
        <v/>
      </c>
      <c r="P461">
        <f>MAX(-fyd_cc,MIN(fyd_cc,Es_cc*IF($E461&lt;=cc_D,0.0035*($E461-P$21)/$E461,0.002*($E461-P$21)/($E461-3*cc_D/7))))-fcd_cc*(1-(1-MAX(0,MIN(1,IF($E461&lt;=cc_D,0.0035*($E461-P$21)/$E461,0.002*($E461-P$21)/($E461-3*cc_D/7))/0.002)))^2)</f>
        <v/>
      </c>
      <c r="Q461">
        <f>MAX(-fyd_cc,MIN(fyd_cc,Es_cc*IF($E461&lt;=cc_D,0.0035*($E461-Q$21)/$E461,0.002*($E461-Q$21)/($E461-3*cc_D/7))))-fcd_cc*(1-(1-MAX(0,MIN(1,IF($E461&lt;=cc_D,0.0035*($E461-Q$21)/$E461,0.002*($E461-Q$21)/($E461-3*cc_D/7))/0.002)))^2)</f>
        <v/>
      </c>
      <c r="R461">
        <f>MAX(-fyd_cc,MIN(fyd_cc,Es_cc*IF($E461&lt;=cc_D,0.0035*($E461-R$21)/$E461,0.002*($E461-R$21)/($E461-3*cc_D/7))))-fcd_cc*(1-(1-MAX(0,MIN(1,IF($E461&lt;=cc_D,0.0035*($E461-R$21)/$E461,0.002*($E461-R$21)/($E461-3*cc_D/7))/0.002)))^2)</f>
        <v/>
      </c>
      <c r="S461">
        <f>MAX(-fyd_cc,MIN(fyd_cc,Es_cc*IF($E461&lt;=cc_D,0.0035*($E461-S$21)/$E461,0.002*($E461-S$21)/($E461-3*cc_D/7))))-fcd_cc*(1-(1-MAX(0,MIN(1,IF($E461&lt;=cc_D,0.0035*($E461-S$21)/$E461,0.002*($E461-S$21)/($E461-3*cc_D/7))/0.002)))^2)</f>
        <v/>
      </c>
      <c r="T461">
        <f>MAX(-fyd_cc,MIN(fyd_cc,Es_cc*IF($E461&lt;=cc_D,0.0035*($E461-T$21)/$E461,0.002*($E461-T$21)/($E461-3*cc_D/7))))-fcd_cc*(1-(1-MAX(0,MIN(1,IF($E461&lt;=cc_D,0.0035*($E461-T$21)/$E461,0.002*($E461-T$21)/($E461-3*cc_D/7))/0.002)))^2)</f>
        <v/>
      </c>
      <c r="U461">
        <f>MAX(-fyd_cc,MIN(fyd_cc,Es_cc*IF($E461&lt;=cc_D,0.0035*($E461-U$21)/$E461,0.002*($E461-U$21)/($E461-3*cc_D/7))))-fcd_cc*(1-(1-MAX(0,MIN(1,IF($E461&lt;=cc_D,0.0035*($E461-U$21)/$E461,0.002*($E461-U$21)/($E461-3*cc_D/7))/0.002)))^2)</f>
        <v/>
      </c>
      <c r="V461">
        <f>MAX(-fyd_cc,MIN(fyd_cc,Es_cc*IF($E461&lt;=cc_D,0.0035*($E461-V$21)/$E461,0.002*($E461-V$21)/($E461-3*cc_D/7))))-fcd_cc*(1-(1-MAX(0,MIN(1,IF($E461&lt;=cc_D,0.0035*($E461-V$21)/$E461,0.002*($E461-V$21)/($E461-3*cc_D/7))/0.002)))^2)</f>
        <v/>
      </c>
      <c r="W461">
        <f>MAX(-fyd_cc,MIN(fyd_cc,Es_cc*IF($E461&lt;=cc_D,0.0035*($E461-W$21)/$E461,0.002*($E461-W$21)/($E461-3*cc_D/7))))-fcd_cc*(1-(1-MAX(0,MIN(1,IF($E461&lt;=cc_D,0.0035*($E461-W$21)/$E461,0.002*($E461-W$21)/($E461-3*cc_D/7))/0.002)))^2)</f>
        <v/>
      </c>
      <c r="X461">
        <f>MAX(-fyd_cc,MIN(fyd_cc,Es_cc*IF($E461&lt;=cc_D,0.0035*($E461-X$21)/$E461,0.002*($E461-X$21)/($E461-3*cc_D/7))))-fcd_cc*(1-(1-MAX(0,MIN(1,IF($E461&lt;=cc_D,0.0035*($E461-X$21)/$E461,0.002*($E461-X$21)/($E461-3*cc_D/7))/0.002)))^2)</f>
        <v/>
      </c>
      <c r="Y461">
        <f>MAX(-fyd_cc,MIN(fyd_cc,Es_cc*IF($E461&lt;=cc_D,0.0035*($E461-Y$21)/$E461,0.002*($E461-Y$21)/($E461-3*cc_D/7))))-fcd_cc*(1-(1-MAX(0,MIN(1,IF($E461&lt;=cc_D,0.0035*($E461-Y$21)/$E461,0.002*($E461-Y$21)/($E461-3*cc_D/7))/0.002)))^2)</f>
        <v/>
      </c>
      <c r="Z461">
        <f>MAX(-fyd_cc,MIN(fyd_cc,Es_cc*IF($E461&lt;=cc_D,0.0035*($E461-Z$21)/$E461,0.002*($E461-Z$21)/($E461-3*cc_D/7))))-fcd_cc*(1-(1-MAX(0,MIN(1,IF($E461&lt;=cc_D,0.0035*($E461-Z$21)/$E461,0.002*($E461-Z$21)/($E461-3*cc_D/7))/0.002)))^2)</f>
        <v/>
      </c>
      <c r="AA461">
        <f>MAX(-fyd_cc,MIN(fyd_cc,Es_cc*IF($E461&lt;=cc_D,0.0035*($E461-AA$21)/$E461,0.002*($E461-AA$21)/($E461-3*cc_D/7))))-fcd_cc*(1-(1-MAX(0,MIN(1,IF($E461&lt;=cc_D,0.0035*($E461-AA$21)/$E461,0.002*($E461-AA$21)/($E461-3*cc_D/7))/0.002)))^2)</f>
        <v/>
      </c>
      <c r="AB461">
        <f>MAX(-fyd_cc,MIN(fyd_cc,Es_cc*IF($E461&lt;=cc_D,0.0035*($E461-AB$21)/$E461,0.002*($E461-AB$21)/($E461-3*cc_D/7))))-fcd_cc*(1-(1-MAX(0,MIN(1,IF($E461&lt;=cc_D,0.0035*($E461-AB$21)/$E461,0.002*($E461-AB$21)/($E461-3*cc_D/7))/0.002)))^2)</f>
        <v/>
      </c>
      <c r="AC461">
        <f>MAX(-fyd_cc,MIN(fyd_cc,Es_cc*IF($E461&lt;=cc_D,0.0035*($E461-AC$21)/$E461,0.002*($E461-AC$21)/($E461-3*cc_D/7))))-fcd_cc*(1-(1-MAX(0,MIN(1,IF($E461&lt;=cc_D,0.0035*($E461-AC$21)/$E461,0.002*($E461-AC$21)/($E461-3*cc_D/7))/0.002)))^2)</f>
        <v/>
      </c>
      <c r="AD461">
        <f>MAX(-fyd_cc,MIN(fyd_cc,Es_cc*IF($E461&lt;=cc_D,0.0035*($E461-AD$21)/$E461,0.002*($E461-AD$21)/($E461-3*cc_D/7))))-fcd_cc*(1-(1-MAX(0,MIN(1,IF($E461&lt;=cc_D,0.0035*($E461-AD$21)/$E461,0.002*($E461-AD$21)/($E461-3*cc_D/7))/0.002)))^2)</f>
        <v/>
      </c>
      <c r="AE461">
        <f>MAX(-fyd_cc,MIN(fyd_cc,Es_cc*IF($E461&lt;=cc_D,0.0035*($E461-AE$21)/$E461,0.002*($E461-AE$21)/($E461-3*cc_D/7))))-fcd_cc*(1-(1-MAX(0,MIN(1,IF($E461&lt;=cc_D,0.0035*($E461-AE$21)/$E461,0.002*($E461-AE$21)/($E461-3*cc_D/7))/0.002)))^2)</f>
        <v/>
      </c>
      <c r="AF461">
        <f>MAX(-fyd_cc,MIN(fyd_cc,Es_cc*IF($E461&lt;=cc_D,0.0035*($E461-AF$21)/$E461,0.002*($E461-AF$21)/($E461-3*cc_D/7))))-fcd_cc*(1-(1-MAX(0,MIN(1,IF($E461&lt;=cc_D,0.0035*($E461-AF$21)/$E461,0.002*($E461-AF$21)/($E461-3*cc_D/7))/0.002)))^2)</f>
        <v/>
      </c>
      <c r="AG461">
        <f>MAX(-fyd_cc,MIN(fyd_cc,Es_cc*IF($E461&lt;=cc_D,0.0035*($E461-AG$21)/$E461,0.002*($E461-AG$21)/($E461-3*cc_D/7))))-fcd_cc*(1-(1-MAX(0,MIN(1,IF($E461&lt;=cc_D,0.0035*($E461-AG$21)/$E461,0.002*($E461-AG$21)/($E461-3*cc_D/7))/0.002)))^2)</f>
        <v/>
      </c>
      <c r="BF461">
        <f>3*MIN($E461,cc_D)/7</f>
        <v/>
      </c>
      <c r="BG461">
        <f>$E461-$BF461</f>
        <v/>
      </c>
      <c r="BH461">
        <f>ACOS(MAX(-1,MIN(1,1-$BF461/(cc_D/2))))</f>
        <v/>
      </c>
      <c r="BI461">
        <f>ACOS(MAX(-1,MIN(1,1-MIN($E461,cc_D)/(cc_D/2))))</f>
        <v/>
      </c>
      <c r="BJ461">
        <f>((cc_D/2*(1-COS(($BH461+0*($BI461-$BH461)/12)))-$BF461)/$BG461)^2*SIN(($BH461+0*($BI461-$BH461)/12))^2</f>
        <v/>
      </c>
      <c r="BK461">
        <f>((cc_D/2*(1-COS(($BH461+1*($BI461-$BH461)/12)))-$BF461)/$BG461)^2*SIN(($BH461+1*($BI461-$BH461)/12))^2</f>
        <v/>
      </c>
      <c r="BL461">
        <f>((cc_D/2*(1-COS(($BH461+2*($BI461-$BH461)/12)))-$BF461)/$BG461)^2*SIN(($BH461+2*($BI461-$BH461)/12))^2</f>
        <v/>
      </c>
      <c r="BM461">
        <f>((cc_D/2*(1-COS(($BH461+3*($BI461-$BH461)/12)))-$BF461)/$BG461)^2*SIN(($BH461+3*($BI461-$BH461)/12))^2</f>
        <v/>
      </c>
      <c r="BN461">
        <f>((cc_D/2*(1-COS(($BH461+4*($BI461-$BH461)/12)))-$BF461)/$BG461)^2*SIN(($BH461+4*($BI461-$BH461)/12))^2</f>
        <v/>
      </c>
      <c r="BO461">
        <f>((cc_D/2*(1-COS(($BH461+5*($BI461-$BH461)/12)))-$BF461)/$BG461)^2*SIN(($BH461+5*($BI461-$BH461)/12))^2</f>
        <v/>
      </c>
      <c r="BP461">
        <f>((cc_D/2*(1-COS(($BH461+6*($BI461-$BH461)/12)))-$BF461)/$BG461)^2*SIN(($BH461+6*($BI461-$BH461)/12))^2</f>
        <v/>
      </c>
      <c r="BQ461">
        <f>((cc_D/2*(1-COS(($BH461+7*($BI461-$BH461)/12)))-$BF461)/$BG461)^2*SIN(($BH461+7*($BI461-$BH461)/12))^2</f>
        <v/>
      </c>
      <c r="BR461">
        <f>((cc_D/2*(1-COS(($BH461+8*($BI461-$BH461)/12)))-$BF461)/$BG461)^2*SIN(($BH461+8*($BI461-$BH461)/12))^2</f>
        <v/>
      </c>
      <c r="BS461">
        <f>((cc_D/2*(1-COS(($BH461+9*($BI461-$BH461)/12)))-$BF461)/$BG461)^2*SIN(($BH461+9*($BI461-$BH461)/12))^2</f>
        <v/>
      </c>
      <c r="BT461">
        <f>((cc_D/2*(1-COS(($BH461+10*($BI461-$BH461)/12)))-$BF461)/$BG461)^2*SIN(($BH461+10*($BI461-$BH461)/12))^2</f>
        <v/>
      </c>
      <c r="BU461">
        <f>((cc_D/2*(1-COS(($BH461+11*($BI461-$BH461)/12)))-$BF461)/$BG461)^2*SIN(($BH461+11*($BI461-$BH461)/12))^2</f>
        <v/>
      </c>
      <c r="BV461">
        <f>((cc_D/2*(1-COS(($BH461+12*($BI461-$BH461)/12)))-$BF461)/$BG461)^2*SIN(($BH461+12*($BI461-$BH461)/12))^2</f>
        <v/>
      </c>
      <c r="BW461">
        <f>BJ461*COS(($BH461+0*($BI461-$BH461)/12))</f>
        <v/>
      </c>
      <c r="BX461">
        <f>BK461*COS(($BH461+1*($BI461-$BH461)/12))</f>
        <v/>
      </c>
      <c r="BY461">
        <f>BL461*COS(($BH461+2*($BI461-$BH461)/12))</f>
        <v/>
      </c>
      <c r="BZ461">
        <f>BM461*COS(($BH461+3*($BI461-$BH461)/12))</f>
        <v/>
      </c>
      <c r="CA461">
        <f>BN461*COS(($BH461+4*($BI461-$BH461)/12))</f>
        <v/>
      </c>
      <c r="CB461">
        <f>BO461*COS(($BH461+5*($BI461-$BH461)/12))</f>
        <v/>
      </c>
      <c r="CC461">
        <f>BP461*COS(($BH461+6*($BI461-$BH461)/12))</f>
        <v/>
      </c>
      <c r="CD461">
        <f>BQ461*COS(($BH461+7*($BI461-$BH461)/12))</f>
        <v/>
      </c>
      <c r="CE461">
        <f>BR461*COS(($BH461+8*($BI461-$BH461)/12))</f>
        <v/>
      </c>
      <c r="CF461">
        <f>BS461*COS(($BH461+9*($BI461-$BH461)/12))</f>
        <v/>
      </c>
      <c r="CG461">
        <f>BT461*COS(($BH461+10*($BI461-$BH461)/12))</f>
        <v/>
      </c>
      <c r="CH461">
        <f>BU461*COS(($BH461+11*($BI461-$BH461)/12))</f>
        <v/>
      </c>
      <c r="CI461">
        <f>BV461*COS(($BH461+12*($BI461-$BH461)/12))</f>
        <v/>
      </c>
    </row>
    <row r="462">
      <c r="B462" s="65" t="n">
        <v>58</v>
      </c>
      <c r="C462" s="66">
        <f>IF($G461&lt;cc_NEd-1E-9*ABS(cc_NEd),($C461+$D461)/2,$C461)</f>
        <v/>
      </c>
      <c r="D462" s="66">
        <f>IF($G461&lt;cc_NEd-1E-9*ABS(cc_NEd),$D461,($C461+$D461)/2)</f>
        <v/>
      </c>
      <c r="E462" s="67">
        <f>cc_D*(($C462+$D462)/2)/(1-(($C462+$D462)/2))</f>
        <v/>
      </c>
      <c r="F462" s="68">
        <f>IF($E462&lt;=cc_D,3.5,2*$E462/($E462-3*cc_D/7))</f>
        <v/>
      </c>
      <c r="G462" s="67">
        <f>(fcd_cc*((cc_D/2)^2*($BI462-COS($BI462)*SIN($BI462))-2*(cc_D/2)^2*($BI462-$BH462)/12/3*SUMPRODUCT($BJ$4:$BV$4,$BJ462:$BV462))+SUMPRODUCT($J$5:$AG$5,$J462:$AG462))/1000</f>
        <v/>
      </c>
      <c r="H462" s="67">
        <f>(fcd_cc*(2/3*(cc_D/2)^3*SIN($BI462)^3-2*(cc_D/2)^3*($BI462-$BH462)/12/3*SUMPRODUCT($BW$4:$CI$4,$BW462:$CI462))+SUMPRODUCT($J$5:$AG$5,$J462:$AG462,$J$22:$AG$22))/1E6</f>
        <v/>
      </c>
      <c r="I462" s="67">
        <f>SUMPRODUCT($J$5:$AG$5,$J462:$AG462,$J$23:$AG$23)/1E6</f>
        <v/>
      </c>
      <c r="J462">
        <f>MAX(-fyd_cc,MIN(fyd_cc,Es_cc*IF($E462&lt;=cc_D,0.0035*($E462-J$21)/$E462,0.002*($E462-J$21)/($E462-3*cc_D/7))))-fcd_cc*(1-(1-MAX(0,MIN(1,IF($E462&lt;=cc_D,0.0035*($E462-J$21)/$E462,0.002*($E462-J$21)/($E462-3*cc_D/7))/0.002)))^2)</f>
        <v/>
      </c>
      <c r="K462">
        <f>MAX(-fyd_cc,MIN(fyd_cc,Es_cc*IF($E462&lt;=cc_D,0.0035*($E462-K$21)/$E462,0.002*($E462-K$21)/($E462-3*cc_D/7))))-fcd_cc*(1-(1-MAX(0,MIN(1,IF($E462&lt;=cc_D,0.0035*($E462-K$21)/$E462,0.002*($E462-K$21)/($E462-3*cc_D/7))/0.002)))^2)</f>
        <v/>
      </c>
      <c r="L462">
        <f>MAX(-fyd_cc,MIN(fyd_cc,Es_cc*IF($E462&lt;=cc_D,0.0035*($E462-L$21)/$E462,0.002*($E462-L$21)/($E462-3*cc_D/7))))-fcd_cc*(1-(1-MAX(0,MIN(1,IF($E462&lt;=cc_D,0.0035*($E462-L$21)/$E462,0.002*($E462-L$21)/($E462-3*cc_D/7))/0.002)))^2)</f>
        <v/>
      </c>
      <c r="M462">
        <f>MAX(-fyd_cc,MIN(fyd_cc,Es_cc*IF($E462&lt;=cc_D,0.0035*($E462-M$21)/$E462,0.002*($E462-M$21)/($E462-3*cc_D/7))))-fcd_cc*(1-(1-MAX(0,MIN(1,IF($E462&lt;=cc_D,0.0035*($E462-M$21)/$E462,0.002*($E462-M$21)/($E462-3*cc_D/7))/0.002)))^2)</f>
        <v/>
      </c>
      <c r="N462">
        <f>MAX(-fyd_cc,MIN(fyd_cc,Es_cc*IF($E462&lt;=cc_D,0.0035*($E462-N$21)/$E462,0.002*($E462-N$21)/($E462-3*cc_D/7))))-fcd_cc*(1-(1-MAX(0,MIN(1,IF($E462&lt;=cc_D,0.0035*($E462-N$21)/$E462,0.002*($E462-N$21)/($E462-3*cc_D/7))/0.002)))^2)</f>
        <v/>
      </c>
      <c r="O462">
        <f>MAX(-fyd_cc,MIN(fyd_cc,Es_cc*IF($E462&lt;=cc_D,0.0035*($E462-O$21)/$E462,0.002*($E462-O$21)/($E462-3*cc_D/7))))-fcd_cc*(1-(1-MAX(0,MIN(1,IF($E462&lt;=cc_D,0.0035*($E462-O$21)/$E462,0.002*($E462-O$21)/($E462-3*cc_D/7))/0.002)))^2)</f>
        <v/>
      </c>
      <c r="P462">
        <f>MAX(-fyd_cc,MIN(fyd_cc,Es_cc*IF($E462&lt;=cc_D,0.0035*($E462-P$21)/$E462,0.002*($E462-P$21)/($E462-3*cc_D/7))))-fcd_cc*(1-(1-MAX(0,MIN(1,IF($E462&lt;=cc_D,0.0035*($E462-P$21)/$E462,0.002*($E462-P$21)/($E462-3*cc_D/7))/0.002)))^2)</f>
        <v/>
      </c>
      <c r="Q462">
        <f>MAX(-fyd_cc,MIN(fyd_cc,Es_cc*IF($E462&lt;=cc_D,0.0035*($E462-Q$21)/$E462,0.002*($E462-Q$21)/($E462-3*cc_D/7))))-fcd_cc*(1-(1-MAX(0,MIN(1,IF($E462&lt;=cc_D,0.0035*($E462-Q$21)/$E462,0.002*($E462-Q$21)/($E462-3*cc_D/7))/0.002)))^2)</f>
        <v/>
      </c>
      <c r="R462">
        <f>MAX(-fyd_cc,MIN(fyd_cc,Es_cc*IF($E462&lt;=cc_D,0.0035*($E462-R$21)/$E462,0.002*($E462-R$21)/($E462-3*cc_D/7))))-fcd_cc*(1-(1-MAX(0,MIN(1,IF($E462&lt;=cc_D,0.0035*($E462-R$21)/$E462,0.002*($E462-R$21)/($E462-3*cc_D/7))/0.002)))^2)</f>
        <v/>
      </c>
      <c r="S462">
        <f>MAX(-fyd_cc,MIN(fyd_cc,Es_cc*IF($E462&lt;=cc_D,0.0035*($E462-S$21)/$E462,0.002*($E462-S$21)/($E462-3*cc_D/7))))-fcd_cc*(1-(1-MAX(0,MIN(1,IF($E462&lt;=cc_D,0.0035*($E462-S$21)/$E462,0.002*($E462-S$21)/($E462-3*cc_D/7))/0.002)))^2)</f>
        <v/>
      </c>
      <c r="T462">
        <f>MAX(-fyd_cc,MIN(fyd_cc,Es_cc*IF($E462&lt;=cc_D,0.0035*($E462-T$21)/$E462,0.002*($E462-T$21)/($E462-3*cc_D/7))))-fcd_cc*(1-(1-MAX(0,MIN(1,IF($E462&lt;=cc_D,0.0035*($E462-T$21)/$E462,0.002*($E462-T$21)/($E462-3*cc_D/7))/0.002)))^2)</f>
        <v/>
      </c>
      <c r="U462">
        <f>MAX(-fyd_cc,MIN(fyd_cc,Es_cc*IF($E462&lt;=cc_D,0.0035*($E462-U$21)/$E462,0.002*($E462-U$21)/($E462-3*cc_D/7))))-fcd_cc*(1-(1-MAX(0,MIN(1,IF($E462&lt;=cc_D,0.0035*($E462-U$21)/$E462,0.002*($E462-U$21)/($E462-3*cc_D/7))/0.002)))^2)</f>
        <v/>
      </c>
      <c r="V462">
        <f>MAX(-fyd_cc,MIN(fyd_cc,Es_cc*IF($E462&lt;=cc_D,0.0035*($E462-V$21)/$E462,0.002*($E462-V$21)/($E462-3*cc_D/7))))-fcd_cc*(1-(1-MAX(0,MIN(1,IF($E462&lt;=cc_D,0.0035*($E462-V$21)/$E462,0.002*($E462-V$21)/($E462-3*cc_D/7))/0.002)))^2)</f>
        <v/>
      </c>
      <c r="W462">
        <f>MAX(-fyd_cc,MIN(fyd_cc,Es_cc*IF($E462&lt;=cc_D,0.0035*($E462-W$21)/$E462,0.002*($E462-W$21)/($E462-3*cc_D/7))))-fcd_cc*(1-(1-MAX(0,MIN(1,IF($E462&lt;=cc_D,0.0035*($E462-W$21)/$E462,0.002*($E462-W$21)/($E462-3*cc_D/7))/0.002)))^2)</f>
        <v/>
      </c>
      <c r="X462">
        <f>MAX(-fyd_cc,MIN(fyd_cc,Es_cc*IF($E462&lt;=cc_D,0.0035*($E462-X$21)/$E462,0.002*($E462-X$21)/($E462-3*cc_D/7))))-fcd_cc*(1-(1-MAX(0,MIN(1,IF($E462&lt;=cc_D,0.0035*($E462-X$21)/$E462,0.002*($E462-X$21)/($E462-3*cc_D/7))/0.002)))^2)</f>
        <v/>
      </c>
      <c r="Y462">
        <f>MAX(-fyd_cc,MIN(fyd_cc,Es_cc*IF($E462&lt;=cc_D,0.0035*($E462-Y$21)/$E462,0.002*($E462-Y$21)/($E462-3*cc_D/7))))-fcd_cc*(1-(1-MAX(0,MIN(1,IF($E462&lt;=cc_D,0.0035*($E462-Y$21)/$E462,0.002*($E462-Y$21)/($E462-3*cc_D/7))/0.002)))^2)</f>
        <v/>
      </c>
      <c r="Z462">
        <f>MAX(-fyd_cc,MIN(fyd_cc,Es_cc*IF($E462&lt;=cc_D,0.0035*($E462-Z$21)/$E462,0.002*($E462-Z$21)/($E462-3*cc_D/7))))-fcd_cc*(1-(1-MAX(0,MIN(1,IF($E462&lt;=cc_D,0.0035*($E462-Z$21)/$E462,0.002*($E462-Z$21)/($E462-3*cc_D/7))/0.002)))^2)</f>
        <v/>
      </c>
      <c r="AA462">
        <f>MAX(-fyd_cc,MIN(fyd_cc,Es_cc*IF($E462&lt;=cc_D,0.0035*($E462-AA$21)/$E462,0.002*($E462-AA$21)/($E462-3*cc_D/7))))-fcd_cc*(1-(1-MAX(0,MIN(1,IF($E462&lt;=cc_D,0.0035*($E462-AA$21)/$E462,0.002*($E462-AA$21)/($E462-3*cc_D/7))/0.002)))^2)</f>
        <v/>
      </c>
      <c r="AB462">
        <f>MAX(-fyd_cc,MIN(fyd_cc,Es_cc*IF($E462&lt;=cc_D,0.0035*($E462-AB$21)/$E462,0.002*($E462-AB$21)/($E462-3*cc_D/7))))-fcd_cc*(1-(1-MAX(0,MIN(1,IF($E462&lt;=cc_D,0.0035*($E462-AB$21)/$E462,0.002*($E462-AB$21)/($E462-3*cc_D/7))/0.002)))^2)</f>
        <v/>
      </c>
      <c r="AC462">
        <f>MAX(-fyd_cc,MIN(fyd_cc,Es_cc*IF($E462&lt;=cc_D,0.0035*($E462-AC$21)/$E462,0.002*($E462-AC$21)/($E462-3*cc_D/7))))-fcd_cc*(1-(1-MAX(0,MIN(1,IF($E462&lt;=cc_D,0.0035*($E462-AC$21)/$E462,0.002*($E462-AC$21)/($E462-3*cc_D/7))/0.002)))^2)</f>
        <v/>
      </c>
      <c r="AD462">
        <f>MAX(-fyd_cc,MIN(fyd_cc,Es_cc*IF($E462&lt;=cc_D,0.0035*($E462-AD$21)/$E462,0.002*($E462-AD$21)/($E462-3*cc_D/7))))-fcd_cc*(1-(1-MAX(0,MIN(1,IF($E462&lt;=cc_D,0.0035*($E462-AD$21)/$E462,0.002*($E462-AD$21)/($E462-3*cc_D/7))/0.002)))^2)</f>
        <v/>
      </c>
      <c r="AE462">
        <f>MAX(-fyd_cc,MIN(fyd_cc,Es_cc*IF($E462&lt;=cc_D,0.0035*($E462-AE$21)/$E462,0.002*($E462-AE$21)/($E462-3*cc_D/7))))-fcd_cc*(1-(1-MAX(0,MIN(1,IF($E462&lt;=cc_D,0.0035*($E462-AE$21)/$E462,0.002*($E462-AE$21)/($E462-3*cc_D/7))/0.002)))^2)</f>
        <v/>
      </c>
      <c r="AF462">
        <f>MAX(-fyd_cc,MIN(fyd_cc,Es_cc*IF($E462&lt;=cc_D,0.0035*($E462-AF$21)/$E462,0.002*($E462-AF$21)/($E462-3*cc_D/7))))-fcd_cc*(1-(1-MAX(0,MIN(1,IF($E462&lt;=cc_D,0.0035*($E462-AF$21)/$E462,0.002*($E462-AF$21)/($E462-3*cc_D/7))/0.002)))^2)</f>
        <v/>
      </c>
      <c r="AG462">
        <f>MAX(-fyd_cc,MIN(fyd_cc,Es_cc*IF($E462&lt;=cc_D,0.0035*($E462-AG$21)/$E462,0.002*($E462-AG$21)/($E462-3*cc_D/7))))-fcd_cc*(1-(1-MAX(0,MIN(1,IF($E462&lt;=cc_D,0.0035*($E462-AG$21)/$E462,0.002*($E462-AG$21)/($E462-3*cc_D/7))/0.002)))^2)</f>
        <v/>
      </c>
      <c r="BF462">
        <f>3*MIN($E462,cc_D)/7</f>
        <v/>
      </c>
      <c r="BG462">
        <f>$E462-$BF462</f>
        <v/>
      </c>
      <c r="BH462">
        <f>ACOS(MAX(-1,MIN(1,1-$BF462/(cc_D/2))))</f>
        <v/>
      </c>
      <c r="BI462">
        <f>ACOS(MAX(-1,MIN(1,1-MIN($E462,cc_D)/(cc_D/2))))</f>
        <v/>
      </c>
      <c r="BJ462">
        <f>((cc_D/2*(1-COS(($BH462+0*($BI462-$BH462)/12)))-$BF462)/$BG462)^2*SIN(($BH462+0*($BI462-$BH462)/12))^2</f>
        <v/>
      </c>
      <c r="BK462">
        <f>((cc_D/2*(1-COS(($BH462+1*($BI462-$BH462)/12)))-$BF462)/$BG462)^2*SIN(($BH462+1*($BI462-$BH462)/12))^2</f>
        <v/>
      </c>
      <c r="BL462">
        <f>((cc_D/2*(1-COS(($BH462+2*($BI462-$BH462)/12)))-$BF462)/$BG462)^2*SIN(($BH462+2*($BI462-$BH462)/12))^2</f>
        <v/>
      </c>
      <c r="BM462">
        <f>((cc_D/2*(1-COS(($BH462+3*($BI462-$BH462)/12)))-$BF462)/$BG462)^2*SIN(($BH462+3*($BI462-$BH462)/12))^2</f>
        <v/>
      </c>
      <c r="BN462">
        <f>((cc_D/2*(1-COS(($BH462+4*($BI462-$BH462)/12)))-$BF462)/$BG462)^2*SIN(($BH462+4*($BI462-$BH462)/12))^2</f>
        <v/>
      </c>
      <c r="BO462">
        <f>((cc_D/2*(1-COS(($BH462+5*($BI462-$BH462)/12)))-$BF462)/$BG462)^2*SIN(($BH462+5*($BI462-$BH462)/12))^2</f>
        <v/>
      </c>
      <c r="BP462">
        <f>((cc_D/2*(1-COS(($BH462+6*($BI462-$BH462)/12)))-$BF462)/$BG462)^2*SIN(($BH462+6*($BI462-$BH462)/12))^2</f>
        <v/>
      </c>
      <c r="BQ462">
        <f>((cc_D/2*(1-COS(($BH462+7*($BI462-$BH462)/12)))-$BF462)/$BG462)^2*SIN(($BH462+7*($BI462-$BH462)/12))^2</f>
        <v/>
      </c>
      <c r="BR462">
        <f>((cc_D/2*(1-COS(($BH462+8*($BI462-$BH462)/12)))-$BF462)/$BG462)^2*SIN(($BH462+8*($BI462-$BH462)/12))^2</f>
        <v/>
      </c>
      <c r="BS462">
        <f>((cc_D/2*(1-COS(($BH462+9*($BI462-$BH462)/12)))-$BF462)/$BG462)^2*SIN(($BH462+9*($BI462-$BH462)/12))^2</f>
        <v/>
      </c>
      <c r="BT462">
        <f>((cc_D/2*(1-COS(($BH462+10*($BI462-$BH462)/12)))-$BF462)/$BG462)^2*SIN(($BH462+10*($BI462-$BH462)/12))^2</f>
        <v/>
      </c>
      <c r="BU462">
        <f>((cc_D/2*(1-COS(($BH462+11*($BI462-$BH462)/12)))-$BF462)/$BG462)^2*SIN(($BH462+11*($BI462-$BH462)/12))^2</f>
        <v/>
      </c>
      <c r="BV462">
        <f>((cc_D/2*(1-COS(($BH462+12*($BI462-$BH462)/12)))-$BF462)/$BG462)^2*SIN(($BH462+12*($BI462-$BH462)/12))^2</f>
        <v/>
      </c>
      <c r="BW462">
        <f>BJ462*COS(($BH462+0*($BI462-$BH462)/12))</f>
        <v/>
      </c>
      <c r="BX462">
        <f>BK462*COS(($BH462+1*($BI462-$BH462)/12))</f>
        <v/>
      </c>
      <c r="BY462">
        <f>BL462*COS(($BH462+2*($BI462-$BH462)/12))</f>
        <v/>
      </c>
      <c r="BZ462">
        <f>BM462*COS(($BH462+3*($BI462-$BH462)/12))</f>
        <v/>
      </c>
      <c r="CA462">
        <f>BN462*COS(($BH462+4*($BI462-$BH462)/12))</f>
        <v/>
      </c>
      <c r="CB462">
        <f>BO462*COS(($BH462+5*($BI462-$BH462)/12))</f>
        <v/>
      </c>
      <c r="CC462">
        <f>BP462*COS(($BH462+6*($BI462-$BH462)/12))</f>
        <v/>
      </c>
      <c r="CD462">
        <f>BQ462*COS(($BH462+7*($BI462-$BH462)/12))</f>
        <v/>
      </c>
      <c r="CE462">
        <f>BR462*COS(($BH462+8*($BI462-$BH462)/12))</f>
        <v/>
      </c>
      <c r="CF462">
        <f>BS462*COS(($BH462+9*($BI462-$BH462)/12))</f>
        <v/>
      </c>
      <c r="CG462">
        <f>BT462*COS(($BH462+10*($BI462-$BH462)/12))</f>
        <v/>
      </c>
      <c r="CH462">
        <f>BU462*COS(($BH462+11*($BI462-$BH462)/12))</f>
        <v/>
      </c>
      <c r="CI462">
        <f>BV462*COS(($BH462+12*($BI462-$BH462)/12))</f>
        <v/>
      </c>
    </row>
    <row r="463">
      <c r="B463" s="65" t="n">
        <v>59</v>
      </c>
      <c r="C463" s="66">
        <f>IF($G462&lt;cc_NEd-1E-9*ABS(cc_NEd),($C462+$D462)/2,$C462)</f>
        <v/>
      </c>
      <c r="D463" s="66">
        <f>IF($G462&lt;cc_NEd-1E-9*ABS(cc_NEd),$D462,($C462+$D462)/2)</f>
        <v/>
      </c>
      <c r="E463" s="67">
        <f>cc_D*(($C463+$D463)/2)/(1-(($C463+$D463)/2))</f>
        <v/>
      </c>
      <c r="F463" s="68">
        <f>IF($E463&lt;=cc_D,3.5,2*$E463/($E463-3*cc_D/7))</f>
        <v/>
      </c>
      <c r="G463" s="67">
        <f>(fcd_cc*((cc_D/2)^2*($BI463-COS($BI463)*SIN($BI463))-2*(cc_D/2)^2*($BI463-$BH463)/12/3*SUMPRODUCT($BJ$4:$BV$4,$BJ463:$BV463))+SUMPRODUCT($J$5:$AG$5,$J463:$AG463))/1000</f>
        <v/>
      </c>
      <c r="H463" s="67">
        <f>(fcd_cc*(2/3*(cc_D/2)^3*SIN($BI463)^3-2*(cc_D/2)^3*($BI463-$BH463)/12/3*SUMPRODUCT($BW$4:$CI$4,$BW463:$CI463))+SUMPRODUCT($J$5:$AG$5,$J463:$AG463,$J$22:$AG$22))/1E6</f>
        <v/>
      </c>
      <c r="I463" s="67">
        <f>SUMPRODUCT($J$5:$AG$5,$J463:$AG463,$J$23:$AG$23)/1E6</f>
        <v/>
      </c>
      <c r="J463">
        <f>MAX(-fyd_cc,MIN(fyd_cc,Es_cc*IF($E463&lt;=cc_D,0.0035*($E463-J$21)/$E463,0.002*($E463-J$21)/($E463-3*cc_D/7))))-fcd_cc*(1-(1-MAX(0,MIN(1,IF($E463&lt;=cc_D,0.0035*($E463-J$21)/$E463,0.002*($E463-J$21)/($E463-3*cc_D/7))/0.002)))^2)</f>
        <v/>
      </c>
      <c r="K463">
        <f>MAX(-fyd_cc,MIN(fyd_cc,Es_cc*IF($E463&lt;=cc_D,0.0035*($E463-K$21)/$E463,0.002*($E463-K$21)/($E463-3*cc_D/7))))-fcd_cc*(1-(1-MAX(0,MIN(1,IF($E463&lt;=cc_D,0.0035*($E463-K$21)/$E463,0.002*($E463-K$21)/($E463-3*cc_D/7))/0.002)))^2)</f>
        <v/>
      </c>
      <c r="L463">
        <f>MAX(-fyd_cc,MIN(fyd_cc,Es_cc*IF($E463&lt;=cc_D,0.0035*($E463-L$21)/$E463,0.002*($E463-L$21)/($E463-3*cc_D/7))))-fcd_cc*(1-(1-MAX(0,MIN(1,IF($E463&lt;=cc_D,0.0035*($E463-L$21)/$E463,0.002*($E463-L$21)/($E463-3*cc_D/7))/0.002)))^2)</f>
        <v/>
      </c>
      <c r="M463">
        <f>MAX(-fyd_cc,MIN(fyd_cc,Es_cc*IF($E463&lt;=cc_D,0.0035*($E463-M$21)/$E463,0.002*($E463-M$21)/($E463-3*cc_D/7))))-fcd_cc*(1-(1-MAX(0,MIN(1,IF($E463&lt;=cc_D,0.0035*($E463-M$21)/$E463,0.002*($E463-M$21)/($E463-3*cc_D/7))/0.002)))^2)</f>
        <v/>
      </c>
      <c r="N463">
        <f>MAX(-fyd_cc,MIN(fyd_cc,Es_cc*IF($E463&lt;=cc_D,0.0035*($E463-N$21)/$E463,0.002*($E463-N$21)/($E463-3*cc_D/7))))-fcd_cc*(1-(1-MAX(0,MIN(1,IF($E463&lt;=cc_D,0.0035*($E463-N$21)/$E463,0.002*($E463-N$21)/($E463-3*cc_D/7))/0.002)))^2)</f>
        <v/>
      </c>
      <c r="O463">
        <f>MAX(-fyd_cc,MIN(fyd_cc,Es_cc*IF($E463&lt;=cc_D,0.0035*($E463-O$21)/$E463,0.002*($E463-O$21)/($E463-3*cc_D/7))))-fcd_cc*(1-(1-MAX(0,MIN(1,IF($E463&lt;=cc_D,0.0035*($E463-O$21)/$E463,0.002*($E463-O$21)/($E463-3*cc_D/7))/0.002)))^2)</f>
        <v/>
      </c>
      <c r="P463">
        <f>MAX(-fyd_cc,MIN(fyd_cc,Es_cc*IF($E463&lt;=cc_D,0.0035*($E463-P$21)/$E463,0.002*($E463-P$21)/($E463-3*cc_D/7))))-fcd_cc*(1-(1-MAX(0,MIN(1,IF($E463&lt;=cc_D,0.0035*($E463-P$21)/$E463,0.002*($E463-P$21)/($E463-3*cc_D/7))/0.002)))^2)</f>
        <v/>
      </c>
      <c r="Q463">
        <f>MAX(-fyd_cc,MIN(fyd_cc,Es_cc*IF($E463&lt;=cc_D,0.0035*($E463-Q$21)/$E463,0.002*($E463-Q$21)/($E463-3*cc_D/7))))-fcd_cc*(1-(1-MAX(0,MIN(1,IF($E463&lt;=cc_D,0.0035*($E463-Q$21)/$E463,0.002*($E463-Q$21)/($E463-3*cc_D/7))/0.002)))^2)</f>
        <v/>
      </c>
      <c r="R463">
        <f>MAX(-fyd_cc,MIN(fyd_cc,Es_cc*IF($E463&lt;=cc_D,0.0035*($E463-R$21)/$E463,0.002*($E463-R$21)/($E463-3*cc_D/7))))-fcd_cc*(1-(1-MAX(0,MIN(1,IF($E463&lt;=cc_D,0.0035*($E463-R$21)/$E463,0.002*($E463-R$21)/($E463-3*cc_D/7))/0.002)))^2)</f>
        <v/>
      </c>
      <c r="S463">
        <f>MAX(-fyd_cc,MIN(fyd_cc,Es_cc*IF($E463&lt;=cc_D,0.0035*($E463-S$21)/$E463,0.002*($E463-S$21)/($E463-3*cc_D/7))))-fcd_cc*(1-(1-MAX(0,MIN(1,IF($E463&lt;=cc_D,0.0035*($E463-S$21)/$E463,0.002*($E463-S$21)/($E463-3*cc_D/7))/0.002)))^2)</f>
        <v/>
      </c>
      <c r="T463">
        <f>MAX(-fyd_cc,MIN(fyd_cc,Es_cc*IF($E463&lt;=cc_D,0.0035*($E463-T$21)/$E463,0.002*($E463-T$21)/($E463-3*cc_D/7))))-fcd_cc*(1-(1-MAX(0,MIN(1,IF($E463&lt;=cc_D,0.0035*($E463-T$21)/$E463,0.002*($E463-T$21)/($E463-3*cc_D/7))/0.002)))^2)</f>
        <v/>
      </c>
      <c r="U463">
        <f>MAX(-fyd_cc,MIN(fyd_cc,Es_cc*IF($E463&lt;=cc_D,0.0035*($E463-U$21)/$E463,0.002*($E463-U$21)/($E463-3*cc_D/7))))-fcd_cc*(1-(1-MAX(0,MIN(1,IF($E463&lt;=cc_D,0.0035*($E463-U$21)/$E463,0.002*($E463-U$21)/($E463-3*cc_D/7))/0.002)))^2)</f>
        <v/>
      </c>
      <c r="V463">
        <f>MAX(-fyd_cc,MIN(fyd_cc,Es_cc*IF($E463&lt;=cc_D,0.0035*($E463-V$21)/$E463,0.002*($E463-V$21)/($E463-3*cc_D/7))))-fcd_cc*(1-(1-MAX(0,MIN(1,IF($E463&lt;=cc_D,0.0035*($E463-V$21)/$E463,0.002*($E463-V$21)/($E463-3*cc_D/7))/0.002)))^2)</f>
        <v/>
      </c>
      <c r="W463">
        <f>MAX(-fyd_cc,MIN(fyd_cc,Es_cc*IF($E463&lt;=cc_D,0.0035*($E463-W$21)/$E463,0.002*($E463-W$21)/($E463-3*cc_D/7))))-fcd_cc*(1-(1-MAX(0,MIN(1,IF($E463&lt;=cc_D,0.0035*($E463-W$21)/$E463,0.002*($E463-W$21)/($E463-3*cc_D/7))/0.002)))^2)</f>
        <v/>
      </c>
      <c r="X463">
        <f>MAX(-fyd_cc,MIN(fyd_cc,Es_cc*IF($E463&lt;=cc_D,0.0035*($E463-X$21)/$E463,0.002*($E463-X$21)/($E463-3*cc_D/7))))-fcd_cc*(1-(1-MAX(0,MIN(1,IF($E463&lt;=cc_D,0.0035*($E463-X$21)/$E463,0.002*($E463-X$21)/($E463-3*cc_D/7))/0.002)))^2)</f>
        <v/>
      </c>
      <c r="Y463">
        <f>MAX(-fyd_cc,MIN(fyd_cc,Es_cc*IF($E463&lt;=cc_D,0.0035*($E463-Y$21)/$E463,0.002*($E463-Y$21)/($E463-3*cc_D/7))))-fcd_cc*(1-(1-MAX(0,MIN(1,IF($E463&lt;=cc_D,0.0035*($E463-Y$21)/$E463,0.002*($E463-Y$21)/($E463-3*cc_D/7))/0.002)))^2)</f>
        <v/>
      </c>
      <c r="Z463">
        <f>MAX(-fyd_cc,MIN(fyd_cc,Es_cc*IF($E463&lt;=cc_D,0.0035*($E463-Z$21)/$E463,0.002*($E463-Z$21)/($E463-3*cc_D/7))))-fcd_cc*(1-(1-MAX(0,MIN(1,IF($E463&lt;=cc_D,0.0035*($E463-Z$21)/$E463,0.002*($E463-Z$21)/($E463-3*cc_D/7))/0.002)))^2)</f>
        <v/>
      </c>
      <c r="AA463">
        <f>MAX(-fyd_cc,MIN(fyd_cc,Es_cc*IF($E463&lt;=cc_D,0.0035*($E463-AA$21)/$E463,0.002*($E463-AA$21)/($E463-3*cc_D/7))))-fcd_cc*(1-(1-MAX(0,MIN(1,IF($E463&lt;=cc_D,0.0035*($E463-AA$21)/$E463,0.002*($E463-AA$21)/($E463-3*cc_D/7))/0.002)))^2)</f>
        <v/>
      </c>
      <c r="AB463">
        <f>MAX(-fyd_cc,MIN(fyd_cc,Es_cc*IF($E463&lt;=cc_D,0.0035*($E463-AB$21)/$E463,0.002*($E463-AB$21)/($E463-3*cc_D/7))))-fcd_cc*(1-(1-MAX(0,MIN(1,IF($E463&lt;=cc_D,0.0035*($E463-AB$21)/$E463,0.002*($E463-AB$21)/($E463-3*cc_D/7))/0.002)))^2)</f>
        <v/>
      </c>
      <c r="AC463">
        <f>MAX(-fyd_cc,MIN(fyd_cc,Es_cc*IF($E463&lt;=cc_D,0.0035*($E463-AC$21)/$E463,0.002*($E463-AC$21)/($E463-3*cc_D/7))))-fcd_cc*(1-(1-MAX(0,MIN(1,IF($E463&lt;=cc_D,0.0035*($E463-AC$21)/$E463,0.002*($E463-AC$21)/($E463-3*cc_D/7))/0.002)))^2)</f>
        <v/>
      </c>
      <c r="AD463">
        <f>MAX(-fyd_cc,MIN(fyd_cc,Es_cc*IF($E463&lt;=cc_D,0.0035*($E463-AD$21)/$E463,0.002*($E463-AD$21)/($E463-3*cc_D/7))))-fcd_cc*(1-(1-MAX(0,MIN(1,IF($E463&lt;=cc_D,0.0035*($E463-AD$21)/$E463,0.002*($E463-AD$21)/($E463-3*cc_D/7))/0.002)))^2)</f>
        <v/>
      </c>
      <c r="AE463">
        <f>MAX(-fyd_cc,MIN(fyd_cc,Es_cc*IF($E463&lt;=cc_D,0.0035*($E463-AE$21)/$E463,0.002*($E463-AE$21)/($E463-3*cc_D/7))))-fcd_cc*(1-(1-MAX(0,MIN(1,IF($E463&lt;=cc_D,0.0035*($E463-AE$21)/$E463,0.002*($E463-AE$21)/($E463-3*cc_D/7))/0.002)))^2)</f>
        <v/>
      </c>
      <c r="AF463">
        <f>MAX(-fyd_cc,MIN(fyd_cc,Es_cc*IF($E463&lt;=cc_D,0.0035*($E463-AF$21)/$E463,0.002*($E463-AF$21)/($E463-3*cc_D/7))))-fcd_cc*(1-(1-MAX(0,MIN(1,IF($E463&lt;=cc_D,0.0035*($E463-AF$21)/$E463,0.002*($E463-AF$21)/($E463-3*cc_D/7))/0.002)))^2)</f>
        <v/>
      </c>
      <c r="AG463">
        <f>MAX(-fyd_cc,MIN(fyd_cc,Es_cc*IF($E463&lt;=cc_D,0.0035*($E463-AG$21)/$E463,0.002*($E463-AG$21)/($E463-3*cc_D/7))))-fcd_cc*(1-(1-MAX(0,MIN(1,IF($E463&lt;=cc_D,0.0035*($E463-AG$21)/$E463,0.002*($E463-AG$21)/($E463-3*cc_D/7))/0.002)))^2)</f>
        <v/>
      </c>
      <c r="BF463">
        <f>3*MIN($E463,cc_D)/7</f>
        <v/>
      </c>
      <c r="BG463">
        <f>$E463-$BF463</f>
        <v/>
      </c>
      <c r="BH463">
        <f>ACOS(MAX(-1,MIN(1,1-$BF463/(cc_D/2))))</f>
        <v/>
      </c>
      <c r="BI463">
        <f>ACOS(MAX(-1,MIN(1,1-MIN($E463,cc_D)/(cc_D/2))))</f>
        <v/>
      </c>
      <c r="BJ463">
        <f>((cc_D/2*(1-COS(($BH463+0*($BI463-$BH463)/12)))-$BF463)/$BG463)^2*SIN(($BH463+0*($BI463-$BH463)/12))^2</f>
        <v/>
      </c>
      <c r="BK463">
        <f>((cc_D/2*(1-COS(($BH463+1*($BI463-$BH463)/12)))-$BF463)/$BG463)^2*SIN(($BH463+1*($BI463-$BH463)/12))^2</f>
        <v/>
      </c>
      <c r="BL463">
        <f>((cc_D/2*(1-COS(($BH463+2*($BI463-$BH463)/12)))-$BF463)/$BG463)^2*SIN(($BH463+2*($BI463-$BH463)/12))^2</f>
        <v/>
      </c>
      <c r="BM463">
        <f>((cc_D/2*(1-COS(($BH463+3*($BI463-$BH463)/12)))-$BF463)/$BG463)^2*SIN(($BH463+3*($BI463-$BH463)/12))^2</f>
        <v/>
      </c>
      <c r="BN463">
        <f>((cc_D/2*(1-COS(($BH463+4*($BI463-$BH463)/12)))-$BF463)/$BG463)^2*SIN(($BH463+4*($BI463-$BH463)/12))^2</f>
        <v/>
      </c>
      <c r="BO463">
        <f>((cc_D/2*(1-COS(($BH463+5*($BI463-$BH463)/12)))-$BF463)/$BG463)^2*SIN(($BH463+5*($BI463-$BH463)/12))^2</f>
        <v/>
      </c>
      <c r="BP463">
        <f>((cc_D/2*(1-COS(($BH463+6*($BI463-$BH463)/12)))-$BF463)/$BG463)^2*SIN(($BH463+6*($BI463-$BH463)/12))^2</f>
        <v/>
      </c>
      <c r="BQ463">
        <f>((cc_D/2*(1-COS(($BH463+7*($BI463-$BH463)/12)))-$BF463)/$BG463)^2*SIN(($BH463+7*($BI463-$BH463)/12))^2</f>
        <v/>
      </c>
      <c r="BR463">
        <f>((cc_D/2*(1-COS(($BH463+8*($BI463-$BH463)/12)))-$BF463)/$BG463)^2*SIN(($BH463+8*($BI463-$BH463)/12))^2</f>
        <v/>
      </c>
      <c r="BS463">
        <f>((cc_D/2*(1-COS(($BH463+9*($BI463-$BH463)/12)))-$BF463)/$BG463)^2*SIN(($BH463+9*($BI463-$BH463)/12))^2</f>
        <v/>
      </c>
      <c r="BT463">
        <f>((cc_D/2*(1-COS(($BH463+10*($BI463-$BH463)/12)))-$BF463)/$BG463)^2*SIN(($BH463+10*($BI463-$BH463)/12))^2</f>
        <v/>
      </c>
      <c r="BU463">
        <f>((cc_D/2*(1-COS(($BH463+11*($BI463-$BH463)/12)))-$BF463)/$BG463)^2*SIN(($BH463+11*($BI463-$BH463)/12))^2</f>
        <v/>
      </c>
      <c r="BV463">
        <f>((cc_D/2*(1-COS(($BH463+12*($BI463-$BH463)/12)))-$BF463)/$BG463)^2*SIN(($BH463+12*($BI463-$BH463)/12))^2</f>
        <v/>
      </c>
      <c r="BW463">
        <f>BJ463*COS(($BH463+0*($BI463-$BH463)/12))</f>
        <v/>
      </c>
      <c r="BX463">
        <f>BK463*COS(($BH463+1*($BI463-$BH463)/12))</f>
        <v/>
      </c>
      <c r="BY463">
        <f>BL463*COS(($BH463+2*($BI463-$BH463)/12))</f>
        <v/>
      </c>
      <c r="BZ463">
        <f>BM463*COS(($BH463+3*($BI463-$BH463)/12))</f>
        <v/>
      </c>
      <c r="CA463">
        <f>BN463*COS(($BH463+4*($BI463-$BH463)/12))</f>
        <v/>
      </c>
      <c r="CB463">
        <f>BO463*COS(($BH463+5*($BI463-$BH463)/12))</f>
        <v/>
      </c>
      <c r="CC463">
        <f>BP463*COS(($BH463+6*($BI463-$BH463)/12))</f>
        <v/>
      </c>
      <c r="CD463">
        <f>BQ463*COS(($BH463+7*($BI463-$BH463)/12))</f>
        <v/>
      </c>
      <c r="CE463">
        <f>BR463*COS(($BH463+8*($BI463-$BH463)/12))</f>
        <v/>
      </c>
      <c r="CF463">
        <f>BS463*COS(($BH463+9*($BI463-$BH463)/12))</f>
        <v/>
      </c>
      <c r="CG463">
        <f>BT463*COS(($BH463+10*($BI463-$BH463)/12))</f>
        <v/>
      </c>
      <c r="CH463">
        <f>BU463*COS(($BH463+11*($BI463-$BH463)/12))</f>
        <v/>
      </c>
      <c r="CI463">
        <f>BV463*COS(($BH463+12*($BI463-$BH463)/12))</f>
        <v/>
      </c>
    </row>
    <row r="464">
      <c r="B464" s="65" t="n">
        <v>60</v>
      </c>
      <c r="C464" s="66">
        <f>IF($G463&lt;cc_NEd-1E-9*ABS(cc_NEd),($C463+$D463)/2,$C463)</f>
        <v/>
      </c>
      <c r="D464" s="66">
        <f>IF($G463&lt;cc_NEd-1E-9*ABS(cc_NEd),$D463,($C463+$D463)/2)</f>
        <v/>
      </c>
      <c r="E464" s="67">
        <f>cc_D*(($C464+$D464)/2)/(1-(($C464+$D464)/2))</f>
        <v/>
      </c>
      <c r="F464" s="68">
        <f>IF($E464&lt;=cc_D,3.5,2*$E464/($E464-3*cc_D/7))</f>
        <v/>
      </c>
      <c r="G464" s="67">
        <f>(fcd_cc*((cc_D/2)^2*($BI464-COS($BI464)*SIN($BI464))-2*(cc_D/2)^2*($BI464-$BH464)/12/3*SUMPRODUCT($BJ$4:$BV$4,$BJ464:$BV464))+SUMPRODUCT($J$5:$AG$5,$J464:$AG464))/1000</f>
        <v/>
      </c>
      <c r="H464" s="67">
        <f>(fcd_cc*(2/3*(cc_D/2)^3*SIN($BI464)^3-2*(cc_D/2)^3*($BI464-$BH464)/12/3*SUMPRODUCT($BW$4:$CI$4,$BW464:$CI464))+SUMPRODUCT($J$5:$AG$5,$J464:$AG464,$J$22:$AG$22))/1E6</f>
        <v/>
      </c>
      <c r="I464" s="67">
        <f>SUMPRODUCT($J$5:$AG$5,$J464:$AG464,$J$23:$AG$23)/1E6</f>
        <v/>
      </c>
      <c r="J464">
        <f>MAX(-fyd_cc,MIN(fyd_cc,Es_cc*IF($E464&lt;=cc_D,0.0035*($E464-J$21)/$E464,0.002*($E464-J$21)/($E464-3*cc_D/7))))-fcd_cc*(1-(1-MAX(0,MIN(1,IF($E464&lt;=cc_D,0.0035*($E464-J$21)/$E464,0.002*($E464-J$21)/($E464-3*cc_D/7))/0.002)))^2)</f>
        <v/>
      </c>
      <c r="K464">
        <f>MAX(-fyd_cc,MIN(fyd_cc,Es_cc*IF($E464&lt;=cc_D,0.0035*($E464-K$21)/$E464,0.002*($E464-K$21)/($E464-3*cc_D/7))))-fcd_cc*(1-(1-MAX(0,MIN(1,IF($E464&lt;=cc_D,0.0035*($E464-K$21)/$E464,0.002*($E464-K$21)/($E464-3*cc_D/7))/0.002)))^2)</f>
        <v/>
      </c>
      <c r="L464">
        <f>MAX(-fyd_cc,MIN(fyd_cc,Es_cc*IF($E464&lt;=cc_D,0.0035*($E464-L$21)/$E464,0.002*($E464-L$21)/($E464-3*cc_D/7))))-fcd_cc*(1-(1-MAX(0,MIN(1,IF($E464&lt;=cc_D,0.0035*($E464-L$21)/$E464,0.002*($E464-L$21)/($E464-3*cc_D/7))/0.002)))^2)</f>
        <v/>
      </c>
      <c r="M464">
        <f>MAX(-fyd_cc,MIN(fyd_cc,Es_cc*IF($E464&lt;=cc_D,0.0035*($E464-M$21)/$E464,0.002*($E464-M$21)/($E464-3*cc_D/7))))-fcd_cc*(1-(1-MAX(0,MIN(1,IF($E464&lt;=cc_D,0.0035*($E464-M$21)/$E464,0.002*($E464-M$21)/($E464-3*cc_D/7))/0.002)))^2)</f>
        <v/>
      </c>
      <c r="N464">
        <f>MAX(-fyd_cc,MIN(fyd_cc,Es_cc*IF($E464&lt;=cc_D,0.0035*($E464-N$21)/$E464,0.002*($E464-N$21)/($E464-3*cc_D/7))))-fcd_cc*(1-(1-MAX(0,MIN(1,IF($E464&lt;=cc_D,0.0035*($E464-N$21)/$E464,0.002*($E464-N$21)/($E464-3*cc_D/7))/0.002)))^2)</f>
        <v/>
      </c>
      <c r="O464">
        <f>MAX(-fyd_cc,MIN(fyd_cc,Es_cc*IF($E464&lt;=cc_D,0.0035*($E464-O$21)/$E464,0.002*($E464-O$21)/($E464-3*cc_D/7))))-fcd_cc*(1-(1-MAX(0,MIN(1,IF($E464&lt;=cc_D,0.0035*($E464-O$21)/$E464,0.002*($E464-O$21)/($E464-3*cc_D/7))/0.002)))^2)</f>
        <v/>
      </c>
      <c r="P464">
        <f>MAX(-fyd_cc,MIN(fyd_cc,Es_cc*IF($E464&lt;=cc_D,0.0035*($E464-P$21)/$E464,0.002*($E464-P$21)/($E464-3*cc_D/7))))-fcd_cc*(1-(1-MAX(0,MIN(1,IF($E464&lt;=cc_D,0.0035*($E464-P$21)/$E464,0.002*($E464-P$21)/($E464-3*cc_D/7))/0.002)))^2)</f>
        <v/>
      </c>
      <c r="Q464">
        <f>MAX(-fyd_cc,MIN(fyd_cc,Es_cc*IF($E464&lt;=cc_D,0.0035*($E464-Q$21)/$E464,0.002*($E464-Q$21)/($E464-3*cc_D/7))))-fcd_cc*(1-(1-MAX(0,MIN(1,IF($E464&lt;=cc_D,0.0035*($E464-Q$21)/$E464,0.002*($E464-Q$21)/($E464-3*cc_D/7))/0.002)))^2)</f>
        <v/>
      </c>
      <c r="R464">
        <f>MAX(-fyd_cc,MIN(fyd_cc,Es_cc*IF($E464&lt;=cc_D,0.0035*($E464-R$21)/$E464,0.002*($E464-R$21)/($E464-3*cc_D/7))))-fcd_cc*(1-(1-MAX(0,MIN(1,IF($E464&lt;=cc_D,0.0035*($E464-R$21)/$E464,0.002*($E464-R$21)/($E464-3*cc_D/7))/0.002)))^2)</f>
        <v/>
      </c>
      <c r="S464">
        <f>MAX(-fyd_cc,MIN(fyd_cc,Es_cc*IF($E464&lt;=cc_D,0.0035*($E464-S$21)/$E464,0.002*($E464-S$21)/($E464-3*cc_D/7))))-fcd_cc*(1-(1-MAX(0,MIN(1,IF($E464&lt;=cc_D,0.0035*($E464-S$21)/$E464,0.002*($E464-S$21)/($E464-3*cc_D/7))/0.002)))^2)</f>
        <v/>
      </c>
      <c r="T464">
        <f>MAX(-fyd_cc,MIN(fyd_cc,Es_cc*IF($E464&lt;=cc_D,0.0035*($E464-T$21)/$E464,0.002*($E464-T$21)/($E464-3*cc_D/7))))-fcd_cc*(1-(1-MAX(0,MIN(1,IF($E464&lt;=cc_D,0.0035*($E464-T$21)/$E464,0.002*($E464-T$21)/($E464-3*cc_D/7))/0.002)))^2)</f>
        <v/>
      </c>
      <c r="U464">
        <f>MAX(-fyd_cc,MIN(fyd_cc,Es_cc*IF($E464&lt;=cc_D,0.0035*($E464-U$21)/$E464,0.002*($E464-U$21)/($E464-3*cc_D/7))))-fcd_cc*(1-(1-MAX(0,MIN(1,IF($E464&lt;=cc_D,0.0035*($E464-U$21)/$E464,0.002*($E464-U$21)/($E464-3*cc_D/7))/0.002)))^2)</f>
        <v/>
      </c>
      <c r="V464">
        <f>MAX(-fyd_cc,MIN(fyd_cc,Es_cc*IF($E464&lt;=cc_D,0.0035*($E464-V$21)/$E464,0.002*($E464-V$21)/($E464-3*cc_D/7))))-fcd_cc*(1-(1-MAX(0,MIN(1,IF($E464&lt;=cc_D,0.0035*($E464-V$21)/$E464,0.002*($E464-V$21)/($E464-3*cc_D/7))/0.002)))^2)</f>
        <v/>
      </c>
      <c r="W464">
        <f>MAX(-fyd_cc,MIN(fyd_cc,Es_cc*IF($E464&lt;=cc_D,0.0035*($E464-W$21)/$E464,0.002*($E464-W$21)/($E464-3*cc_D/7))))-fcd_cc*(1-(1-MAX(0,MIN(1,IF($E464&lt;=cc_D,0.0035*($E464-W$21)/$E464,0.002*($E464-W$21)/($E464-3*cc_D/7))/0.002)))^2)</f>
        <v/>
      </c>
      <c r="X464">
        <f>MAX(-fyd_cc,MIN(fyd_cc,Es_cc*IF($E464&lt;=cc_D,0.0035*($E464-X$21)/$E464,0.002*($E464-X$21)/($E464-3*cc_D/7))))-fcd_cc*(1-(1-MAX(0,MIN(1,IF($E464&lt;=cc_D,0.0035*($E464-X$21)/$E464,0.002*($E464-X$21)/($E464-3*cc_D/7))/0.002)))^2)</f>
        <v/>
      </c>
      <c r="Y464">
        <f>MAX(-fyd_cc,MIN(fyd_cc,Es_cc*IF($E464&lt;=cc_D,0.0035*($E464-Y$21)/$E464,0.002*($E464-Y$21)/($E464-3*cc_D/7))))-fcd_cc*(1-(1-MAX(0,MIN(1,IF($E464&lt;=cc_D,0.0035*($E464-Y$21)/$E464,0.002*($E464-Y$21)/($E464-3*cc_D/7))/0.002)))^2)</f>
        <v/>
      </c>
      <c r="Z464">
        <f>MAX(-fyd_cc,MIN(fyd_cc,Es_cc*IF($E464&lt;=cc_D,0.0035*($E464-Z$21)/$E464,0.002*($E464-Z$21)/($E464-3*cc_D/7))))-fcd_cc*(1-(1-MAX(0,MIN(1,IF($E464&lt;=cc_D,0.0035*($E464-Z$21)/$E464,0.002*($E464-Z$21)/($E464-3*cc_D/7))/0.002)))^2)</f>
        <v/>
      </c>
      <c r="AA464">
        <f>MAX(-fyd_cc,MIN(fyd_cc,Es_cc*IF($E464&lt;=cc_D,0.0035*($E464-AA$21)/$E464,0.002*($E464-AA$21)/($E464-3*cc_D/7))))-fcd_cc*(1-(1-MAX(0,MIN(1,IF($E464&lt;=cc_D,0.0035*($E464-AA$21)/$E464,0.002*($E464-AA$21)/($E464-3*cc_D/7))/0.002)))^2)</f>
        <v/>
      </c>
      <c r="AB464">
        <f>MAX(-fyd_cc,MIN(fyd_cc,Es_cc*IF($E464&lt;=cc_D,0.0035*($E464-AB$21)/$E464,0.002*($E464-AB$21)/($E464-3*cc_D/7))))-fcd_cc*(1-(1-MAX(0,MIN(1,IF($E464&lt;=cc_D,0.0035*($E464-AB$21)/$E464,0.002*($E464-AB$21)/($E464-3*cc_D/7))/0.002)))^2)</f>
        <v/>
      </c>
      <c r="AC464">
        <f>MAX(-fyd_cc,MIN(fyd_cc,Es_cc*IF($E464&lt;=cc_D,0.0035*($E464-AC$21)/$E464,0.002*($E464-AC$21)/($E464-3*cc_D/7))))-fcd_cc*(1-(1-MAX(0,MIN(1,IF($E464&lt;=cc_D,0.0035*($E464-AC$21)/$E464,0.002*($E464-AC$21)/($E464-3*cc_D/7))/0.002)))^2)</f>
        <v/>
      </c>
      <c r="AD464">
        <f>MAX(-fyd_cc,MIN(fyd_cc,Es_cc*IF($E464&lt;=cc_D,0.0035*($E464-AD$21)/$E464,0.002*($E464-AD$21)/($E464-3*cc_D/7))))-fcd_cc*(1-(1-MAX(0,MIN(1,IF($E464&lt;=cc_D,0.0035*($E464-AD$21)/$E464,0.002*($E464-AD$21)/($E464-3*cc_D/7))/0.002)))^2)</f>
        <v/>
      </c>
      <c r="AE464">
        <f>MAX(-fyd_cc,MIN(fyd_cc,Es_cc*IF($E464&lt;=cc_D,0.0035*($E464-AE$21)/$E464,0.002*($E464-AE$21)/($E464-3*cc_D/7))))-fcd_cc*(1-(1-MAX(0,MIN(1,IF($E464&lt;=cc_D,0.0035*($E464-AE$21)/$E464,0.002*($E464-AE$21)/($E464-3*cc_D/7))/0.002)))^2)</f>
        <v/>
      </c>
      <c r="AF464">
        <f>MAX(-fyd_cc,MIN(fyd_cc,Es_cc*IF($E464&lt;=cc_D,0.0035*($E464-AF$21)/$E464,0.002*($E464-AF$21)/($E464-3*cc_D/7))))-fcd_cc*(1-(1-MAX(0,MIN(1,IF($E464&lt;=cc_D,0.0035*($E464-AF$21)/$E464,0.002*($E464-AF$21)/($E464-3*cc_D/7))/0.002)))^2)</f>
        <v/>
      </c>
      <c r="AG464">
        <f>MAX(-fyd_cc,MIN(fyd_cc,Es_cc*IF($E464&lt;=cc_D,0.0035*($E464-AG$21)/$E464,0.002*($E464-AG$21)/($E464-3*cc_D/7))))-fcd_cc*(1-(1-MAX(0,MIN(1,IF($E464&lt;=cc_D,0.0035*($E464-AG$21)/$E464,0.002*($E464-AG$21)/($E464-3*cc_D/7))/0.002)))^2)</f>
        <v/>
      </c>
      <c r="BF464">
        <f>3*MIN($E464,cc_D)/7</f>
        <v/>
      </c>
      <c r="BG464">
        <f>$E464-$BF464</f>
        <v/>
      </c>
      <c r="BH464">
        <f>ACOS(MAX(-1,MIN(1,1-$BF464/(cc_D/2))))</f>
        <v/>
      </c>
      <c r="BI464">
        <f>ACOS(MAX(-1,MIN(1,1-MIN($E464,cc_D)/(cc_D/2))))</f>
        <v/>
      </c>
      <c r="BJ464">
        <f>((cc_D/2*(1-COS(($BH464+0*($BI464-$BH464)/12)))-$BF464)/$BG464)^2*SIN(($BH464+0*($BI464-$BH464)/12))^2</f>
        <v/>
      </c>
      <c r="BK464">
        <f>((cc_D/2*(1-COS(($BH464+1*($BI464-$BH464)/12)))-$BF464)/$BG464)^2*SIN(($BH464+1*($BI464-$BH464)/12))^2</f>
        <v/>
      </c>
      <c r="BL464">
        <f>((cc_D/2*(1-COS(($BH464+2*($BI464-$BH464)/12)))-$BF464)/$BG464)^2*SIN(($BH464+2*($BI464-$BH464)/12))^2</f>
        <v/>
      </c>
      <c r="BM464">
        <f>((cc_D/2*(1-COS(($BH464+3*($BI464-$BH464)/12)))-$BF464)/$BG464)^2*SIN(($BH464+3*($BI464-$BH464)/12))^2</f>
        <v/>
      </c>
      <c r="BN464">
        <f>((cc_D/2*(1-COS(($BH464+4*($BI464-$BH464)/12)))-$BF464)/$BG464)^2*SIN(($BH464+4*($BI464-$BH464)/12))^2</f>
        <v/>
      </c>
      <c r="BO464">
        <f>((cc_D/2*(1-COS(($BH464+5*($BI464-$BH464)/12)))-$BF464)/$BG464)^2*SIN(($BH464+5*($BI464-$BH464)/12))^2</f>
        <v/>
      </c>
      <c r="BP464">
        <f>((cc_D/2*(1-COS(($BH464+6*($BI464-$BH464)/12)))-$BF464)/$BG464)^2*SIN(($BH464+6*($BI464-$BH464)/12))^2</f>
        <v/>
      </c>
      <c r="BQ464">
        <f>((cc_D/2*(1-COS(($BH464+7*($BI464-$BH464)/12)))-$BF464)/$BG464)^2*SIN(($BH464+7*($BI464-$BH464)/12))^2</f>
        <v/>
      </c>
      <c r="BR464">
        <f>((cc_D/2*(1-COS(($BH464+8*($BI464-$BH464)/12)))-$BF464)/$BG464)^2*SIN(($BH464+8*($BI464-$BH464)/12))^2</f>
        <v/>
      </c>
      <c r="BS464">
        <f>((cc_D/2*(1-COS(($BH464+9*($BI464-$BH464)/12)))-$BF464)/$BG464)^2*SIN(($BH464+9*($BI464-$BH464)/12))^2</f>
        <v/>
      </c>
      <c r="BT464">
        <f>((cc_D/2*(1-COS(($BH464+10*($BI464-$BH464)/12)))-$BF464)/$BG464)^2*SIN(($BH464+10*($BI464-$BH464)/12))^2</f>
        <v/>
      </c>
      <c r="BU464">
        <f>((cc_D/2*(1-COS(($BH464+11*($BI464-$BH464)/12)))-$BF464)/$BG464)^2*SIN(($BH464+11*($BI464-$BH464)/12))^2</f>
        <v/>
      </c>
      <c r="BV464">
        <f>((cc_D/2*(1-COS(($BH464+12*($BI464-$BH464)/12)))-$BF464)/$BG464)^2*SIN(($BH464+12*($BI464-$BH464)/12))^2</f>
        <v/>
      </c>
      <c r="BW464">
        <f>BJ464*COS(($BH464+0*($BI464-$BH464)/12))</f>
        <v/>
      </c>
      <c r="BX464">
        <f>BK464*COS(($BH464+1*($BI464-$BH464)/12))</f>
        <v/>
      </c>
      <c r="BY464">
        <f>BL464*COS(($BH464+2*($BI464-$BH464)/12))</f>
        <v/>
      </c>
      <c r="BZ464">
        <f>BM464*COS(($BH464+3*($BI464-$BH464)/12))</f>
        <v/>
      </c>
      <c r="CA464">
        <f>BN464*COS(($BH464+4*($BI464-$BH464)/12))</f>
        <v/>
      </c>
      <c r="CB464">
        <f>BO464*COS(($BH464+5*($BI464-$BH464)/12))</f>
        <v/>
      </c>
      <c r="CC464">
        <f>BP464*COS(($BH464+6*($BI464-$BH464)/12))</f>
        <v/>
      </c>
      <c r="CD464">
        <f>BQ464*COS(($BH464+7*($BI464-$BH464)/12))</f>
        <v/>
      </c>
      <c r="CE464">
        <f>BR464*COS(($BH464+8*($BI464-$BH464)/12))</f>
        <v/>
      </c>
      <c r="CF464">
        <f>BS464*COS(($BH464+9*($BI464-$BH464)/12))</f>
        <v/>
      </c>
      <c r="CG464">
        <f>BT464*COS(($BH464+10*($BI464-$BH464)/12))</f>
        <v/>
      </c>
      <c r="CH464">
        <f>BU464*COS(($BH464+11*($BI464-$BH464)/12))</f>
        <v/>
      </c>
      <c r="CI464">
        <f>BV464*COS(($BH464+12*($BI464-$BH464)/12))</f>
        <v/>
      </c>
    </row>
  </sheetData>
  <sheetProtection selectLockedCells="0" selectUnlockedCells="0" sheet="1" objects="1" insertRows="1" insertHyperlinks="1" autoFilter="1" scenarios="0" formatColumns="1" deleteColumns="1" insertColumns="1" pivotTables="1" deleteRows="1" formatCells="1" formatRows="1" sort="1" password="AA0A"/>
  <mergeCells count="1">
    <mergeCell ref="B3:H3"/>
  </mergeCell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&amp;K8A8A8ANAE-RC-041  v1.0</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69"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70" t="inlineStr">
        <is>
          <t>Parameter</t>
        </is>
      </c>
      <c r="C5" s="70" t="inlineStr">
        <is>
          <t>Clause</t>
        </is>
      </c>
      <c r="D5" s="70" t="inlineStr">
        <is>
          <t>UK NA</t>
        </is>
      </c>
      <c r="E5" s="70" t="inlineStr">
        <is>
          <t>PL NA</t>
        </is>
      </c>
      <c r="F5" s="70" t="inlineStr">
        <is>
          <t>Notes</t>
        </is>
      </c>
    </row>
    <row r="6">
      <c r="B6" s="71" t="inlineStr">
        <is>
          <t>Partial factor, concrete  γc</t>
        </is>
      </c>
      <c r="C6" s="72" t="inlineStr">
        <is>
          <t>2.4.2.4(1)</t>
        </is>
      </c>
      <c r="D6" s="73" t="n">
        <v>1.5</v>
      </c>
      <c r="E6" s="73" t="n">
        <v>1.4</v>
      </c>
      <c r="F6" s="72" t="inlineStr">
        <is>
          <t>Persistent &amp; transient. UK NA: recommended; PL: NA.2, Table NA.2</t>
        </is>
      </c>
    </row>
    <row r="7">
      <c r="B7" s="71" t="inlineStr">
        <is>
          <t>Partial factor, reinforcement  γs</t>
        </is>
      </c>
      <c r="C7" s="72" t="inlineStr">
        <is>
          <t>2.4.2.4(1)</t>
        </is>
      </c>
      <c r="D7" s="73" t="n">
        <v>1.15</v>
      </c>
      <c r="E7" s="73" t="n">
        <v>1.15</v>
      </c>
      <c r="F7" s="72" t="inlineStr">
        <is>
          <t>UK NA: recommended; PL: NA.2, Table NA.2</t>
        </is>
      </c>
    </row>
    <row r="8">
      <c r="B8" s="71" t="inlineStr">
        <is>
          <t>αcc  (compression in flexure / axial)</t>
        </is>
      </c>
      <c r="C8" s="72" t="inlineStr">
        <is>
          <t>3.1.6(1)</t>
        </is>
      </c>
      <c r="D8" s="73" t="n">
        <v>0.85</v>
      </c>
      <c r="E8" s="73" t="n">
        <v>1</v>
      </c>
      <c r="F8" s="72" t="inlineStr">
        <is>
          <t>UK NA: 0.85; PL: recommended (NA.9)</t>
        </is>
      </c>
    </row>
    <row r="9">
      <c r="B9" s="71" t="inlineStr">
        <is>
          <t>αcc,pl  (plain concrete, compression)</t>
        </is>
      </c>
      <c r="C9" s="72" t="inlineStr">
        <is>
          <t>12.3.1(1)</t>
        </is>
      </c>
      <c r="D9" s="73" t="n">
        <v>0.6</v>
      </c>
      <c r="E9" s="73" t="n">
        <v>0.8</v>
      </c>
      <c r="F9" s="72" t="inlineStr">
        <is>
          <t>UK NA Table NA.1: 0.6; PL: recommended (NA.9)</t>
        </is>
      </c>
    </row>
    <row r="10">
      <c r="B10" s="71" t="inlineStr">
        <is>
          <t>αcc  (shear and punching)</t>
        </is>
      </c>
      <c r="C10" s="72" t="inlineStr">
        <is>
          <t>3.1.6(1)</t>
        </is>
      </c>
      <c r="D10" s="73" t="n">
        <v>1</v>
      </c>
      <c r="E10" s="73" t="n">
        <v>1</v>
      </c>
      <c r="F10" s="72" t="inlineStr">
        <is>
          <t>UK NA: 1.0 for other phenomena; PL: recommended (NA.9)</t>
        </is>
      </c>
    </row>
    <row r="11">
      <c r="B11" s="71" t="inlineStr">
        <is>
          <t>αct  (design tensile strength)</t>
        </is>
      </c>
      <c r="C11" s="72" t="inlineStr">
        <is>
          <t>3.1.6(2)</t>
        </is>
      </c>
      <c r="D11" s="73" t="n">
        <v>1</v>
      </c>
      <c r="E11" s="73" t="n">
        <v>1</v>
      </c>
      <c r="F11" s="72" t="inlineStr">
        <is>
          <t>Recommended value in both annexes</t>
        </is>
      </c>
    </row>
    <row r="12">
      <c r="B12" s="71" t="inlineStr">
        <is>
          <t>CRd,c numerator  (CRd,c = value / γc)</t>
        </is>
      </c>
      <c r="C12" s="72" t="inlineStr">
        <is>
          <t>6.2.2(1), 6.4.4(1)</t>
        </is>
      </c>
      <c r="D12" s="73" t="n">
        <v>0.18</v>
      </c>
      <c r="E12" s="73" t="n">
        <v>0.18</v>
      </c>
      <c r="F12" s="72" t="inlineStr">
        <is>
          <t>Recommended value in both annexes</t>
        </is>
      </c>
    </row>
    <row r="13">
      <c r="B13" s="71" t="inlineStr">
        <is>
          <t>k1  (axial stress term, punching)</t>
        </is>
      </c>
      <c r="C13" s="72" t="inlineStr">
        <is>
          <t>6.4.4(1)</t>
        </is>
      </c>
      <c r="D13" s="73" t="n">
        <v>0.1</v>
      </c>
      <c r="E13" s="73" t="n">
        <v>0.1</v>
      </c>
      <c r="F13" s="72" t="inlineStr">
        <is>
          <t>Recommended value in both annexes</t>
        </is>
      </c>
    </row>
    <row r="14">
      <c r="B14" s="71" t="inlineStr">
        <is>
          <t>vRd,max factor  (vRd,max = factor · ν · fcd)</t>
        </is>
      </c>
      <c r="C14" s="72" t="inlineStr">
        <is>
          <t>6.4.5(3)</t>
        </is>
      </c>
      <c r="D14" s="73" t="n">
        <v>0.5</v>
      </c>
      <c r="E14" s="73" t="n">
        <v>0.4</v>
      </c>
      <c r="F14" s="72" t="inlineStr">
        <is>
          <t>UK NA: 0.5 ν fcd; PL: recommended value (NA.9), 0.4 ν fcd since EN 1992-1-1 AC:2010 (PN-EN 1992-1-1:2008/AC:2011)</t>
        </is>
      </c>
    </row>
    <row r="15">
      <c r="B15" s="71" t="inlineStr">
        <is>
          <t>kmax  (vEd ≤ kmax · vRd,c at u1)</t>
        </is>
      </c>
      <c r="C15" s="72" t="inlineStr">
        <is>
          <t>6.4.5</t>
        </is>
      </c>
      <c r="D15" s="73" t="n">
        <v>2</v>
      </c>
      <c r="E15" s="73" t="n">
        <v>1.5</v>
      </c>
      <c r="F15" s="72" t="inlineStr">
        <is>
          <t>UK NA 6.4.5(3): 2 vRd,c. PL: no limit in PN-EN 1992-1-1:2008; 1.5 (A1:2014 recommendation) applied conservatively</t>
        </is>
      </c>
    </row>
    <row r="16">
      <c r="B16" s="71" t="inlineStr">
        <is>
          <t>φlarge  (large bar threshold, mm)</t>
        </is>
      </c>
      <c r="C16" s="72" t="inlineStr">
        <is>
          <t>8.8(1)</t>
        </is>
      </c>
      <c r="D16" s="73" t="n">
        <v>40</v>
      </c>
      <c r="E16" s="73" t="n">
        <v>32</v>
      </c>
      <c r="F16" s="72" t="inlineStr">
        <is>
          <t>UK NA: 40 mm; PL: 32 mm recommended (NA.9)</t>
        </is>
      </c>
    </row>
    <row r="17">
      <c r="B17" s="71" t="inlineStr">
        <is>
          <t>cot θ upper limit  (variable strut)</t>
        </is>
      </c>
      <c r="C17" s="72" t="inlineStr">
        <is>
          <t>6.2.3(2)</t>
        </is>
      </c>
      <c r="D17" s="73" t="n">
        <v>2.5</v>
      </c>
      <c r="E17" s="73" t="n">
        <v>2</v>
      </c>
      <c r="F17" s="72" t="inlineStr">
        <is>
          <t>UK NA: 2.5 (1.25 with axial tension); PL: NA.4, 1 ≤ cot θ ≤ 2.0</t>
        </is>
      </c>
    </row>
    <row r="18">
      <c r="B18" s="71" t="inlineStr">
        <is>
          <t>k1  (x/d limit, δ ≥ k1 + k2 xu/d)</t>
        </is>
      </c>
      <c r="C18" s="72" t="inlineStr">
        <is>
          <t>5.5(4)</t>
        </is>
      </c>
      <c r="D18" s="73" t="n">
        <v>0.4</v>
      </c>
      <c r="E18" s="73" t="n">
        <v>0.44</v>
      </c>
      <c r="F18" s="72" t="inlineStr">
        <is>
          <t>UK NA for fyk ≤ 500 MPa; PL: recommended (NA.9)</t>
        </is>
      </c>
    </row>
    <row r="19">
      <c r="B19" s="71" t="inlineStr">
        <is>
          <t>k2  (x/d limit, εcu2 = 0.0035)</t>
        </is>
      </c>
      <c r="C19" s="72" t="inlineStr">
        <is>
          <t>5.5(4)</t>
        </is>
      </c>
      <c r="D19" s="73" t="n">
        <v>1</v>
      </c>
      <c r="E19" s="73" t="n">
        <v>1.25</v>
      </c>
      <c r="F19" s="72" t="inlineStr">
        <is>
          <t>UK NA: 0.6 + 0.0014/εcu2; PL: 1.25(0.6 + 0.0014/εcu2)</t>
        </is>
      </c>
    </row>
    <row r="20">
      <c r="B20" s="71" t="inlineStr">
        <is>
          <t>Upper limit on the (310/σs) factor  (0 = none)</t>
        </is>
      </c>
      <c r="C20" s="72" t="inlineStr">
        <is>
          <t>7.4.2(2)</t>
        </is>
      </c>
      <c r="D20" s="73" t="n">
        <v>1.5</v>
      </c>
      <c r="E20" s="73" t="n">
        <v>0</v>
      </c>
      <c r="F20" s="72" t="inlineStr">
        <is>
          <t>UK NA Table NA.5 Note 5: (310/σs) or (500/fyk)(As,prov/As,req) ≤ 1.5; PL: none</t>
        </is>
      </c>
    </row>
    <row r="21">
      <c r="B21" s="71" t="inlineStr">
        <is>
          <t>L/d not to exceed 40 K  (1 = applies)</t>
        </is>
      </c>
      <c r="C21" s="72" t="inlineStr">
        <is>
          <t>7.4.2(2)</t>
        </is>
      </c>
      <c r="D21" s="73" t="n">
        <v>1</v>
      </c>
      <c r="E21" s="73" t="n">
        <v>0</v>
      </c>
      <c r="F21" s="72" t="inlineStr">
        <is>
          <t>UK NA Table NA.5 Note 6; not in EN text</t>
        </is>
      </c>
    </row>
    <row r="22">
      <c r="B22" s="71" t="inlineStr">
        <is>
          <t>φmin  (longitudinal bars in columns, mm)</t>
        </is>
      </c>
      <c r="C22" s="72" t="inlineStr">
        <is>
          <t>9.5.2(1)</t>
        </is>
      </c>
      <c r="D22" s="73" t="n">
        <v>12</v>
      </c>
      <c r="E22" s="73" t="n">
        <v>6</v>
      </c>
      <c r="F22" s="72" t="inlineStr">
        <is>
          <t>UK NA: 12 mm; PL: NA.6, 6 mm</t>
        </is>
      </c>
    </row>
    <row r="23">
      <c r="B23" s="71" t="inlineStr">
        <is>
          <t>k3  (crack spacing)</t>
        </is>
      </c>
      <c r="C23" s="72" t="inlineStr">
        <is>
          <t>7.3.4(3)</t>
        </is>
      </c>
      <c r="D23" s="73" t="n">
        <v>3.4</v>
      </c>
      <c r="E23" s="73" t="n">
        <v>3.4</v>
      </c>
      <c r="F23" s="72" t="inlineStr">
        <is>
          <t>Recommended value in both annexes</t>
        </is>
      </c>
    </row>
    <row r="24">
      <c r="B24" s="71" t="inlineStr">
        <is>
          <t>k4  (crack spacing)</t>
        </is>
      </c>
      <c r="C24" s="72" t="inlineStr">
        <is>
          <t>7.3.4(3)</t>
        </is>
      </c>
      <c r="D24" s="73" t="n">
        <v>0.425</v>
      </c>
      <c r="E24" s="73" t="n">
        <v>0.425</v>
      </c>
      <c r="F24" s="72" t="inlineStr">
        <is>
          <t>Recommended value in both annexes</t>
        </is>
      </c>
    </row>
    <row r="25">
      <c r="B25" s="71" t="inlineStr">
        <is>
          <t>k1  (concrete stress, characteristic; XD, XF, XS)</t>
        </is>
      </c>
      <c r="C25" s="72" t="inlineStr">
        <is>
          <t>7.2(2)</t>
        </is>
      </c>
      <c r="D25" s="73" t="n">
        <v>0.6</v>
      </c>
      <c r="E25" s="73" t="n">
        <v>1</v>
      </c>
      <c r="F25" s="72" t="inlineStr">
        <is>
          <t>UK NA: recommended; PL: NA.5, k1 = 1.0</t>
        </is>
      </c>
    </row>
    <row r="26">
      <c r="B26" s="71" t="inlineStr">
        <is>
          <t>k2  (concrete stress, quasi-permanent; linear creep)</t>
        </is>
      </c>
      <c r="C26" s="72" t="inlineStr">
        <is>
          <t>7.2(3)</t>
        </is>
      </c>
      <c r="D26" s="73" t="n">
        <v>0.45</v>
      </c>
      <c r="E26" s="73" t="n">
        <v>0.45</v>
      </c>
      <c r="F26" s="72" t="inlineStr">
        <is>
          <t>Recommended value in both annexes (UK NA; PL NA.9)</t>
        </is>
      </c>
    </row>
    <row r="27">
      <c r="B27" s="71" t="inlineStr">
        <is>
          <t>k3  (steel stress, characteristic)</t>
        </is>
      </c>
      <c r="C27" s="72" t="inlineStr">
        <is>
          <t>7.2(5)</t>
        </is>
      </c>
      <c r="D27" s="73" t="n">
        <v>0.8</v>
      </c>
      <c r="E27" s="73" t="n">
        <v>0.8</v>
      </c>
      <c r="F27" s="72" t="inlineStr">
        <is>
          <t>Recommended value in both annexes (UK NA; PL NA.9)</t>
        </is>
      </c>
    </row>
    <row r="28">
      <c r="B28" s="71" t="inlineStr">
        <is>
          <t>k4  (steel stress, imposed deformation)</t>
        </is>
      </c>
      <c r="C28" s="72" t="inlineStr">
        <is>
          <t>7.2(5)</t>
        </is>
      </c>
      <c r="D28" s="73" t="n">
        <v>1</v>
      </c>
      <c r="E28" s="73" t="n">
        <v>1</v>
      </c>
      <c r="F28" s="72"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&amp;K8A8A8ANAE-RC-041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NAE-RC-041 Circular column</dc:title>
  <dc:subject xmlns:dc="http://purl.org/dc/elements/1.1/">Circular columns  ·  EN 1992-1-1 §5.8, §6.1, §9.5  ·  UK NA / PN-EN</dc:subject>
  <dcterms:created xmlns:dcterms="http://purl.org/dc/terms/" xmlns:xsi="http://www.w3.org/2001/XMLSchema-instance" xsi:type="dcterms:W3CDTF">2026-10-30T10:58:41Z</dcterms:created>
  <dcterms:modified xmlns:dcterms="http://purl.org/dc/terms/" xmlns:xsi="http://www.w3.org/2001/XMLSchema-instance" xsi:type="dcterms:W3CDTF">2026-10-30T10:58:41Z</dcterms:modified>
  <cp:lastModifiedBy>NA Engineering sp. z o.o.</cp:lastModifiedBy>
  <cp:keywords>NA Engineering; Eurocode 2; EN 1992-1-1</cp:keywords>
</cp:coreProperties>
</file>